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7B30447F_437A_4EF0_BE07_7AF5BFF72038_.wvu.FilterData">Data!$B$1:$E$2</definedName>
    <definedName hidden="1" localSheetId="2" name="Z_8935FD39_7017_4CA9_9817_37E1DC9B12FC_.wvu.FilterData">Data!$B$1:$E$8803</definedName>
  </definedNames>
  <calcPr/>
  <customWorkbookViews>
    <customWorkbookView activeSheetId="0" maximized="1" windowHeight="0" windowWidth="0" guid="{8935FD39-7017-4CA9-9817-37E1DC9B12FC}" name="Filter 2"/>
    <customWorkbookView activeSheetId="0" maximized="1" windowHeight="0" windowWidth="0" guid="{7B30447F-437A-4EF0-BE07-7AF5BFF72038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9">
      <text>
        <t xml:space="preserve">Used as original gravity (OG) in calculations.</t>
      </text>
    </comment>
    <comment authorId="0" ref="B22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- Wine Method ABV: (OG-FG)/7.36 x 1000
</t>
      </text>
    </comment>
  </commentList>
</comments>
</file>

<file path=xl/sharedStrings.xml><?xml version="1.0" encoding="utf-8"?>
<sst xmlns="http://schemas.openxmlformats.org/spreadsheetml/2006/main" count="17641" uniqueCount="34">
  <si>
    <t>Report &amp; Chart Settings: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</si>
  <si>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</si>
  <si>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</si>
  <si>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</si>
  <si>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</si>
  <si>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</si>
  <si>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</si>
  <si>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</si>
  <si>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SG</t>
  </si>
  <si>
    <t>Current:</t>
  </si>
  <si>
    <t>First: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</si>
  <si>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</si>
  <si>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</si>
  <si>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</si>
  <si>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</si>
  <si>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</si>
  <si>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</si>
  <si>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</si>
  <si>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</si>
  <si>
    <t>Timestamp</t>
  </si>
  <si>
    <t>Timepoint</t>
  </si>
  <si>
    <t>Temp</t>
  </si>
  <si>
    <t>Color</t>
  </si>
  <si>
    <t>Beer</t>
  </si>
  <si>
    <t>Comment</t>
  </si>
  <si>
    <t>BLACK</t>
  </si>
  <si>
    <t>Uncle Sams Cider (11/12/2021) 02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</si>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</sst>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  <name val="Arial"/>
    </font>
    <font>
      <b/>
    </font>
    <font>
      <b/>
      <sz val="10.0"/>
    </font>
    <font/>
    <font>
      <sz val="10.0"/>
    </font>
    <font>
      <name val="Arial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readingOrder="0" vertical="bottom"/>
    </xf>
    <xf borderId="1" fillId="2" fontId="2" numFmtId="164" xfId="0" applyAlignment="1" applyBorder="1" applyFont="1" applyNumberFormat="1">
      <alignment horizontal="center"/>
    </xf>
    <xf borderId="1" fillId="2" fontId="2" numFmtId="165" xfId="0" applyAlignment="1" applyBorder="1" applyFont="1" applyNumberFormat="1">
      <alignment horizontal="center"/>
    </xf>
    <xf borderId="1" fillId="2" fontId="2" numFmtId="166" xfId="0" applyAlignment="1" applyBorder="1" applyFont="1" applyNumberFormat="1">
      <alignment horizontal="center" readingOrder="0"/>
    </xf>
    <xf borderId="1" fillId="2" fontId="3" numFmtId="0" xfId="0" applyAlignment="1" applyBorder="1" applyFont="1">
      <alignment horizontal="center" readingOrder="0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right" readingOrder="0" vertical="bottom"/>
    </xf>
    <xf borderId="3" fillId="2" fontId="4" numFmtId="164" xfId="0" applyAlignment="1" applyBorder="1" applyFont="1" applyNumberFormat="1">
      <alignment horizontal="center"/>
    </xf>
    <xf borderId="0" fillId="0" fontId="4" numFmtId="164" xfId="0" applyFont="1" applyNumberFormat="1"/>
    <xf borderId="0" fillId="0" fontId="4" numFmtId="165" xfId="0" applyAlignment="1" applyFont="1" applyNumberFormat="1">
      <alignment readingOrder="0"/>
    </xf>
    <xf borderId="0" fillId="0" fontId="4" numFmtId="166" xfId="0" applyAlignment="1" applyFont="1" applyNumberFormat="1">
      <alignment readingOrder="0"/>
    </xf>
    <xf borderId="0" fillId="0" fontId="5" numFmtId="0" xfId="0" applyAlignment="1" applyFont="1">
      <alignment horizontal="left" readingOrder="0"/>
    </xf>
    <xf borderId="4" fillId="2" fontId="1" numFmtId="0" xfId="0" applyAlignment="1" applyBorder="1" applyFont="1">
      <alignment horizontal="right" readingOrder="0" vertical="bottom"/>
    </xf>
    <xf borderId="1" fillId="2" fontId="4" numFmtId="164" xfId="0" applyAlignment="1" applyBorder="1" applyFont="1" applyNumberFormat="1">
      <alignment horizontal="center"/>
    </xf>
    <xf borderId="0" fillId="0" fontId="4" numFmtId="165" xfId="0" applyFont="1" applyNumberFormat="1"/>
    <xf borderId="0" fillId="0" fontId="4" numFmtId="166" xfId="0" applyFont="1" applyNumberFormat="1"/>
    <xf borderId="4" fillId="2" fontId="2" numFmtId="0" xfId="0" applyAlignment="1" applyBorder="1" applyFont="1">
      <alignment horizontal="right" readingOrder="0"/>
    </xf>
    <xf borderId="1" fillId="2" fontId="6" numFmtId="0" xfId="0" applyAlignment="1" applyBorder="1" applyFont="1">
      <alignment horizontal="center" readingOrder="0" vertical="bottom"/>
    </xf>
    <xf borderId="0" fillId="0" fontId="5" numFmtId="0" xfId="0" applyAlignment="1" applyFont="1">
      <alignment horizontal="left"/>
    </xf>
    <xf borderId="0" fillId="0" fontId="5" numFmtId="0" xfId="0" applyFont="1"/>
    <xf borderId="4" fillId="2" fontId="1" numFmtId="0" xfId="0" applyAlignment="1" applyBorder="1" applyFont="1">
      <alignment horizontal="right" readingOrder="0" vertical="bottom"/>
    </xf>
    <xf borderId="1" fillId="2" fontId="6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6" fillId="3" fontId="8" numFmtId="165" xfId="0" applyBorder="1" applyFont="1" applyNumberFormat="1"/>
    <xf borderId="7" fillId="0" fontId="1" numFmtId="164" xfId="0" applyAlignment="1" applyBorder="1" applyFont="1" applyNumberFormat="1">
      <alignment horizontal="right" vertical="bottom"/>
    </xf>
    <xf borderId="8" fillId="0" fontId="6" numFmtId="167" xfId="0" applyAlignment="1" applyBorder="1" applyFont="1" applyNumberFormat="1">
      <alignment horizontal="center" vertical="bottom"/>
    </xf>
    <xf borderId="7" fillId="0" fontId="1" numFmtId="0" xfId="0" applyAlignment="1" applyBorder="1" applyFont="1">
      <alignment horizontal="right" readingOrder="0" vertical="bottom"/>
    </xf>
    <xf borderId="8" fillId="0" fontId="6" numFmtId="2" xfId="0" applyAlignment="1" applyBorder="1" applyFont="1" applyNumberFormat="1">
      <alignment horizontal="center" vertical="bottom"/>
    </xf>
    <xf borderId="0" fillId="0" fontId="5" numFmtId="0" xfId="0" applyAlignment="1" applyFont="1">
      <alignment readingOrder="0"/>
    </xf>
    <xf borderId="9" fillId="0" fontId="1" numFmtId="164" xfId="0" applyAlignment="1" applyBorder="1" applyFont="1" applyNumberFormat="1">
      <alignment horizontal="right" vertical="bottom"/>
    </xf>
    <xf borderId="10" fillId="0" fontId="6" numFmtId="167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1" numFmtId="164" xfId="0" applyAlignment="1" applyBorder="1" applyFont="1" applyNumberFormat="1">
      <alignment horizontal="right" vertical="bottom"/>
    </xf>
    <xf borderId="6" fillId="0" fontId="6" numFmtId="166" xfId="0" applyAlignment="1" applyBorder="1" applyFont="1" applyNumberFormat="1">
      <alignment horizontal="center" vertical="bottom"/>
    </xf>
    <xf borderId="8" fillId="0" fontId="6" numFmtId="166" xfId="0" applyAlignment="1" applyBorder="1" applyFont="1" applyNumberFormat="1">
      <alignment horizontal="center" vertical="bottom"/>
    </xf>
    <xf borderId="0" fillId="0" fontId="4" numFmtId="164" xfId="0" applyAlignment="1" applyFont="1" applyNumberFormat="1">
      <alignment readingOrder="0"/>
    </xf>
    <xf borderId="10" fillId="0" fontId="6" numFmtId="166" xfId="0" applyAlignment="1" applyBorder="1" applyFont="1" applyNumberFormat="1">
      <alignment horizontal="center" vertical="bottom"/>
    </xf>
    <xf borderId="11" fillId="3" fontId="4" numFmtId="0" xfId="0" applyAlignment="1" applyBorder="1" applyFont="1">
      <alignment horizontal="center" readingOrder="0"/>
    </xf>
    <xf borderId="8" fillId="3" fontId="4" numFmtId="0" xfId="0" applyBorder="1" applyFont="1"/>
    <xf borderId="11" fillId="4" fontId="1" numFmtId="164" xfId="0" applyAlignment="1" applyBorder="1" applyFill="1" applyFont="1" applyNumberFormat="1">
      <alignment horizontal="right" vertical="bottom"/>
    </xf>
    <xf borderId="8" fillId="4" fontId="6" numFmtId="10" xfId="0" applyAlignment="1" applyBorder="1" applyFont="1" applyNumberFormat="1">
      <alignment horizontal="center" vertical="bottom"/>
    </xf>
    <xf borderId="12" fillId="4" fontId="1" numFmtId="0" xfId="0" applyAlignment="1" applyBorder="1" applyFont="1">
      <alignment horizontal="right" readingOrder="0" vertical="bottom"/>
    </xf>
    <xf borderId="10" fillId="4" fontId="6" numFmtId="10" xfId="0" applyAlignment="1" applyBorder="1" applyFont="1" applyNumberFormat="1">
      <alignment horizontal="center" vertical="bottom"/>
    </xf>
    <xf borderId="13" fillId="0" fontId="2" numFmtId="0" xfId="0" applyAlignment="1" applyBorder="1" applyFont="1">
      <alignment horizontal="right" readingOrder="0"/>
    </xf>
    <xf borderId="14" fillId="0" fontId="4" numFmtId="2" xfId="0" applyAlignment="1" applyBorder="1" applyFont="1" applyNumberFormat="1">
      <alignment horizontal="center"/>
    </xf>
    <xf borderId="0" fillId="0" fontId="2" numFmtId="164" xfId="0" applyAlignment="1" applyFont="1" applyNumberFormat="1">
      <alignment readingOrder="0"/>
    </xf>
    <xf borderId="0" fillId="0" fontId="2" numFmtId="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164" xfId="0" applyAlignment="1" applyFont="1" applyNumberFormat="1">
      <alignment horizontal="right" readingOrder="0" vertical="bottom"/>
    </xf>
    <xf borderId="0" fillId="0" fontId="6" numFmtId="4" xfId="0" applyAlignment="1" applyFont="1" applyNumberFormat="1">
      <alignment horizontal="right" readingOrder="0" vertical="bottom"/>
    </xf>
    <xf borderId="0" fillId="0" fontId="6" numFmtId="0" xfId="0" applyAlignment="1" applyFont="1">
      <alignment horizontal="right" readingOrder="0"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Report!$D$2:$D$9978</c:f>
              <c:numCache/>
            </c:numRef>
          </c:val>
          <c:smooth val="0"/>
        </c:ser>
        <c:axId val="1534700697"/>
        <c:axId val="282610962"/>
      </c:lineChart>
      <c:catAx>
        <c:axId val="15347006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2610962"/>
      </c:catAx>
      <c:valAx>
        <c:axId val="282610962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534700697"/>
      </c:valAx>
      <c:lineChart>
        <c:varyColors val="0"/>
        <c:ser>
          <c:idx val="1"/>
          <c:order val="1"/>
          <c:tx>
            <c:strRef>
              <c:f>Report!$E$1</c:f>
            </c:strRef>
          </c:tx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Report!$C$2:$C$9978</c:f>
            </c:strRef>
          </c:cat>
          <c:val>
            <c:numRef>
              <c:f>Report!$E$2:$E$9978</c:f>
              <c:numCache/>
            </c:numRef>
          </c:val>
          <c:smooth val="0"/>
        </c:ser>
        <c:axId val="1821693189"/>
        <c:axId val="856607517"/>
      </c:lineChart>
      <c:catAx>
        <c:axId val="182169318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56607517"/>
      </c:catAx>
      <c:valAx>
        <c:axId val="8566075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1693189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1" t="s">
        <v>0</v>
      </c>
      <c r="B1" s="1"/>
      <c r="C1" s="2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3" t="str">
        <f>IFERROR(__xludf.DUMMYFUNCTION("""COMPUTED_VALUE"""),"SG")</f>
        <v>SG</v>
      </c>
      <c r="E1" s="4" t="str">
        <f>IFERROR(__xludf.DUMMYFUNCTION("""COMPUTED_VALUE"""),"Temp (°F)")</f>
        <v>Temp (°F)</v>
      </c>
      <c r="F1" s="5" t="str">
        <f>IFERROR(__xludf.DUMMYFUNCTION("""COMPUTED_VALUE"""),"Color")</f>
        <v>Color</v>
      </c>
      <c r="G1" s="6" t="str">
        <f>IFERROR(__xludf.DUMMYFUNCTION("""COMPUTED_VALUE"""),"Beer")</f>
        <v>Beer</v>
      </c>
      <c r="H1" s="6" t="str">
        <f>IFERROR(__xludf.DUMMYFUNCTION("""COMPUTED_VALUE"""),"Comment")</f>
        <v>Comment</v>
      </c>
    </row>
    <row r="2">
      <c r="A2" s="7" t="s">
        <v>1</v>
      </c>
      <c r="B2" s="8">
        <f>if(B4="all",min(Data!B:B),max(Data!B:B)-mid(B4,6,2))</f>
        <v>44512.81603</v>
      </c>
      <c r="C2" s="9">
        <f>IFERROR(__xludf.DUMMYFUNCTION("""COMPUTED_VALUE"""),44605.5401306134)</f>
        <v>44605.54013</v>
      </c>
      <c r="D2" s="10">
        <f>IFERROR(__xludf.DUMMYFUNCTION("""COMPUTED_VALUE"""),1.004)</f>
        <v>1.004</v>
      </c>
      <c r="E2" s="11">
        <f>IFERROR(__xludf.DUMMYFUNCTION("""COMPUTED_VALUE"""),63.0)</f>
        <v>63</v>
      </c>
      <c r="F2" s="12" t="str">
        <f>IFERROR(__xludf.DUMMYFUNCTION("""COMPUTED_VALUE"""),"BLACK")</f>
        <v>BLACK</v>
      </c>
      <c r="G2" t="str">
        <f>IFERROR(__xludf.DUMMYFUNCTION("""COMPUTED_VALUE"""),"Uncle Sams Cider (11/12/2021) 02")</f>
        <v>Uncle Sams Cider (11/12/2021) 02</v>
      </c>
    </row>
    <row r="3" ht="1.5" customHeight="1">
      <c r="A3" s="13" t="s">
        <v>2</v>
      </c>
      <c r="B3" s="14">
        <f>max(Data!B:B)</f>
        <v>44605.54013</v>
      </c>
      <c r="C3" s="9">
        <f>IFERROR(__xludf.DUMMYFUNCTION("""COMPUTED_VALUE"""),44605.5297086689)</f>
        <v>44605.52971</v>
      </c>
      <c r="D3" s="15">
        <f>IFERROR(__xludf.DUMMYFUNCTION("""COMPUTED_VALUE"""),1.004)</f>
        <v>1.004</v>
      </c>
      <c r="E3" s="16">
        <f>IFERROR(__xludf.DUMMYFUNCTION("""COMPUTED_VALUE"""),63.0)</f>
        <v>63</v>
      </c>
      <c r="F3" s="12" t="str">
        <f>IFERROR(__xludf.DUMMYFUNCTION("""COMPUTED_VALUE"""),"BLACK")</f>
        <v>BLACK</v>
      </c>
      <c r="G3" t="str">
        <f>IFERROR(__xludf.DUMMYFUNCTION("""COMPUTED_VALUE"""),"Uncle Sams Cider (11/12/2021) 02")</f>
        <v>Uncle Sams Cider (11/12/2021) 02</v>
      </c>
    </row>
    <row r="4">
      <c r="A4" s="17" t="s">
        <v>3</v>
      </c>
      <c r="B4" s="18" t="s">
        <v>4</v>
      </c>
      <c r="C4" s="9">
        <f>IFERROR(__xludf.DUMMYFUNCTION("""COMPUTED_VALUE"""),44605.519287824)</f>
        <v>44605.51929</v>
      </c>
      <c r="D4" s="15">
        <f>IFERROR(__xludf.DUMMYFUNCTION("""COMPUTED_VALUE"""),1.004)</f>
        <v>1.004</v>
      </c>
      <c r="E4" s="16">
        <f>IFERROR(__xludf.DUMMYFUNCTION("""COMPUTED_VALUE"""),63.0)</f>
        <v>63</v>
      </c>
      <c r="F4" s="19" t="str">
        <f>IFERROR(__xludf.DUMMYFUNCTION("""COMPUTED_VALUE"""),"BLACK")</f>
        <v>BLACK</v>
      </c>
      <c r="G4" s="20" t="str">
        <f>IFERROR(__xludf.DUMMYFUNCTION("""COMPUTED_VALUE"""),"Uncle Sams Cider (11/12/2021) 02")</f>
        <v>Uncle Sams Cider (11/12/2021) 02</v>
      </c>
      <c r="H4" s="19"/>
    </row>
    <row r="5">
      <c r="A5" s="17" t="s">
        <v>5</v>
      </c>
      <c r="B5" s="18" t="s">
        <v>6</v>
      </c>
      <c r="C5" s="9">
        <f>IFERROR(__xludf.DUMMYFUNCTION("""COMPUTED_VALUE"""),44605.5088673263)</f>
        <v>44605.50887</v>
      </c>
      <c r="D5" s="15">
        <f>IFERROR(__xludf.DUMMYFUNCTION("""COMPUTED_VALUE"""),1.004)</f>
        <v>1.004</v>
      </c>
      <c r="E5" s="16">
        <f>IFERROR(__xludf.DUMMYFUNCTION("""COMPUTED_VALUE"""),63.0)</f>
        <v>63</v>
      </c>
      <c r="F5" s="19" t="str">
        <f>IFERROR(__xludf.DUMMYFUNCTION("""COMPUTED_VALUE"""),"BLACK")</f>
        <v>BLACK</v>
      </c>
      <c r="G5" s="20" t="str">
        <f>IFERROR(__xludf.DUMMYFUNCTION("""COMPUTED_VALUE"""),"Uncle Sams Cider (11/12/2021) 02")</f>
        <v>Uncle Sams Cider (11/12/2021) 02</v>
      </c>
      <c r="H5" s="19"/>
    </row>
    <row r="6">
      <c r="A6" s="21" t="s">
        <v>7</v>
      </c>
      <c r="B6" s="22" t="s">
        <v>8</v>
      </c>
      <c r="C6" s="9">
        <f>IFERROR(__xludf.DUMMYFUNCTION("""COMPUTED_VALUE"""),44605.4984453703)</f>
        <v>44605.49845</v>
      </c>
      <c r="D6" s="15">
        <f>IFERROR(__xludf.DUMMYFUNCTION("""COMPUTED_VALUE"""),1.004)</f>
        <v>1.004</v>
      </c>
      <c r="E6" s="16">
        <f>IFERROR(__xludf.DUMMYFUNCTION("""COMPUTED_VALUE"""),63.0)</f>
        <v>63</v>
      </c>
      <c r="F6" s="19" t="str">
        <f>IFERROR(__xludf.DUMMYFUNCTION("""COMPUTED_VALUE"""),"BLACK")</f>
        <v>BLACK</v>
      </c>
      <c r="G6" s="20" t="str">
        <f>IFERROR(__xludf.DUMMYFUNCTION("""COMPUTED_VALUE"""),"Uncle Sams Cider (11/12/2021) 02")</f>
        <v>Uncle Sams Cider (11/12/2021) 02</v>
      </c>
      <c r="H6" s="19"/>
    </row>
    <row r="7">
      <c r="A7" s="23" t="str">
        <f>D1</f>
        <v>SG</v>
      </c>
      <c r="B7" s="24"/>
      <c r="C7" s="9">
        <f>IFERROR(__xludf.DUMMYFUNCTION("""COMPUTED_VALUE"""),44605.4880239583)</f>
        <v>44605.48802</v>
      </c>
      <c r="D7" s="15">
        <f>IFERROR(__xludf.DUMMYFUNCTION("""COMPUTED_VALUE"""),1.004)</f>
        <v>1.004</v>
      </c>
      <c r="E7" s="16">
        <f>IFERROR(__xludf.DUMMYFUNCTION("""COMPUTED_VALUE"""),63.0)</f>
        <v>63</v>
      </c>
      <c r="F7" s="19" t="str">
        <f>IFERROR(__xludf.DUMMYFUNCTION("""COMPUTED_VALUE"""),"BLACK")</f>
        <v>BLACK</v>
      </c>
      <c r="G7" s="20" t="str">
        <f>IFERROR(__xludf.DUMMYFUNCTION("""COMPUTED_VALUE"""),"Uncle Sams Cider (11/12/2021) 02")</f>
        <v>Uncle Sams Cider (11/12/2021) 02</v>
      </c>
      <c r="H7" s="19"/>
    </row>
    <row r="8">
      <c r="A8" s="25" t="s">
        <v>9</v>
      </c>
      <c r="B8" s="26">
        <f>D2</f>
        <v>1.004</v>
      </c>
      <c r="C8" s="9">
        <f>IFERROR(__xludf.DUMMYFUNCTION("""COMPUTED_VALUE"""),44605.477605625)</f>
        <v>44605.47761</v>
      </c>
      <c r="D8" s="15">
        <f>IFERROR(__xludf.DUMMYFUNCTION("""COMPUTED_VALUE"""),1.004)</f>
        <v>1.004</v>
      </c>
      <c r="E8" s="16">
        <f>IFERROR(__xludf.DUMMYFUNCTION("""COMPUTED_VALUE"""),63.0)</f>
        <v>63</v>
      </c>
      <c r="F8" s="19" t="str">
        <f>IFERROR(__xludf.DUMMYFUNCTION("""COMPUTED_VALUE"""),"BLACK")</f>
        <v>BLACK</v>
      </c>
      <c r="G8" s="20" t="str">
        <f>IFERROR(__xludf.DUMMYFUNCTION("""COMPUTED_VALUE"""),"Uncle Sams Cider (11/12/2021) 02")</f>
        <v>Uncle Sams Cider (11/12/2021) 02</v>
      </c>
      <c r="H8" s="19"/>
    </row>
    <row r="9">
      <c r="A9" s="27" t="s">
        <v>10</v>
      </c>
      <c r="B9" s="26">
        <f>indirect("D"&amp; counta(D:D))</f>
        <v>1.109</v>
      </c>
      <c r="C9" s="9">
        <f>IFERROR(__xludf.DUMMYFUNCTION("""COMPUTED_VALUE"""),44605.467185405)</f>
        <v>44605.46719</v>
      </c>
      <c r="D9" s="15">
        <f>IFERROR(__xludf.DUMMYFUNCTION("""COMPUTED_VALUE"""),1.004)</f>
        <v>1.004</v>
      </c>
      <c r="E9" s="16">
        <f>IFERROR(__xludf.DUMMYFUNCTION("""COMPUTED_VALUE"""),63.0)</f>
        <v>63</v>
      </c>
      <c r="F9" s="19" t="str">
        <f>IFERROR(__xludf.DUMMYFUNCTION("""COMPUTED_VALUE"""),"BLACK")</f>
        <v>BLACK</v>
      </c>
      <c r="G9" s="20" t="str">
        <f>IFERROR(__xludf.DUMMYFUNCTION("""COMPUTED_VALUE"""),"Uncle Sams Cider (11/12/2021) 02")</f>
        <v>Uncle Sams Cider (11/12/2021) 02</v>
      </c>
      <c r="H9" s="19"/>
    </row>
    <row r="10">
      <c r="A10" s="27" t="s">
        <v>11</v>
      </c>
      <c r="B10" s="26">
        <f>IFERROR(slope(D:D,C:C),"more data needed")</f>
        <v>-0.000778264883</v>
      </c>
      <c r="C10" s="9">
        <f>IFERROR(__xludf.DUMMYFUNCTION("""COMPUTED_VALUE"""),44605.4567634722)</f>
        <v>44605.45676</v>
      </c>
      <c r="D10" s="15">
        <f>IFERROR(__xludf.DUMMYFUNCTION("""COMPUTED_VALUE"""),1.004)</f>
        <v>1.004</v>
      </c>
      <c r="E10" s="16">
        <f>IFERROR(__xludf.DUMMYFUNCTION("""COMPUTED_VALUE"""),63.0)</f>
        <v>63</v>
      </c>
      <c r="F10" s="19" t="str">
        <f>IFERROR(__xludf.DUMMYFUNCTION("""COMPUTED_VALUE"""),"BLACK")</f>
        <v>BLACK</v>
      </c>
      <c r="G10" s="20" t="str">
        <f>IFERROR(__xludf.DUMMYFUNCTION("""COMPUTED_VALUE"""),"Uncle Sams Cider (11/12/2021) 02")</f>
        <v>Uncle Sams Cider (11/12/2021) 02</v>
      </c>
      <c r="H10" s="19"/>
    </row>
    <row r="11">
      <c r="A11" s="25" t="s">
        <v>12</v>
      </c>
      <c r="B11" s="28">
        <f>B3-B2</f>
        <v>92.72409584</v>
      </c>
      <c r="C11" s="9">
        <f>IFERROR(__xludf.DUMMYFUNCTION("""COMPUTED_VALUE"""),44605.4463412152)</f>
        <v>44605.44634</v>
      </c>
      <c r="D11" s="15">
        <f>IFERROR(__xludf.DUMMYFUNCTION("""COMPUTED_VALUE"""),1.004)</f>
        <v>1.004</v>
      </c>
      <c r="E11" s="11">
        <f>IFERROR(__xludf.DUMMYFUNCTION("""COMPUTED_VALUE"""),63.0)</f>
        <v>63</v>
      </c>
      <c r="F11" s="12" t="str">
        <f>IFERROR(__xludf.DUMMYFUNCTION("""COMPUTED_VALUE"""),"BLACK")</f>
        <v>BLACK</v>
      </c>
      <c r="G11" s="29" t="str">
        <f>IFERROR(__xludf.DUMMYFUNCTION("""COMPUTED_VALUE"""),"Uncle Sams Cider (11/12/2021) 02")</f>
        <v>Uncle Sams Cider (11/12/2021) 02</v>
      </c>
      <c r="H11" s="12"/>
    </row>
    <row r="12">
      <c r="A12" s="25" t="s">
        <v>13</v>
      </c>
      <c r="B12" s="26">
        <f>max(D:D)</f>
        <v>1.114</v>
      </c>
      <c r="C12" s="9">
        <f>IFERROR(__xludf.DUMMYFUNCTION("""COMPUTED_VALUE"""),44605.4358971875)</f>
        <v>44605.4359</v>
      </c>
      <c r="D12" s="15">
        <f>IFERROR(__xludf.DUMMYFUNCTION("""COMPUTED_VALUE"""),1.004)</f>
        <v>1.004</v>
      </c>
      <c r="E12" s="11">
        <f>IFERROR(__xludf.DUMMYFUNCTION("""COMPUTED_VALUE"""),63.0)</f>
        <v>63</v>
      </c>
      <c r="F12" s="19" t="str">
        <f>IFERROR(__xludf.DUMMYFUNCTION("""COMPUTED_VALUE"""),"BLACK")</f>
        <v>BLACK</v>
      </c>
      <c r="G12" s="20" t="str">
        <f>IFERROR(__xludf.DUMMYFUNCTION("""COMPUTED_VALUE"""),"Uncle Sams Cider (11/12/2021) 02")</f>
        <v>Uncle Sams Cider (11/12/2021) 02</v>
      </c>
      <c r="H12" s="19"/>
    </row>
    <row r="13">
      <c r="A13" s="30" t="s">
        <v>14</v>
      </c>
      <c r="B13" s="31">
        <f>min(D:D)</f>
        <v>1.003</v>
      </c>
      <c r="C13" s="9">
        <f>IFERROR(__xludf.DUMMYFUNCTION("""COMPUTED_VALUE"""),44605.4254754282)</f>
        <v>44605.42548</v>
      </c>
      <c r="D13" s="15">
        <f>IFERROR(__xludf.DUMMYFUNCTION("""COMPUTED_VALUE"""),1.004)</f>
        <v>1.004</v>
      </c>
      <c r="E13" s="11">
        <f>IFERROR(__xludf.DUMMYFUNCTION("""COMPUTED_VALUE"""),63.0)</f>
        <v>63</v>
      </c>
      <c r="F13" s="19" t="str">
        <f>IFERROR(__xludf.DUMMYFUNCTION("""COMPUTED_VALUE"""),"BLACK")</f>
        <v>BLACK</v>
      </c>
      <c r="G13" s="20" t="str">
        <f>IFERROR(__xludf.DUMMYFUNCTION("""COMPUTED_VALUE"""),"Uncle Sams Cider (11/12/2021) 02")</f>
        <v>Uncle Sams Cider (11/12/2021) 02</v>
      </c>
      <c r="H13" s="19"/>
    </row>
    <row r="14">
      <c r="A14" s="32" t="str">
        <f>E1</f>
        <v>Temp (°F)</v>
      </c>
      <c r="B14" s="24"/>
      <c r="C14" s="9">
        <f>IFERROR(__xludf.DUMMYFUNCTION("""COMPUTED_VALUE"""),44605.4150447569)</f>
        <v>44605.41504</v>
      </c>
      <c r="D14" s="15">
        <f>IFERROR(__xludf.DUMMYFUNCTION("""COMPUTED_VALUE"""),1.004)</f>
        <v>1.004</v>
      </c>
      <c r="E14" s="16">
        <f>IFERROR(__xludf.DUMMYFUNCTION("""COMPUTED_VALUE"""),63.0)</f>
        <v>63</v>
      </c>
      <c r="F14" s="19" t="str">
        <f>IFERROR(__xludf.DUMMYFUNCTION("""COMPUTED_VALUE"""),"BLACK")</f>
        <v>BLACK</v>
      </c>
      <c r="G14" s="20" t="str">
        <f>IFERROR(__xludf.DUMMYFUNCTION("""COMPUTED_VALUE"""),"Uncle Sams Cider (11/12/2021) 02")</f>
        <v>Uncle Sams Cider (11/12/2021) 02</v>
      </c>
      <c r="H14" s="19"/>
    </row>
    <row r="15">
      <c r="A15" s="33" t="s">
        <v>9</v>
      </c>
      <c r="B15" s="34">
        <f>E2</f>
        <v>63</v>
      </c>
      <c r="C15" s="9">
        <f>IFERROR(__xludf.DUMMYFUNCTION("""COMPUTED_VALUE"""),44605.4046120717)</f>
        <v>44605.40461</v>
      </c>
      <c r="D15" s="15">
        <f>IFERROR(__xludf.DUMMYFUNCTION("""COMPUTED_VALUE"""),1.004)</f>
        <v>1.004</v>
      </c>
      <c r="E15" s="16">
        <f>IFERROR(__xludf.DUMMYFUNCTION("""COMPUTED_VALUE"""),63.0)</f>
        <v>63</v>
      </c>
      <c r="F15" s="19" t="str">
        <f>IFERROR(__xludf.DUMMYFUNCTION("""COMPUTED_VALUE"""),"BLACK")</f>
        <v>BLACK</v>
      </c>
      <c r="G15" s="20" t="str">
        <f>IFERROR(__xludf.DUMMYFUNCTION("""COMPUTED_VALUE"""),"Uncle Sams Cider (11/12/2021) 02")</f>
        <v>Uncle Sams Cider (11/12/2021) 02</v>
      </c>
      <c r="H15" s="19"/>
    </row>
    <row r="16">
      <c r="A16" s="25" t="s">
        <v>15</v>
      </c>
      <c r="B16" s="35">
        <f>average(E:E)</f>
        <v>64.87491479</v>
      </c>
      <c r="C16" s="9">
        <f>IFERROR(__xludf.DUMMYFUNCTION("""COMPUTED_VALUE"""),44605.3941909027)</f>
        <v>44605.39419</v>
      </c>
      <c r="D16" s="15">
        <f>IFERROR(__xludf.DUMMYFUNCTION("""COMPUTED_VALUE"""),1.004)</f>
        <v>1.004</v>
      </c>
      <c r="E16" s="16">
        <f>IFERROR(__xludf.DUMMYFUNCTION("""COMPUTED_VALUE"""),63.0)</f>
        <v>63</v>
      </c>
      <c r="F16" s="19" t="str">
        <f>IFERROR(__xludf.DUMMYFUNCTION("""COMPUTED_VALUE"""),"BLACK")</f>
        <v>BLACK</v>
      </c>
      <c r="G16" s="20" t="str">
        <f>IFERROR(__xludf.DUMMYFUNCTION("""COMPUTED_VALUE"""),"Uncle Sams Cider (11/12/2021) 02")</f>
        <v>Uncle Sams Cider (11/12/2021) 02</v>
      </c>
      <c r="H16" s="19"/>
    </row>
    <row r="17">
      <c r="A17" s="25" t="s">
        <v>12</v>
      </c>
      <c r="B17" s="28">
        <f>B3-B2</f>
        <v>92.72409584</v>
      </c>
      <c r="C17" s="9">
        <f>IFERROR(__xludf.DUMMYFUNCTION("""COMPUTED_VALUE"""),44605.3837682523)</f>
        <v>44605.38377</v>
      </c>
      <c r="D17" s="15">
        <f>IFERROR(__xludf.DUMMYFUNCTION("""COMPUTED_VALUE"""),1.004)</f>
        <v>1.004</v>
      </c>
      <c r="E17" s="16">
        <f>IFERROR(__xludf.DUMMYFUNCTION("""COMPUTED_VALUE"""),63.0)</f>
        <v>63</v>
      </c>
      <c r="F17" s="19" t="str">
        <f>IFERROR(__xludf.DUMMYFUNCTION("""COMPUTED_VALUE"""),"BLACK")</f>
        <v>BLACK</v>
      </c>
      <c r="G17" s="20" t="str">
        <f>IFERROR(__xludf.DUMMYFUNCTION("""COMPUTED_VALUE"""),"Uncle Sams Cider (11/12/2021) 02")</f>
        <v>Uncle Sams Cider (11/12/2021) 02</v>
      </c>
      <c r="H17" s="19"/>
    </row>
    <row r="18">
      <c r="A18" s="25" t="s">
        <v>13</v>
      </c>
      <c r="B18" s="35">
        <f>max(E:E)</f>
        <v>70</v>
      </c>
      <c r="C18" s="36">
        <f>IFERROR(__xludf.DUMMYFUNCTION("""COMPUTED_VALUE"""),44605.3733358449)</f>
        <v>44605.37334</v>
      </c>
      <c r="D18" s="15">
        <f>IFERROR(__xludf.DUMMYFUNCTION("""COMPUTED_VALUE"""),1.004)</f>
        <v>1.004</v>
      </c>
      <c r="E18" s="16">
        <f>IFERROR(__xludf.DUMMYFUNCTION("""COMPUTED_VALUE"""),63.0)</f>
        <v>63</v>
      </c>
      <c r="F18" s="19" t="str">
        <f>IFERROR(__xludf.DUMMYFUNCTION("""COMPUTED_VALUE"""),"BLACK")</f>
        <v>BLACK</v>
      </c>
      <c r="G18" s="20" t="str">
        <f>IFERROR(__xludf.DUMMYFUNCTION("""COMPUTED_VALUE"""),"Uncle Sams Cider (11/12/2021) 02")</f>
        <v>Uncle Sams Cider (11/12/2021) 02</v>
      </c>
      <c r="H18" s="19"/>
    </row>
    <row r="19">
      <c r="A19" s="30" t="s">
        <v>14</v>
      </c>
      <c r="B19" s="37">
        <f>min(E:E)</f>
        <v>63</v>
      </c>
      <c r="C19" s="9">
        <f>IFERROR(__xludf.DUMMYFUNCTION("""COMPUTED_VALUE"""),44605.3629151851)</f>
        <v>44605.36292</v>
      </c>
      <c r="D19" s="15">
        <f>IFERROR(__xludf.DUMMYFUNCTION("""COMPUTED_VALUE"""),1.004)</f>
        <v>1.004</v>
      </c>
      <c r="E19" s="16">
        <f>IFERROR(__xludf.DUMMYFUNCTION("""COMPUTED_VALUE"""),63.0)</f>
        <v>63</v>
      </c>
      <c r="F19" s="19" t="str">
        <f>IFERROR(__xludf.DUMMYFUNCTION("""COMPUTED_VALUE"""),"BLACK")</f>
        <v>BLACK</v>
      </c>
      <c r="G19" s="20" t="str">
        <f>IFERROR(__xludf.DUMMYFUNCTION("""COMPUTED_VALUE"""),"Uncle Sams Cider (11/12/2021) 02")</f>
        <v>Uncle Sams Cider (11/12/2021) 02</v>
      </c>
      <c r="H19" s="19"/>
    </row>
    <row r="20">
      <c r="A20" s="38" t="s">
        <v>16</v>
      </c>
      <c r="B20" s="39"/>
      <c r="C20" s="9">
        <f>IFERROR(__xludf.DUMMYFUNCTION("""COMPUTED_VALUE"""),44605.3524915162)</f>
        <v>44605.35249</v>
      </c>
      <c r="D20" s="15">
        <f>IFERROR(__xludf.DUMMYFUNCTION("""COMPUTED_VALUE"""),1.004)</f>
        <v>1.004</v>
      </c>
      <c r="E20" s="16">
        <f>IFERROR(__xludf.DUMMYFUNCTION("""COMPUTED_VALUE"""),63.0)</f>
        <v>63</v>
      </c>
      <c r="F20" s="19" t="str">
        <f>IFERROR(__xludf.DUMMYFUNCTION("""COMPUTED_VALUE"""),"BLACK")</f>
        <v>BLACK</v>
      </c>
      <c r="G20" s="20" t="str">
        <f>IFERROR(__xludf.DUMMYFUNCTION("""COMPUTED_VALUE"""),"Uncle Sams Cider (11/12/2021) 02")</f>
        <v>Uncle Sams Cider (11/12/2021) 02</v>
      </c>
      <c r="H20" s="19"/>
    </row>
    <row r="21">
      <c r="A21" s="40" t="s">
        <v>17</v>
      </c>
      <c r="B21" s="41">
        <f>IF(D1="SG",(B9-B8)/(B9-1),(B9-B8)/(B9))
</f>
        <v>0.9633027523</v>
      </c>
      <c r="C21" s="9">
        <f>IFERROR(__xludf.DUMMYFUNCTION("""COMPUTED_VALUE"""),44605.3420710763)</f>
        <v>44605.34207</v>
      </c>
      <c r="D21" s="15">
        <f>IFERROR(__xludf.DUMMYFUNCTION("""COMPUTED_VALUE"""),1.003)</f>
        <v>1.003</v>
      </c>
      <c r="E21" s="16">
        <f>IFERROR(__xludf.DUMMYFUNCTION("""COMPUTED_VALUE"""),63.0)</f>
        <v>63</v>
      </c>
      <c r="F21" s="19" t="str">
        <f>IFERROR(__xludf.DUMMYFUNCTION("""COMPUTED_VALUE"""),"BLACK")</f>
        <v>BLACK</v>
      </c>
      <c r="G21" s="20" t="str">
        <f>IFERROR(__xludf.DUMMYFUNCTION("""COMPUTED_VALUE"""),"Uncle Sams Cider (11/12/2021) 02")</f>
        <v>Uncle Sams Cider (11/12/2021) 02</v>
      </c>
      <c r="H21" s="19"/>
    </row>
    <row r="22">
      <c r="A22" s="42" t="s">
        <v>18</v>
      </c>
      <c r="B22" s="43">
        <f>IFS(A22="Standard Method ABV:",IF(B6="SG",(B9-B8)*1.3125,((1+(B9/(258.6-((B9/258.2)*227.1))))-(1+(B8/(258.6-((B8/258.2)*227.1)))))*1.3125),A22="Alternate Method ABV:",IF(B6="SG",(76.08*(B9-B8)/(1.775-B9))*(B8/0.794)/100,"Must use SG"),A22="UK HMRC Method ABV:",IF(B6="SG",IFS(B9-B8&lt;=0.0069,(B9-B8)*1.25,B9-B8&lt;=0.0104,(B9-B8)*1.26,B9-B8&lt;=0.0172,(B9-B8)*1.27,B9-B8&lt;=0.0261,(B9-B8)*1.28,B9-B8&lt;=0.036,(B9-B8)*1.29,B9-B8&lt;=0.0465,(B9-B8)*1.3,B9-B8&lt;=0.0571,(B9-B8)*1.31,B9-B8&lt;=0.0679,(B9-B8)*1.32,B9-B8&lt;=0.0788,(B9-B8)*1.33,B9-B8&lt;=0.0897,(B9-B8)*1.34,B9-B8&lt;=0.1007,(B9-B8)*1.35),"Must use SG"),A22="Wine Method ABV:",IF(B6="SG",(B9-B8)/7.36*1000/100,"Must use SG"))</f>
        <v>0.1378125</v>
      </c>
      <c r="C22" s="9">
        <f>IFERROR(__xludf.DUMMYFUNCTION("""COMPUTED_VALUE"""),44605.3316511111)</f>
        <v>44605.33165</v>
      </c>
      <c r="D22" s="15">
        <f>IFERROR(__xludf.DUMMYFUNCTION("""COMPUTED_VALUE"""),1.004)</f>
        <v>1.004</v>
      </c>
      <c r="E22" s="16">
        <f>IFERROR(__xludf.DUMMYFUNCTION("""COMPUTED_VALUE"""),63.0)</f>
        <v>63</v>
      </c>
      <c r="F22" s="19" t="str">
        <f>IFERROR(__xludf.DUMMYFUNCTION("""COMPUTED_VALUE"""),"BLACK")</f>
        <v>BLACK</v>
      </c>
      <c r="G22" s="20" t="str">
        <f>IFERROR(__xludf.DUMMYFUNCTION("""COMPUTED_VALUE"""),"Uncle Sams Cider (11/12/2021) 02")</f>
        <v>Uncle Sams Cider (11/12/2021) 02</v>
      </c>
      <c r="H22" s="19"/>
    </row>
    <row r="23">
      <c r="A23" s="44" t="str">
        <f>"Days at Current "&amp;A7&amp;":"</f>
        <v>Days at Current SG:</v>
      </c>
      <c r="B23" s="45">
        <f>maxifs(C:C,D:D,B8)-minifs(C:C,D:D,B8)</f>
        <v>17.35567206</v>
      </c>
      <c r="C23" s="9">
        <f>IFERROR(__xludf.DUMMYFUNCTION("""COMPUTED_VALUE"""),44605.3211705324)</f>
        <v>44605.32117</v>
      </c>
      <c r="D23" s="15">
        <f>IFERROR(__xludf.DUMMYFUNCTION("""COMPUTED_VALUE"""),1.004)</f>
        <v>1.004</v>
      </c>
      <c r="E23" s="16">
        <f>IFERROR(__xludf.DUMMYFUNCTION("""COMPUTED_VALUE"""),63.0)</f>
        <v>63</v>
      </c>
      <c r="F23" s="19" t="str">
        <f>IFERROR(__xludf.DUMMYFUNCTION("""COMPUTED_VALUE"""),"BLACK")</f>
        <v>BLACK</v>
      </c>
      <c r="G23" s="20" t="str">
        <f>IFERROR(__xludf.DUMMYFUNCTION("""COMPUTED_VALUE"""),"Uncle Sams Cider (11/12/2021) 02")</f>
        <v>Uncle Sams Cider (11/12/2021) 02</v>
      </c>
      <c r="H23" s="19"/>
    </row>
    <row r="24">
      <c r="A24" s="9"/>
      <c r="B24" s="15"/>
      <c r="C24" s="9">
        <f>IFERROR(__xludf.DUMMYFUNCTION("""COMPUTED_VALUE"""),44605.3107477777)</f>
        <v>44605.31075</v>
      </c>
      <c r="D24" s="15">
        <f>IFERROR(__xludf.DUMMYFUNCTION("""COMPUTED_VALUE"""),1.003)</f>
        <v>1.003</v>
      </c>
      <c r="E24" s="16">
        <f>IFERROR(__xludf.DUMMYFUNCTION("""COMPUTED_VALUE"""),63.0)</f>
        <v>63</v>
      </c>
      <c r="F24" s="19" t="str">
        <f>IFERROR(__xludf.DUMMYFUNCTION("""COMPUTED_VALUE"""),"BLACK")</f>
        <v>BLACK</v>
      </c>
      <c r="G24" s="20" t="str">
        <f>IFERROR(__xludf.DUMMYFUNCTION("""COMPUTED_VALUE"""),"Uncle Sams Cider (11/12/2021) 02")</f>
        <v>Uncle Sams Cider (11/12/2021) 02</v>
      </c>
      <c r="H24" s="19"/>
    </row>
    <row r="25">
      <c r="A25" s="9"/>
      <c r="B25" s="15"/>
      <c r="C25" s="9">
        <f>IFERROR(__xludf.DUMMYFUNCTION("""COMPUTED_VALUE"""),44605.3003258449)</f>
        <v>44605.30033</v>
      </c>
      <c r="D25" s="15">
        <f>IFERROR(__xludf.DUMMYFUNCTION("""COMPUTED_VALUE"""),1.004)</f>
        <v>1.004</v>
      </c>
      <c r="E25" s="16">
        <f>IFERROR(__xludf.DUMMYFUNCTION("""COMPUTED_VALUE"""),63.0)</f>
        <v>63</v>
      </c>
      <c r="F25" s="19" t="str">
        <f>IFERROR(__xludf.DUMMYFUNCTION("""COMPUTED_VALUE"""),"BLACK")</f>
        <v>BLACK</v>
      </c>
      <c r="G25" s="20" t="str">
        <f>IFERROR(__xludf.DUMMYFUNCTION("""COMPUTED_VALUE"""),"Uncle Sams Cider (11/12/2021) 02")</f>
        <v>Uncle Sams Cider (11/12/2021) 02</v>
      </c>
      <c r="H25" s="19"/>
    </row>
    <row r="26">
      <c r="A26" s="9"/>
      <c r="B26" s="15"/>
      <c r="C26" s="9">
        <f>IFERROR(__xludf.DUMMYFUNCTION("""COMPUTED_VALUE"""),44605.2898702893)</f>
        <v>44605.28987</v>
      </c>
      <c r="D26" s="15">
        <f>IFERROR(__xludf.DUMMYFUNCTION("""COMPUTED_VALUE"""),1.003)</f>
        <v>1.003</v>
      </c>
      <c r="E26" s="16">
        <f>IFERROR(__xludf.DUMMYFUNCTION("""COMPUTED_VALUE"""),63.0)</f>
        <v>63</v>
      </c>
      <c r="F26" s="19" t="str">
        <f>IFERROR(__xludf.DUMMYFUNCTION("""COMPUTED_VALUE"""),"BLACK")</f>
        <v>BLACK</v>
      </c>
      <c r="G26" s="20" t="str">
        <f>IFERROR(__xludf.DUMMYFUNCTION("""COMPUTED_VALUE"""),"Uncle Sams Cider (11/12/2021) 02")</f>
        <v>Uncle Sams Cider (11/12/2021) 02</v>
      </c>
      <c r="H26" s="19"/>
    </row>
    <row r="27">
      <c r="A27" s="9"/>
      <c r="B27" s="15"/>
      <c r="C27" s="9">
        <f>IFERROR(__xludf.DUMMYFUNCTION("""COMPUTED_VALUE"""),44605.2794500231)</f>
        <v>44605.27945</v>
      </c>
      <c r="D27" s="15">
        <f>IFERROR(__xludf.DUMMYFUNCTION("""COMPUTED_VALUE"""),1.003)</f>
        <v>1.003</v>
      </c>
      <c r="E27" s="16">
        <f>IFERROR(__xludf.DUMMYFUNCTION("""COMPUTED_VALUE"""),63.0)</f>
        <v>63</v>
      </c>
      <c r="F27" s="19" t="str">
        <f>IFERROR(__xludf.DUMMYFUNCTION("""COMPUTED_VALUE"""),"BLACK")</f>
        <v>BLACK</v>
      </c>
      <c r="G27" s="20" t="str">
        <f>IFERROR(__xludf.DUMMYFUNCTION("""COMPUTED_VALUE"""),"Uncle Sams Cider (11/12/2021) 02")</f>
        <v>Uncle Sams Cider (11/12/2021) 02</v>
      </c>
      <c r="H27" s="19"/>
    </row>
    <row r="28">
      <c r="A28" s="9"/>
      <c r="B28" s="15"/>
      <c r="C28" s="9">
        <f>IFERROR(__xludf.DUMMYFUNCTION("""COMPUTED_VALUE"""),44605.2690285185)</f>
        <v>44605.26903</v>
      </c>
      <c r="D28" s="15">
        <f>IFERROR(__xludf.DUMMYFUNCTION("""COMPUTED_VALUE"""),1.004)</f>
        <v>1.004</v>
      </c>
      <c r="E28" s="16">
        <f>IFERROR(__xludf.DUMMYFUNCTION("""COMPUTED_VALUE"""),63.0)</f>
        <v>63</v>
      </c>
      <c r="F28" s="19" t="str">
        <f>IFERROR(__xludf.DUMMYFUNCTION("""COMPUTED_VALUE"""),"BLACK")</f>
        <v>BLACK</v>
      </c>
      <c r="G28" s="20" t="str">
        <f>IFERROR(__xludf.DUMMYFUNCTION("""COMPUTED_VALUE"""),"Uncle Sams Cider (11/12/2021) 02")</f>
        <v>Uncle Sams Cider (11/12/2021) 02</v>
      </c>
      <c r="H28" s="19"/>
    </row>
    <row r="29">
      <c r="A29" s="9"/>
      <c r="B29" s="15"/>
      <c r="C29" s="9">
        <f>IFERROR(__xludf.DUMMYFUNCTION("""COMPUTED_VALUE"""),44605.2586063657)</f>
        <v>44605.25861</v>
      </c>
      <c r="D29" s="15">
        <f>IFERROR(__xludf.DUMMYFUNCTION("""COMPUTED_VALUE"""),1.003)</f>
        <v>1.003</v>
      </c>
      <c r="E29" s="16">
        <f>IFERROR(__xludf.DUMMYFUNCTION("""COMPUTED_VALUE"""),63.0)</f>
        <v>63</v>
      </c>
      <c r="F29" s="19" t="str">
        <f>IFERROR(__xludf.DUMMYFUNCTION("""COMPUTED_VALUE"""),"BLACK")</f>
        <v>BLACK</v>
      </c>
      <c r="G29" s="20" t="str">
        <f>IFERROR(__xludf.DUMMYFUNCTION("""COMPUTED_VALUE"""),"Uncle Sams Cider (11/12/2021) 02")</f>
        <v>Uncle Sams Cider (11/12/2021) 02</v>
      </c>
      <c r="H29" s="19"/>
    </row>
    <row r="30">
      <c r="A30" s="9"/>
      <c r="B30" s="15"/>
      <c r="C30" s="9">
        <f>IFERROR(__xludf.DUMMYFUNCTION("""COMPUTED_VALUE"""),44605.2481857754)</f>
        <v>44605.24819</v>
      </c>
      <c r="D30" s="15">
        <f>IFERROR(__xludf.DUMMYFUNCTION("""COMPUTED_VALUE"""),1.004)</f>
        <v>1.004</v>
      </c>
      <c r="E30" s="16">
        <f>IFERROR(__xludf.DUMMYFUNCTION("""COMPUTED_VALUE"""),63.0)</f>
        <v>63</v>
      </c>
      <c r="F30" s="19" t="str">
        <f>IFERROR(__xludf.DUMMYFUNCTION("""COMPUTED_VALUE"""),"BLACK")</f>
        <v>BLACK</v>
      </c>
      <c r="G30" s="20" t="str">
        <f>IFERROR(__xludf.DUMMYFUNCTION("""COMPUTED_VALUE"""),"Uncle Sams Cider (11/12/2021) 02")</f>
        <v>Uncle Sams Cider (11/12/2021) 02</v>
      </c>
      <c r="H30" s="19"/>
    </row>
    <row r="31">
      <c r="A31" s="9"/>
      <c r="B31" s="15"/>
      <c r="C31" s="9">
        <f>IFERROR(__xludf.DUMMYFUNCTION("""COMPUTED_VALUE"""),44605.2377645254)</f>
        <v>44605.23776</v>
      </c>
      <c r="D31" s="15">
        <f>IFERROR(__xludf.DUMMYFUNCTION("""COMPUTED_VALUE"""),1.004)</f>
        <v>1.004</v>
      </c>
      <c r="E31" s="16">
        <f>IFERROR(__xludf.DUMMYFUNCTION("""COMPUTED_VALUE"""),63.0)</f>
        <v>63</v>
      </c>
      <c r="F31" s="19" t="str">
        <f>IFERROR(__xludf.DUMMYFUNCTION("""COMPUTED_VALUE"""),"BLACK")</f>
        <v>BLACK</v>
      </c>
      <c r="G31" s="20" t="str">
        <f>IFERROR(__xludf.DUMMYFUNCTION("""COMPUTED_VALUE"""),"Uncle Sams Cider (11/12/2021) 02")</f>
        <v>Uncle Sams Cider (11/12/2021) 02</v>
      </c>
      <c r="H31" s="19"/>
    </row>
    <row r="32">
      <c r="A32" s="9"/>
      <c r="B32" s="15"/>
      <c r="C32" s="9">
        <f>IFERROR(__xludf.DUMMYFUNCTION("""COMPUTED_VALUE"""),44605.2273438541)</f>
        <v>44605.22734</v>
      </c>
      <c r="D32" s="15">
        <f>IFERROR(__xludf.DUMMYFUNCTION("""COMPUTED_VALUE"""),1.004)</f>
        <v>1.004</v>
      </c>
      <c r="E32" s="16">
        <f>IFERROR(__xludf.DUMMYFUNCTION("""COMPUTED_VALUE"""),63.0)</f>
        <v>63</v>
      </c>
      <c r="F32" s="19" t="str">
        <f>IFERROR(__xludf.DUMMYFUNCTION("""COMPUTED_VALUE"""),"BLACK")</f>
        <v>BLACK</v>
      </c>
      <c r="G32" s="20" t="str">
        <f>IFERROR(__xludf.DUMMYFUNCTION("""COMPUTED_VALUE"""),"Uncle Sams Cider (11/12/2021) 02")</f>
        <v>Uncle Sams Cider (11/12/2021) 02</v>
      </c>
      <c r="H32" s="19"/>
    </row>
    <row r="33">
      <c r="A33" s="9"/>
      <c r="B33" s="15"/>
      <c r="C33" s="9">
        <f>IFERROR(__xludf.DUMMYFUNCTION("""COMPUTED_VALUE"""),44605.2169220138)</f>
        <v>44605.21692</v>
      </c>
      <c r="D33" s="15">
        <f>IFERROR(__xludf.DUMMYFUNCTION("""COMPUTED_VALUE"""),1.004)</f>
        <v>1.004</v>
      </c>
      <c r="E33" s="16">
        <f>IFERROR(__xludf.DUMMYFUNCTION("""COMPUTED_VALUE"""),63.0)</f>
        <v>63</v>
      </c>
      <c r="F33" s="19" t="str">
        <f>IFERROR(__xludf.DUMMYFUNCTION("""COMPUTED_VALUE"""),"BLACK")</f>
        <v>BLACK</v>
      </c>
      <c r="G33" s="20" t="str">
        <f>IFERROR(__xludf.DUMMYFUNCTION("""COMPUTED_VALUE"""),"Uncle Sams Cider (11/12/2021) 02")</f>
        <v>Uncle Sams Cider (11/12/2021) 02</v>
      </c>
      <c r="H33" s="19"/>
    </row>
    <row r="34">
      <c r="A34" s="9"/>
      <c r="B34" s="15"/>
      <c r="C34" s="9">
        <f>IFERROR(__xludf.DUMMYFUNCTION("""COMPUTED_VALUE"""),44605.2065026851)</f>
        <v>44605.2065</v>
      </c>
      <c r="D34" s="15">
        <f>IFERROR(__xludf.DUMMYFUNCTION("""COMPUTED_VALUE"""),1.004)</f>
        <v>1.004</v>
      </c>
      <c r="E34" s="16">
        <f>IFERROR(__xludf.DUMMYFUNCTION("""COMPUTED_VALUE"""),63.0)</f>
        <v>63</v>
      </c>
      <c r="F34" s="19" t="str">
        <f>IFERROR(__xludf.DUMMYFUNCTION("""COMPUTED_VALUE"""),"BLACK")</f>
        <v>BLACK</v>
      </c>
      <c r="G34" s="20" t="str">
        <f>IFERROR(__xludf.DUMMYFUNCTION("""COMPUTED_VALUE"""),"Uncle Sams Cider (11/12/2021) 02")</f>
        <v>Uncle Sams Cider (11/12/2021) 02</v>
      </c>
      <c r="H34" s="19"/>
    </row>
    <row r="35">
      <c r="A35" s="9"/>
      <c r="B35" s="15"/>
      <c r="C35" s="9">
        <f>IFERROR(__xludf.DUMMYFUNCTION("""COMPUTED_VALUE"""),44605.1960352893)</f>
        <v>44605.19604</v>
      </c>
      <c r="D35" s="15">
        <f>IFERROR(__xludf.DUMMYFUNCTION("""COMPUTED_VALUE"""),1.004)</f>
        <v>1.004</v>
      </c>
      <c r="E35" s="16">
        <f>IFERROR(__xludf.DUMMYFUNCTION("""COMPUTED_VALUE"""),63.0)</f>
        <v>63</v>
      </c>
      <c r="F35" s="19" t="str">
        <f>IFERROR(__xludf.DUMMYFUNCTION("""COMPUTED_VALUE"""),"BLACK")</f>
        <v>BLACK</v>
      </c>
      <c r="G35" s="20" t="str">
        <f>IFERROR(__xludf.DUMMYFUNCTION("""COMPUTED_VALUE"""),"Uncle Sams Cider (11/12/2021) 02")</f>
        <v>Uncle Sams Cider (11/12/2021) 02</v>
      </c>
      <c r="H35" s="19"/>
    </row>
    <row r="36">
      <c r="A36" s="9"/>
      <c r="B36" s="15"/>
      <c r="C36" s="9">
        <f>IFERROR(__xludf.DUMMYFUNCTION("""COMPUTED_VALUE"""),44605.1856129629)</f>
        <v>44605.18561</v>
      </c>
      <c r="D36" s="15">
        <f>IFERROR(__xludf.DUMMYFUNCTION("""COMPUTED_VALUE"""),1.004)</f>
        <v>1.004</v>
      </c>
      <c r="E36" s="16">
        <f>IFERROR(__xludf.DUMMYFUNCTION("""COMPUTED_VALUE"""),63.0)</f>
        <v>63</v>
      </c>
      <c r="F36" s="19" t="str">
        <f>IFERROR(__xludf.DUMMYFUNCTION("""COMPUTED_VALUE"""),"BLACK")</f>
        <v>BLACK</v>
      </c>
      <c r="G36" s="20" t="str">
        <f>IFERROR(__xludf.DUMMYFUNCTION("""COMPUTED_VALUE"""),"Uncle Sams Cider (11/12/2021) 02")</f>
        <v>Uncle Sams Cider (11/12/2021) 02</v>
      </c>
      <c r="H36" s="19"/>
    </row>
    <row r="37">
      <c r="A37" s="9"/>
      <c r="B37" s="15"/>
      <c r="C37" s="9">
        <f>IFERROR(__xludf.DUMMYFUNCTION("""COMPUTED_VALUE"""),44605.1751926967)</f>
        <v>44605.17519</v>
      </c>
      <c r="D37" s="15">
        <f>IFERROR(__xludf.DUMMYFUNCTION("""COMPUTED_VALUE"""),1.004)</f>
        <v>1.004</v>
      </c>
      <c r="E37" s="16">
        <f>IFERROR(__xludf.DUMMYFUNCTION("""COMPUTED_VALUE"""),63.0)</f>
        <v>63</v>
      </c>
      <c r="F37" s="19" t="str">
        <f>IFERROR(__xludf.DUMMYFUNCTION("""COMPUTED_VALUE"""),"BLACK")</f>
        <v>BLACK</v>
      </c>
      <c r="G37" s="20" t="str">
        <f>IFERROR(__xludf.DUMMYFUNCTION("""COMPUTED_VALUE"""),"Uncle Sams Cider (11/12/2021) 02")</f>
        <v>Uncle Sams Cider (11/12/2021) 02</v>
      </c>
      <c r="H37" s="19"/>
    </row>
    <row r="38">
      <c r="A38" s="9"/>
      <c r="B38" s="15"/>
      <c r="C38" s="9">
        <f>IFERROR(__xludf.DUMMYFUNCTION("""COMPUTED_VALUE"""),44605.1647619212)</f>
        <v>44605.16476</v>
      </c>
      <c r="D38" s="15">
        <f>IFERROR(__xludf.DUMMYFUNCTION("""COMPUTED_VALUE"""),1.004)</f>
        <v>1.004</v>
      </c>
      <c r="E38" s="16">
        <f>IFERROR(__xludf.DUMMYFUNCTION("""COMPUTED_VALUE"""),63.0)</f>
        <v>63</v>
      </c>
      <c r="F38" s="19" t="str">
        <f>IFERROR(__xludf.DUMMYFUNCTION("""COMPUTED_VALUE"""),"BLACK")</f>
        <v>BLACK</v>
      </c>
      <c r="G38" s="20" t="str">
        <f>IFERROR(__xludf.DUMMYFUNCTION("""COMPUTED_VALUE"""),"Uncle Sams Cider (11/12/2021) 02")</f>
        <v>Uncle Sams Cider (11/12/2021) 02</v>
      </c>
      <c r="H38" s="19"/>
    </row>
    <row r="39">
      <c r="A39" s="9"/>
      <c r="B39" s="15"/>
      <c r="C39" s="9">
        <f>IFERROR(__xludf.DUMMYFUNCTION("""COMPUTED_VALUE"""),44605.1543300462)</f>
        <v>44605.15433</v>
      </c>
      <c r="D39" s="15">
        <f>IFERROR(__xludf.DUMMYFUNCTION("""COMPUTED_VALUE"""),1.004)</f>
        <v>1.004</v>
      </c>
      <c r="E39" s="16">
        <f>IFERROR(__xludf.DUMMYFUNCTION("""COMPUTED_VALUE"""),63.0)</f>
        <v>63</v>
      </c>
      <c r="F39" s="19" t="str">
        <f>IFERROR(__xludf.DUMMYFUNCTION("""COMPUTED_VALUE"""),"BLACK")</f>
        <v>BLACK</v>
      </c>
      <c r="G39" s="20" t="str">
        <f>IFERROR(__xludf.DUMMYFUNCTION("""COMPUTED_VALUE"""),"Uncle Sams Cider (11/12/2021) 02")</f>
        <v>Uncle Sams Cider (11/12/2021) 02</v>
      </c>
      <c r="H39" s="19"/>
    </row>
    <row r="40">
      <c r="A40" s="9"/>
      <c r="B40" s="15"/>
      <c r="C40" s="9">
        <f>IFERROR(__xludf.DUMMYFUNCTION("""COMPUTED_VALUE"""),44605.1439083564)</f>
        <v>44605.14391</v>
      </c>
      <c r="D40" s="15">
        <f>IFERROR(__xludf.DUMMYFUNCTION("""COMPUTED_VALUE"""),1.004)</f>
        <v>1.004</v>
      </c>
      <c r="E40" s="16">
        <f>IFERROR(__xludf.DUMMYFUNCTION("""COMPUTED_VALUE"""),63.0)</f>
        <v>63</v>
      </c>
      <c r="F40" s="19" t="str">
        <f>IFERROR(__xludf.DUMMYFUNCTION("""COMPUTED_VALUE"""),"BLACK")</f>
        <v>BLACK</v>
      </c>
      <c r="G40" s="20" t="str">
        <f>IFERROR(__xludf.DUMMYFUNCTION("""COMPUTED_VALUE"""),"Uncle Sams Cider (11/12/2021) 02")</f>
        <v>Uncle Sams Cider (11/12/2021) 02</v>
      </c>
      <c r="H40" s="19"/>
    </row>
    <row r="41">
      <c r="A41" s="9"/>
      <c r="B41" s="15"/>
      <c r="C41" s="9">
        <f>IFERROR(__xludf.DUMMYFUNCTION("""COMPUTED_VALUE"""),44605.1334858217)</f>
        <v>44605.13349</v>
      </c>
      <c r="D41" s="15">
        <f>IFERROR(__xludf.DUMMYFUNCTION("""COMPUTED_VALUE"""),1.004)</f>
        <v>1.004</v>
      </c>
      <c r="E41" s="16">
        <f>IFERROR(__xludf.DUMMYFUNCTION("""COMPUTED_VALUE"""),63.0)</f>
        <v>63</v>
      </c>
      <c r="F41" s="19" t="str">
        <f>IFERROR(__xludf.DUMMYFUNCTION("""COMPUTED_VALUE"""),"BLACK")</f>
        <v>BLACK</v>
      </c>
      <c r="G41" s="20" t="str">
        <f>IFERROR(__xludf.DUMMYFUNCTION("""COMPUTED_VALUE"""),"Uncle Sams Cider (11/12/2021) 02")</f>
        <v>Uncle Sams Cider (11/12/2021) 02</v>
      </c>
      <c r="H41" s="19"/>
    </row>
    <row r="42">
      <c r="A42" s="9"/>
      <c r="B42" s="15"/>
      <c r="C42" s="9">
        <f>IFERROR(__xludf.DUMMYFUNCTION("""COMPUTED_VALUE"""),44605.1230657407)</f>
        <v>44605.12307</v>
      </c>
      <c r="D42" s="15">
        <f>IFERROR(__xludf.DUMMYFUNCTION("""COMPUTED_VALUE"""),1.004)</f>
        <v>1.004</v>
      </c>
      <c r="E42" s="16">
        <f>IFERROR(__xludf.DUMMYFUNCTION("""COMPUTED_VALUE"""),63.0)</f>
        <v>63</v>
      </c>
      <c r="F42" s="19" t="str">
        <f>IFERROR(__xludf.DUMMYFUNCTION("""COMPUTED_VALUE"""),"BLACK")</f>
        <v>BLACK</v>
      </c>
      <c r="G42" s="20" t="str">
        <f>IFERROR(__xludf.DUMMYFUNCTION("""COMPUTED_VALUE"""),"Uncle Sams Cider (11/12/2021) 02")</f>
        <v>Uncle Sams Cider (11/12/2021) 02</v>
      </c>
      <c r="H42" s="19"/>
    </row>
    <row r="43">
      <c r="A43" s="9"/>
      <c r="B43" s="15"/>
      <c r="C43" s="9">
        <f>IFERROR(__xludf.DUMMYFUNCTION("""COMPUTED_VALUE"""),44605.1126481481)</f>
        <v>44605.11265</v>
      </c>
      <c r="D43" s="15">
        <f>IFERROR(__xludf.DUMMYFUNCTION("""COMPUTED_VALUE"""),1.004)</f>
        <v>1.004</v>
      </c>
      <c r="E43" s="16">
        <f>IFERROR(__xludf.DUMMYFUNCTION("""COMPUTED_VALUE"""),63.0)</f>
        <v>63</v>
      </c>
      <c r="F43" s="19" t="str">
        <f>IFERROR(__xludf.DUMMYFUNCTION("""COMPUTED_VALUE"""),"BLACK")</f>
        <v>BLACK</v>
      </c>
      <c r="G43" s="20" t="str">
        <f>IFERROR(__xludf.DUMMYFUNCTION("""COMPUTED_VALUE"""),"Uncle Sams Cider (11/12/2021) 02")</f>
        <v>Uncle Sams Cider (11/12/2021) 02</v>
      </c>
      <c r="H43" s="19"/>
    </row>
    <row r="44">
      <c r="A44" s="9"/>
      <c r="B44" s="15"/>
      <c r="C44" s="9">
        <f>IFERROR(__xludf.DUMMYFUNCTION("""COMPUTED_VALUE"""),44605.1022264004)</f>
        <v>44605.10223</v>
      </c>
      <c r="D44" s="15">
        <f>IFERROR(__xludf.DUMMYFUNCTION("""COMPUTED_VALUE"""),1.004)</f>
        <v>1.004</v>
      </c>
      <c r="E44" s="16">
        <f>IFERROR(__xludf.DUMMYFUNCTION("""COMPUTED_VALUE"""),63.0)</f>
        <v>63</v>
      </c>
      <c r="F44" s="19" t="str">
        <f>IFERROR(__xludf.DUMMYFUNCTION("""COMPUTED_VALUE"""),"BLACK")</f>
        <v>BLACK</v>
      </c>
      <c r="G44" s="20" t="str">
        <f>IFERROR(__xludf.DUMMYFUNCTION("""COMPUTED_VALUE"""),"Uncle Sams Cider (11/12/2021) 02")</f>
        <v>Uncle Sams Cider (11/12/2021) 02</v>
      </c>
      <c r="H44" s="19"/>
    </row>
    <row r="45">
      <c r="A45" s="9"/>
      <c r="B45" s="15"/>
      <c r="C45" s="9">
        <f>IFERROR(__xludf.DUMMYFUNCTION("""COMPUTED_VALUE"""),44605.0918041435)</f>
        <v>44605.0918</v>
      </c>
      <c r="D45" s="15">
        <f>IFERROR(__xludf.DUMMYFUNCTION("""COMPUTED_VALUE"""),1.004)</f>
        <v>1.004</v>
      </c>
      <c r="E45" s="16">
        <f>IFERROR(__xludf.DUMMYFUNCTION("""COMPUTED_VALUE"""),63.0)</f>
        <v>63</v>
      </c>
      <c r="F45" s="19" t="str">
        <f>IFERROR(__xludf.DUMMYFUNCTION("""COMPUTED_VALUE"""),"BLACK")</f>
        <v>BLACK</v>
      </c>
      <c r="G45" s="20" t="str">
        <f>IFERROR(__xludf.DUMMYFUNCTION("""COMPUTED_VALUE"""),"Uncle Sams Cider (11/12/2021) 02")</f>
        <v>Uncle Sams Cider (11/12/2021) 02</v>
      </c>
      <c r="H45" s="19"/>
    </row>
    <row r="46">
      <c r="A46" s="9"/>
      <c r="B46" s="15"/>
      <c r="C46" s="9">
        <f>IFERROR(__xludf.DUMMYFUNCTION("""COMPUTED_VALUE"""),44605.0813830324)</f>
        <v>44605.08138</v>
      </c>
      <c r="D46" s="15">
        <f>IFERROR(__xludf.DUMMYFUNCTION("""COMPUTED_VALUE"""),1.004)</f>
        <v>1.004</v>
      </c>
      <c r="E46" s="16">
        <f>IFERROR(__xludf.DUMMYFUNCTION("""COMPUTED_VALUE"""),63.0)</f>
        <v>63</v>
      </c>
      <c r="F46" s="19" t="str">
        <f>IFERROR(__xludf.DUMMYFUNCTION("""COMPUTED_VALUE"""),"BLACK")</f>
        <v>BLACK</v>
      </c>
      <c r="G46" s="20" t="str">
        <f>IFERROR(__xludf.DUMMYFUNCTION("""COMPUTED_VALUE"""),"Uncle Sams Cider (11/12/2021) 02")</f>
        <v>Uncle Sams Cider (11/12/2021) 02</v>
      </c>
      <c r="H46" s="19"/>
    </row>
    <row r="47">
      <c r="A47" s="9"/>
      <c r="B47" s="15"/>
      <c r="C47" s="9">
        <f>IFERROR(__xludf.DUMMYFUNCTION("""COMPUTED_VALUE"""),44605.0709495717)</f>
        <v>44605.07095</v>
      </c>
      <c r="D47" s="15">
        <f>IFERROR(__xludf.DUMMYFUNCTION("""COMPUTED_VALUE"""),1.004)</f>
        <v>1.004</v>
      </c>
      <c r="E47" s="16">
        <f>IFERROR(__xludf.DUMMYFUNCTION("""COMPUTED_VALUE"""),63.0)</f>
        <v>63</v>
      </c>
      <c r="F47" s="19" t="str">
        <f>IFERROR(__xludf.DUMMYFUNCTION("""COMPUTED_VALUE"""),"BLACK")</f>
        <v>BLACK</v>
      </c>
      <c r="G47" s="20" t="str">
        <f>IFERROR(__xludf.DUMMYFUNCTION("""COMPUTED_VALUE"""),"Uncle Sams Cider (11/12/2021) 02")</f>
        <v>Uncle Sams Cider (11/12/2021) 02</v>
      </c>
      <c r="H47" s="19"/>
    </row>
    <row r="48">
      <c r="A48" s="9"/>
      <c r="B48" s="15"/>
      <c r="C48" s="9">
        <f>IFERROR(__xludf.DUMMYFUNCTION("""COMPUTED_VALUE"""),44605.0605295023)</f>
        <v>44605.06053</v>
      </c>
      <c r="D48" s="15">
        <f>IFERROR(__xludf.DUMMYFUNCTION("""COMPUTED_VALUE"""),1.004)</f>
        <v>1.004</v>
      </c>
      <c r="E48" s="16">
        <f>IFERROR(__xludf.DUMMYFUNCTION("""COMPUTED_VALUE"""),63.0)</f>
        <v>63</v>
      </c>
      <c r="F48" s="19" t="str">
        <f>IFERROR(__xludf.DUMMYFUNCTION("""COMPUTED_VALUE"""),"BLACK")</f>
        <v>BLACK</v>
      </c>
      <c r="G48" s="20" t="str">
        <f>IFERROR(__xludf.DUMMYFUNCTION("""COMPUTED_VALUE"""),"Uncle Sams Cider (11/12/2021) 02")</f>
        <v>Uncle Sams Cider (11/12/2021) 02</v>
      </c>
      <c r="H48" s="19"/>
    </row>
    <row r="49">
      <c r="A49" s="9"/>
      <c r="B49" s="15"/>
      <c r="C49" s="9">
        <f>IFERROR(__xludf.DUMMYFUNCTION("""COMPUTED_VALUE"""),44605.0500491435)</f>
        <v>44605.05005</v>
      </c>
      <c r="D49" s="15">
        <f>IFERROR(__xludf.DUMMYFUNCTION("""COMPUTED_VALUE"""),1.004)</f>
        <v>1.004</v>
      </c>
      <c r="E49" s="16">
        <f>IFERROR(__xludf.DUMMYFUNCTION("""COMPUTED_VALUE"""),63.0)</f>
        <v>63</v>
      </c>
      <c r="F49" s="19" t="str">
        <f>IFERROR(__xludf.DUMMYFUNCTION("""COMPUTED_VALUE"""),"BLACK")</f>
        <v>BLACK</v>
      </c>
      <c r="G49" s="20" t="str">
        <f>IFERROR(__xludf.DUMMYFUNCTION("""COMPUTED_VALUE"""),"Uncle Sams Cider (11/12/2021) 02")</f>
        <v>Uncle Sams Cider (11/12/2021) 02</v>
      </c>
      <c r="H49" s="19"/>
    </row>
    <row r="50">
      <c r="A50" s="9"/>
      <c r="B50" s="15"/>
      <c r="C50" s="9">
        <f>IFERROR(__xludf.DUMMYFUNCTION("""COMPUTED_VALUE"""),44605.0396168287)</f>
        <v>44605.03962</v>
      </c>
      <c r="D50" s="15">
        <f>IFERROR(__xludf.DUMMYFUNCTION("""COMPUTED_VALUE"""),1.003)</f>
        <v>1.003</v>
      </c>
      <c r="E50" s="16">
        <f>IFERROR(__xludf.DUMMYFUNCTION("""COMPUTED_VALUE"""),63.0)</f>
        <v>63</v>
      </c>
      <c r="F50" s="19" t="str">
        <f>IFERROR(__xludf.DUMMYFUNCTION("""COMPUTED_VALUE"""),"BLACK")</f>
        <v>BLACK</v>
      </c>
      <c r="G50" s="20" t="str">
        <f>IFERROR(__xludf.DUMMYFUNCTION("""COMPUTED_VALUE"""),"Uncle Sams Cider (11/12/2021) 02")</f>
        <v>Uncle Sams Cider (11/12/2021) 02</v>
      </c>
      <c r="H50" s="19"/>
    </row>
    <row r="51">
      <c r="A51" s="9"/>
      <c r="B51" s="15"/>
      <c r="C51" s="9">
        <f>IFERROR(__xludf.DUMMYFUNCTION("""COMPUTED_VALUE"""),44605.0291970023)</f>
        <v>44605.0292</v>
      </c>
      <c r="D51" s="15">
        <f>IFERROR(__xludf.DUMMYFUNCTION("""COMPUTED_VALUE"""),1.003)</f>
        <v>1.003</v>
      </c>
      <c r="E51" s="16">
        <f>IFERROR(__xludf.DUMMYFUNCTION("""COMPUTED_VALUE"""),63.0)</f>
        <v>63</v>
      </c>
      <c r="F51" s="19" t="str">
        <f>IFERROR(__xludf.DUMMYFUNCTION("""COMPUTED_VALUE"""),"BLACK")</f>
        <v>BLACK</v>
      </c>
      <c r="G51" s="20" t="str">
        <f>IFERROR(__xludf.DUMMYFUNCTION("""COMPUTED_VALUE"""),"Uncle Sams Cider (11/12/2021) 02")</f>
        <v>Uncle Sams Cider (11/12/2021) 02</v>
      </c>
      <c r="H51" s="19"/>
    </row>
    <row r="52">
      <c r="A52" s="9"/>
      <c r="B52" s="15"/>
      <c r="C52" s="9">
        <f>IFERROR(__xludf.DUMMYFUNCTION("""COMPUTED_VALUE"""),44605.0187652083)</f>
        <v>44605.01877</v>
      </c>
      <c r="D52" s="15">
        <f>IFERROR(__xludf.DUMMYFUNCTION("""COMPUTED_VALUE"""),1.004)</f>
        <v>1.004</v>
      </c>
      <c r="E52" s="16">
        <f>IFERROR(__xludf.DUMMYFUNCTION("""COMPUTED_VALUE"""),63.0)</f>
        <v>63</v>
      </c>
      <c r="F52" s="19" t="str">
        <f>IFERROR(__xludf.DUMMYFUNCTION("""COMPUTED_VALUE"""),"BLACK")</f>
        <v>BLACK</v>
      </c>
      <c r="G52" s="20" t="str">
        <f>IFERROR(__xludf.DUMMYFUNCTION("""COMPUTED_VALUE"""),"Uncle Sams Cider (11/12/2021) 02")</f>
        <v>Uncle Sams Cider (11/12/2021) 02</v>
      </c>
      <c r="H52" s="19"/>
    </row>
    <row r="53">
      <c r="A53" s="9"/>
      <c r="B53" s="15"/>
      <c r="C53" s="9">
        <f>IFERROR(__xludf.DUMMYFUNCTION("""COMPUTED_VALUE"""),44605.0083207175)</f>
        <v>44605.00832</v>
      </c>
      <c r="D53" s="15">
        <f>IFERROR(__xludf.DUMMYFUNCTION("""COMPUTED_VALUE"""),1.004)</f>
        <v>1.004</v>
      </c>
      <c r="E53" s="16">
        <f>IFERROR(__xludf.DUMMYFUNCTION("""COMPUTED_VALUE"""),63.0)</f>
        <v>63</v>
      </c>
      <c r="F53" s="19" t="str">
        <f>IFERROR(__xludf.DUMMYFUNCTION("""COMPUTED_VALUE"""),"BLACK")</f>
        <v>BLACK</v>
      </c>
      <c r="G53" s="20" t="str">
        <f>IFERROR(__xludf.DUMMYFUNCTION("""COMPUTED_VALUE"""),"Uncle Sams Cider (11/12/2021) 02")</f>
        <v>Uncle Sams Cider (11/12/2021) 02</v>
      </c>
      <c r="H53" s="19"/>
    </row>
    <row r="54">
      <c r="A54" s="9"/>
      <c r="B54" s="15"/>
      <c r="C54" s="9">
        <f>IFERROR(__xludf.DUMMYFUNCTION("""COMPUTED_VALUE"""),44604.9978992939)</f>
        <v>44604.9979</v>
      </c>
      <c r="D54" s="15">
        <f>IFERROR(__xludf.DUMMYFUNCTION("""COMPUTED_VALUE"""),1.004)</f>
        <v>1.004</v>
      </c>
      <c r="E54" s="16">
        <f>IFERROR(__xludf.DUMMYFUNCTION("""COMPUTED_VALUE"""),63.0)</f>
        <v>63</v>
      </c>
      <c r="F54" s="19" t="str">
        <f>IFERROR(__xludf.DUMMYFUNCTION("""COMPUTED_VALUE"""),"BLACK")</f>
        <v>BLACK</v>
      </c>
      <c r="G54" s="20" t="str">
        <f>IFERROR(__xludf.DUMMYFUNCTION("""COMPUTED_VALUE"""),"Uncle Sams Cider (11/12/2021) 02")</f>
        <v>Uncle Sams Cider (11/12/2021) 02</v>
      </c>
      <c r="H54" s="19"/>
    </row>
    <row r="55">
      <c r="A55" s="9"/>
      <c r="B55" s="15"/>
      <c r="C55" s="9">
        <f>IFERROR(__xludf.DUMMYFUNCTION("""COMPUTED_VALUE"""),44604.987476956)</f>
        <v>44604.98748</v>
      </c>
      <c r="D55" s="15">
        <f>IFERROR(__xludf.DUMMYFUNCTION("""COMPUTED_VALUE"""),1.004)</f>
        <v>1.004</v>
      </c>
      <c r="E55" s="16">
        <f>IFERROR(__xludf.DUMMYFUNCTION("""COMPUTED_VALUE"""),63.0)</f>
        <v>63</v>
      </c>
      <c r="F55" s="19" t="str">
        <f>IFERROR(__xludf.DUMMYFUNCTION("""COMPUTED_VALUE"""),"BLACK")</f>
        <v>BLACK</v>
      </c>
      <c r="G55" s="20" t="str">
        <f>IFERROR(__xludf.DUMMYFUNCTION("""COMPUTED_VALUE"""),"Uncle Sams Cider (11/12/2021) 02")</f>
        <v>Uncle Sams Cider (11/12/2021) 02</v>
      </c>
      <c r="H55" s="19"/>
    </row>
    <row r="56">
      <c r="A56" s="9"/>
      <c r="B56" s="15"/>
      <c r="C56" s="9">
        <f>IFERROR(__xludf.DUMMYFUNCTION("""COMPUTED_VALUE"""),44604.9770559838)</f>
        <v>44604.97706</v>
      </c>
      <c r="D56" s="15">
        <f>IFERROR(__xludf.DUMMYFUNCTION("""COMPUTED_VALUE"""),1.004)</f>
        <v>1.004</v>
      </c>
      <c r="E56" s="16">
        <f>IFERROR(__xludf.DUMMYFUNCTION("""COMPUTED_VALUE"""),63.0)</f>
        <v>63</v>
      </c>
      <c r="F56" s="19" t="str">
        <f>IFERROR(__xludf.DUMMYFUNCTION("""COMPUTED_VALUE"""),"BLACK")</f>
        <v>BLACK</v>
      </c>
      <c r="G56" s="20" t="str">
        <f>IFERROR(__xludf.DUMMYFUNCTION("""COMPUTED_VALUE"""),"Uncle Sams Cider (11/12/2021) 02")</f>
        <v>Uncle Sams Cider (11/12/2021) 02</v>
      </c>
      <c r="H56" s="19"/>
    </row>
    <row r="57">
      <c r="A57" s="9"/>
      <c r="B57" s="15"/>
      <c r="C57" s="9">
        <f>IFERROR(__xludf.DUMMYFUNCTION("""COMPUTED_VALUE"""),44604.9666334722)</f>
        <v>44604.96663</v>
      </c>
      <c r="D57" s="15">
        <f>IFERROR(__xludf.DUMMYFUNCTION("""COMPUTED_VALUE"""),1.004)</f>
        <v>1.004</v>
      </c>
      <c r="E57" s="16">
        <f>IFERROR(__xludf.DUMMYFUNCTION("""COMPUTED_VALUE"""),63.0)</f>
        <v>63</v>
      </c>
      <c r="F57" s="19" t="str">
        <f>IFERROR(__xludf.DUMMYFUNCTION("""COMPUTED_VALUE"""),"BLACK")</f>
        <v>BLACK</v>
      </c>
      <c r="G57" s="20" t="str">
        <f>IFERROR(__xludf.DUMMYFUNCTION("""COMPUTED_VALUE"""),"Uncle Sams Cider (11/12/2021) 02")</f>
        <v>Uncle Sams Cider (11/12/2021) 02</v>
      </c>
      <c r="H57" s="19"/>
    </row>
    <row r="58">
      <c r="A58" s="9"/>
      <c r="B58" s="15"/>
      <c r="C58" s="9">
        <f>IFERROR(__xludf.DUMMYFUNCTION("""COMPUTED_VALUE"""),44604.9562110763)</f>
        <v>44604.95621</v>
      </c>
      <c r="D58" s="15">
        <f>IFERROR(__xludf.DUMMYFUNCTION("""COMPUTED_VALUE"""),1.004)</f>
        <v>1.004</v>
      </c>
      <c r="E58" s="16">
        <f>IFERROR(__xludf.DUMMYFUNCTION("""COMPUTED_VALUE"""),63.0)</f>
        <v>63</v>
      </c>
      <c r="F58" s="19" t="str">
        <f>IFERROR(__xludf.DUMMYFUNCTION("""COMPUTED_VALUE"""),"BLACK")</f>
        <v>BLACK</v>
      </c>
      <c r="G58" s="20" t="str">
        <f>IFERROR(__xludf.DUMMYFUNCTION("""COMPUTED_VALUE"""),"Uncle Sams Cider (11/12/2021) 02")</f>
        <v>Uncle Sams Cider (11/12/2021) 02</v>
      </c>
      <c r="H58" s="19"/>
    </row>
    <row r="59">
      <c r="A59" s="9"/>
      <c r="B59" s="15"/>
      <c r="C59" s="9">
        <f>IFERROR(__xludf.DUMMYFUNCTION("""COMPUTED_VALUE"""),44604.9457775925)</f>
        <v>44604.94578</v>
      </c>
      <c r="D59" s="15">
        <f>IFERROR(__xludf.DUMMYFUNCTION("""COMPUTED_VALUE"""),1.004)</f>
        <v>1.004</v>
      </c>
      <c r="E59" s="16">
        <f>IFERROR(__xludf.DUMMYFUNCTION("""COMPUTED_VALUE"""),63.0)</f>
        <v>63</v>
      </c>
      <c r="F59" s="19" t="str">
        <f>IFERROR(__xludf.DUMMYFUNCTION("""COMPUTED_VALUE"""),"BLACK")</f>
        <v>BLACK</v>
      </c>
      <c r="G59" s="20" t="str">
        <f>IFERROR(__xludf.DUMMYFUNCTION("""COMPUTED_VALUE"""),"Uncle Sams Cider (11/12/2021) 02")</f>
        <v>Uncle Sams Cider (11/12/2021) 02</v>
      </c>
      <c r="H59" s="19"/>
    </row>
    <row r="60">
      <c r="A60" s="9"/>
      <c r="B60" s="15"/>
      <c r="C60" s="9">
        <f>IFERROR(__xludf.DUMMYFUNCTION("""COMPUTED_VALUE"""),44604.9353571064)</f>
        <v>44604.93536</v>
      </c>
      <c r="D60" s="15">
        <f>IFERROR(__xludf.DUMMYFUNCTION("""COMPUTED_VALUE"""),1.004)</f>
        <v>1.004</v>
      </c>
      <c r="E60" s="16">
        <f>IFERROR(__xludf.DUMMYFUNCTION("""COMPUTED_VALUE"""),63.0)</f>
        <v>63</v>
      </c>
      <c r="F60" s="19" t="str">
        <f>IFERROR(__xludf.DUMMYFUNCTION("""COMPUTED_VALUE"""),"BLACK")</f>
        <v>BLACK</v>
      </c>
      <c r="G60" s="20" t="str">
        <f>IFERROR(__xludf.DUMMYFUNCTION("""COMPUTED_VALUE"""),"Uncle Sams Cider (11/12/2021) 02")</f>
        <v>Uncle Sams Cider (11/12/2021) 02</v>
      </c>
      <c r="H60" s="19"/>
    </row>
    <row r="61">
      <c r="A61" s="9"/>
      <c r="B61" s="15"/>
      <c r="C61" s="9">
        <f>IFERROR(__xludf.DUMMYFUNCTION("""COMPUTED_VALUE"""),44604.924923831)</f>
        <v>44604.92492</v>
      </c>
      <c r="D61" s="15">
        <f>IFERROR(__xludf.DUMMYFUNCTION("""COMPUTED_VALUE"""),1.004)</f>
        <v>1.004</v>
      </c>
      <c r="E61" s="16">
        <f>IFERROR(__xludf.DUMMYFUNCTION("""COMPUTED_VALUE"""),63.0)</f>
        <v>63</v>
      </c>
      <c r="F61" s="19" t="str">
        <f>IFERROR(__xludf.DUMMYFUNCTION("""COMPUTED_VALUE"""),"BLACK")</f>
        <v>BLACK</v>
      </c>
      <c r="G61" s="20" t="str">
        <f>IFERROR(__xludf.DUMMYFUNCTION("""COMPUTED_VALUE"""),"Uncle Sams Cider (11/12/2021) 02")</f>
        <v>Uncle Sams Cider (11/12/2021) 02</v>
      </c>
      <c r="H61" s="19"/>
    </row>
    <row r="62">
      <c r="A62" s="9"/>
      <c r="B62" s="15"/>
      <c r="C62" s="9">
        <f>IFERROR(__xludf.DUMMYFUNCTION("""COMPUTED_VALUE"""),44604.9144790046)</f>
        <v>44604.91448</v>
      </c>
      <c r="D62" s="15">
        <f>IFERROR(__xludf.DUMMYFUNCTION("""COMPUTED_VALUE"""),1.004)</f>
        <v>1.004</v>
      </c>
      <c r="E62" s="16">
        <f>IFERROR(__xludf.DUMMYFUNCTION("""COMPUTED_VALUE"""),63.0)</f>
        <v>63</v>
      </c>
      <c r="F62" s="19" t="str">
        <f>IFERROR(__xludf.DUMMYFUNCTION("""COMPUTED_VALUE"""),"BLACK")</f>
        <v>BLACK</v>
      </c>
      <c r="G62" s="20" t="str">
        <f>IFERROR(__xludf.DUMMYFUNCTION("""COMPUTED_VALUE"""),"Uncle Sams Cider (11/12/2021) 02")</f>
        <v>Uncle Sams Cider (11/12/2021) 02</v>
      </c>
      <c r="H62" s="19"/>
    </row>
    <row r="63">
      <c r="A63" s="9"/>
      <c r="B63" s="15"/>
      <c r="C63" s="9">
        <f>IFERROR(__xludf.DUMMYFUNCTION("""COMPUTED_VALUE"""),44604.904056875)</f>
        <v>44604.90406</v>
      </c>
      <c r="D63" s="15">
        <f>IFERROR(__xludf.DUMMYFUNCTION("""COMPUTED_VALUE"""),1.003)</f>
        <v>1.003</v>
      </c>
      <c r="E63" s="16">
        <f>IFERROR(__xludf.DUMMYFUNCTION("""COMPUTED_VALUE"""),63.0)</f>
        <v>63</v>
      </c>
      <c r="F63" s="19" t="str">
        <f>IFERROR(__xludf.DUMMYFUNCTION("""COMPUTED_VALUE"""),"BLACK")</f>
        <v>BLACK</v>
      </c>
      <c r="G63" s="20" t="str">
        <f>IFERROR(__xludf.DUMMYFUNCTION("""COMPUTED_VALUE"""),"Uncle Sams Cider (11/12/2021) 02")</f>
        <v>Uncle Sams Cider (11/12/2021) 02</v>
      </c>
      <c r="H63" s="19"/>
    </row>
    <row r="64">
      <c r="A64" s="9"/>
      <c r="B64" s="15"/>
      <c r="C64" s="9">
        <f>IFERROR(__xludf.DUMMYFUNCTION("""COMPUTED_VALUE"""),44604.8936356365)</f>
        <v>44604.89364</v>
      </c>
      <c r="D64" s="15">
        <f>IFERROR(__xludf.DUMMYFUNCTION("""COMPUTED_VALUE"""),1.004)</f>
        <v>1.004</v>
      </c>
      <c r="E64" s="16">
        <f>IFERROR(__xludf.DUMMYFUNCTION("""COMPUTED_VALUE"""),63.0)</f>
        <v>63</v>
      </c>
      <c r="F64" s="19" t="str">
        <f>IFERROR(__xludf.DUMMYFUNCTION("""COMPUTED_VALUE"""),"BLACK")</f>
        <v>BLACK</v>
      </c>
      <c r="G64" s="20" t="str">
        <f>IFERROR(__xludf.DUMMYFUNCTION("""COMPUTED_VALUE"""),"Uncle Sams Cider (11/12/2021) 02")</f>
        <v>Uncle Sams Cider (11/12/2021) 02</v>
      </c>
      <c r="H64" s="19"/>
    </row>
    <row r="65">
      <c r="A65" s="9"/>
      <c r="B65" s="15"/>
      <c r="C65" s="9">
        <f>IFERROR(__xludf.DUMMYFUNCTION("""COMPUTED_VALUE"""),44604.8832128819)</f>
        <v>44604.88321</v>
      </c>
      <c r="D65" s="15">
        <f>IFERROR(__xludf.DUMMYFUNCTION("""COMPUTED_VALUE"""),1.004)</f>
        <v>1.004</v>
      </c>
      <c r="E65" s="16">
        <f>IFERROR(__xludf.DUMMYFUNCTION("""COMPUTED_VALUE"""),63.0)</f>
        <v>63</v>
      </c>
      <c r="F65" s="19" t="str">
        <f>IFERROR(__xludf.DUMMYFUNCTION("""COMPUTED_VALUE"""),"BLACK")</f>
        <v>BLACK</v>
      </c>
      <c r="G65" s="20" t="str">
        <f>IFERROR(__xludf.DUMMYFUNCTION("""COMPUTED_VALUE"""),"Uncle Sams Cider (11/12/2021) 02")</f>
        <v>Uncle Sams Cider (11/12/2021) 02</v>
      </c>
      <c r="H65" s="19"/>
    </row>
    <row r="66">
      <c r="A66" s="9"/>
      <c r="B66" s="15"/>
      <c r="C66" s="9">
        <f>IFERROR(__xludf.DUMMYFUNCTION("""COMPUTED_VALUE"""),44604.872791493)</f>
        <v>44604.87279</v>
      </c>
      <c r="D66" s="15">
        <f>IFERROR(__xludf.DUMMYFUNCTION("""COMPUTED_VALUE"""),1.004)</f>
        <v>1.004</v>
      </c>
      <c r="E66" s="16">
        <f>IFERROR(__xludf.DUMMYFUNCTION("""COMPUTED_VALUE"""),63.0)</f>
        <v>63</v>
      </c>
      <c r="F66" s="19" t="str">
        <f>IFERROR(__xludf.DUMMYFUNCTION("""COMPUTED_VALUE"""),"BLACK")</f>
        <v>BLACK</v>
      </c>
      <c r="G66" s="20" t="str">
        <f>IFERROR(__xludf.DUMMYFUNCTION("""COMPUTED_VALUE"""),"Uncle Sams Cider (11/12/2021) 02")</f>
        <v>Uncle Sams Cider (11/12/2021) 02</v>
      </c>
      <c r="H66" s="19"/>
    </row>
    <row r="67">
      <c r="A67" s="9"/>
      <c r="B67" s="15"/>
      <c r="C67" s="9">
        <f>IFERROR(__xludf.DUMMYFUNCTION("""COMPUTED_VALUE"""),44604.8623462152)</f>
        <v>44604.86235</v>
      </c>
      <c r="D67" s="15">
        <f>IFERROR(__xludf.DUMMYFUNCTION("""COMPUTED_VALUE"""),1.004)</f>
        <v>1.004</v>
      </c>
      <c r="E67" s="16">
        <f>IFERROR(__xludf.DUMMYFUNCTION("""COMPUTED_VALUE"""),63.0)</f>
        <v>63</v>
      </c>
      <c r="F67" s="19" t="str">
        <f>IFERROR(__xludf.DUMMYFUNCTION("""COMPUTED_VALUE"""),"BLACK")</f>
        <v>BLACK</v>
      </c>
      <c r="G67" s="20" t="str">
        <f>IFERROR(__xludf.DUMMYFUNCTION("""COMPUTED_VALUE"""),"Uncle Sams Cider (11/12/2021) 02")</f>
        <v>Uncle Sams Cider (11/12/2021) 02</v>
      </c>
      <c r="H67" s="19"/>
    </row>
    <row r="68">
      <c r="A68" s="9"/>
      <c r="B68" s="15"/>
      <c r="C68" s="9">
        <f>IFERROR(__xludf.DUMMYFUNCTION("""COMPUTED_VALUE"""),44604.8519005787)</f>
        <v>44604.8519</v>
      </c>
      <c r="D68" s="15">
        <f>IFERROR(__xludf.DUMMYFUNCTION("""COMPUTED_VALUE"""),1.004)</f>
        <v>1.004</v>
      </c>
      <c r="E68" s="16">
        <f>IFERROR(__xludf.DUMMYFUNCTION("""COMPUTED_VALUE"""),63.0)</f>
        <v>63</v>
      </c>
      <c r="F68" s="19" t="str">
        <f>IFERROR(__xludf.DUMMYFUNCTION("""COMPUTED_VALUE"""),"BLACK")</f>
        <v>BLACK</v>
      </c>
      <c r="G68" s="20" t="str">
        <f>IFERROR(__xludf.DUMMYFUNCTION("""COMPUTED_VALUE"""),"Uncle Sams Cider (11/12/2021) 02")</f>
        <v>Uncle Sams Cider (11/12/2021) 02</v>
      </c>
      <c r="H68" s="19"/>
    </row>
    <row r="69">
      <c r="A69" s="9"/>
      <c r="B69" s="15"/>
      <c r="C69" s="9">
        <f>IFERROR(__xludf.DUMMYFUNCTION("""COMPUTED_VALUE"""),44604.8414565972)</f>
        <v>44604.84146</v>
      </c>
      <c r="D69" s="15">
        <f>IFERROR(__xludf.DUMMYFUNCTION("""COMPUTED_VALUE"""),1.004)</f>
        <v>1.004</v>
      </c>
      <c r="E69" s="16">
        <f>IFERROR(__xludf.DUMMYFUNCTION("""COMPUTED_VALUE"""),63.0)</f>
        <v>63</v>
      </c>
      <c r="F69" s="19" t="str">
        <f>IFERROR(__xludf.DUMMYFUNCTION("""COMPUTED_VALUE"""),"BLACK")</f>
        <v>BLACK</v>
      </c>
      <c r="G69" s="20" t="str">
        <f>IFERROR(__xludf.DUMMYFUNCTION("""COMPUTED_VALUE"""),"Uncle Sams Cider (11/12/2021) 02")</f>
        <v>Uncle Sams Cider (11/12/2021) 02</v>
      </c>
      <c r="H69" s="19"/>
    </row>
    <row r="70">
      <c r="A70" s="9"/>
      <c r="B70" s="15"/>
      <c r="C70" s="9">
        <f>IFERROR(__xludf.DUMMYFUNCTION("""COMPUTED_VALUE"""),44604.8310353703)</f>
        <v>44604.83104</v>
      </c>
      <c r="D70" s="15">
        <f>IFERROR(__xludf.DUMMYFUNCTION("""COMPUTED_VALUE"""),1.003)</f>
        <v>1.003</v>
      </c>
      <c r="E70" s="16">
        <f>IFERROR(__xludf.DUMMYFUNCTION("""COMPUTED_VALUE"""),63.0)</f>
        <v>63</v>
      </c>
      <c r="F70" s="19" t="str">
        <f>IFERROR(__xludf.DUMMYFUNCTION("""COMPUTED_VALUE"""),"BLACK")</f>
        <v>BLACK</v>
      </c>
      <c r="G70" s="20" t="str">
        <f>IFERROR(__xludf.DUMMYFUNCTION("""COMPUTED_VALUE"""),"Uncle Sams Cider (11/12/2021) 02")</f>
        <v>Uncle Sams Cider (11/12/2021) 02</v>
      </c>
      <c r="H70" s="19"/>
    </row>
    <row r="71">
      <c r="A71" s="9"/>
      <c r="B71" s="15"/>
      <c r="C71" s="9">
        <f>IFERROR(__xludf.DUMMYFUNCTION("""COMPUTED_VALUE"""),44604.8206023611)</f>
        <v>44604.8206</v>
      </c>
      <c r="D71" s="15">
        <f>IFERROR(__xludf.DUMMYFUNCTION("""COMPUTED_VALUE"""),1.004)</f>
        <v>1.004</v>
      </c>
      <c r="E71" s="16">
        <f>IFERROR(__xludf.DUMMYFUNCTION("""COMPUTED_VALUE"""),63.0)</f>
        <v>63</v>
      </c>
      <c r="F71" s="19" t="str">
        <f>IFERROR(__xludf.DUMMYFUNCTION("""COMPUTED_VALUE"""),"BLACK")</f>
        <v>BLACK</v>
      </c>
      <c r="G71" s="20" t="str">
        <f>IFERROR(__xludf.DUMMYFUNCTION("""COMPUTED_VALUE"""),"Uncle Sams Cider (11/12/2021) 02")</f>
        <v>Uncle Sams Cider (11/12/2021) 02</v>
      </c>
      <c r="H71" s="19"/>
    </row>
    <row r="72">
      <c r="A72" s="9"/>
      <c r="B72" s="15"/>
      <c r="C72" s="9">
        <f>IFERROR(__xludf.DUMMYFUNCTION("""COMPUTED_VALUE"""),44604.8101813078)</f>
        <v>44604.81018</v>
      </c>
      <c r="D72" s="15">
        <f>IFERROR(__xludf.DUMMYFUNCTION("""COMPUTED_VALUE"""),1.004)</f>
        <v>1.004</v>
      </c>
      <c r="E72" s="16">
        <f>IFERROR(__xludf.DUMMYFUNCTION("""COMPUTED_VALUE"""),63.0)</f>
        <v>63</v>
      </c>
      <c r="F72" s="19" t="str">
        <f>IFERROR(__xludf.DUMMYFUNCTION("""COMPUTED_VALUE"""),"BLACK")</f>
        <v>BLACK</v>
      </c>
      <c r="G72" s="20" t="str">
        <f>IFERROR(__xludf.DUMMYFUNCTION("""COMPUTED_VALUE"""),"Uncle Sams Cider (11/12/2021) 02")</f>
        <v>Uncle Sams Cider (11/12/2021) 02</v>
      </c>
      <c r="H72" s="19"/>
    </row>
    <row r="73">
      <c r="A73" s="9"/>
      <c r="B73" s="15"/>
      <c r="C73" s="9">
        <f>IFERROR(__xludf.DUMMYFUNCTION("""COMPUTED_VALUE"""),44604.7997357175)</f>
        <v>44604.79974</v>
      </c>
      <c r="D73" s="15">
        <f>IFERROR(__xludf.DUMMYFUNCTION("""COMPUTED_VALUE"""),1.004)</f>
        <v>1.004</v>
      </c>
      <c r="E73" s="16">
        <f>IFERROR(__xludf.DUMMYFUNCTION("""COMPUTED_VALUE"""),63.0)</f>
        <v>63</v>
      </c>
      <c r="F73" s="19" t="str">
        <f>IFERROR(__xludf.DUMMYFUNCTION("""COMPUTED_VALUE"""),"BLACK")</f>
        <v>BLACK</v>
      </c>
      <c r="G73" s="20" t="str">
        <f>IFERROR(__xludf.DUMMYFUNCTION("""COMPUTED_VALUE"""),"Uncle Sams Cider (11/12/2021) 02")</f>
        <v>Uncle Sams Cider (11/12/2021) 02</v>
      </c>
      <c r="H73" s="19"/>
    </row>
    <row r="74">
      <c r="A74" s="9"/>
      <c r="B74" s="15"/>
      <c r="C74" s="9">
        <f>IFERROR(__xludf.DUMMYFUNCTION("""COMPUTED_VALUE"""),44604.7893137036)</f>
        <v>44604.78931</v>
      </c>
      <c r="D74" s="15">
        <f>IFERROR(__xludf.DUMMYFUNCTION("""COMPUTED_VALUE"""),1.004)</f>
        <v>1.004</v>
      </c>
      <c r="E74" s="16">
        <f>IFERROR(__xludf.DUMMYFUNCTION("""COMPUTED_VALUE"""),63.0)</f>
        <v>63</v>
      </c>
      <c r="F74" s="19" t="str">
        <f>IFERROR(__xludf.DUMMYFUNCTION("""COMPUTED_VALUE"""),"BLACK")</f>
        <v>BLACK</v>
      </c>
      <c r="G74" s="20" t="str">
        <f>IFERROR(__xludf.DUMMYFUNCTION("""COMPUTED_VALUE"""),"Uncle Sams Cider (11/12/2021) 02")</f>
        <v>Uncle Sams Cider (11/12/2021) 02</v>
      </c>
      <c r="H74" s="19"/>
    </row>
    <row r="75">
      <c r="A75" s="9"/>
      <c r="B75" s="15"/>
      <c r="C75" s="9">
        <f>IFERROR(__xludf.DUMMYFUNCTION("""COMPUTED_VALUE"""),44604.7788814583)</f>
        <v>44604.77888</v>
      </c>
      <c r="D75" s="15">
        <f>IFERROR(__xludf.DUMMYFUNCTION("""COMPUTED_VALUE"""),1.004)</f>
        <v>1.004</v>
      </c>
      <c r="E75" s="16">
        <f>IFERROR(__xludf.DUMMYFUNCTION("""COMPUTED_VALUE"""),63.0)</f>
        <v>63</v>
      </c>
      <c r="F75" s="19" t="str">
        <f>IFERROR(__xludf.DUMMYFUNCTION("""COMPUTED_VALUE"""),"BLACK")</f>
        <v>BLACK</v>
      </c>
      <c r="G75" s="20" t="str">
        <f>IFERROR(__xludf.DUMMYFUNCTION("""COMPUTED_VALUE"""),"Uncle Sams Cider (11/12/2021) 02")</f>
        <v>Uncle Sams Cider (11/12/2021) 02</v>
      </c>
      <c r="H75" s="19"/>
    </row>
    <row r="76">
      <c r="A76" s="9"/>
      <c r="B76" s="15"/>
      <c r="C76" s="9">
        <f>IFERROR(__xludf.DUMMYFUNCTION("""COMPUTED_VALUE"""),44604.768459618)</f>
        <v>44604.76846</v>
      </c>
      <c r="D76" s="15">
        <f>IFERROR(__xludf.DUMMYFUNCTION("""COMPUTED_VALUE"""),1.004)</f>
        <v>1.004</v>
      </c>
      <c r="E76" s="16">
        <f>IFERROR(__xludf.DUMMYFUNCTION("""COMPUTED_VALUE"""),63.0)</f>
        <v>63</v>
      </c>
      <c r="F76" s="19" t="str">
        <f>IFERROR(__xludf.DUMMYFUNCTION("""COMPUTED_VALUE"""),"BLACK")</f>
        <v>BLACK</v>
      </c>
      <c r="G76" s="20" t="str">
        <f>IFERROR(__xludf.DUMMYFUNCTION("""COMPUTED_VALUE"""),"Uncle Sams Cider (11/12/2021) 02")</f>
        <v>Uncle Sams Cider (11/12/2021) 02</v>
      </c>
      <c r="H76" s="19"/>
    </row>
    <row r="77">
      <c r="A77" s="9"/>
      <c r="B77" s="15"/>
      <c r="C77" s="9">
        <f>IFERROR(__xludf.DUMMYFUNCTION("""COMPUTED_VALUE"""),44604.7580373379)</f>
        <v>44604.75804</v>
      </c>
      <c r="D77" s="15">
        <f>IFERROR(__xludf.DUMMYFUNCTION("""COMPUTED_VALUE"""),1.004)</f>
        <v>1.004</v>
      </c>
      <c r="E77" s="16">
        <f>IFERROR(__xludf.DUMMYFUNCTION("""COMPUTED_VALUE"""),63.0)</f>
        <v>63</v>
      </c>
      <c r="F77" s="19" t="str">
        <f>IFERROR(__xludf.DUMMYFUNCTION("""COMPUTED_VALUE"""),"BLACK")</f>
        <v>BLACK</v>
      </c>
      <c r="G77" s="20" t="str">
        <f>IFERROR(__xludf.DUMMYFUNCTION("""COMPUTED_VALUE"""),"Uncle Sams Cider (11/12/2021) 02")</f>
        <v>Uncle Sams Cider (11/12/2021) 02</v>
      </c>
      <c r="H77" s="19"/>
    </row>
    <row r="78">
      <c r="A78" s="9"/>
      <c r="B78" s="15"/>
      <c r="C78" s="9">
        <f>IFERROR(__xludf.DUMMYFUNCTION("""COMPUTED_VALUE"""),44604.7476050231)</f>
        <v>44604.74761</v>
      </c>
      <c r="D78" s="15">
        <f>IFERROR(__xludf.DUMMYFUNCTION("""COMPUTED_VALUE"""),1.004)</f>
        <v>1.004</v>
      </c>
      <c r="E78" s="16">
        <f>IFERROR(__xludf.DUMMYFUNCTION("""COMPUTED_VALUE"""),63.0)</f>
        <v>63</v>
      </c>
      <c r="F78" s="19" t="str">
        <f>IFERROR(__xludf.DUMMYFUNCTION("""COMPUTED_VALUE"""),"BLACK")</f>
        <v>BLACK</v>
      </c>
      <c r="G78" s="20" t="str">
        <f>IFERROR(__xludf.DUMMYFUNCTION("""COMPUTED_VALUE"""),"Uncle Sams Cider (11/12/2021) 02")</f>
        <v>Uncle Sams Cider (11/12/2021) 02</v>
      </c>
      <c r="H78" s="19"/>
    </row>
    <row r="79">
      <c r="A79" s="9"/>
      <c r="B79" s="15"/>
      <c r="C79" s="9">
        <f>IFERROR(__xludf.DUMMYFUNCTION("""COMPUTED_VALUE"""),44604.7371845601)</f>
        <v>44604.73718</v>
      </c>
      <c r="D79" s="15">
        <f>IFERROR(__xludf.DUMMYFUNCTION("""COMPUTED_VALUE"""),1.004)</f>
        <v>1.004</v>
      </c>
      <c r="E79" s="16">
        <f>IFERROR(__xludf.DUMMYFUNCTION("""COMPUTED_VALUE"""),63.0)</f>
        <v>63</v>
      </c>
      <c r="F79" s="19" t="str">
        <f>IFERROR(__xludf.DUMMYFUNCTION("""COMPUTED_VALUE"""),"BLACK")</f>
        <v>BLACK</v>
      </c>
      <c r="G79" s="20" t="str">
        <f>IFERROR(__xludf.DUMMYFUNCTION("""COMPUTED_VALUE"""),"Uncle Sams Cider (11/12/2021) 02")</f>
        <v>Uncle Sams Cider (11/12/2021) 02</v>
      </c>
      <c r="H79" s="19"/>
    </row>
    <row r="80">
      <c r="A80" s="9"/>
      <c r="B80" s="15"/>
      <c r="C80" s="9">
        <f>IFERROR(__xludf.DUMMYFUNCTION("""COMPUTED_VALUE"""),44604.7267501388)</f>
        <v>44604.72675</v>
      </c>
      <c r="D80" s="15">
        <f>IFERROR(__xludf.DUMMYFUNCTION("""COMPUTED_VALUE"""),1.004)</f>
        <v>1.004</v>
      </c>
      <c r="E80" s="16">
        <f>IFERROR(__xludf.DUMMYFUNCTION("""COMPUTED_VALUE"""),63.0)</f>
        <v>63</v>
      </c>
      <c r="F80" s="19" t="str">
        <f>IFERROR(__xludf.DUMMYFUNCTION("""COMPUTED_VALUE"""),"BLACK")</f>
        <v>BLACK</v>
      </c>
      <c r="G80" s="20" t="str">
        <f>IFERROR(__xludf.DUMMYFUNCTION("""COMPUTED_VALUE"""),"Uncle Sams Cider (11/12/2021) 02")</f>
        <v>Uncle Sams Cider (11/12/2021) 02</v>
      </c>
      <c r="H80" s="19"/>
    </row>
    <row r="81">
      <c r="A81" s="9"/>
      <c r="B81" s="15"/>
      <c r="C81" s="9">
        <f>IFERROR(__xludf.DUMMYFUNCTION("""COMPUTED_VALUE"""),44604.7163165393)</f>
        <v>44604.71632</v>
      </c>
      <c r="D81" s="15">
        <f>IFERROR(__xludf.DUMMYFUNCTION("""COMPUTED_VALUE"""),1.004)</f>
        <v>1.004</v>
      </c>
      <c r="E81" s="16">
        <f>IFERROR(__xludf.DUMMYFUNCTION("""COMPUTED_VALUE"""),63.0)</f>
        <v>63</v>
      </c>
      <c r="F81" s="19" t="str">
        <f>IFERROR(__xludf.DUMMYFUNCTION("""COMPUTED_VALUE"""),"BLACK")</f>
        <v>BLACK</v>
      </c>
      <c r="G81" s="20" t="str">
        <f>IFERROR(__xludf.DUMMYFUNCTION("""COMPUTED_VALUE"""),"Uncle Sams Cider (11/12/2021) 02")</f>
        <v>Uncle Sams Cider (11/12/2021) 02</v>
      </c>
      <c r="H81" s="19"/>
    </row>
    <row r="82">
      <c r="A82" s="9"/>
      <c r="B82" s="15"/>
      <c r="C82" s="9">
        <f>IFERROR(__xludf.DUMMYFUNCTION("""COMPUTED_VALUE"""),44604.7058842129)</f>
        <v>44604.70588</v>
      </c>
      <c r="D82" s="15">
        <f>IFERROR(__xludf.DUMMYFUNCTION("""COMPUTED_VALUE"""),1.004)</f>
        <v>1.004</v>
      </c>
      <c r="E82" s="16">
        <f>IFERROR(__xludf.DUMMYFUNCTION("""COMPUTED_VALUE"""),63.0)</f>
        <v>63</v>
      </c>
      <c r="F82" s="19" t="str">
        <f>IFERROR(__xludf.DUMMYFUNCTION("""COMPUTED_VALUE"""),"BLACK")</f>
        <v>BLACK</v>
      </c>
      <c r="G82" s="20" t="str">
        <f>IFERROR(__xludf.DUMMYFUNCTION("""COMPUTED_VALUE"""),"Uncle Sams Cider (11/12/2021) 02")</f>
        <v>Uncle Sams Cider (11/12/2021) 02</v>
      </c>
      <c r="H82" s="19"/>
    </row>
    <row r="83">
      <c r="A83" s="9"/>
      <c r="B83" s="15"/>
      <c r="C83" s="9">
        <f>IFERROR(__xludf.DUMMYFUNCTION("""COMPUTED_VALUE"""),44604.6954416898)</f>
        <v>44604.69544</v>
      </c>
      <c r="D83" s="15">
        <f>IFERROR(__xludf.DUMMYFUNCTION("""COMPUTED_VALUE"""),1.003)</f>
        <v>1.003</v>
      </c>
      <c r="E83" s="16">
        <f>IFERROR(__xludf.DUMMYFUNCTION("""COMPUTED_VALUE"""),63.0)</f>
        <v>63</v>
      </c>
      <c r="F83" s="19" t="str">
        <f>IFERROR(__xludf.DUMMYFUNCTION("""COMPUTED_VALUE"""),"BLACK")</f>
        <v>BLACK</v>
      </c>
      <c r="G83" s="20" t="str">
        <f>IFERROR(__xludf.DUMMYFUNCTION("""COMPUTED_VALUE"""),"Uncle Sams Cider (11/12/2021) 02")</f>
        <v>Uncle Sams Cider (11/12/2021) 02</v>
      </c>
      <c r="H83" s="19"/>
    </row>
    <row r="84">
      <c r="A84" s="9"/>
      <c r="B84" s="15"/>
      <c r="C84" s="9">
        <f>IFERROR(__xludf.DUMMYFUNCTION("""COMPUTED_VALUE"""),44604.6850198032)</f>
        <v>44604.68502</v>
      </c>
      <c r="D84" s="15">
        <f>IFERROR(__xludf.DUMMYFUNCTION("""COMPUTED_VALUE"""),1.004)</f>
        <v>1.004</v>
      </c>
      <c r="E84" s="16">
        <f>IFERROR(__xludf.DUMMYFUNCTION("""COMPUTED_VALUE"""),63.0)</f>
        <v>63</v>
      </c>
      <c r="F84" s="19" t="str">
        <f>IFERROR(__xludf.DUMMYFUNCTION("""COMPUTED_VALUE"""),"BLACK")</f>
        <v>BLACK</v>
      </c>
      <c r="G84" s="20" t="str">
        <f>IFERROR(__xludf.DUMMYFUNCTION("""COMPUTED_VALUE"""),"Uncle Sams Cider (11/12/2021) 02")</f>
        <v>Uncle Sams Cider (11/12/2021) 02</v>
      </c>
      <c r="H84" s="19"/>
    </row>
    <row r="85">
      <c r="A85" s="9"/>
      <c r="B85" s="15"/>
      <c r="C85" s="9">
        <f>IFERROR(__xludf.DUMMYFUNCTION("""COMPUTED_VALUE"""),44604.6745971064)</f>
        <v>44604.6746</v>
      </c>
      <c r="D85" s="15">
        <f>IFERROR(__xludf.DUMMYFUNCTION("""COMPUTED_VALUE"""),1.004)</f>
        <v>1.004</v>
      </c>
      <c r="E85" s="16">
        <f>IFERROR(__xludf.DUMMYFUNCTION("""COMPUTED_VALUE"""),63.0)</f>
        <v>63</v>
      </c>
      <c r="F85" s="19" t="str">
        <f>IFERROR(__xludf.DUMMYFUNCTION("""COMPUTED_VALUE"""),"BLACK")</f>
        <v>BLACK</v>
      </c>
      <c r="G85" s="20" t="str">
        <f>IFERROR(__xludf.DUMMYFUNCTION("""COMPUTED_VALUE"""),"Uncle Sams Cider (11/12/2021) 02")</f>
        <v>Uncle Sams Cider (11/12/2021) 02</v>
      </c>
      <c r="H85" s="19"/>
    </row>
    <row r="86">
      <c r="A86" s="9"/>
      <c r="B86" s="15"/>
      <c r="C86" s="9">
        <f>IFERROR(__xludf.DUMMYFUNCTION("""COMPUTED_VALUE"""),44604.6641523842)</f>
        <v>44604.66415</v>
      </c>
      <c r="D86" s="15">
        <f>IFERROR(__xludf.DUMMYFUNCTION("""COMPUTED_VALUE"""),1.004)</f>
        <v>1.004</v>
      </c>
      <c r="E86" s="16">
        <f>IFERROR(__xludf.DUMMYFUNCTION("""COMPUTED_VALUE"""),63.0)</f>
        <v>63</v>
      </c>
      <c r="F86" s="19" t="str">
        <f>IFERROR(__xludf.DUMMYFUNCTION("""COMPUTED_VALUE"""),"BLACK")</f>
        <v>BLACK</v>
      </c>
      <c r="G86" s="20" t="str">
        <f>IFERROR(__xludf.DUMMYFUNCTION("""COMPUTED_VALUE"""),"Uncle Sams Cider (11/12/2021) 02")</f>
        <v>Uncle Sams Cider (11/12/2021) 02</v>
      </c>
      <c r="H86" s="19"/>
    </row>
    <row r="87">
      <c r="A87" s="9"/>
      <c r="B87" s="15"/>
      <c r="C87" s="9">
        <f>IFERROR(__xludf.DUMMYFUNCTION("""COMPUTED_VALUE"""),44604.6537195717)</f>
        <v>44604.65372</v>
      </c>
      <c r="D87" s="15">
        <f>IFERROR(__xludf.DUMMYFUNCTION("""COMPUTED_VALUE"""),1.004)</f>
        <v>1.004</v>
      </c>
      <c r="E87" s="16">
        <f>IFERROR(__xludf.DUMMYFUNCTION("""COMPUTED_VALUE"""),63.0)</f>
        <v>63</v>
      </c>
      <c r="F87" s="19" t="str">
        <f>IFERROR(__xludf.DUMMYFUNCTION("""COMPUTED_VALUE"""),"BLACK")</f>
        <v>BLACK</v>
      </c>
      <c r="G87" s="20" t="str">
        <f>IFERROR(__xludf.DUMMYFUNCTION("""COMPUTED_VALUE"""),"Uncle Sams Cider (11/12/2021) 02")</f>
        <v>Uncle Sams Cider (11/12/2021) 02</v>
      </c>
      <c r="H87" s="19"/>
    </row>
    <row r="88">
      <c r="A88" s="9"/>
      <c r="B88" s="15"/>
      <c r="C88" s="9">
        <f>IFERROR(__xludf.DUMMYFUNCTION("""COMPUTED_VALUE"""),44604.6432852083)</f>
        <v>44604.64329</v>
      </c>
      <c r="D88" s="15">
        <f>IFERROR(__xludf.DUMMYFUNCTION("""COMPUTED_VALUE"""),1.004)</f>
        <v>1.004</v>
      </c>
      <c r="E88" s="16">
        <f>IFERROR(__xludf.DUMMYFUNCTION("""COMPUTED_VALUE"""),63.0)</f>
        <v>63</v>
      </c>
      <c r="F88" s="19" t="str">
        <f>IFERROR(__xludf.DUMMYFUNCTION("""COMPUTED_VALUE"""),"BLACK")</f>
        <v>BLACK</v>
      </c>
      <c r="G88" s="20" t="str">
        <f>IFERROR(__xludf.DUMMYFUNCTION("""COMPUTED_VALUE"""),"Uncle Sams Cider (11/12/2021) 02")</f>
        <v>Uncle Sams Cider (11/12/2021) 02</v>
      </c>
      <c r="H88" s="19"/>
    </row>
    <row r="89">
      <c r="A89" s="9"/>
      <c r="B89" s="15"/>
      <c r="C89" s="9">
        <f>IFERROR(__xludf.DUMMYFUNCTION("""COMPUTED_VALUE"""),44604.6328506365)</f>
        <v>44604.63285</v>
      </c>
      <c r="D89" s="15">
        <f>IFERROR(__xludf.DUMMYFUNCTION("""COMPUTED_VALUE"""),1.004)</f>
        <v>1.004</v>
      </c>
      <c r="E89" s="16">
        <f>IFERROR(__xludf.DUMMYFUNCTION("""COMPUTED_VALUE"""),63.0)</f>
        <v>63</v>
      </c>
      <c r="F89" s="19" t="str">
        <f>IFERROR(__xludf.DUMMYFUNCTION("""COMPUTED_VALUE"""),"BLACK")</f>
        <v>BLACK</v>
      </c>
      <c r="G89" s="20" t="str">
        <f>IFERROR(__xludf.DUMMYFUNCTION("""COMPUTED_VALUE"""),"Uncle Sams Cider (11/12/2021) 02")</f>
        <v>Uncle Sams Cider (11/12/2021) 02</v>
      </c>
      <c r="H89" s="19"/>
    </row>
    <row r="90">
      <c r="A90" s="9"/>
      <c r="B90" s="15"/>
      <c r="C90" s="9">
        <f>IFERROR(__xludf.DUMMYFUNCTION("""COMPUTED_VALUE"""),44604.6224154513)</f>
        <v>44604.62242</v>
      </c>
      <c r="D90" s="15">
        <f>IFERROR(__xludf.DUMMYFUNCTION("""COMPUTED_VALUE"""),1.004)</f>
        <v>1.004</v>
      </c>
      <c r="E90" s="16">
        <f>IFERROR(__xludf.DUMMYFUNCTION("""COMPUTED_VALUE"""),63.0)</f>
        <v>63</v>
      </c>
      <c r="F90" s="19" t="str">
        <f>IFERROR(__xludf.DUMMYFUNCTION("""COMPUTED_VALUE"""),"BLACK")</f>
        <v>BLACK</v>
      </c>
      <c r="G90" s="20" t="str">
        <f>IFERROR(__xludf.DUMMYFUNCTION("""COMPUTED_VALUE"""),"Uncle Sams Cider (11/12/2021) 02")</f>
        <v>Uncle Sams Cider (11/12/2021) 02</v>
      </c>
      <c r="H90" s="19"/>
    </row>
    <row r="91">
      <c r="A91" s="9"/>
      <c r="B91" s="15"/>
      <c r="C91" s="9">
        <f>IFERROR(__xludf.DUMMYFUNCTION("""COMPUTED_VALUE"""),44604.6119951157)</f>
        <v>44604.612</v>
      </c>
      <c r="D91" s="15">
        <f>IFERROR(__xludf.DUMMYFUNCTION("""COMPUTED_VALUE"""),1.004)</f>
        <v>1.004</v>
      </c>
      <c r="E91" s="16">
        <f>IFERROR(__xludf.DUMMYFUNCTION("""COMPUTED_VALUE"""),63.0)</f>
        <v>63</v>
      </c>
      <c r="F91" s="19" t="str">
        <f>IFERROR(__xludf.DUMMYFUNCTION("""COMPUTED_VALUE"""),"BLACK")</f>
        <v>BLACK</v>
      </c>
      <c r="G91" s="20" t="str">
        <f>IFERROR(__xludf.DUMMYFUNCTION("""COMPUTED_VALUE"""),"Uncle Sams Cider (11/12/2021) 02")</f>
        <v>Uncle Sams Cider (11/12/2021) 02</v>
      </c>
      <c r="H91" s="19"/>
    </row>
    <row r="92">
      <c r="A92" s="9"/>
      <c r="B92" s="15"/>
      <c r="C92" s="9">
        <f>IFERROR(__xludf.DUMMYFUNCTION("""COMPUTED_VALUE"""),44604.6015391898)</f>
        <v>44604.60154</v>
      </c>
      <c r="D92" s="15">
        <f>IFERROR(__xludf.DUMMYFUNCTION("""COMPUTED_VALUE"""),1.004)</f>
        <v>1.004</v>
      </c>
      <c r="E92" s="16">
        <f>IFERROR(__xludf.DUMMYFUNCTION("""COMPUTED_VALUE"""),63.0)</f>
        <v>63</v>
      </c>
      <c r="F92" s="19" t="str">
        <f>IFERROR(__xludf.DUMMYFUNCTION("""COMPUTED_VALUE"""),"BLACK")</f>
        <v>BLACK</v>
      </c>
      <c r="G92" s="20" t="str">
        <f>IFERROR(__xludf.DUMMYFUNCTION("""COMPUTED_VALUE"""),"Uncle Sams Cider (11/12/2021) 02")</f>
        <v>Uncle Sams Cider (11/12/2021) 02</v>
      </c>
      <c r="H92" s="19"/>
    </row>
    <row r="93">
      <c r="A93" s="9"/>
      <c r="B93" s="15"/>
      <c r="C93" s="9">
        <f>IFERROR(__xludf.DUMMYFUNCTION("""COMPUTED_VALUE"""),44604.5911053356)</f>
        <v>44604.59111</v>
      </c>
      <c r="D93" s="15">
        <f>IFERROR(__xludf.DUMMYFUNCTION("""COMPUTED_VALUE"""),1.004)</f>
        <v>1.004</v>
      </c>
      <c r="E93" s="16">
        <f>IFERROR(__xludf.DUMMYFUNCTION("""COMPUTED_VALUE"""),63.0)</f>
        <v>63</v>
      </c>
      <c r="F93" s="19" t="str">
        <f>IFERROR(__xludf.DUMMYFUNCTION("""COMPUTED_VALUE"""),"BLACK")</f>
        <v>BLACK</v>
      </c>
      <c r="G93" s="20" t="str">
        <f>IFERROR(__xludf.DUMMYFUNCTION("""COMPUTED_VALUE"""),"Uncle Sams Cider (11/12/2021) 02")</f>
        <v>Uncle Sams Cider (11/12/2021) 02</v>
      </c>
      <c r="H93" s="19"/>
    </row>
    <row r="94">
      <c r="A94" s="9"/>
      <c r="B94" s="15"/>
      <c r="C94" s="9">
        <f>IFERROR(__xludf.DUMMYFUNCTION("""COMPUTED_VALUE"""),44604.5806840393)</f>
        <v>44604.58068</v>
      </c>
      <c r="D94" s="15">
        <f>IFERROR(__xludf.DUMMYFUNCTION("""COMPUTED_VALUE"""),1.004)</f>
        <v>1.004</v>
      </c>
      <c r="E94" s="16">
        <f>IFERROR(__xludf.DUMMYFUNCTION("""COMPUTED_VALUE"""),63.0)</f>
        <v>63</v>
      </c>
      <c r="F94" s="19" t="str">
        <f>IFERROR(__xludf.DUMMYFUNCTION("""COMPUTED_VALUE"""),"BLACK")</f>
        <v>BLACK</v>
      </c>
      <c r="G94" s="20" t="str">
        <f>IFERROR(__xludf.DUMMYFUNCTION("""COMPUTED_VALUE"""),"Uncle Sams Cider (11/12/2021) 02")</f>
        <v>Uncle Sams Cider (11/12/2021) 02</v>
      </c>
      <c r="H94" s="19"/>
    </row>
    <row r="95">
      <c r="A95" s="9"/>
      <c r="B95" s="15"/>
      <c r="C95" s="9">
        <f>IFERROR(__xludf.DUMMYFUNCTION("""COMPUTED_VALUE"""),44604.5702497337)</f>
        <v>44604.57025</v>
      </c>
      <c r="D95" s="15">
        <f>IFERROR(__xludf.DUMMYFUNCTION("""COMPUTED_VALUE"""),1.004)</f>
        <v>1.004</v>
      </c>
      <c r="E95" s="16">
        <f>IFERROR(__xludf.DUMMYFUNCTION("""COMPUTED_VALUE"""),63.0)</f>
        <v>63</v>
      </c>
      <c r="F95" s="19" t="str">
        <f>IFERROR(__xludf.DUMMYFUNCTION("""COMPUTED_VALUE"""),"BLACK")</f>
        <v>BLACK</v>
      </c>
      <c r="G95" s="20" t="str">
        <f>IFERROR(__xludf.DUMMYFUNCTION("""COMPUTED_VALUE"""),"Uncle Sams Cider (11/12/2021) 02")</f>
        <v>Uncle Sams Cider (11/12/2021) 02</v>
      </c>
      <c r="H95" s="19"/>
    </row>
    <row r="96">
      <c r="A96" s="9"/>
      <c r="B96" s="15"/>
      <c r="C96" s="9">
        <f>IFERROR(__xludf.DUMMYFUNCTION("""COMPUTED_VALUE"""),44604.5598269675)</f>
        <v>44604.55983</v>
      </c>
      <c r="D96" s="15">
        <f>IFERROR(__xludf.DUMMYFUNCTION("""COMPUTED_VALUE"""),1.004)</f>
        <v>1.004</v>
      </c>
      <c r="E96" s="16">
        <f>IFERROR(__xludf.DUMMYFUNCTION("""COMPUTED_VALUE"""),63.0)</f>
        <v>63</v>
      </c>
      <c r="F96" s="19" t="str">
        <f>IFERROR(__xludf.DUMMYFUNCTION("""COMPUTED_VALUE"""),"BLACK")</f>
        <v>BLACK</v>
      </c>
      <c r="G96" s="20" t="str">
        <f>IFERROR(__xludf.DUMMYFUNCTION("""COMPUTED_VALUE"""),"Uncle Sams Cider (11/12/2021) 02")</f>
        <v>Uncle Sams Cider (11/12/2021) 02</v>
      </c>
      <c r="H96" s="19"/>
    </row>
    <row r="97">
      <c r="A97" s="9"/>
      <c r="B97" s="15"/>
      <c r="C97" s="9">
        <f>IFERROR(__xludf.DUMMYFUNCTION("""COMPUTED_VALUE"""),44604.5494045254)</f>
        <v>44604.5494</v>
      </c>
      <c r="D97" s="15">
        <f>IFERROR(__xludf.DUMMYFUNCTION("""COMPUTED_VALUE"""),1.004)</f>
        <v>1.004</v>
      </c>
      <c r="E97" s="16">
        <f>IFERROR(__xludf.DUMMYFUNCTION("""COMPUTED_VALUE"""),63.0)</f>
        <v>63</v>
      </c>
      <c r="F97" s="19" t="str">
        <f>IFERROR(__xludf.DUMMYFUNCTION("""COMPUTED_VALUE"""),"BLACK")</f>
        <v>BLACK</v>
      </c>
      <c r="G97" s="20" t="str">
        <f>IFERROR(__xludf.DUMMYFUNCTION("""COMPUTED_VALUE"""),"Uncle Sams Cider (11/12/2021) 02")</f>
        <v>Uncle Sams Cider (11/12/2021) 02</v>
      </c>
      <c r="H97" s="19"/>
    </row>
    <row r="98">
      <c r="A98" s="9"/>
      <c r="B98" s="15"/>
      <c r="C98" s="9">
        <f>IFERROR(__xludf.DUMMYFUNCTION("""COMPUTED_VALUE"""),44604.5389851504)</f>
        <v>44604.53899</v>
      </c>
      <c r="D98" s="15">
        <f>IFERROR(__xludf.DUMMYFUNCTION("""COMPUTED_VALUE"""),1.004)</f>
        <v>1.004</v>
      </c>
      <c r="E98" s="16">
        <f>IFERROR(__xludf.DUMMYFUNCTION("""COMPUTED_VALUE"""),63.0)</f>
        <v>63</v>
      </c>
      <c r="F98" s="19" t="str">
        <f>IFERROR(__xludf.DUMMYFUNCTION("""COMPUTED_VALUE"""),"BLACK")</f>
        <v>BLACK</v>
      </c>
      <c r="G98" s="20" t="str">
        <f>IFERROR(__xludf.DUMMYFUNCTION("""COMPUTED_VALUE"""),"Uncle Sams Cider (11/12/2021) 02")</f>
        <v>Uncle Sams Cider (11/12/2021) 02</v>
      </c>
      <c r="H98" s="19"/>
    </row>
    <row r="99">
      <c r="A99" s="9"/>
      <c r="B99" s="15"/>
      <c r="C99" s="9">
        <f>IFERROR(__xludf.DUMMYFUNCTION("""COMPUTED_VALUE"""),44604.5285531944)</f>
        <v>44604.52855</v>
      </c>
      <c r="D99" s="15">
        <f>IFERROR(__xludf.DUMMYFUNCTION("""COMPUTED_VALUE"""),1.004)</f>
        <v>1.004</v>
      </c>
      <c r="E99" s="16">
        <f>IFERROR(__xludf.DUMMYFUNCTION("""COMPUTED_VALUE"""),63.0)</f>
        <v>63</v>
      </c>
      <c r="F99" s="19" t="str">
        <f>IFERROR(__xludf.DUMMYFUNCTION("""COMPUTED_VALUE"""),"BLACK")</f>
        <v>BLACK</v>
      </c>
      <c r="G99" s="20" t="str">
        <f>IFERROR(__xludf.DUMMYFUNCTION("""COMPUTED_VALUE"""),"Uncle Sams Cider (11/12/2021) 02")</f>
        <v>Uncle Sams Cider (11/12/2021) 02</v>
      </c>
      <c r="H99" s="19"/>
    </row>
    <row r="100">
      <c r="A100" s="9"/>
      <c r="B100" s="15"/>
      <c r="C100" s="9">
        <f>IFERROR(__xludf.DUMMYFUNCTION("""COMPUTED_VALUE"""),44604.5181308564)</f>
        <v>44604.51813</v>
      </c>
      <c r="D100" s="15">
        <f>IFERROR(__xludf.DUMMYFUNCTION("""COMPUTED_VALUE"""),1.004)</f>
        <v>1.004</v>
      </c>
      <c r="E100" s="16">
        <f>IFERROR(__xludf.DUMMYFUNCTION("""COMPUTED_VALUE"""),63.0)</f>
        <v>63</v>
      </c>
      <c r="F100" s="19" t="str">
        <f>IFERROR(__xludf.DUMMYFUNCTION("""COMPUTED_VALUE"""),"BLACK")</f>
        <v>BLACK</v>
      </c>
      <c r="G100" s="20" t="str">
        <f>IFERROR(__xludf.DUMMYFUNCTION("""COMPUTED_VALUE"""),"Uncle Sams Cider (11/12/2021) 02")</f>
        <v>Uncle Sams Cider (11/12/2021) 02</v>
      </c>
      <c r="H100" s="19"/>
    </row>
    <row r="101">
      <c r="A101" s="9"/>
      <c r="B101" s="15"/>
      <c r="C101" s="9">
        <f>IFERROR(__xludf.DUMMYFUNCTION("""COMPUTED_VALUE"""),44604.5077078819)</f>
        <v>44604.50771</v>
      </c>
      <c r="D101" s="15">
        <f>IFERROR(__xludf.DUMMYFUNCTION("""COMPUTED_VALUE"""),1.004)</f>
        <v>1.004</v>
      </c>
      <c r="E101" s="16">
        <f>IFERROR(__xludf.DUMMYFUNCTION("""COMPUTED_VALUE"""),63.0)</f>
        <v>63</v>
      </c>
      <c r="F101" s="19" t="str">
        <f>IFERROR(__xludf.DUMMYFUNCTION("""COMPUTED_VALUE"""),"BLACK")</f>
        <v>BLACK</v>
      </c>
      <c r="G101" s="20" t="str">
        <f>IFERROR(__xludf.DUMMYFUNCTION("""COMPUTED_VALUE"""),"Uncle Sams Cider (11/12/2021) 02")</f>
        <v>Uncle Sams Cider (11/12/2021) 02</v>
      </c>
      <c r="H101" s="19"/>
    </row>
    <row r="102">
      <c r="A102" s="9"/>
      <c r="B102" s="15"/>
      <c r="C102" s="9">
        <f>IFERROR(__xludf.DUMMYFUNCTION("""COMPUTED_VALUE"""),44604.4972867129)</f>
        <v>44604.49729</v>
      </c>
      <c r="D102" s="15">
        <f>IFERROR(__xludf.DUMMYFUNCTION("""COMPUTED_VALUE"""),1.004)</f>
        <v>1.004</v>
      </c>
      <c r="E102" s="16">
        <f>IFERROR(__xludf.DUMMYFUNCTION("""COMPUTED_VALUE"""),63.0)</f>
        <v>63</v>
      </c>
      <c r="F102" s="19" t="str">
        <f>IFERROR(__xludf.DUMMYFUNCTION("""COMPUTED_VALUE"""),"BLACK")</f>
        <v>BLACK</v>
      </c>
      <c r="G102" s="20" t="str">
        <f>IFERROR(__xludf.DUMMYFUNCTION("""COMPUTED_VALUE"""),"Uncle Sams Cider (11/12/2021) 02")</f>
        <v>Uncle Sams Cider (11/12/2021) 02</v>
      </c>
      <c r="H102" s="19"/>
    </row>
    <row r="103">
      <c r="A103" s="9"/>
      <c r="B103" s="15"/>
      <c r="C103" s="9">
        <f>IFERROR(__xludf.DUMMYFUNCTION("""COMPUTED_VALUE"""),44604.4868532291)</f>
        <v>44604.48685</v>
      </c>
      <c r="D103" s="15">
        <f>IFERROR(__xludf.DUMMYFUNCTION("""COMPUTED_VALUE"""),1.004)</f>
        <v>1.004</v>
      </c>
      <c r="E103" s="16">
        <f>IFERROR(__xludf.DUMMYFUNCTION("""COMPUTED_VALUE"""),63.0)</f>
        <v>63</v>
      </c>
      <c r="F103" s="19" t="str">
        <f>IFERROR(__xludf.DUMMYFUNCTION("""COMPUTED_VALUE"""),"BLACK")</f>
        <v>BLACK</v>
      </c>
      <c r="G103" s="20" t="str">
        <f>IFERROR(__xludf.DUMMYFUNCTION("""COMPUTED_VALUE"""),"Uncle Sams Cider (11/12/2021) 02")</f>
        <v>Uncle Sams Cider (11/12/2021) 02</v>
      </c>
      <c r="H103" s="19"/>
    </row>
    <row r="104">
      <c r="A104" s="9"/>
      <c r="B104" s="15"/>
      <c r="C104" s="9">
        <f>IFERROR(__xludf.DUMMYFUNCTION("""COMPUTED_VALUE"""),44604.4764192824)</f>
        <v>44604.47642</v>
      </c>
      <c r="D104" s="15">
        <f>IFERROR(__xludf.DUMMYFUNCTION("""COMPUTED_VALUE"""),1.004)</f>
        <v>1.004</v>
      </c>
      <c r="E104" s="16">
        <f>IFERROR(__xludf.DUMMYFUNCTION("""COMPUTED_VALUE"""),63.0)</f>
        <v>63</v>
      </c>
      <c r="F104" s="19" t="str">
        <f>IFERROR(__xludf.DUMMYFUNCTION("""COMPUTED_VALUE"""),"BLACK")</f>
        <v>BLACK</v>
      </c>
      <c r="G104" s="20" t="str">
        <f>IFERROR(__xludf.DUMMYFUNCTION("""COMPUTED_VALUE"""),"Uncle Sams Cider (11/12/2021) 02")</f>
        <v>Uncle Sams Cider (11/12/2021) 02</v>
      </c>
      <c r="H104" s="19"/>
    </row>
    <row r="105">
      <c r="A105" s="9"/>
      <c r="B105" s="15"/>
      <c r="C105" s="9">
        <f>IFERROR(__xludf.DUMMYFUNCTION("""COMPUTED_VALUE"""),44604.4659979166)</f>
        <v>44604.466</v>
      </c>
      <c r="D105" s="15">
        <f>IFERROR(__xludf.DUMMYFUNCTION("""COMPUTED_VALUE"""),1.003)</f>
        <v>1.003</v>
      </c>
      <c r="E105" s="16">
        <f>IFERROR(__xludf.DUMMYFUNCTION("""COMPUTED_VALUE"""),63.0)</f>
        <v>63</v>
      </c>
      <c r="F105" s="19" t="str">
        <f>IFERROR(__xludf.DUMMYFUNCTION("""COMPUTED_VALUE"""),"BLACK")</f>
        <v>BLACK</v>
      </c>
      <c r="G105" s="20" t="str">
        <f>IFERROR(__xludf.DUMMYFUNCTION("""COMPUTED_VALUE"""),"Uncle Sams Cider (11/12/2021) 02")</f>
        <v>Uncle Sams Cider (11/12/2021) 02</v>
      </c>
      <c r="H105" s="19"/>
    </row>
    <row r="106">
      <c r="A106" s="9"/>
      <c r="B106" s="15"/>
      <c r="C106" s="9">
        <f>IFERROR(__xludf.DUMMYFUNCTION("""COMPUTED_VALUE"""),44604.4555779282)</f>
        <v>44604.45558</v>
      </c>
      <c r="D106" s="15">
        <f>IFERROR(__xludf.DUMMYFUNCTION("""COMPUTED_VALUE"""),1.004)</f>
        <v>1.004</v>
      </c>
      <c r="E106" s="16">
        <f>IFERROR(__xludf.DUMMYFUNCTION("""COMPUTED_VALUE"""),63.0)</f>
        <v>63</v>
      </c>
      <c r="F106" s="19" t="str">
        <f>IFERROR(__xludf.DUMMYFUNCTION("""COMPUTED_VALUE"""),"BLACK")</f>
        <v>BLACK</v>
      </c>
      <c r="G106" s="20" t="str">
        <f>IFERROR(__xludf.DUMMYFUNCTION("""COMPUTED_VALUE"""),"Uncle Sams Cider (11/12/2021) 02")</f>
        <v>Uncle Sams Cider (11/12/2021) 02</v>
      </c>
      <c r="H106" s="19"/>
    </row>
    <row r="107">
      <c r="A107" s="9"/>
      <c r="B107" s="15"/>
      <c r="C107" s="9">
        <f>IFERROR(__xludf.DUMMYFUNCTION("""COMPUTED_VALUE"""),44604.4451450462)</f>
        <v>44604.44515</v>
      </c>
      <c r="D107" s="15">
        <f>IFERROR(__xludf.DUMMYFUNCTION("""COMPUTED_VALUE"""),1.004)</f>
        <v>1.004</v>
      </c>
      <c r="E107" s="16">
        <f>IFERROR(__xludf.DUMMYFUNCTION("""COMPUTED_VALUE"""),63.0)</f>
        <v>63</v>
      </c>
      <c r="F107" s="19" t="str">
        <f>IFERROR(__xludf.DUMMYFUNCTION("""COMPUTED_VALUE"""),"BLACK")</f>
        <v>BLACK</v>
      </c>
      <c r="G107" s="20" t="str">
        <f>IFERROR(__xludf.DUMMYFUNCTION("""COMPUTED_VALUE"""),"Uncle Sams Cider (11/12/2021) 02")</f>
        <v>Uncle Sams Cider (11/12/2021) 02</v>
      </c>
      <c r="H107" s="19"/>
    </row>
    <row r="108">
      <c r="A108" s="9"/>
      <c r="B108" s="15"/>
      <c r="C108" s="9">
        <f>IFERROR(__xludf.DUMMYFUNCTION("""COMPUTED_VALUE"""),44604.4347221296)</f>
        <v>44604.43472</v>
      </c>
      <c r="D108" s="15">
        <f>IFERROR(__xludf.DUMMYFUNCTION("""COMPUTED_VALUE"""),1.004)</f>
        <v>1.004</v>
      </c>
      <c r="E108" s="16">
        <f>IFERROR(__xludf.DUMMYFUNCTION("""COMPUTED_VALUE"""),63.0)</f>
        <v>63</v>
      </c>
      <c r="F108" s="19" t="str">
        <f>IFERROR(__xludf.DUMMYFUNCTION("""COMPUTED_VALUE"""),"BLACK")</f>
        <v>BLACK</v>
      </c>
      <c r="G108" s="20" t="str">
        <f>IFERROR(__xludf.DUMMYFUNCTION("""COMPUTED_VALUE"""),"Uncle Sams Cider (11/12/2021) 02")</f>
        <v>Uncle Sams Cider (11/12/2021) 02</v>
      </c>
      <c r="H108" s="19"/>
    </row>
    <row r="109">
      <c r="A109" s="9"/>
      <c r="B109" s="15"/>
      <c r="C109" s="9">
        <f>IFERROR(__xludf.DUMMYFUNCTION("""COMPUTED_VALUE"""),44604.4242993402)</f>
        <v>44604.4243</v>
      </c>
      <c r="D109" s="15">
        <f>IFERROR(__xludf.DUMMYFUNCTION("""COMPUTED_VALUE"""),1.004)</f>
        <v>1.004</v>
      </c>
      <c r="E109" s="16">
        <f>IFERROR(__xludf.DUMMYFUNCTION("""COMPUTED_VALUE"""),63.0)</f>
        <v>63</v>
      </c>
      <c r="F109" s="19" t="str">
        <f>IFERROR(__xludf.DUMMYFUNCTION("""COMPUTED_VALUE"""),"BLACK")</f>
        <v>BLACK</v>
      </c>
      <c r="G109" s="20" t="str">
        <f>IFERROR(__xludf.DUMMYFUNCTION("""COMPUTED_VALUE"""),"Uncle Sams Cider (11/12/2021) 02")</f>
        <v>Uncle Sams Cider (11/12/2021) 02</v>
      </c>
      <c r="H109" s="19"/>
    </row>
    <row r="110">
      <c r="A110" s="9"/>
      <c r="B110" s="15"/>
      <c r="C110" s="9">
        <f>IFERROR(__xludf.DUMMYFUNCTION("""COMPUTED_VALUE"""),44604.4138751967)</f>
        <v>44604.41388</v>
      </c>
      <c r="D110" s="15">
        <f>IFERROR(__xludf.DUMMYFUNCTION("""COMPUTED_VALUE"""),1.004)</f>
        <v>1.004</v>
      </c>
      <c r="E110" s="16">
        <f>IFERROR(__xludf.DUMMYFUNCTION("""COMPUTED_VALUE"""),63.0)</f>
        <v>63</v>
      </c>
      <c r="F110" s="19" t="str">
        <f>IFERROR(__xludf.DUMMYFUNCTION("""COMPUTED_VALUE"""),"BLACK")</f>
        <v>BLACK</v>
      </c>
      <c r="G110" s="20" t="str">
        <f>IFERROR(__xludf.DUMMYFUNCTION("""COMPUTED_VALUE"""),"Uncle Sams Cider (11/12/2021) 02")</f>
        <v>Uncle Sams Cider (11/12/2021) 02</v>
      </c>
      <c r="H110" s="19"/>
    </row>
    <row r="111">
      <c r="A111" s="9"/>
      <c r="B111" s="15"/>
      <c r="C111" s="9">
        <f>IFERROR(__xludf.DUMMYFUNCTION("""COMPUTED_VALUE"""),44604.4034535532)</f>
        <v>44604.40345</v>
      </c>
      <c r="D111" s="15">
        <f>IFERROR(__xludf.DUMMYFUNCTION("""COMPUTED_VALUE"""),1.004)</f>
        <v>1.004</v>
      </c>
      <c r="E111" s="16">
        <f>IFERROR(__xludf.DUMMYFUNCTION("""COMPUTED_VALUE"""),63.0)</f>
        <v>63</v>
      </c>
      <c r="F111" s="19" t="str">
        <f>IFERROR(__xludf.DUMMYFUNCTION("""COMPUTED_VALUE"""),"BLACK")</f>
        <v>BLACK</v>
      </c>
      <c r="G111" s="20" t="str">
        <f>IFERROR(__xludf.DUMMYFUNCTION("""COMPUTED_VALUE"""),"Uncle Sams Cider (11/12/2021) 02")</f>
        <v>Uncle Sams Cider (11/12/2021) 02</v>
      </c>
      <c r="H111" s="19"/>
    </row>
    <row r="112">
      <c r="A112" s="9"/>
      <c r="B112" s="15"/>
      <c r="C112" s="9">
        <f>IFERROR(__xludf.DUMMYFUNCTION("""COMPUTED_VALUE"""),44604.3930329861)</f>
        <v>44604.39303</v>
      </c>
      <c r="D112" s="15">
        <f>IFERROR(__xludf.DUMMYFUNCTION("""COMPUTED_VALUE"""),1.004)</f>
        <v>1.004</v>
      </c>
      <c r="E112" s="16">
        <f>IFERROR(__xludf.DUMMYFUNCTION("""COMPUTED_VALUE"""),63.0)</f>
        <v>63</v>
      </c>
      <c r="F112" s="19" t="str">
        <f>IFERROR(__xludf.DUMMYFUNCTION("""COMPUTED_VALUE"""),"BLACK")</f>
        <v>BLACK</v>
      </c>
      <c r="G112" s="20" t="str">
        <f>IFERROR(__xludf.DUMMYFUNCTION("""COMPUTED_VALUE"""),"Uncle Sams Cider (11/12/2021) 02")</f>
        <v>Uncle Sams Cider (11/12/2021) 02</v>
      </c>
      <c r="H112" s="19"/>
    </row>
    <row r="113">
      <c r="A113" s="9"/>
      <c r="B113" s="15"/>
      <c r="C113" s="9">
        <f>IFERROR(__xludf.DUMMYFUNCTION("""COMPUTED_VALUE"""),44604.3825423148)</f>
        <v>44604.38254</v>
      </c>
      <c r="D113" s="15">
        <f>IFERROR(__xludf.DUMMYFUNCTION("""COMPUTED_VALUE"""),1.004)</f>
        <v>1.004</v>
      </c>
      <c r="E113" s="16">
        <f>IFERROR(__xludf.DUMMYFUNCTION("""COMPUTED_VALUE"""),63.0)</f>
        <v>63</v>
      </c>
      <c r="F113" s="19" t="str">
        <f>IFERROR(__xludf.DUMMYFUNCTION("""COMPUTED_VALUE"""),"BLACK")</f>
        <v>BLACK</v>
      </c>
      <c r="G113" s="20" t="str">
        <f>IFERROR(__xludf.DUMMYFUNCTION("""COMPUTED_VALUE"""),"Uncle Sams Cider (11/12/2021) 02")</f>
        <v>Uncle Sams Cider (11/12/2021) 02</v>
      </c>
      <c r="H113" s="19"/>
    </row>
    <row r="114">
      <c r="A114" s="9"/>
      <c r="B114" s="15"/>
      <c r="C114" s="9">
        <f>IFERROR(__xludf.DUMMYFUNCTION("""COMPUTED_VALUE"""),44604.3721217245)</f>
        <v>44604.37212</v>
      </c>
      <c r="D114" s="15">
        <f>IFERROR(__xludf.DUMMYFUNCTION("""COMPUTED_VALUE"""),1.004)</f>
        <v>1.004</v>
      </c>
      <c r="E114" s="16">
        <f>IFERROR(__xludf.DUMMYFUNCTION("""COMPUTED_VALUE"""),63.0)</f>
        <v>63</v>
      </c>
      <c r="F114" s="19" t="str">
        <f>IFERROR(__xludf.DUMMYFUNCTION("""COMPUTED_VALUE"""),"BLACK")</f>
        <v>BLACK</v>
      </c>
      <c r="G114" s="20" t="str">
        <f>IFERROR(__xludf.DUMMYFUNCTION("""COMPUTED_VALUE"""),"Uncle Sams Cider (11/12/2021) 02")</f>
        <v>Uncle Sams Cider (11/12/2021) 02</v>
      </c>
      <c r="H114" s="19"/>
    </row>
    <row r="115">
      <c r="A115" s="9"/>
      <c r="B115" s="15"/>
      <c r="C115" s="9">
        <f>IFERROR(__xludf.DUMMYFUNCTION("""COMPUTED_VALUE"""),44604.3616895486)</f>
        <v>44604.36169</v>
      </c>
      <c r="D115" s="15">
        <f>IFERROR(__xludf.DUMMYFUNCTION("""COMPUTED_VALUE"""),1.004)</f>
        <v>1.004</v>
      </c>
      <c r="E115" s="16">
        <f>IFERROR(__xludf.DUMMYFUNCTION("""COMPUTED_VALUE"""),63.0)</f>
        <v>63</v>
      </c>
      <c r="F115" s="19" t="str">
        <f>IFERROR(__xludf.DUMMYFUNCTION("""COMPUTED_VALUE"""),"BLACK")</f>
        <v>BLACK</v>
      </c>
      <c r="G115" s="20" t="str">
        <f>IFERROR(__xludf.DUMMYFUNCTION("""COMPUTED_VALUE"""),"Uncle Sams Cider (11/12/2021) 02")</f>
        <v>Uncle Sams Cider (11/12/2021) 02</v>
      </c>
      <c r="H115" s="19"/>
    </row>
    <row r="116">
      <c r="A116" s="9"/>
      <c r="B116" s="15"/>
      <c r="C116" s="9">
        <f>IFERROR(__xludf.DUMMYFUNCTION("""COMPUTED_VALUE"""),44604.3512688078)</f>
        <v>44604.35127</v>
      </c>
      <c r="D116" s="15">
        <f>IFERROR(__xludf.DUMMYFUNCTION("""COMPUTED_VALUE"""),1.004)</f>
        <v>1.004</v>
      </c>
      <c r="E116" s="16">
        <f>IFERROR(__xludf.DUMMYFUNCTION("""COMPUTED_VALUE"""),63.0)</f>
        <v>63</v>
      </c>
      <c r="F116" s="19" t="str">
        <f>IFERROR(__xludf.DUMMYFUNCTION("""COMPUTED_VALUE"""),"BLACK")</f>
        <v>BLACK</v>
      </c>
      <c r="G116" s="20" t="str">
        <f>IFERROR(__xludf.DUMMYFUNCTION("""COMPUTED_VALUE"""),"Uncle Sams Cider (11/12/2021) 02")</f>
        <v>Uncle Sams Cider (11/12/2021) 02</v>
      </c>
      <c r="H116" s="19"/>
    </row>
    <row r="117">
      <c r="A117" s="9"/>
      <c r="B117" s="15"/>
      <c r="C117" s="9">
        <f>IFERROR(__xludf.DUMMYFUNCTION("""COMPUTED_VALUE"""),44604.34083603)</f>
        <v>44604.34084</v>
      </c>
      <c r="D117" s="15">
        <f>IFERROR(__xludf.DUMMYFUNCTION("""COMPUTED_VALUE"""),1.004)</f>
        <v>1.004</v>
      </c>
      <c r="E117" s="16">
        <f>IFERROR(__xludf.DUMMYFUNCTION("""COMPUTED_VALUE"""),63.0)</f>
        <v>63</v>
      </c>
      <c r="F117" s="19" t="str">
        <f>IFERROR(__xludf.DUMMYFUNCTION("""COMPUTED_VALUE"""),"BLACK")</f>
        <v>BLACK</v>
      </c>
      <c r="G117" s="20" t="str">
        <f>IFERROR(__xludf.DUMMYFUNCTION("""COMPUTED_VALUE"""),"Uncle Sams Cider (11/12/2021) 02")</f>
        <v>Uncle Sams Cider (11/12/2021) 02</v>
      </c>
      <c r="H117" s="19"/>
    </row>
    <row r="118">
      <c r="A118" s="9"/>
      <c r="B118" s="15"/>
      <c r="C118" s="9">
        <f>IFERROR(__xludf.DUMMYFUNCTION("""COMPUTED_VALUE"""),44604.3304026388)</f>
        <v>44604.3304</v>
      </c>
      <c r="D118" s="15">
        <f>IFERROR(__xludf.DUMMYFUNCTION("""COMPUTED_VALUE"""),1.004)</f>
        <v>1.004</v>
      </c>
      <c r="E118" s="16">
        <f>IFERROR(__xludf.DUMMYFUNCTION("""COMPUTED_VALUE"""),63.0)</f>
        <v>63</v>
      </c>
      <c r="F118" s="19" t="str">
        <f>IFERROR(__xludf.DUMMYFUNCTION("""COMPUTED_VALUE"""),"BLACK")</f>
        <v>BLACK</v>
      </c>
      <c r="G118" s="20" t="str">
        <f>IFERROR(__xludf.DUMMYFUNCTION("""COMPUTED_VALUE"""),"Uncle Sams Cider (11/12/2021) 02")</f>
        <v>Uncle Sams Cider (11/12/2021) 02</v>
      </c>
      <c r="H118" s="19"/>
    </row>
    <row r="119">
      <c r="A119" s="9"/>
      <c r="B119" s="15"/>
      <c r="C119" s="9">
        <f>IFERROR(__xludf.DUMMYFUNCTION("""COMPUTED_VALUE"""),44604.3199594444)</f>
        <v>44604.31996</v>
      </c>
      <c r="D119" s="15">
        <f>IFERROR(__xludf.DUMMYFUNCTION("""COMPUTED_VALUE"""),1.004)</f>
        <v>1.004</v>
      </c>
      <c r="E119" s="16">
        <f>IFERROR(__xludf.DUMMYFUNCTION("""COMPUTED_VALUE"""),63.0)</f>
        <v>63</v>
      </c>
      <c r="F119" s="19" t="str">
        <f>IFERROR(__xludf.DUMMYFUNCTION("""COMPUTED_VALUE"""),"BLACK")</f>
        <v>BLACK</v>
      </c>
      <c r="G119" s="20" t="str">
        <f>IFERROR(__xludf.DUMMYFUNCTION("""COMPUTED_VALUE"""),"Uncle Sams Cider (11/12/2021) 02")</f>
        <v>Uncle Sams Cider (11/12/2021) 02</v>
      </c>
      <c r="H119" s="19"/>
    </row>
    <row r="120">
      <c r="A120" s="9"/>
      <c r="B120" s="15"/>
      <c r="C120" s="9">
        <f>IFERROR(__xludf.DUMMYFUNCTION("""COMPUTED_VALUE"""),44604.3095381481)</f>
        <v>44604.30954</v>
      </c>
      <c r="D120" s="15">
        <f>IFERROR(__xludf.DUMMYFUNCTION("""COMPUTED_VALUE"""),1.004)</f>
        <v>1.004</v>
      </c>
      <c r="E120" s="16">
        <f>IFERROR(__xludf.DUMMYFUNCTION("""COMPUTED_VALUE"""),63.0)</f>
        <v>63</v>
      </c>
      <c r="F120" s="19" t="str">
        <f>IFERROR(__xludf.DUMMYFUNCTION("""COMPUTED_VALUE"""),"BLACK")</f>
        <v>BLACK</v>
      </c>
      <c r="G120" s="20" t="str">
        <f>IFERROR(__xludf.DUMMYFUNCTION("""COMPUTED_VALUE"""),"Uncle Sams Cider (11/12/2021) 02")</f>
        <v>Uncle Sams Cider (11/12/2021) 02</v>
      </c>
      <c r="H120" s="19"/>
    </row>
    <row r="121">
      <c r="A121" s="9"/>
      <c r="B121" s="15"/>
      <c r="C121" s="9">
        <f>IFERROR(__xludf.DUMMYFUNCTION("""COMPUTED_VALUE"""),44604.29911603)</f>
        <v>44604.29912</v>
      </c>
      <c r="D121" s="15">
        <f>IFERROR(__xludf.DUMMYFUNCTION("""COMPUTED_VALUE"""),1.004)</f>
        <v>1.004</v>
      </c>
      <c r="E121" s="16">
        <f>IFERROR(__xludf.DUMMYFUNCTION("""COMPUTED_VALUE"""),63.0)</f>
        <v>63</v>
      </c>
      <c r="F121" s="19" t="str">
        <f>IFERROR(__xludf.DUMMYFUNCTION("""COMPUTED_VALUE"""),"BLACK")</f>
        <v>BLACK</v>
      </c>
      <c r="G121" s="20" t="str">
        <f>IFERROR(__xludf.DUMMYFUNCTION("""COMPUTED_VALUE"""),"Uncle Sams Cider (11/12/2021) 02")</f>
        <v>Uncle Sams Cider (11/12/2021) 02</v>
      </c>
      <c r="H121" s="19"/>
    </row>
    <row r="122">
      <c r="A122" s="9"/>
      <c r="B122" s="15"/>
      <c r="C122" s="9">
        <f>IFERROR(__xludf.DUMMYFUNCTION("""COMPUTED_VALUE"""),44604.2886699421)</f>
        <v>44604.28867</v>
      </c>
      <c r="D122" s="15">
        <f>IFERROR(__xludf.DUMMYFUNCTION("""COMPUTED_VALUE"""),1.004)</f>
        <v>1.004</v>
      </c>
      <c r="E122" s="16">
        <f>IFERROR(__xludf.DUMMYFUNCTION("""COMPUTED_VALUE"""),63.0)</f>
        <v>63</v>
      </c>
      <c r="F122" s="19" t="str">
        <f>IFERROR(__xludf.DUMMYFUNCTION("""COMPUTED_VALUE"""),"BLACK")</f>
        <v>BLACK</v>
      </c>
      <c r="G122" s="20" t="str">
        <f>IFERROR(__xludf.DUMMYFUNCTION("""COMPUTED_VALUE"""),"Uncle Sams Cider (11/12/2021) 02")</f>
        <v>Uncle Sams Cider (11/12/2021) 02</v>
      </c>
      <c r="H122" s="19"/>
    </row>
    <row r="123">
      <c r="A123" s="9"/>
      <c r="B123" s="15"/>
      <c r="C123" s="9">
        <f>IFERROR(__xludf.DUMMYFUNCTION("""COMPUTED_VALUE"""),44604.2782489236)</f>
        <v>44604.27825</v>
      </c>
      <c r="D123" s="15">
        <f>IFERROR(__xludf.DUMMYFUNCTION("""COMPUTED_VALUE"""),1.004)</f>
        <v>1.004</v>
      </c>
      <c r="E123" s="16">
        <f>IFERROR(__xludf.DUMMYFUNCTION("""COMPUTED_VALUE"""),63.0)</f>
        <v>63</v>
      </c>
      <c r="F123" s="19" t="str">
        <f>IFERROR(__xludf.DUMMYFUNCTION("""COMPUTED_VALUE"""),"BLACK")</f>
        <v>BLACK</v>
      </c>
      <c r="G123" s="20" t="str">
        <f>IFERROR(__xludf.DUMMYFUNCTION("""COMPUTED_VALUE"""),"Uncle Sams Cider (11/12/2021) 02")</f>
        <v>Uncle Sams Cider (11/12/2021) 02</v>
      </c>
      <c r="H123" s="19"/>
    </row>
    <row r="124">
      <c r="A124" s="9"/>
      <c r="B124" s="15"/>
      <c r="C124" s="9">
        <f>IFERROR(__xludf.DUMMYFUNCTION("""COMPUTED_VALUE"""),44604.2678273495)</f>
        <v>44604.26783</v>
      </c>
      <c r="D124" s="15">
        <f>IFERROR(__xludf.DUMMYFUNCTION("""COMPUTED_VALUE"""),1.004)</f>
        <v>1.004</v>
      </c>
      <c r="E124" s="16">
        <f>IFERROR(__xludf.DUMMYFUNCTION("""COMPUTED_VALUE"""),63.0)</f>
        <v>63</v>
      </c>
      <c r="F124" s="19" t="str">
        <f>IFERROR(__xludf.DUMMYFUNCTION("""COMPUTED_VALUE"""),"BLACK")</f>
        <v>BLACK</v>
      </c>
      <c r="G124" s="20" t="str">
        <f>IFERROR(__xludf.DUMMYFUNCTION("""COMPUTED_VALUE"""),"Uncle Sams Cider (11/12/2021) 02")</f>
        <v>Uncle Sams Cider (11/12/2021) 02</v>
      </c>
      <c r="H124" s="19"/>
    </row>
    <row r="125">
      <c r="A125" s="9"/>
      <c r="B125" s="15"/>
      <c r="C125" s="9">
        <f>IFERROR(__xludf.DUMMYFUNCTION("""COMPUTED_VALUE"""),44604.2574058333)</f>
        <v>44604.25741</v>
      </c>
      <c r="D125" s="15">
        <f>IFERROR(__xludf.DUMMYFUNCTION("""COMPUTED_VALUE"""),1.004)</f>
        <v>1.004</v>
      </c>
      <c r="E125" s="16">
        <f>IFERROR(__xludf.DUMMYFUNCTION("""COMPUTED_VALUE"""),63.0)</f>
        <v>63</v>
      </c>
      <c r="F125" s="19" t="str">
        <f>IFERROR(__xludf.DUMMYFUNCTION("""COMPUTED_VALUE"""),"BLACK")</f>
        <v>BLACK</v>
      </c>
      <c r="G125" s="20" t="str">
        <f>IFERROR(__xludf.DUMMYFUNCTION("""COMPUTED_VALUE"""),"Uncle Sams Cider (11/12/2021) 02")</f>
        <v>Uncle Sams Cider (11/12/2021) 02</v>
      </c>
      <c r="H125" s="19"/>
    </row>
    <row r="126">
      <c r="A126" s="9"/>
      <c r="B126" s="15"/>
      <c r="C126" s="9">
        <f>IFERROR(__xludf.DUMMYFUNCTION("""COMPUTED_VALUE"""),44604.2469849074)</f>
        <v>44604.24698</v>
      </c>
      <c r="D126" s="15">
        <f>IFERROR(__xludf.DUMMYFUNCTION("""COMPUTED_VALUE"""),1.003)</f>
        <v>1.003</v>
      </c>
      <c r="E126" s="16">
        <f>IFERROR(__xludf.DUMMYFUNCTION("""COMPUTED_VALUE"""),63.0)</f>
        <v>63</v>
      </c>
      <c r="F126" s="19" t="str">
        <f>IFERROR(__xludf.DUMMYFUNCTION("""COMPUTED_VALUE"""),"BLACK")</f>
        <v>BLACK</v>
      </c>
      <c r="G126" s="20" t="str">
        <f>IFERROR(__xludf.DUMMYFUNCTION("""COMPUTED_VALUE"""),"Uncle Sams Cider (11/12/2021) 02")</f>
        <v>Uncle Sams Cider (11/12/2021) 02</v>
      </c>
      <c r="H126" s="19"/>
    </row>
    <row r="127">
      <c r="A127" s="9"/>
      <c r="B127" s="15"/>
      <c r="C127" s="9">
        <f>IFERROR(__xludf.DUMMYFUNCTION("""COMPUTED_VALUE"""),44604.2365645833)</f>
        <v>44604.23656</v>
      </c>
      <c r="D127" s="15">
        <f>IFERROR(__xludf.DUMMYFUNCTION("""COMPUTED_VALUE"""),1.004)</f>
        <v>1.004</v>
      </c>
      <c r="E127" s="16">
        <f>IFERROR(__xludf.DUMMYFUNCTION("""COMPUTED_VALUE"""),63.0)</f>
        <v>63</v>
      </c>
      <c r="F127" s="19" t="str">
        <f>IFERROR(__xludf.DUMMYFUNCTION("""COMPUTED_VALUE"""),"BLACK")</f>
        <v>BLACK</v>
      </c>
      <c r="G127" s="20" t="str">
        <f>IFERROR(__xludf.DUMMYFUNCTION("""COMPUTED_VALUE"""),"Uncle Sams Cider (11/12/2021) 02")</f>
        <v>Uncle Sams Cider (11/12/2021) 02</v>
      </c>
      <c r="H127" s="19"/>
    </row>
    <row r="128">
      <c r="A128" s="9"/>
      <c r="B128" s="15"/>
      <c r="C128" s="9">
        <f>IFERROR(__xludf.DUMMYFUNCTION("""COMPUTED_VALUE"""),44604.2261322222)</f>
        <v>44604.22613</v>
      </c>
      <c r="D128" s="15">
        <f>IFERROR(__xludf.DUMMYFUNCTION("""COMPUTED_VALUE"""),1.004)</f>
        <v>1.004</v>
      </c>
      <c r="E128" s="16">
        <f>IFERROR(__xludf.DUMMYFUNCTION("""COMPUTED_VALUE"""),63.0)</f>
        <v>63</v>
      </c>
      <c r="F128" s="19" t="str">
        <f>IFERROR(__xludf.DUMMYFUNCTION("""COMPUTED_VALUE"""),"BLACK")</f>
        <v>BLACK</v>
      </c>
      <c r="G128" s="20" t="str">
        <f>IFERROR(__xludf.DUMMYFUNCTION("""COMPUTED_VALUE"""),"Uncle Sams Cider (11/12/2021) 02")</f>
        <v>Uncle Sams Cider (11/12/2021) 02</v>
      </c>
      <c r="H128" s="19"/>
    </row>
    <row r="129">
      <c r="A129" s="9"/>
      <c r="B129" s="15"/>
      <c r="C129" s="9">
        <f>IFERROR(__xludf.DUMMYFUNCTION("""COMPUTED_VALUE"""),44604.2157114236)</f>
        <v>44604.21571</v>
      </c>
      <c r="D129" s="15">
        <f>IFERROR(__xludf.DUMMYFUNCTION("""COMPUTED_VALUE"""),1.004)</f>
        <v>1.004</v>
      </c>
      <c r="E129" s="16">
        <f>IFERROR(__xludf.DUMMYFUNCTION("""COMPUTED_VALUE"""),63.0)</f>
        <v>63</v>
      </c>
      <c r="F129" s="19" t="str">
        <f>IFERROR(__xludf.DUMMYFUNCTION("""COMPUTED_VALUE"""),"BLACK")</f>
        <v>BLACK</v>
      </c>
      <c r="G129" s="20" t="str">
        <f>IFERROR(__xludf.DUMMYFUNCTION("""COMPUTED_VALUE"""),"Uncle Sams Cider (11/12/2021) 02")</f>
        <v>Uncle Sams Cider (11/12/2021) 02</v>
      </c>
      <c r="H129" s="19"/>
    </row>
    <row r="130">
      <c r="A130" s="9"/>
      <c r="B130" s="15"/>
      <c r="C130" s="9">
        <f>IFERROR(__xludf.DUMMYFUNCTION("""COMPUTED_VALUE"""),44604.2052911574)</f>
        <v>44604.20529</v>
      </c>
      <c r="D130" s="15">
        <f>IFERROR(__xludf.DUMMYFUNCTION("""COMPUTED_VALUE"""),1.004)</f>
        <v>1.004</v>
      </c>
      <c r="E130" s="16">
        <f>IFERROR(__xludf.DUMMYFUNCTION("""COMPUTED_VALUE"""),63.0)</f>
        <v>63</v>
      </c>
      <c r="F130" s="19" t="str">
        <f>IFERROR(__xludf.DUMMYFUNCTION("""COMPUTED_VALUE"""),"BLACK")</f>
        <v>BLACK</v>
      </c>
      <c r="G130" s="20" t="str">
        <f>IFERROR(__xludf.DUMMYFUNCTION("""COMPUTED_VALUE"""),"Uncle Sams Cider (11/12/2021) 02")</f>
        <v>Uncle Sams Cider (11/12/2021) 02</v>
      </c>
      <c r="H130" s="19"/>
    </row>
    <row r="131">
      <c r="A131" s="9"/>
      <c r="B131" s="15"/>
      <c r="C131" s="9">
        <f>IFERROR(__xludf.DUMMYFUNCTION("""COMPUTED_VALUE"""),44604.1948467476)</f>
        <v>44604.19485</v>
      </c>
      <c r="D131" s="15">
        <f>IFERROR(__xludf.DUMMYFUNCTION("""COMPUTED_VALUE"""),1.004)</f>
        <v>1.004</v>
      </c>
      <c r="E131" s="16">
        <f>IFERROR(__xludf.DUMMYFUNCTION("""COMPUTED_VALUE"""),63.0)</f>
        <v>63</v>
      </c>
      <c r="F131" s="19" t="str">
        <f>IFERROR(__xludf.DUMMYFUNCTION("""COMPUTED_VALUE"""),"BLACK")</f>
        <v>BLACK</v>
      </c>
      <c r="G131" s="20" t="str">
        <f>IFERROR(__xludf.DUMMYFUNCTION("""COMPUTED_VALUE"""),"Uncle Sams Cider (11/12/2021) 02")</f>
        <v>Uncle Sams Cider (11/12/2021) 02</v>
      </c>
      <c r="H131" s="19"/>
    </row>
    <row r="132">
      <c r="A132" s="9"/>
      <c r="B132" s="15"/>
      <c r="C132" s="9">
        <f>IFERROR(__xludf.DUMMYFUNCTION("""COMPUTED_VALUE"""),44604.184424375)</f>
        <v>44604.18442</v>
      </c>
      <c r="D132" s="15">
        <f>IFERROR(__xludf.DUMMYFUNCTION("""COMPUTED_VALUE"""),1.004)</f>
        <v>1.004</v>
      </c>
      <c r="E132" s="16">
        <f>IFERROR(__xludf.DUMMYFUNCTION("""COMPUTED_VALUE"""),63.0)</f>
        <v>63</v>
      </c>
      <c r="F132" s="19" t="str">
        <f>IFERROR(__xludf.DUMMYFUNCTION("""COMPUTED_VALUE"""),"BLACK")</f>
        <v>BLACK</v>
      </c>
      <c r="G132" s="20" t="str">
        <f>IFERROR(__xludf.DUMMYFUNCTION("""COMPUTED_VALUE"""),"Uncle Sams Cider (11/12/2021) 02")</f>
        <v>Uncle Sams Cider (11/12/2021) 02</v>
      </c>
      <c r="H132" s="19"/>
    </row>
    <row r="133">
      <c r="A133" s="9"/>
      <c r="B133" s="15"/>
      <c r="C133" s="9">
        <f>IFERROR(__xludf.DUMMYFUNCTION("""COMPUTED_VALUE"""),44604.1740042824)</f>
        <v>44604.174</v>
      </c>
      <c r="D133" s="15">
        <f>IFERROR(__xludf.DUMMYFUNCTION("""COMPUTED_VALUE"""),1.004)</f>
        <v>1.004</v>
      </c>
      <c r="E133" s="16">
        <f>IFERROR(__xludf.DUMMYFUNCTION("""COMPUTED_VALUE"""),63.0)</f>
        <v>63</v>
      </c>
      <c r="F133" s="19" t="str">
        <f>IFERROR(__xludf.DUMMYFUNCTION("""COMPUTED_VALUE"""),"BLACK")</f>
        <v>BLACK</v>
      </c>
      <c r="G133" s="20" t="str">
        <f>IFERROR(__xludf.DUMMYFUNCTION("""COMPUTED_VALUE"""),"Uncle Sams Cider (11/12/2021) 02")</f>
        <v>Uncle Sams Cider (11/12/2021) 02</v>
      </c>
      <c r="H133" s="19"/>
    </row>
    <row r="134">
      <c r="A134" s="9"/>
      <c r="B134" s="15"/>
      <c r="C134" s="9">
        <f>IFERROR(__xludf.DUMMYFUNCTION("""COMPUTED_VALUE"""),44604.163582824)</f>
        <v>44604.16358</v>
      </c>
      <c r="D134" s="15">
        <f>IFERROR(__xludf.DUMMYFUNCTION("""COMPUTED_VALUE"""),1.004)</f>
        <v>1.004</v>
      </c>
      <c r="E134" s="16">
        <f>IFERROR(__xludf.DUMMYFUNCTION("""COMPUTED_VALUE"""),63.0)</f>
        <v>63</v>
      </c>
      <c r="F134" s="19" t="str">
        <f>IFERROR(__xludf.DUMMYFUNCTION("""COMPUTED_VALUE"""),"BLACK")</f>
        <v>BLACK</v>
      </c>
      <c r="G134" s="20" t="str">
        <f>IFERROR(__xludf.DUMMYFUNCTION("""COMPUTED_VALUE"""),"Uncle Sams Cider (11/12/2021) 02")</f>
        <v>Uncle Sams Cider (11/12/2021) 02</v>
      </c>
      <c r="H134" s="19"/>
    </row>
    <row r="135">
      <c r="A135" s="9"/>
      <c r="B135" s="15"/>
      <c r="C135" s="9">
        <f>IFERROR(__xludf.DUMMYFUNCTION("""COMPUTED_VALUE"""),44604.1531626041)</f>
        <v>44604.15316</v>
      </c>
      <c r="D135" s="15">
        <f>IFERROR(__xludf.DUMMYFUNCTION("""COMPUTED_VALUE"""),1.004)</f>
        <v>1.004</v>
      </c>
      <c r="E135" s="16">
        <f>IFERROR(__xludf.DUMMYFUNCTION("""COMPUTED_VALUE"""),64.0)</f>
        <v>64</v>
      </c>
      <c r="F135" s="19" t="str">
        <f>IFERROR(__xludf.DUMMYFUNCTION("""COMPUTED_VALUE"""),"BLACK")</f>
        <v>BLACK</v>
      </c>
      <c r="G135" s="20" t="str">
        <f>IFERROR(__xludf.DUMMYFUNCTION("""COMPUTED_VALUE"""),"Uncle Sams Cider (11/12/2021) 02")</f>
        <v>Uncle Sams Cider (11/12/2021) 02</v>
      </c>
      <c r="H135" s="19"/>
    </row>
    <row r="136">
      <c r="A136" s="9"/>
      <c r="B136" s="15"/>
      <c r="C136" s="9">
        <f>IFERROR(__xludf.DUMMYFUNCTION("""COMPUTED_VALUE"""),44604.1427297569)</f>
        <v>44604.14273</v>
      </c>
      <c r="D136" s="15">
        <f>IFERROR(__xludf.DUMMYFUNCTION("""COMPUTED_VALUE"""),1.004)</f>
        <v>1.004</v>
      </c>
      <c r="E136" s="16">
        <f>IFERROR(__xludf.DUMMYFUNCTION("""COMPUTED_VALUE"""),63.0)</f>
        <v>63</v>
      </c>
      <c r="F136" s="19" t="str">
        <f>IFERROR(__xludf.DUMMYFUNCTION("""COMPUTED_VALUE"""),"BLACK")</f>
        <v>BLACK</v>
      </c>
      <c r="G136" s="20" t="str">
        <f>IFERROR(__xludf.DUMMYFUNCTION("""COMPUTED_VALUE"""),"Uncle Sams Cider (11/12/2021) 02")</f>
        <v>Uncle Sams Cider (11/12/2021) 02</v>
      </c>
      <c r="H136" s="19"/>
    </row>
    <row r="137">
      <c r="A137" s="9"/>
      <c r="B137" s="15"/>
      <c r="C137" s="9">
        <f>IFERROR(__xludf.DUMMYFUNCTION("""COMPUTED_VALUE"""),44604.1322959722)</f>
        <v>44604.1323</v>
      </c>
      <c r="D137" s="15">
        <f>IFERROR(__xludf.DUMMYFUNCTION("""COMPUTED_VALUE"""),1.003)</f>
        <v>1.003</v>
      </c>
      <c r="E137" s="16">
        <f>IFERROR(__xludf.DUMMYFUNCTION("""COMPUTED_VALUE"""),64.0)</f>
        <v>64</v>
      </c>
      <c r="F137" s="19" t="str">
        <f>IFERROR(__xludf.DUMMYFUNCTION("""COMPUTED_VALUE"""),"BLACK")</f>
        <v>BLACK</v>
      </c>
      <c r="G137" s="20" t="str">
        <f>IFERROR(__xludf.DUMMYFUNCTION("""COMPUTED_VALUE"""),"Uncle Sams Cider (11/12/2021) 02")</f>
        <v>Uncle Sams Cider (11/12/2021) 02</v>
      </c>
      <c r="H137" s="19"/>
    </row>
    <row r="138">
      <c r="A138" s="9"/>
      <c r="B138" s="15"/>
      <c r="C138" s="9">
        <f>IFERROR(__xludf.DUMMYFUNCTION("""COMPUTED_VALUE"""),44604.1218734606)</f>
        <v>44604.12187</v>
      </c>
      <c r="D138" s="15">
        <f>IFERROR(__xludf.DUMMYFUNCTION("""COMPUTED_VALUE"""),1.004)</f>
        <v>1.004</v>
      </c>
      <c r="E138" s="16">
        <f>IFERROR(__xludf.DUMMYFUNCTION("""COMPUTED_VALUE"""),64.0)</f>
        <v>64</v>
      </c>
      <c r="F138" s="19" t="str">
        <f>IFERROR(__xludf.DUMMYFUNCTION("""COMPUTED_VALUE"""),"BLACK")</f>
        <v>BLACK</v>
      </c>
      <c r="G138" s="20" t="str">
        <f>IFERROR(__xludf.DUMMYFUNCTION("""COMPUTED_VALUE"""),"Uncle Sams Cider (11/12/2021) 02")</f>
        <v>Uncle Sams Cider (11/12/2021) 02</v>
      </c>
      <c r="H138" s="19"/>
    </row>
    <row r="139">
      <c r="A139" s="9"/>
      <c r="B139" s="15"/>
      <c r="C139" s="9">
        <f>IFERROR(__xludf.DUMMYFUNCTION("""COMPUTED_VALUE"""),44604.1114049305)</f>
        <v>44604.1114</v>
      </c>
      <c r="D139" s="15">
        <f>IFERROR(__xludf.DUMMYFUNCTION("""COMPUTED_VALUE"""),1.004)</f>
        <v>1.004</v>
      </c>
      <c r="E139" s="16">
        <f>IFERROR(__xludf.DUMMYFUNCTION("""COMPUTED_VALUE"""),64.0)</f>
        <v>64</v>
      </c>
      <c r="F139" s="19" t="str">
        <f>IFERROR(__xludf.DUMMYFUNCTION("""COMPUTED_VALUE"""),"BLACK")</f>
        <v>BLACK</v>
      </c>
      <c r="G139" s="20" t="str">
        <f>IFERROR(__xludf.DUMMYFUNCTION("""COMPUTED_VALUE"""),"Uncle Sams Cider (11/12/2021) 02")</f>
        <v>Uncle Sams Cider (11/12/2021) 02</v>
      </c>
      <c r="H139" s="19"/>
    </row>
    <row r="140">
      <c r="A140" s="9"/>
      <c r="B140" s="15"/>
      <c r="C140" s="9">
        <f>IFERROR(__xludf.DUMMYFUNCTION("""COMPUTED_VALUE"""),44604.1009729513)</f>
        <v>44604.10097</v>
      </c>
      <c r="D140" s="15">
        <f>IFERROR(__xludf.DUMMYFUNCTION("""COMPUTED_VALUE"""),1.004)</f>
        <v>1.004</v>
      </c>
      <c r="E140" s="16">
        <f>IFERROR(__xludf.DUMMYFUNCTION("""COMPUTED_VALUE"""),64.0)</f>
        <v>64</v>
      </c>
      <c r="F140" s="19" t="str">
        <f>IFERROR(__xludf.DUMMYFUNCTION("""COMPUTED_VALUE"""),"BLACK")</f>
        <v>BLACK</v>
      </c>
      <c r="G140" s="20" t="str">
        <f>IFERROR(__xludf.DUMMYFUNCTION("""COMPUTED_VALUE"""),"Uncle Sams Cider (11/12/2021) 02")</f>
        <v>Uncle Sams Cider (11/12/2021) 02</v>
      </c>
      <c r="H140" s="19"/>
    </row>
    <row r="141">
      <c r="A141" s="9"/>
      <c r="B141" s="15"/>
      <c r="C141" s="9">
        <f>IFERROR(__xludf.DUMMYFUNCTION("""COMPUTED_VALUE"""),44604.0905520601)</f>
        <v>44604.09055</v>
      </c>
      <c r="D141" s="15">
        <f>IFERROR(__xludf.DUMMYFUNCTION("""COMPUTED_VALUE"""),1.004)</f>
        <v>1.004</v>
      </c>
      <c r="E141" s="16">
        <f>IFERROR(__xludf.DUMMYFUNCTION("""COMPUTED_VALUE"""),63.0)</f>
        <v>63</v>
      </c>
      <c r="F141" s="19" t="str">
        <f>IFERROR(__xludf.DUMMYFUNCTION("""COMPUTED_VALUE"""),"BLACK")</f>
        <v>BLACK</v>
      </c>
      <c r="G141" s="20" t="str">
        <f>IFERROR(__xludf.DUMMYFUNCTION("""COMPUTED_VALUE"""),"Uncle Sams Cider (11/12/2021) 02")</f>
        <v>Uncle Sams Cider (11/12/2021) 02</v>
      </c>
      <c r="H141" s="19"/>
    </row>
    <row r="142">
      <c r="A142" s="9"/>
      <c r="B142" s="15"/>
      <c r="C142" s="9">
        <f>IFERROR(__xludf.DUMMYFUNCTION("""COMPUTED_VALUE"""),44604.0801200115)</f>
        <v>44604.08012</v>
      </c>
      <c r="D142" s="15">
        <f>IFERROR(__xludf.DUMMYFUNCTION("""COMPUTED_VALUE"""),1.004)</f>
        <v>1.004</v>
      </c>
      <c r="E142" s="16">
        <f>IFERROR(__xludf.DUMMYFUNCTION("""COMPUTED_VALUE"""),64.0)</f>
        <v>64</v>
      </c>
      <c r="F142" s="19" t="str">
        <f>IFERROR(__xludf.DUMMYFUNCTION("""COMPUTED_VALUE"""),"BLACK")</f>
        <v>BLACK</v>
      </c>
      <c r="G142" s="20" t="str">
        <f>IFERROR(__xludf.DUMMYFUNCTION("""COMPUTED_VALUE"""),"Uncle Sams Cider (11/12/2021) 02")</f>
        <v>Uncle Sams Cider (11/12/2021) 02</v>
      </c>
      <c r="H142" s="19"/>
    </row>
    <row r="143">
      <c r="A143" s="9"/>
      <c r="B143" s="15"/>
      <c r="C143" s="9">
        <f>IFERROR(__xludf.DUMMYFUNCTION("""COMPUTED_VALUE"""),44604.0696988078)</f>
        <v>44604.0697</v>
      </c>
      <c r="D143" s="15">
        <f>IFERROR(__xludf.DUMMYFUNCTION("""COMPUTED_VALUE"""),1.004)</f>
        <v>1.004</v>
      </c>
      <c r="E143" s="16">
        <f>IFERROR(__xludf.DUMMYFUNCTION("""COMPUTED_VALUE"""),64.0)</f>
        <v>64</v>
      </c>
      <c r="F143" s="19" t="str">
        <f>IFERROR(__xludf.DUMMYFUNCTION("""COMPUTED_VALUE"""),"BLACK")</f>
        <v>BLACK</v>
      </c>
      <c r="G143" s="20" t="str">
        <f>IFERROR(__xludf.DUMMYFUNCTION("""COMPUTED_VALUE"""),"Uncle Sams Cider (11/12/2021) 02")</f>
        <v>Uncle Sams Cider (11/12/2021) 02</v>
      </c>
      <c r="H143" s="19"/>
    </row>
    <row r="144">
      <c r="A144" s="9"/>
      <c r="B144" s="15"/>
      <c r="C144" s="9">
        <f>IFERROR(__xludf.DUMMYFUNCTION("""COMPUTED_VALUE"""),44604.0592671759)</f>
        <v>44604.05927</v>
      </c>
      <c r="D144" s="15">
        <f>IFERROR(__xludf.DUMMYFUNCTION("""COMPUTED_VALUE"""),1.004)</f>
        <v>1.004</v>
      </c>
      <c r="E144" s="16">
        <f>IFERROR(__xludf.DUMMYFUNCTION("""COMPUTED_VALUE"""),63.0)</f>
        <v>63</v>
      </c>
      <c r="F144" s="19" t="str">
        <f>IFERROR(__xludf.DUMMYFUNCTION("""COMPUTED_VALUE"""),"BLACK")</f>
        <v>BLACK</v>
      </c>
      <c r="G144" s="20" t="str">
        <f>IFERROR(__xludf.DUMMYFUNCTION("""COMPUTED_VALUE"""),"Uncle Sams Cider (11/12/2021) 02")</f>
        <v>Uncle Sams Cider (11/12/2021) 02</v>
      </c>
      <c r="H144" s="19"/>
    </row>
    <row r="145">
      <c r="A145" s="9"/>
      <c r="B145" s="15"/>
      <c r="C145" s="9">
        <f>IFERROR(__xludf.DUMMYFUNCTION("""COMPUTED_VALUE"""),44604.0488455324)</f>
        <v>44604.04885</v>
      </c>
      <c r="D145" s="15">
        <f>IFERROR(__xludf.DUMMYFUNCTION("""COMPUTED_VALUE"""),1.004)</f>
        <v>1.004</v>
      </c>
      <c r="E145" s="16">
        <f>IFERROR(__xludf.DUMMYFUNCTION("""COMPUTED_VALUE"""),63.0)</f>
        <v>63</v>
      </c>
      <c r="F145" s="19" t="str">
        <f>IFERROR(__xludf.DUMMYFUNCTION("""COMPUTED_VALUE"""),"BLACK")</f>
        <v>BLACK</v>
      </c>
      <c r="G145" s="20" t="str">
        <f>IFERROR(__xludf.DUMMYFUNCTION("""COMPUTED_VALUE"""),"Uncle Sams Cider (11/12/2021) 02")</f>
        <v>Uncle Sams Cider (11/12/2021) 02</v>
      </c>
      <c r="H145" s="19"/>
    </row>
    <row r="146">
      <c r="A146" s="9"/>
      <c r="B146" s="15"/>
      <c r="C146" s="9">
        <f>IFERROR(__xludf.DUMMYFUNCTION("""COMPUTED_VALUE"""),44604.0384002546)</f>
        <v>44604.0384</v>
      </c>
      <c r="D146" s="15">
        <f>IFERROR(__xludf.DUMMYFUNCTION("""COMPUTED_VALUE"""),1.004)</f>
        <v>1.004</v>
      </c>
      <c r="E146" s="16">
        <f>IFERROR(__xludf.DUMMYFUNCTION("""COMPUTED_VALUE"""),63.0)</f>
        <v>63</v>
      </c>
      <c r="F146" s="19" t="str">
        <f>IFERROR(__xludf.DUMMYFUNCTION("""COMPUTED_VALUE"""),"BLACK")</f>
        <v>BLACK</v>
      </c>
      <c r="G146" s="20" t="str">
        <f>IFERROR(__xludf.DUMMYFUNCTION("""COMPUTED_VALUE"""),"Uncle Sams Cider (11/12/2021) 02")</f>
        <v>Uncle Sams Cider (11/12/2021) 02</v>
      </c>
      <c r="H146" s="19"/>
    </row>
    <row r="147">
      <c r="A147" s="9"/>
      <c r="B147" s="15"/>
      <c r="C147" s="9">
        <f>IFERROR(__xludf.DUMMYFUNCTION("""COMPUTED_VALUE"""),44604.0279677199)</f>
        <v>44604.02797</v>
      </c>
      <c r="D147" s="15">
        <f>IFERROR(__xludf.DUMMYFUNCTION("""COMPUTED_VALUE"""),1.003)</f>
        <v>1.003</v>
      </c>
      <c r="E147" s="16">
        <f>IFERROR(__xludf.DUMMYFUNCTION("""COMPUTED_VALUE"""),63.0)</f>
        <v>63</v>
      </c>
      <c r="F147" s="19" t="str">
        <f>IFERROR(__xludf.DUMMYFUNCTION("""COMPUTED_VALUE"""),"BLACK")</f>
        <v>BLACK</v>
      </c>
      <c r="G147" s="20" t="str">
        <f>IFERROR(__xludf.DUMMYFUNCTION("""COMPUTED_VALUE"""),"Uncle Sams Cider (11/12/2021) 02")</f>
        <v>Uncle Sams Cider (11/12/2021) 02</v>
      </c>
      <c r="H147" s="19"/>
    </row>
    <row r="148">
      <c r="A148" s="9"/>
      <c r="B148" s="15"/>
      <c r="C148" s="9">
        <f>IFERROR(__xludf.DUMMYFUNCTION("""COMPUTED_VALUE"""),44604.01754728)</f>
        <v>44604.01755</v>
      </c>
      <c r="D148" s="15">
        <f>IFERROR(__xludf.DUMMYFUNCTION("""COMPUTED_VALUE"""),1.004)</f>
        <v>1.004</v>
      </c>
      <c r="E148" s="16">
        <f>IFERROR(__xludf.DUMMYFUNCTION("""COMPUTED_VALUE"""),64.0)</f>
        <v>64</v>
      </c>
      <c r="F148" s="19" t="str">
        <f>IFERROR(__xludf.DUMMYFUNCTION("""COMPUTED_VALUE"""),"BLACK")</f>
        <v>BLACK</v>
      </c>
      <c r="G148" s="20" t="str">
        <f>IFERROR(__xludf.DUMMYFUNCTION("""COMPUTED_VALUE"""),"Uncle Sams Cider (11/12/2021) 02")</f>
        <v>Uncle Sams Cider (11/12/2021) 02</v>
      </c>
      <c r="H148" s="19"/>
    </row>
    <row r="149">
      <c r="A149" s="9"/>
      <c r="B149" s="15"/>
      <c r="C149" s="9">
        <f>IFERROR(__xludf.DUMMYFUNCTION("""COMPUTED_VALUE"""),44604.0071259143)</f>
        <v>44604.00713</v>
      </c>
      <c r="D149" s="15">
        <f>IFERROR(__xludf.DUMMYFUNCTION("""COMPUTED_VALUE"""),1.004)</f>
        <v>1.004</v>
      </c>
      <c r="E149" s="16">
        <f>IFERROR(__xludf.DUMMYFUNCTION("""COMPUTED_VALUE"""),63.0)</f>
        <v>63</v>
      </c>
      <c r="F149" s="19" t="str">
        <f>IFERROR(__xludf.DUMMYFUNCTION("""COMPUTED_VALUE"""),"BLACK")</f>
        <v>BLACK</v>
      </c>
      <c r="G149" s="20" t="str">
        <f>IFERROR(__xludf.DUMMYFUNCTION("""COMPUTED_VALUE"""),"Uncle Sams Cider (11/12/2021) 02")</f>
        <v>Uncle Sams Cider (11/12/2021) 02</v>
      </c>
      <c r="H149" s="19"/>
    </row>
    <row r="150">
      <c r="A150" s="9"/>
      <c r="B150" s="15"/>
      <c r="C150" s="9">
        <f>IFERROR(__xludf.DUMMYFUNCTION("""COMPUTED_VALUE"""),44603.9967043171)</f>
        <v>44603.9967</v>
      </c>
      <c r="D150" s="15">
        <f>IFERROR(__xludf.DUMMYFUNCTION("""COMPUTED_VALUE"""),1.004)</f>
        <v>1.004</v>
      </c>
      <c r="E150" s="16">
        <f>IFERROR(__xludf.DUMMYFUNCTION("""COMPUTED_VALUE"""),64.0)</f>
        <v>64</v>
      </c>
      <c r="F150" s="19" t="str">
        <f>IFERROR(__xludf.DUMMYFUNCTION("""COMPUTED_VALUE"""),"BLACK")</f>
        <v>BLACK</v>
      </c>
      <c r="G150" s="20" t="str">
        <f>IFERROR(__xludf.DUMMYFUNCTION("""COMPUTED_VALUE"""),"Uncle Sams Cider (11/12/2021) 02")</f>
        <v>Uncle Sams Cider (11/12/2021) 02</v>
      </c>
      <c r="H150" s="19"/>
    </row>
    <row r="151">
      <c r="A151" s="9"/>
      <c r="B151" s="15"/>
      <c r="C151" s="9">
        <f>IFERROR(__xludf.DUMMYFUNCTION("""COMPUTED_VALUE"""),44603.9862704976)</f>
        <v>44603.98627</v>
      </c>
      <c r="D151" s="15">
        <f>IFERROR(__xludf.DUMMYFUNCTION("""COMPUTED_VALUE"""),1.004)</f>
        <v>1.004</v>
      </c>
      <c r="E151" s="16">
        <f>IFERROR(__xludf.DUMMYFUNCTION("""COMPUTED_VALUE"""),63.0)</f>
        <v>63</v>
      </c>
      <c r="F151" s="19" t="str">
        <f>IFERROR(__xludf.DUMMYFUNCTION("""COMPUTED_VALUE"""),"BLACK")</f>
        <v>BLACK</v>
      </c>
      <c r="G151" s="20" t="str">
        <f>IFERROR(__xludf.DUMMYFUNCTION("""COMPUTED_VALUE"""),"Uncle Sams Cider (11/12/2021) 02")</f>
        <v>Uncle Sams Cider (11/12/2021) 02</v>
      </c>
      <c r="H151" s="19"/>
    </row>
    <row r="152">
      <c r="A152" s="9"/>
      <c r="B152" s="15"/>
      <c r="C152" s="9">
        <f>IFERROR(__xludf.DUMMYFUNCTION("""COMPUTED_VALUE"""),44603.9758488541)</f>
        <v>44603.97585</v>
      </c>
      <c r="D152" s="15">
        <f>IFERROR(__xludf.DUMMYFUNCTION("""COMPUTED_VALUE"""),1.004)</f>
        <v>1.004</v>
      </c>
      <c r="E152" s="16">
        <f>IFERROR(__xludf.DUMMYFUNCTION("""COMPUTED_VALUE"""),63.0)</f>
        <v>63</v>
      </c>
      <c r="F152" s="19" t="str">
        <f>IFERROR(__xludf.DUMMYFUNCTION("""COMPUTED_VALUE"""),"BLACK")</f>
        <v>BLACK</v>
      </c>
      <c r="G152" s="20" t="str">
        <f>IFERROR(__xludf.DUMMYFUNCTION("""COMPUTED_VALUE"""),"Uncle Sams Cider (11/12/2021) 02")</f>
        <v>Uncle Sams Cider (11/12/2021) 02</v>
      </c>
      <c r="H152" s="19"/>
    </row>
    <row r="153">
      <c r="A153" s="9"/>
      <c r="B153" s="15"/>
      <c r="C153" s="9">
        <f>IFERROR(__xludf.DUMMYFUNCTION("""COMPUTED_VALUE"""),44603.9654275925)</f>
        <v>44603.96543</v>
      </c>
      <c r="D153" s="15">
        <f>IFERROR(__xludf.DUMMYFUNCTION("""COMPUTED_VALUE"""),1.004)</f>
        <v>1.004</v>
      </c>
      <c r="E153" s="16">
        <f>IFERROR(__xludf.DUMMYFUNCTION("""COMPUTED_VALUE"""),64.0)</f>
        <v>64</v>
      </c>
      <c r="F153" s="19" t="str">
        <f>IFERROR(__xludf.DUMMYFUNCTION("""COMPUTED_VALUE"""),"BLACK")</f>
        <v>BLACK</v>
      </c>
      <c r="G153" s="20" t="str">
        <f>IFERROR(__xludf.DUMMYFUNCTION("""COMPUTED_VALUE"""),"Uncle Sams Cider (11/12/2021) 02")</f>
        <v>Uncle Sams Cider (11/12/2021) 02</v>
      </c>
      <c r="H153" s="19"/>
    </row>
    <row r="154">
      <c r="A154" s="9"/>
      <c r="B154" s="15"/>
      <c r="C154" s="9">
        <f>IFERROR(__xludf.DUMMYFUNCTION("""COMPUTED_VALUE"""),44603.9549962152)</f>
        <v>44603.955</v>
      </c>
      <c r="D154" s="15">
        <f>IFERROR(__xludf.DUMMYFUNCTION("""COMPUTED_VALUE"""),1.004)</f>
        <v>1.004</v>
      </c>
      <c r="E154" s="16">
        <f>IFERROR(__xludf.DUMMYFUNCTION("""COMPUTED_VALUE"""),64.0)</f>
        <v>64</v>
      </c>
      <c r="F154" s="19" t="str">
        <f>IFERROR(__xludf.DUMMYFUNCTION("""COMPUTED_VALUE"""),"BLACK")</f>
        <v>BLACK</v>
      </c>
      <c r="G154" s="20" t="str">
        <f>IFERROR(__xludf.DUMMYFUNCTION("""COMPUTED_VALUE"""),"Uncle Sams Cider (11/12/2021) 02")</f>
        <v>Uncle Sams Cider (11/12/2021) 02</v>
      </c>
      <c r="H154" s="19"/>
    </row>
    <row r="155">
      <c r="A155" s="9"/>
      <c r="B155" s="15"/>
      <c r="C155" s="9">
        <f>IFERROR(__xludf.DUMMYFUNCTION("""COMPUTED_VALUE"""),44603.9445407523)</f>
        <v>44603.94454</v>
      </c>
      <c r="D155" s="15">
        <f>IFERROR(__xludf.DUMMYFUNCTION("""COMPUTED_VALUE"""),1.004)</f>
        <v>1.004</v>
      </c>
      <c r="E155" s="16">
        <f>IFERROR(__xludf.DUMMYFUNCTION("""COMPUTED_VALUE"""),64.0)</f>
        <v>64</v>
      </c>
      <c r="F155" s="19" t="str">
        <f>IFERROR(__xludf.DUMMYFUNCTION("""COMPUTED_VALUE"""),"BLACK")</f>
        <v>BLACK</v>
      </c>
      <c r="G155" s="20" t="str">
        <f>IFERROR(__xludf.DUMMYFUNCTION("""COMPUTED_VALUE"""),"Uncle Sams Cider (11/12/2021) 02")</f>
        <v>Uncle Sams Cider (11/12/2021) 02</v>
      </c>
      <c r="H155" s="19"/>
    </row>
    <row r="156">
      <c r="A156" s="9"/>
      <c r="B156" s="15"/>
      <c r="C156" s="9">
        <f>IFERROR(__xludf.DUMMYFUNCTION("""COMPUTED_VALUE"""),44603.9341197685)</f>
        <v>44603.93412</v>
      </c>
      <c r="D156" s="15">
        <f>IFERROR(__xludf.DUMMYFUNCTION("""COMPUTED_VALUE"""),1.004)</f>
        <v>1.004</v>
      </c>
      <c r="E156" s="16">
        <f>IFERROR(__xludf.DUMMYFUNCTION("""COMPUTED_VALUE"""),64.0)</f>
        <v>64</v>
      </c>
      <c r="F156" s="19" t="str">
        <f>IFERROR(__xludf.DUMMYFUNCTION("""COMPUTED_VALUE"""),"BLACK")</f>
        <v>BLACK</v>
      </c>
      <c r="G156" s="20" t="str">
        <f>IFERROR(__xludf.DUMMYFUNCTION("""COMPUTED_VALUE"""),"Uncle Sams Cider (11/12/2021) 02")</f>
        <v>Uncle Sams Cider (11/12/2021) 02</v>
      </c>
      <c r="H156" s="19"/>
    </row>
    <row r="157">
      <c r="A157" s="9"/>
      <c r="B157" s="15"/>
      <c r="C157" s="9">
        <f>IFERROR(__xludf.DUMMYFUNCTION("""COMPUTED_VALUE"""),44603.9236986574)</f>
        <v>44603.9237</v>
      </c>
      <c r="D157" s="15">
        <f>IFERROR(__xludf.DUMMYFUNCTION("""COMPUTED_VALUE"""),1.004)</f>
        <v>1.004</v>
      </c>
      <c r="E157" s="16">
        <f>IFERROR(__xludf.DUMMYFUNCTION("""COMPUTED_VALUE"""),63.0)</f>
        <v>63</v>
      </c>
      <c r="F157" s="19" t="str">
        <f>IFERROR(__xludf.DUMMYFUNCTION("""COMPUTED_VALUE"""),"BLACK")</f>
        <v>BLACK</v>
      </c>
      <c r="G157" s="20" t="str">
        <f>IFERROR(__xludf.DUMMYFUNCTION("""COMPUTED_VALUE"""),"Uncle Sams Cider (11/12/2021) 02")</f>
        <v>Uncle Sams Cider (11/12/2021) 02</v>
      </c>
      <c r="H157" s="19"/>
    </row>
    <row r="158">
      <c r="A158" s="9"/>
      <c r="B158" s="15"/>
      <c r="C158" s="9">
        <f>IFERROR(__xludf.DUMMYFUNCTION("""COMPUTED_VALUE"""),44603.9132664351)</f>
        <v>44603.91327</v>
      </c>
      <c r="D158" s="15">
        <f>IFERROR(__xludf.DUMMYFUNCTION("""COMPUTED_VALUE"""),1.004)</f>
        <v>1.004</v>
      </c>
      <c r="E158" s="16">
        <f>IFERROR(__xludf.DUMMYFUNCTION("""COMPUTED_VALUE"""),64.0)</f>
        <v>64</v>
      </c>
      <c r="F158" s="19" t="str">
        <f>IFERROR(__xludf.DUMMYFUNCTION("""COMPUTED_VALUE"""),"BLACK")</f>
        <v>BLACK</v>
      </c>
      <c r="G158" s="20" t="str">
        <f>IFERROR(__xludf.DUMMYFUNCTION("""COMPUTED_VALUE"""),"Uncle Sams Cider (11/12/2021) 02")</f>
        <v>Uncle Sams Cider (11/12/2021) 02</v>
      </c>
      <c r="H158" s="19"/>
    </row>
    <row r="159">
      <c r="A159" s="9"/>
      <c r="B159" s="15"/>
      <c r="C159" s="9">
        <f>IFERROR(__xludf.DUMMYFUNCTION("""COMPUTED_VALUE"""),44603.9028462152)</f>
        <v>44603.90285</v>
      </c>
      <c r="D159" s="15">
        <f>IFERROR(__xludf.DUMMYFUNCTION("""COMPUTED_VALUE"""),1.004)</f>
        <v>1.004</v>
      </c>
      <c r="E159" s="16">
        <f>IFERROR(__xludf.DUMMYFUNCTION("""COMPUTED_VALUE"""),64.0)</f>
        <v>64</v>
      </c>
      <c r="F159" s="19" t="str">
        <f>IFERROR(__xludf.DUMMYFUNCTION("""COMPUTED_VALUE"""),"BLACK")</f>
        <v>BLACK</v>
      </c>
      <c r="G159" s="20" t="str">
        <f>IFERROR(__xludf.DUMMYFUNCTION("""COMPUTED_VALUE"""),"Uncle Sams Cider (11/12/2021) 02")</f>
        <v>Uncle Sams Cider (11/12/2021) 02</v>
      </c>
      <c r="H159" s="19"/>
    </row>
    <row r="160">
      <c r="A160" s="9"/>
      <c r="B160" s="15"/>
      <c r="C160" s="9">
        <f>IFERROR(__xludf.DUMMYFUNCTION("""COMPUTED_VALUE"""),44603.8924040162)</f>
        <v>44603.8924</v>
      </c>
      <c r="D160" s="15">
        <f>IFERROR(__xludf.DUMMYFUNCTION("""COMPUTED_VALUE"""),1.004)</f>
        <v>1.004</v>
      </c>
      <c r="E160" s="16">
        <f>IFERROR(__xludf.DUMMYFUNCTION("""COMPUTED_VALUE"""),63.0)</f>
        <v>63</v>
      </c>
      <c r="F160" s="19" t="str">
        <f>IFERROR(__xludf.DUMMYFUNCTION("""COMPUTED_VALUE"""),"BLACK")</f>
        <v>BLACK</v>
      </c>
      <c r="G160" s="20" t="str">
        <f>IFERROR(__xludf.DUMMYFUNCTION("""COMPUTED_VALUE"""),"Uncle Sams Cider (11/12/2021) 02")</f>
        <v>Uncle Sams Cider (11/12/2021) 02</v>
      </c>
      <c r="H160" s="19"/>
    </row>
    <row r="161">
      <c r="A161" s="9"/>
      <c r="B161" s="15"/>
      <c r="C161" s="9">
        <f>IFERROR(__xludf.DUMMYFUNCTION("""COMPUTED_VALUE"""),44603.8819707986)</f>
        <v>44603.88197</v>
      </c>
      <c r="D161" s="15">
        <f>IFERROR(__xludf.DUMMYFUNCTION("""COMPUTED_VALUE"""),1.004)</f>
        <v>1.004</v>
      </c>
      <c r="E161" s="16">
        <f>IFERROR(__xludf.DUMMYFUNCTION("""COMPUTED_VALUE"""),64.0)</f>
        <v>64</v>
      </c>
      <c r="F161" s="19" t="str">
        <f>IFERROR(__xludf.DUMMYFUNCTION("""COMPUTED_VALUE"""),"BLACK")</f>
        <v>BLACK</v>
      </c>
      <c r="G161" s="20" t="str">
        <f>IFERROR(__xludf.DUMMYFUNCTION("""COMPUTED_VALUE"""),"Uncle Sams Cider (11/12/2021) 02")</f>
        <v>Uncle Sams Cider (11/12/2021) 02</v>
      </c>
      <c r="H161" s="19"/>
    </row>
    <row r="162">
      <c r="A162" s="9"/>
      <c r="B162" s="15"/>
      <c r="C162" s="9">
        <f>IFERROR(__xludf.DUMMYFUNCTION("""COMPUTED_VALUE"""),44603.8715392245)</f>
        <v>44603.87154</v>
      </c>
      <c r="D162" s="15">
        <f>IFERROR(__xludf.DUMMYFUNCTION("""COMPUTED_VALUE"""),1.004)</f>
        <v>1.004</v>
      </c>
      <c r="E162" s="16">
        <f>IFERROR(__xludf.DUMMYFUNCTION("""COMPUTED_VALUE"""),64.0)</f>
        <v>64</v>
      </c>
      <c r="F162" s="19" t="str">
        <f>IFERROR(__xludf.DUMMYFUNCTION("""COMPUTED_VALUE"""),"BLACK")</f>
        <v>BLACK</v>
      </c>
      <c r="G162" s="20" t="str">
        <f>IFERROR(__xludf.DUMMYFUNCTION("""COMPUTED_VALUE"""),"Uncle Sams Cider (11/12/2021) 02")</f>
        <v>Uncle Sams Cider (11/12/2021) 02</v>
      </c>
      <c r="H162" s="19"/>
    </row>
    <row r="163">
      <c r="A163" s="9"/>
      <c r="B163" s="15"/>
      <c r="C163" s="9">
        <f>IFERROR(__xludf.DUMMYFUNCTION("""COMPUTED_VALUE"""),44603.8611192013)</f>
        <v>44603.86112</v>
      </c>
      <c r="D163" s="15">
        <f>IFERROR(__xludf.DUMMYFUNCTION("""COMPUTED_VALUE"""),1.004)</f>
        <v>1.004</v>
      </c>
      <c r="E163" s="16">
        <f>IFERROR(__xludf.DUMMYFUNCTION("""COMPUTED_VALUE"""),64.0)</f>
        <v>64</v>
      </c>
      <c r="F163" s="19" t="str">
        <f>IFERROR(__xludf.DUMMYFUNCTION("""COMPUTED_VALUE"""),"BLACK")</f>
        <v>BLACK</v>
      </c>
      <c r="G163" s="20" t="str">
        <f>IFERROR(__xludf.DUMMYFUNCTION("""COMPUTED_VALUE"""),"Uncle Sams Cider (11/12/2021) 02")</f>
        <v>Uncle Sams Cider (11/12/2021) 02</v>
      </c>
      <c r="H163" s="19"/>
    </row>
    <row r="164">
      <c r="A164" s="9"/>
      <c r="B164" s="15"/>
      <c r="C164" s="9">
        <f>IFERROR(__xludf.DUMMYFUNCTION("""COMPUTED_VALUE"""),44603.8506649768)</f>
        <v>44603.85066</v>
      </c>
      <c r="D164" s="15">
        <f>IFERROR(__xludf.DUMMYFUNCTION("""COMPUTED_VALUE"""),1.004)</f>
        <v>1.004</v>
      </c>
      <c r="E164" s="16">
        <f>IFERROR(__xludf.DUMMYFUNCTION("""COMPUTED_VALUE"""),64.0)</f>
        <v>64</v>
      </c>
      <c r="F164" s="19" t="str">
        <f>IFERROR(__xludf.DUMMYFUNCTION("""COMPUTED_VALUE"""),"BLACK")</f>
        <v>BLACK</v>
      </c>
      <c r="G164" s="20" t="str">
        <f>IFERROR(__xludf.DUMMYFUNCTION("""COMPUTED_VALUE"""),"Uncle Sams Cider (11/12/2021) 02")</f>
        <v>Uncle Sams Cider (11/12/2021) 02</v>
      </c>
      <c r="H164" s="19"/>
    </row>
    <row r="165">
      <c r="A165" s="9"/>
      <c r="B165" s="15"/>
      <c r="C165" s="9">
        <f>IFERROR(__xludf.DUMMYFUNCTION("""COMPUTED_VALUE"""),44603.8402200231)</f>
        <v>44603.84022</v>
      </c>
      <c r="D165" s="15">
        <f>IFERROR(__xludf.DUMMYFUNCTION("""COMPUTED_VALUE"""),1.004)</f>
        <v>1.004</v>
      </c>
      <c r="E165" s="16">
        <f>IFERROR(__xludf.DUMMYFUNCTION("""COMPUTED_VALUE"""),64.0)</f>
        <v>64</v>
      </c>
      <c r="F165" s="19" t="str">
        <f>IFERROR(__xludf.DUMMYFUNCTION("""COMPUTED_VALUE"""),"BLACK")</f>
        <v>BLACK</v>
      </c>
      <c r="G165" s="20" t="str">
        <f>IFERROR(__xludf.DUMMYFUNCTION("""COMPUTED_VALUE"""),"Uncle Sams Cider (11/12/2021) 02")</f>
        <v>Uncle Sams Cider (11/12/2021) 02</v>
      </c>
      <c r="H165" s="19"/>
    </row>
    <row r="166">
      <c r="A166" s="9"/>
      <c r="B166" s="15"/>
      <c r="C166" s="9">
        <f>IFERROR(__xludf.DUMMYFUNCTION("""COMPUTED_VALUE"""),44603.829799074)</f>
        <v>44603.8298</v>
      </c>
      <c r="D166" s="15">
        <f>IFERROR(__xludf.DUMMYFUNCTION("""COMPUTED_VALUE"""),1.004)</f>
        <v>1.004</v>
      </c>
      <c r="E166" s="16">
        <f>IFERROR(__xludf.DUMMYFUNCTION("""COMPUTED_VALUE"""),64.0)</f>
        <v>64</v>
      </c>
      <c r="F166" s="19" t="str">
        <f>IFERROR(__xludf.DUMMYFUNCTION("""COMPUTED_VALUE"""),"BLACK")</f>
        <v>BLACK</v>
      </c>
      <c r="G166" s="20" t="str">
        <f>IFERROR(__xludf.DUMMYFUNCTION("""COMPUTED_VALUE"""),"Uncle Sams Cider (11/12/2021) 02")</f>
        <v>Uncle Sams Cider (11/12/2021) 02</v>
      </c>
      <c r="H166" s="19"/>
    </row>
    <row r="167">
      <c r="A167" s="9"/>
      <c r="B167" s="15"/>
      <c r="C167" s="9">
        <f>IFERROR(__xludf.DUMMYFUNCTION("""COMPUTED_VALUE"""),44603.819364699)</f>
        <v>44603.81936</v>
      </c>
      <c r="D167" s="15">
        <f>IFERROR(__xludf.DUMMYFUNCTION("""COMPUTED_VALUE"""),1.004)</f>
        <v>1.004</v>
      </c>
      <c r="E167" s="16">
        <f>IFERROR(__xludf.DUMMYFUNCTION("""COMPUTED_VALUE"""),64.0)</f>
        <v>64</v>
      </c>
      <c r="F167" s="19" t="str">
        <f>IFERROR(__xludf.DUMMYFUNCTION("""COMPUTED_VALUE"""),"BLACK")</f>
        <v>BLACK</v>
      </c>
      <c r="G167" s="20" t="str">
        <f>IFERROR(__xludf.DUMMYFUNCTION("""COMPUTED_VALUE"""),"Uncle Sams Cider (11/12/2021) 02")</f>
        <v>Uncle Sams Cider (11/12/2021) 02</v>
      </c>
      <c r="H167" s="19"/>
    </row>
    <row r="168">
      <c r="A168" s="9"/>
      <c r="B168" s="15"/>
      <c r="C168" s="9">
        <f>IFERROR(__xludf.DUMMYFUNCTION("""COMPUTED_VALUE"""),44603.8089094097)</f>
        <v>44603.80891</v>
      </c>
      <c r="D168" s="15">
        <f>IFERROR(__xludf.DUMMYFUNCTION("""COMPUTED_VALUE"""),1.004)</f>
        <v>1.004</v>
      </c>
      <c r="E168" s="16">
        <f>IFERROR(__xludf.DUMMYFUNCTION("""COMPUTED_VALUE"""),64.0)</f>
        <v>64</v>
      </c>
      <c r="F168" s="19" t="str">
        <f>IFERROR(__xludf.DUMMYFUNCTION("""COMPUTED_VALUE"""),"BLACK")</f>
        <v>BLACK</v>
      </c>
      <c r="G168" s="20" t="str">
        <f>IFERROR(__xludf.DUMMYFUNCTION("""COMPUTED_VALUE"""),"Uncle Sams Cider (11/12/2021) 02")</f>
        <v>Uncle Sams Cider (11/12/2021) 02</v>
      </c>
      <c r="H168" s="19"/>
    </row>
    <row r="169">
      <c r="A169" s="9"/>
      <c r="B169" s="15"/>
      <c r="C169" s="9">
        <f>IFERROR(__xludf.DUMMYFUNCTION("""COMPUTED_VALUE"""),44603.7984538078)</f>
        <v>44603.79845</v>
      </c>
      <c r="D169" s="15">
        <f>IFERROR(__xludf.DUMMYFUNCTION("""COMPUTED_VALUE"""),1.004)</f>
        <v>1.004</v>
      </c>
      <c r="E169" s="16">
        <f>IFERROR(__xludf.DUMMYFUNCTION("""COMPUTED_VALUE"""),64.0)</f>
        <v>64</v>
      </c>
      <c r="F169" s="19" t="str">
        <f>IFERROR(__xludf.DUMMYFUNCTION("""COMPUTED_VALUE"""),"BLACK")</f>
        <v>BLACK</v>
      </c>
      <c r="G169" s="20" t="str">
        <f>IFERROR(__xludf.DUMMYFUNCTION("""COMPUTED_VALUE"""),"Uncle Sams Cider (11/12/2021) 02")</f>
        <v>Uncle Sams Cider (11/12/2021) 02</v>
      </c>
      <c r="H169" s="19"/>
    </row>
    <row r="170">
      <c r="A170" s="9"/>
      <c r="B170" s="15"/>
      <c r="C170" s="9">
        <f>IFERROR(__xludf.DUMMYFUNCTION("""COMPUTED_VALUE"""),44603.7880199305)</f>
        <v>44603.78802</v>
      </c>
      <c r="D170" s="15">
        <f>IFERROR(__xludf.DUMMYFUNCTION("""COMPUTED_VALUE"""),1.004)</f>
        <v>1.004</v>
      </c>
      <c r="E170" s="16">
        <f>IFERROR(__xludf.DUMMYFUNCTION("""COMPUTED_VALUE"""),64.0)</f>
        <v>64</v>
      </c>
      <c r="F170" s="19" t="str">
        <f>IFERROR(__xludf.DUMMYFUNCTION("""COMPUTED_VALUE"""),"BLACK")</f>
        <v>BLACK</v>
      </c>
      <c r="G170" s="20" t="str">
        <f>IFERROR(__xludf.DUMMYFUNCTION("""COMPUTED_VALUE"""),"Uncle Sams Cider (11/12/2021) 02")</f>
        <v>Uncle Sams Cider (11/12/2021) 02</v>
      </c>
      <c r="H170" s="19"/>
    </row>
    <row r="171">
      <c r="A171" s="9"/>
      <c r="B171" s="15"/>
      <c r="C171" s="9">
        <f>IFERROR(__xludf.DUMMYFUNCTION("""COMPUTED_VALUE"""),44603.7775858564)</f>
        <v>44603.77759</v>
      </c>
      <c r="D171" s="15">
        <f>IFERROR(__xludf.DUMMYFUNCTION("""COMPUTED_VALUE"""),1.004)</f>
        <v>1.004</v>
      </c>
      <c r="E171" s="16">
        <f>IFERROR(__xludf.DUMMYFUNCTION("""COMPUTED_VALUE"""),64.0)</f>
        <v>64</v>
      </c>
      <c r="F171" s="19" t="str">
        <f>IFERROR(__xludf.DUMMYFUNCTION("""COMPUTED_VALUE"""),"BLACK")</f>
        <v>BLACK</v>
      </c>
      <c r="G171" s="20" t="str">
        <f>IFERROR(__xludf.DUMMYFUNCTION("""COMPUTED_VALUE"""),"Uncle Sams Cider (11/12/2021) 02")</f>
        <v>Uncle Sams Cider (11/12/2021) 02</v>
      </c>
      <c r="H171" s="19"/>
    </row>
    <row r="172">
      <c r="A172" s="9"/>
      <c r="B172" s="15"/>
      <c r="C172" s="9">
        <f>IFERROR(__xludf.DUMMYFUNCTION("""COMPUTED_VALUE"""),44603.7671648611)</f>
        <v>44603.76716</v>
      </c>
      <c r="D172" s="15">
        <f>IFERROR(__xludf.DUMMYFUNCTION("""COMPUTED_VALUE"""),1.004)</f>
        <v>1.004</v>
      </c>
      <c r="E172" s="16">
        <f>IFERROR(__xludf.DUMMYFUNCTION("""COMPUTED_VALUE"""),64.0)</f>
        <v>64</v>
      </c>
      <c r="F172" s="19" t="str">
        <f>IFERROR(__xludf.DUMMYFUNCTION("""COMPUTED_VALUE"""),"BLACK")</f>
        <v>BLACK</v>
      </c>
      <c r="G172" s="20" t="str">
        <f>IFERROR(__xludf.DUMMYFUNCTION("""COMPUTED_VALUE"""),"Uncle Sams Cider (11/12/2021) 02")</f>
        <v>Uncle Sams Cider (11/12/2021) 02</v>
      </c>
      <c r="H172" s="19"/>
    </row>
    <row r="173">
      <c r="A173" s="9"/>
      <c r="B173" s="15"/>
      <c r="C173" s="9">
        <f>IFERROR(__xludf.DUMMYFUNCTION("""COMPUTED_VALUE"""),44603.7567215393)</f>
        <v>44603.75672</v>
      </c>
      <c r="D173" s="15">
        <f>IFERROR(__xludf.DUMMYFUNCTION("""COMPUTED_VALUE"""),1.003)</f>
        <v>1.003</v>
      </c>
      <c r="E173" s="16">
        <f>IFERROR(__xludf.DUMMYFUNCTION("""COMPUTED_VALUE"""),64.0)</f>
        <v>64</v>
      </c>
      <c r="F173" s="19" t="str">
        <f>IFERROR(__xludf.DUMMYFUNCTION("""COMPUTED_VALUE"""),"BLACK")</f>
        <v>BLACK</v>
      </c>
      <c r="G173" s="20" t="str">
        <f>IFERROR(__xludf.DUMMYFUNCTION("""COMPUTED_VALUE"""),"Uncle Sams Cider (11/12/2021) 02")</f>
        <v>Uncle Sams Cider (11/12/2021) 02</v>
      </c>
      <c r="H173" s="19"/>
    </row>
    <row r="174">
      <c r="A174" s="9"/>
      <c r="B174" s="15"/>
      <c r="C174" s="9">
        <f>IFERROR(__xludf.DUMMYFUNCTION("""COMPUTED_VALUE"""),44603.7463005208)</f>
        <v>44603.7463</v>
      </c>
      <c r="D174" s="15">
        <f>IFERROR(__xludf.DUMMYFUNCTION("""COMPUTED_VALUE"""),1.004)</f>
        <v>1.004</v>
      </c>
      <c r="E174" s="16">
        <f>IFERROR(__xludf.DUMMYFUNCTION("""COMPUTED_VALUE"""),64.0)</f>
        <v>64</v>
      </c>
      <c r="F174" s="19" t="str">
        <f>IFERROR(__xludf.DUMMYFUNCTION("""COMPUTED_VALUE"""),"BLACK")</f>
        <v>BLACK</v>
      </c>
      <c r="G174" s="20" t="str">
        <f>IFERROR(__xludf.DUMMYFUNCTION("""COMPUTED_VALUE"""),"Uncle Sams Cider (11/12/2021) 02")</f>
        <v>Uncle Sams Cider (11/12/2021) 02</v>
      </c>
      <c r="H174" s="19"/>
    </row>
    <row r="175">
      <c r="A175" s="9"/>
      <c r="B175" s="15"/>
      <c r="C175" s="9">
        <f>IFERROR(__xludf.DUMMYFUNCTION("""COMPUTED_VALUE"""),44603.7358692708)</f>
        <v>44603.73587</v>
      </c>
      <c r="D175" s="15">
        <f>IFERROR(__xludf.DUMMYFUNCTION("""COMPUTED_VALUE"""),1.004)</f>
        <v>1.004</v>
      </c>
      <c r="E175" s="16">
        <f>IFERROR(__xludf.DUMMYFUNCTION("""COMPUTED_VALUE"""),64.0)</f>
        <v>64</v>
      </c>
      <c r="F175" s="19" t="str">
        <f>IFERROR(__xludf.DUMMYFUNCTION("""COMPUTED_VALUE"""),"BLACK")</f>
        <v>BLACK</v>
      </c>
      <c r="G175" s="20" t="str">
        <f>IFERROR(__xludf.DUMMYFUNCTION("""COMPUTED_VALUE"""),"Uncle Sams Cider (11/12/2021) 02")</f>
        <v>Uncle Sams Cider (11/12/2021) 02</v>
      </c>
      <c r="H175" s="19"/>
    </row>
    <row r="176">
      <c r="A176" s="9"/>
      <c r="B176" s="15"/>
      <c r="C176" s="9">
        <f>IFERROR(__xludf.DUMMYFUNCTION("""COMPUTED_VALUE"""),44603.7254374305)</f>
        <v>44603.72544</v>
      </c>
      <c r="D176" s="15">
        <f>IFERROR(__xludf.DUMMYFUNCTION("""COMPUTED_VALUE"""),1.004)</f>
        <v>1.004</v>
      </c>
      <c r="E176" s="16">
        <f>IFERROR(__xludf.DUMMYFUNCTION("""COMPUTED_VALUE"""),64.0)</f>
        <v>64</v>
      </c>
      <c r="F176" s="19" t="str">
        <f>IFERROR(__xludf.DUMMYFUNCTION("""COMPUTED_VALUE"""),"BLACK")</f>
        <v>BLACK</v>
      </c>
      <c r="G176" s="20" t="str">
        <f>IFERROR(__xludf.DUMMYFUNCTION("""COMPUTED_VALUE"""),"Uncle Sams Cider (11/12/2021) 02")</f>
        <v>Uncle Sams Cider (11/12/2021) 02</v>
      </c>
      <c r="H176" s="19"/>
    </row>
    <row r="177">
      <c r="A177" s="9"/>
      <c r="B177" s="15"/>
      <c r="C177" s="9">
        <f>IFERROR(__xludf.DUMMYFUNCTION("""COMPUTED_VALUE"""),44603.7150172453)</f>
        <v>44603.71502</v>
      </c>
      <c r="D177" s="15">
        <f>IFERROR(__xludf.DUMMYFUNCTION("""COMPUTED_VALUE"""),1.003)</f>
        <v>1.003</v>
      </c>
      <c r="E177" s="16">
        <f>IFERROR(__xludf.DUMMYFUNCTION("""COMPUTED_VALUE"""),64.0)</f>
        <v>64</v>
      </c>
      <c r="F177" s="19" t="str">
        <f>IFERROR(__xludf.DUMMYFUNCTION("""COMPUTED_VALUE"""),"BLACK")</f>
        <v>BLACK</v>
      </c>
      <c r="G177" s="20" t="str">
        <f>IFERROR(__xludf.DUMMYFUNCTION("""COMPUTED_VALUE"""),"Uncle Sams Cider (11/12/2021) 02")</f>
        <v>Uncle Sams Cider (11/12/2021) 02</v>
      </c>
      <c r="H177" s="19"/>
    </row>
    <row r="178">
      <c r="A178" s="9"/>
      <c r="B178" s="15"/>
      <c r="C178" s="9">
        <f>IFERROR(__xludf.DUMMYFUNCTION("""COMPUTED_VALUE"""),44603.704595324)</f>
        <v>44603.7046</v>
      </c>
      <c r="D178" s="15">
        <f>IFERROR(__xludf.DUMMYFUNCTION("""COMPUTED_VALUE"""),1.004)</f>
        <v>1.004</v>
      </c>
      <c r="E178" s="16">
        <f>IFERROR(__xludf.DUMMYFUNCTION("""COMPUTED_VALUE"""),64.0)</f>
        <v>64</v>
      </c>
      <c r="F178" s="19" t="str">
        <f>IFERROR(__xludf.DUMMYFUNCTION("""COMPUTED_VALUE"""),"BLACK")</f>
        <v>BLACK</v>
      </c>
      <c r="G178" s="20" t="str">
        <f>IFERROR(__xludf.DUMMYFUNCTION("""COMPUTED_VALUE"""),"Uncle Sams Cider (11/12/2021) 02")</f>
        <v>Uncle Sams Cider (11/12/2021) 02</v>
      </c>
      <c r="H178" s="19"/>
    </row>
    <row r="179">
      <c r="A179" s="9"/>
      <c r="B179" s="15"/>
      <c r="C179" s="9">
        <f>IFERROR(__xludf.DUMMYFUNCTION("""COMPUTED_VALUE"""),44603.6941634953)</f>
        <v>44603.69416</v>
      </c>
      <c r="D179" s="15">
        <f>IFERROR(__xludf.DUMMYFUNCTION("""COMPUTED_VALUE"""),1.004)</f>
        <v>1.004</v>
      </c>
      <c r="E179" s="16">
        <f>IFERROR(__xludf.DUMMYFUNCTION("""COMPUTED_VALUE"""),64.0)</f>
        <v>64</v>
      </c>
      <c r="F179" s="19" t="str">
        <f>IFERROR(__xludf.DUMMYFUNCTION("""COMPUTED_VALUE"""),"BLACK")</f>
        <v>BLACK</v>
      </c>
      <c r="G179" s="20" t="str">
        <f>IFERROR(__xludf.DUMMYFUNCTION("""COMPUTED_VALUE"""),"Uncle Sams Cider (11/12/2021) 02")</f>
        <v>Uncle Sams Cider (11/12/2021) 02</v>
      </c>
      <c r="H179" s="19"/>
    </row>
    <row r="180">
      <c r="A180" s="9"/>
      <c r="B180" s="15"/>
      <c r="C180" s="9">
        <f>IFERROR(__xludf.DUMMYFUNCTION("""COMPUTED_VALUE"""),44603.6837413425)</f>
        <v>44603.68374</v>
      </c>
      <c r="D180" s="15">
        <f>IFERROR(__xludf.DUMMYFUNCTION("""COMPUTED_VALUE"""),1.004)</f>
        <v>1.004</v>
      </c>
      <c r="E180" s="16">
        <f>IFERROR(__xludf.DUMMYFUNCTION("""COMPUTED_VALUE"""),64.0)</f>
        <v>64</v>
      </c>
      <c r="F180" s="19" t="str">
        <f>IFERROR(__xludf.DUMMYFUNCTION("""COMPUTED_VALUE"""),"BLACK")</f>
        <v>BLACK</v>
      </c>
      <c r="G180" s="20" t="str">
        <f>IFERROR(__xludf.DUMMYFUNCTION("""COMPUTED_VALUE"""),"Uncle Sams Cider (11/12/2021) 02")</f>
        <v>Uncle Sams Cider (11/12/2021) 02</v>
      </c>
      <c r="H180" s="19"/>
    </row>
    <row r="181">
      <c r="A181" s="9"/>
      <c r="B181" s="15"/>
      <c r="C181" s="9">
        <f>IFERROR(__xludf.DUMMYFUNCTION("""COMPUTED_VALUE"""),44603.6733206828)</f>
        <v>44603.67332</v>
      </c>
      <c r="D181" s="15">
        <f>IFERROR(__xludf.DUMMYFUNCTION("""COMPUTED_VALUE"""),1.004)</f>
        <v>1.004</v>
      </c>
      <c r="E181" s="16">
        <f>IFERROR(__xludf.DUMMYFUNCTION("""COMPUTED_VALUE"""),64.0)</f>
        <v>64</v>
      </c>
      <c r="F181" s="19" t="str">
        <f>IFERROR(__xludf.DUMMYFUNCTION("""COMPUTED_VALUE"""),"BLACK")</f>
        <v>BLACK</v>
      </c>
      <c r="G181" s="20" t="str">
        <f>IFERROR(__xludf.DUMMYFUNCTION("""COMPUTED_VALUE"""),"Uncle Sams Cider (11/12/2021) 02")</f>
        <v>Uncle Sams Cider (11/12/2021) 02</v>
      </c>
      <c r="H181" s="19"/>
    </row>
    <row r="182">
      <c r="A182" s="9"/>
      <c r="B182" s="15"/>
      <c r="C182" s="9">
        <f>IFERROR(__xludf.DUMMYFUNCTION("""COMPUTED_VALUE"""),44603.6628767361)</f>
        <v>44603.66288</v>
      </c>
      <c r="D182" s="15">
        <f>IFERROR(__xludf.DUMMYFUNCTION("""COMPUTED_VALUE"""),1.004)</f>
        <v>1.004</v>
      </c>
      <c r="E182" s="16">
        <f>IFERROR(__xludf.DUMMYFUNCTION("""COMPUTED_VALUE"""),64.0)</f>
        <v>64</v>
      </c>
      <c r="F182" s="19" t="str">
        <f>IFERROR(__xludf.DUMMYFUNCTION("""COMPUTED_VALUE"""),"BLACK")</f>
        <v>BLACK</v>
      </c>
      <c r="G182" s="20" t="str">
        <f>IFERROR(__xludf.DUMMYFUNCTION("""COMPUTED_VALUE"""),"Uncle Sams Cider (11/12/2021) 02")</f>
        <v>Uncle Sams Cider (11/12/2021) 02</v>
      </c>
      <c r="H182" s="19"/>
    </row>
    <row r="183">
      <c r="A183" s="9"/>
      <c r="B183" s="15"/>
      <c r="C183" s="9">
        <f>IFERROR(__xludf.DUMMYFUNCTION("""COMPUTED_VALUE"""),44603.6524551157)</f>
        <v>44603.65246</v>
      </c>
      <c r="D183" s="15">
        <f>IFERROR(__xludf.DUMMYFUNCTION("""COMPUTED_VALUE"""),1.004)</f>
        <v>1.004</v>
      </c>
      <c r="E183" s="16">
        <f>IFERROR(__xludf.DUMMYFUNCTION("""COMPUTED_VALUE"""),64.0)</f>
        <v>64</v>
      </c>
      <c r="F183" s="19" t="str">
        <f>IFERROR(__xludf.DUMMYFUNCTION("""COMPUTED_VALUE"""),"BLACK")</f>
        <v>BLACK</v>
      </c>
      <c r="G183" s="20" t="str">
        <f>IFERROR(__xludf.DUMMYFUNCTION("""COMPUTED_VALUE"""),"Uncle Sams Cider (11/12/2021) 02")</f>
        <v>Uncle Sams Cider (11/12/2021) 02</v>
      </c>
      <c r="H183" s="19"/>
    </row>
    <row r="184">
      <c r="A184" s="9"/>
      <c r="B184" s="15"/>
      <c r="C184" s="9">
        <f>IFERROR(__xludf.DUMMYFUNCTION("""COMPUTED_VALUE"""),44603.642035405)</f>
        <v>44603.64204</v>
      </c>
      <c r="D184" s="15">
        <f>IFERROR(__xludf.DUMMYFUNCTION("""COMPUTED_VALUE"""),1.004)</f>
        <v>1.004</v>
      </c>
      <c r="E184" s="16">
        <f>IFERROR(__xludf.DUMMYFUNCTION("""COMPUTED_VALUE"""),64.0)</f>
        <v>64</v>
      </c>
      <c r="F184" s="19" t="str">
        <f>IFERROR(__xludf.DUMMYFUNCTION("""COMPUTED_VALUE"""),"BLACK")</f>
        <v>BLACK</v>
      </c>
      <c r="G184" s="20" t="str">
        <f>IFERROR(__xludf.DUMMYFUNCTION("""COMPUTED_VALUE"""),"Uncle Sams Cider (11/12/2021) 02")</f>
        <v>Uncle Sams Cider (11/12/2021) 02</v>
      </c>
      <c r="H184" s="19"/>
    </row>
    <row r="185">
      <c r="A185" s="9"/>
      <c r="B185" s="15"/>
      <c r="C185" s="9">
        <f>IFERROR(__xludf.DUMMYFUNCTION("""COMPUTED_VALUE"""),44603.631602581)</f>
        <v>44603.6316</v>
      </c>
      <c r="D185" s="15">
        <f>IFERROR(__xludf.DUMMYFUNCTION("""COMPUTED_VALUE"""),1.004)</f>
        <v>1.004</v>
      </c>
      <c r="E185" s="16">
        <f>IFERROR(__xludf.DUMMYFUNCTION("""COMPUTED_VALUE"""),64.0)</f>
        <v>64</v>
      </c>
      <c r="F185" s="19" t="str">
        <f>IFERROR(__xludf.DUMMYFUNCTION("""COMPUTED_VALUE"""),"BLACK")</f>
        <v>BLACK</v>
      </c>
      <c r="G185" s="20" t="str">
        <f>IFERROR(__xludf.DUMMYFUNCTION("""COMPUTED_VALUE"""),"Uncle Sams Cider (11/12/2021) 02")</f>
        <v>Uncle Sams Cider (11/12/2021) 02</v>
      </c>
      <c r="H185" s="19"/>
    </row>
    <row r="186">
      <c r="A186" s="9"/>
      <c r="B186" s="15"/>
      <c r="C186" s="9">
        <f>IFERROR(__xludf.DUMMYFUNCTION("""COMPUTED_VALUE"""),44603.6211797222)</f>
        <v>44603.62118</v>
      </c>
      <c r="D186" s="15">
        <f>IFERROR(__xludf.DUMMYFUNCTION("""COMPUTED_VALUE"""),1.004)</f>
        <v>1.004</v>
      </c>
      <c r="E186" s="16">
        <f>IFERROR(__xludf.DUMMYFUNCTION("""COMPUTED_VALUE"""),64.0)</f>
        <v>64</v>
      </c>
      <c r="F186" s="19" t="str">
        <f>IFERROR(__xludf.DUMMYFUNCTION("""COMPUTED_VALUE"""),"BLACK")</f>
        <v>BLACK</v>
      </c>
      <c r="G186" s="20" t="str">
        <f>IFERROR(__xludf.DUMMYFUNCTION("""COMPUTED_VALUE"""),"Uncle Sams Cider (11/12/2021) 02")</f>
        <v>Uncle Sams Cider (11/12/2021) 02</v>
      </c>
      <c r="H186" s="19"/>
    </row>
    <row r="187">
      <c r="A187" s="9"/>
      <c r="B187" s="15"/>
      <c r="C187" s="9">
        <f>IFERROR(__xludf.DUMMYFUNCTION("""COMPUTED_VALUE"""),44603.6107578703)</f>
        <v>44603.61076</v>
      </c>
      <c r="D187" s="15">
        <f>IFERROR(__xludf.DUMMYFUNCTION("""COMPUTED_VALUE"""),1.004)</f>
        <v>1.004</v>
      </c>
      <c r="E187" s="16">
        <f>IFERROR(__xludf.DUMMYFUNCTION("""COMPUTED_VALUE"""),64.0)</f>
        <v>64</v>
      </c>
      <c r="F187" s="19" t="str">
        <f>IFERROR(__xludf.DUMMYFUNCTION("""COMPUTED_VALUE"""),"BLACK")</f>
        <v>BLACK</v>
      </c>
      <c r="G187" s="20" t="str">
        <f>IFERROR(__xludf.DUMMYFUNCTION("""COMPUTED_VALUE"""),"Uncle Sams Cider (11/12/2021) 02")</f>
        <v>Uncle Sams Cider (11/12/2021) 02</v>
      </c>
      <c r="H187" s="19"/>
    </row>
    <row r="188">
      <c r="A188" s="9"/>
      <c r="B188" s="15"/>
      <c r="C188" s="9">
        <f>IFERROR(__xludf.DUMMYFUNCTION("""COMPUTED_VALUE"""),44603.6003361921)</f>
        <v>44603.60034</v>
      </c>
      <c r="D188" s="15">
        <f>IFERROR(__xludf.DUMMYFUNCTION("""COMPUTED_VALUE"""),1.004)</f>
        <v>1.004</v>
      </c>
      <c r="E188" s="16">
        <f>IFERROR(__xludf.DUMMYFUNCTION("""COMPUTED_VALUE"""),64.0)</f>
        <v>64</v>
      </c>
      <c r="F188" s="19" t="str">
        <f>IFERROR(__xludf.DUMMYFUNCTION("""COMPUTED_VALUE"""),"BLACK")</f>
        <v>BLACK</v>
      </c>
      <c r="G188" s="20" t="str">
        <f>IFERROR(__xludf.DUMMYFUNCTION("""COMPUTED_VALUE"""),"Uncle Sams Cider (11/12/2021) 02")</f>
        <v>Uncle Sams Cider (11/12/2021) 02</v>
      </c>
      <c r="H188" s="19"/>
    </row>
    <row r="189">
      <c r="A189" s="9"/>
      <c r="B189" s="15"/>
      <c r="C189" s="9">
        <f>IFERROR(__xludf.DUMMYFUNCTION("""COMPUTED_VALUE"""),44603.5898566435)</f>
        <v>44603.58986</v>
      </c>
      <c r="D189" s="15">
        <f>IFERROR(__xludf.DUMMYFUNCTION("""COMPUTED_VALUE"""),1.004)</f>
        <v>1.004</v>
      </c>
      <c r="E189" s="16">
        <f>IFERROR(__xludf.DUMMYFUNCTION("""COMPUTED_VALUE"""),64.0)</f>
        <v>64</v>
      </c>
      <c r="F189" s="19" t="str">
        <f>IFERROR(__xludf.DUMMYFUNCTION("""COMPUTED_VALUE"""),"BLACK")</f>
        <v>BLACK</v>
      </c>
      <c r="G189" s="20" t="str">
        <f>IFERROR(__xludf.DUMMYFUNCTION("""COMPUTED_VALUE"""),"Uncle Sams Cider (11/12/2021) 02")</f>
        <v>Uncle Sams Cider (11/12/2021) 02</v>
      </c>
      <c r="H189" s="19"/>
    </row>
    <row r="190">
      <c r="A190" s="9"/>
      <c r="B190" s="15"/>
      <c r="C190" s="9">
        <f>IFERROR(__xludf.DUMMYFUNCTION("""COMPUTED_VALUE"""),44603.5794334953)</f>
        <v>44603.57943</v>
      </c>
      <c r="D190" s="15">
        <f>IFERROR(__xludf.DUMMYFUNCTION("""COMPUTED_VALUE"""),1.003)</f>
        <v>1.003</v>
      </c>
      <c r="E190" s="16">
        <f>IFERROR(__xludf.DUMMYFUNCTION("""COMPUTED_VALUE"""),64.0)</f>
        <v>64</v>
      </c>
      <c r="F190" s="19" t="str">
        <f>IFERROR(__xludf.DUMMYFUNCTION("""COMPUTED_VALUE"""),"BLACK")</f>
        <v>BLACK</v>
      </c>
      <c r="G190" s="20" t="str">
        <f>IFERROR(__xludf.DUMMYFUNCTION("""COMPUTED_VALUE"""),"Uncle Sams Cider (11/12/2021) 02")</f>
        <v>Uncle Sams Cider (11/12/2021) 02</v>
      </c>
      <c r="H190" s="19"/>
    </row>
    <row r="191">
      <c r="A191" s="9"/>
      <c r="B191" s="15"/>
      <c r="C191" s="9">
        <f>IFERROR(__xludf.DUMMYFUNCTION("""COMPUTED_VALUE"""),44603.5690128009)</f>
        <v>44603.56901</v>
      </c>
      <c r="D191" s="15">
        <f>IFERROR(__xludf.DUMMYFUNCTION("""COMPUTED_VALUE"""),1.004)</f>
        <v>1.004</v>
      </c>
      <c r="E191" s="16">
        <f>IFERROR(__xludf.DUMMYFUNCTION("""COMPUTED_VALUE"""),64.0)</f>
        <v>64</v>
      </c>
      <c r="F191" s="19" t="str">
        <f>IFERROR(__xludf.DUMMYFUNCTION("""COMPUTED_VALUE"""),"BLACK")</f>
        <v>BLACK</v>
      </c>
      <c r="G191" s="20" t="str">
        <f>IFERROR(__xludf.DUMMYFUNCTION("""COMPUTED_VALUE"""),"Uncle Sams Cider (11/12/2021) 02")</f>
        <v>Uncle Sams Cider (11/12/2021) 02</v>
      </c>
      <c r="H191" s="19"/>
    </row>
    <row r="192">
      <c r="A192" s="9"/>
      <c r="B192" s="15"/>
      <c r="C192" s="9">
        <f>IFERROR(__xludf.DUMMYFUNCTION("""COMPUTED_VALUE"""),44603.5585906481)</f>
        <v>44603.55859</v>
      </c>
      <c r="D192" s="15">
        <f>IFERROR(__xludf.DUMMYFUNCTION("""COMPUTED_VALUE"""),1.004)</f>
        <v>1.004</v>
      </c>
      <c r="E192" s="16">
        <f>IFERROR(__xludf.DUMMYFUNCTION("""COMPUTED_VALUE"""),64.0)</f>
        <v>64</v>
      </c>
      <c r="F192" s="19" t="str">
        <f>IFERROR(__xludf.DUMMYFUNCTION("""COMPUTED_VALUE"""),"BLACK")</f>
        <v>BLACK</v>
      </c>
      <c r="G192" s="20" t="str">
        <f>IFERROR(__xludf.DUMMYFUNCTION("""COMPUTED_VALUE"""),"Uncle Sams Cider (11/12/2021) 02")</f>
        <v>Uncle Sams Cider (11/12/2021) 02</v>
      </c>
      <c r="H192" s="19"/>
    </row>
    <row r="193">
      <c r="A193" s="9"/>
      <c r="B193" s="15"/>
      <c r="C193" s="9">
        <f>IFERROR(__xludf.DUMMYFUNCTION("""COMPUTED_VALUE"""),44603.5481706249)</f>
        <v>44603.54817</v>
      </c>
      <c r="D193" s="15">
        <f>IFERROR(__xludf.DUMMYFUNCTION("""COMPUTED_VALUE"""),1.004)</f>
        <v>1.004</v>
      </c>
      <c r="E193" s="16">
        <f>IFERROR(__xludf.DUMMYFUNCTION("""COMPUTED_VALUE"""),64.0)</f>
        <v>64</v>
      </c>
      <c r="F193" s="19" t="str">
        <f>IFERROR(__xludf.DUMMYFUNCTION("""COMPUTED_VALUE"""),"BLACK")</f>
        <v>BLACK</v>
      </c>
      <c r="G193" s="20" t="str">
        <f>IFERROR(__xludf.DUMMYFUNCTION("""COMPUTED_VALUE"""),"Uncle Sams Cider (11/12/2021) 02")</f>
        <v>Uncle Sams Cider (11/12/2021) 02</v>
      </c>
      <c r="H193" s="19"/>
    </row>
    <row r="194">
      <c r="A194" s="9"/>
      <c r="B194" s="15"/>
      <c r="C194" s="9">
        <f>IFERROR(__xludf.DUMMYFUNCTION("""COMPUTED_VALUE"""),44603.5377486921)</f>
        <v>44603.53775</v>
      </c>
      <c r="D194" s="15">
        <f>IFERROR(__xludf.DUMMYFUNCTION("""COMPUTED_VALUE"""),1.004)</f>
        <v>1.004</v>
      </c>
      <c r="E194" s="16">
        <f>IFERROR(__xludf.DUMMYFUNCTION("""COMPUTED_VALUE"""),64.0)</f>
        <v>64</v>
      </c>
      <c r="F194" s="19" t="str">
        <f>IFERROR(__xludf.DUMMYFUNCTION("""COMPUTED_VALUE"""),"BLACK")</f>
        <v>BLACK</v>
      </c>
      <c r="G194" s="20" t="str">
        <f>IFERROR(__xludf.DUMMYFUNCTION("""COMPUTED_VALUE"""),"Uncle Sams Cider (11/12/2021) 02")</f>
        <v>Uncle Sams Cider (11/12/2021) 02</v>
      </c>
      <c r="H194" s="19"/>
    </row>
    <row r="195">
      <c r="A195" s="9"/>
      <c r="B195" s="15"/>
      <c r="C195" s="9">
        <f>IFERROR(__xludf.DUMMYFUNCTION("""COMPUTED_VALUE"""),44603.5273043981)</f>
        <v>44603.5273</v>
      </c>
      <c r="D195" s="15">
        <f>IFERROR(__xludf.DUMMYFUNCTION("""COMPUTED_VALUE"""),1.004)</f>
        <v>1.004</v>
      </c>
      <c r="E195" s="16">
        <f>IFERROR(__xludf.DUMMYFUNCTION("""COMPUTED_VALUE"""),64.0)</f>
        <v>64</v>
      </c>
      <c r="F195" s="19" t="str">
        <f>IFERROR(__xludf.DUMMYFUNCTION("""COMPUTED_VALUE"""),"BLACK")</f>
        <v>BLACK</v>
      </c>
      <c r="G195" s="20" t="str">
        <f>IFERROR(__xludf.DUMMYFUNCTION("""COMPUTED_VALUE"""),"Uncle Sams Cider (11/12/2021) 02")</f>
        <v>Uncle Sams Cider (11/12/2021) 02</v>
      </c>
      <c r="H195" s="19"/>
    </row>
    <row r="196">
      <c r="A196" s="9"/>
      <c r="B196" s="15"/>
      <c r="C196" s="9">
        <f>IFERROR(__xludf.DUMMYFUNCTION("""COMPUTED_VALUE"""),44603.5168607986)</f>
        <v>44603.51686</v>
      </c>
      <c r="D196" s="15">
        <f>IFERROR(__xludf.DUMMYFUNCTION("""COMPUTED_VALUE"""),1.004)</f>
        <v>1.004</v>
      </c>
      <c r="E196" s="16">
        <f>IFERROR(__xludf.DUMMYFUNCTION("""COMPUTED_VALUE"""),64.0)</f>
        <v>64</v>
      </c>
      <c r="F196" s="19" t="str">
        <f>IFERROR(__xludf.DUMMYFUNCTION("""COMPUTED_VALUE"""),"BLACK")</f>
        <v>BLACK</v>
      </c>
      <c r="G196" s="20" t="str">
        <f>IFERROR(__xludf.DUMMYFUNCTION("""COMPUTED_VALUE"""),"Uncle Sams Cider (11/12/2021) 02")</f>
        <v>Uncle Sams Cider (11/12/2021) 02</v>
      </c>
      <c r="H196" s="19"/>
    </row>
    <row r="197">
      <c r="A197" s="9"/>
      <c r="B197" s="15"/>
      <c r="C197" s="9">
        <f>IFERROR(__xludf.DUMMYFUNCTION("""COMPUTED_VALUE"""),44603.5064286921)</f>
        <v>44603.50643</v>
      </c>
      <c r="D197" s="15">
        <f>IFERROR(__xludf.DUMMYFUNCTION("""COMPUTED_VALUE"""),1.004)</f>
        <v>1.004</v>
      </c>
      <c r="E197" s="16">
        <f>IFERROR(__xludf.DUMMYFUNCTION("""COMPUTED_VALUE"""),64.0)</f>
        <v>64</v>
      </c>
      <c r="F197" s="19" t="str">
        <f>IFERROR(__xludf.DUMMYFUNCTION("""COMPUTED_VALUE"""),"BLACK")</f>
        <v>BLACK</v>
      </c>
      <c r="G197" s="20" t="str">
        <f>IFERROR(__xludf.DUMMYFUNCTION("""COMPUTED_VALUE"""),"Uncle Sams Cider (11/12/2021) 02")</f>
        <v>Uncle Sams Cider (11/12/2021) 02</v>
      </c>
      <c r="H197" s="19"/>
    </row>
    <row r="198">
      <c r="A198" s="9"/>
      <c r="B198" s="15"/>
      <c r="C198" s="9">
        <f>IFERROR(__xludf.DUMMYFUNCTION("""COMPUTED_VALUE"""),44603.4959954861)</f>
        <v>44603.496</v>
      </c>
      <c r="D198" s="15">
        <f>IFERROR(__xludf.DUMMYFUNCTION("""COMPUTED_VALUE"""),1.004)</f>
        <v>1.004</v>
      </c>
      <c r="E198" s="16">
        <f>IFERROR(__xludf.DUMMYFUNCTION("""COMPUTED_VALUE"""),64.0)</f>
        <v>64</v>
      </c>
      <c r="F198" s="19" t="str">
        <f>IFERROR(__xludf.DUMMYFUNCTION("""COMPUTED_VALUE"""),"BLACK")</f>
        <v>BLACK</v>
      </c>
      <c r="G198" s="20" t="str">
        <f>IFERROR(__xludf.DUMMYFUNCTION("""COMPUTED_VALUE"""),"Uncle Sams Cider (11/12/2021) 02")</f>
        <v>Uncle Sams Cider (11/12/2021) 02</v>
      </c>
      <c r="H198" s="19"/>
    </row>
    <row r="199">
      <c r="A199" s="9"/>
      <c r="B199" s="15"/>
      <c r="C199" s="9">
        <f>IFERROR(__xludf.DUMMYFUNCTION("""COMPUTED_VALUE"""),44603.4855608796)</f>
        <v>44603.48556</v>
      </c>
      <c r="D199" s="15">
        <f>IFERROR(__xludf.DUMMYFUNCTION("""COMPUTED_VALUE"""),1.004)</f>
        <v>1.004</v>
      </c>
      <c r="E199" s="16">
        <f>IFERROR(__xludf.DUMMYFUNCTION("""COMPUTED_VALUE"""),64.0)</f>
        <v>64</v>
      </c>
      <c r="F199" s="19" t="str">
        <f>IFERROR(__xludf.DUMMYFUNCTION("""COMPUTED_VALUE"""),"BLACK")</f>
        <v>BLACK</v>
      </c>
      <c r="G199" s="20" t="str">
        <f>IFERROR(__xludf.DUMMYFUNCTION("""COMPUTED_VALUE"""),"Uncle Sams Cider (11/12/2021) 02")</f>
        <v>Uncle Sams Cider (11/12/2021) 02</v>
      </c>
      <c r="H199" s="19"/>
    </row>
    <row r="200">
      <c r="A200" s="9"/>
      <c r="B200" s="15"/>
      <c r="C200" s="9">
        <f>IFERROR(__xludf.DUMMYFUNCTION("""COMPUTED_VALUE"""),44603.47514)</f>
        <v>44603.47514</v>
      </c>
      <c r="D200" s="15">
        <f>IFERROR(__xludf.DUMMYFUNCTION("""COMPUTED_VALUE"""),1.004)</f>
        <v>1.004</v>
      </c>
      <c r="E200" s="16">
        <f>IFERROR(__xludf.DUMMYFUNCTION("""COMPUTED_VALUE"""),64.0)</f>
        <v>64</v>
      </c>
      <c r="F200" s="19" t="str">
        <f>IFERROR(__xludf.DUMMYFUNCTION("""COMPUTED_VALUE"""),"BLACK")</f>
        <v>BLACK</v>
      </c>
      <c r="G200" s="20" t="str">
        <f>IFERROR(__xludf.DUMMYFUNCTION("""COMPUTED_VALUE"""),"Uncle Sams Cider (11/12/2021) 02")</f>
        <v>Uncle Sams Cider (11/12/2021) 02</v>
      </c>
      <c r="H200" s="19"/>
    </row>
    <row r="201">
      <c r="A201" s="9"/>
      <c r="B201" s="15"/>
      <c r="C201" s="9">
        <f>IFERROR(__xludf.DUMMYFUNCTION("""COMPUTED_VALUE"""),44603.4647188425)</f>
        <v>44603.46472</v>
      </c>
      <c r="D201" s="15">
        <f>IFERROR(__xludf.DUMMYFUNCTION("""COMPUTED_VALUE"""),1.004)</f>
        <v>1.004</v>
      </c>
      <c r="E201" s="16">
        <f>IFERROR(__xludf.DUMMYFUNCTION("""COMPUTED_VALUE"""),64.0)</f>
        <v>64</v>
      </c>
      <c r="F201" s="19" t="str">
        <f>IFERROR(__xludf.DUMMYFUNCTION("""COMPUTED_VALUE"""),"BLACK")</f>
        <v>BLACK</v>
      </c>
      <c r="G201" s="20" t="str">
        <f>IFERROR(__xludf.DUMMYFUNCTION("""COMPUTED_VALUE"""),"Uncle Sams Cider (11/12/2021) 02")</f>
        <v>Uncle Sams Cider (11/12/2021) 02</v>
      </c>
      <c r="H201" s="19"/>
    </row>
    <row r="202">
      <c r="A202" s="9"/>
      <c r="B202" s="15"/>
      <c r="C202" s="9">
        <f>IFERROR(__xludf.DUMMYFUNCTION("""COMPUTED_VALUE"""),44603.4542982291)</f>
        <v>44603.4543</v>
      </c>
      <c r="D202" s="15">
        <f>IFERROR(__xludf.DUMMYFUNCTION("""COMPUTED_VALUE"""),1.004)</f>
        <v>1.004</v>
      </c>
      <c r="E202" s="16">
        <f>IFERROR(__xludf.DUMMYFUNCTION("""COMPUTED_VALUE"""),64.0)</f>
        <v>64</v>
      </c>
      <c r="F202" s="19" t="str">
        <f>IFERROR(__xludf.DUMMYFUNCTION("""COMPUTED_VALUE"""),"BLACK")</f>
        <v>BLACK</v>
      </c>
      <c r="G202" s="20" t="str">
        <f>IFERROR(__xludf.DUMMYFUNCTION("""COMPUTED_VALUE"""),"Uncle Sams Cider (11/12/2021) 02")</f>
        <v>Uncle Sams Cider (11/12/2021) 02</v>
      </c>
      <c r="H202" s="19"/>
    </row>
    <row r="203">
      <c r="A203" s="9"/>
      <c r="B203" s="15"/>
      <c r="C203" s="9">
        <f>IFERROR(__xludf.DUMMYFUNCTION("""COMPUTED_VALUE"""),44603.4438770833)</f>
        <v>44603.44388</v>
      </c>
      <c r="D203" s="15">
        <f>IFERROR(__xludf.DUMMYFUNCTION("""COMPUTED_VALUE"""),1.004)</f>
        <v>1.004</v>
      </c>
      <c r="E203" s="16">
        <f>IFERROR(__xludf.DUMMYFUNCTION("""COMPUTED_VALUE"""),64.0)</f>
        <v>64</v>
      </c>
      <c r="F203" s="19" t="str">
        <f>IFERROR(__xludf.DUMMYFUNCTION("""COMPUTED_VALUE"""),"BLACK")</f>
        <v>BLACK</v>
      </c>
      <c r="G203" s="20" t="str">
        <f>IFERROR(__xludf.DUMMYFUNCTION("""COMPUTED_VALUE"""),"Uncle Sams Cider (11/12/2021) 02")</f>
        <v>Uncle Sams Cider (11/12/2021) 02</v>
      </c>
      <c r="H203" s="19"/>
    </row>
    <row r="204">
      <c r="A204" s="9"/>
      <c r="B204" s="15"/>
      <c r="C204" s="9">
        <f>IFERROR(__xludf.DUMMYFUNCTION("""COMPUTED_VALUE"""),44603.43345603)</f>
        <v>44603.43346</v>
      </c>
      <c r="D204" s="15">
        <f>IFERROR(__xludf.DUMMYFUNCTION("""COMPUTED_VALUE"""),1.004)</f>
        <v>1.004</v>
      </c>
      <c r="E204" s="16">
        <f>IFERROR(__xludf.DUMMYFUNCTION("""COMPUTED_VALUE"""),64.0)</f>
        <v>64</v>
      </c>
      <c r="F204" s="19" t="str">
        <f>IFERROR(__xludf.DUMMYFUNCTION("""COMPUTED_VALUE"""),"BLACK")</f>
        <v>BLACK</v>
      </c>
      <c r="G204" s="20" t="str">
        <f>IFERROR(__xludf.DUMMYFUNCTION("""COMPUTED_VALUE"""),"Uncle Sams Cider (11/12/2021) 02")</f>
        <v>Uncle Sams Cider (11/12/2021) 02</v>
      </c>
      <c r="H204" s="19"/>
    </row>
    <row r="205">
      <c r="A205" s="9"/>
      <c r="B205" s="15"/>
      <c r="C205" s="9">
        <f>IFERROR(__xludf.DUMMYFUNCTION("""COMPUTED_VALUE"""),44603.4230339236)</f>
        <v>44603.42303</v>
      </c>
      <c r="D205" s="15">
        <f>IFERROR(__xludf.DUMMYFUNCTION("""COMPUTED_VALUE"""),1.004)</f>
        <v>1.004</v>
      </c>
      <c r="E205" s="16">
        <f>IFERROR(__xludf.DUMMYFUNCTION("""COMPUTED_VALUE"""),64.0)</f>
        <v>64</v>
      </c>
      <c r="F205" s="19" t="str">
        <f>IFERROR(__xludf.DUMMYFUNCTION("""COMPUTED_VALUE"""),"BLACK")</f>
        <v>BLACK</v>
      </c>
      <c r="G205" s="20" t="str">
        <f>IFERROR(__xludf.DUMMYFUNCTION("""COMPUTED_VALUE"""),"Uncle Sams Cider (11/12/2021) 02")</f>
        <v>Uncle Sams Cider (11/12/2021) 02</v>
      </c>
      <c r="H205" s="19"/>
    </row>
    <row r="206">
      <c r="A206" s="9"/>
      <c r="B206" s="15"/>
      <c r="C206" s="9">
        <f>IFERROR(__xludf.DUMMYFUNCTION("""COMPUTED_VALUE"""),44603.4126121643)</f>
        <v>44603.41261</v>
      </c>
      <c r="D206" s="15">
        <f>IFERROR(__xludf.DUMMYFUNCTION("""COMPUTED_VALUE"""),1.004)</f>
        <v>1.004</v>
      </c>
      <c r="E206" s="16">
        <f>IFERROR(__xludf.DUMMYFUNCTION("""COMPUTED_VALUE"""),64.0)</f>
        <v>64</v>
      </c>
      <c r="F206" s="19" t="str">
        <f>IFERROR(__xludf.DUMMYFUNCTION("""COMPUTED_VALUE"""),"BLACK")</f>
        <v>BLACK</v>
      </c>
      <c r="G206" s="20" t="str">
        <f>IFERROR(__xludf.DUMMYFUNCTION("""COMPUTED_VALUE"""),"Uncle Sams Cider (11/12/2021) 02")</f>
        <v>Uncle Sams Cider (11/12/2021) 02</v>
      </c>
      <c r="H206" s="19"/>
    </row>
    <row r="207">
      <c r="A207" s="9"/>
      <c r="B207" s="15"/>
      <c r="C207" s="9">
        <f>IFERROR(__xludf.DUMMYFUNCTION("""COMPUTED_VALUE"""),44603.4021440972)</f>
        <v>44603.40214</v>
      </c>
      <c r="D207" s="15">
        <f>IFERROR(__xludf.DUMMYFUNCTION("""COMPUTED_VALUE"""),1.004)</f>
        <v>1.004</v>
      </c>
      <c r="E207" s="16">
        <f>IFERROR(__xludf.DUMMYFUNCTION("""COMPUTED_VALUE"""),64.0)</f>
        <v>64</v>
      </c>
      <c r="F207" s="19" t="str">
        <f>IFERROR(__xludf.DUMMYFUNCTION("""COMPUTED_VALUE"""),"BLACK")</f>
        <v>BLACK</v>
      </c>
      <c r="G207" s="20" t="str">
        <f>IFERROR(__xludf.DUMMYFUNCTION("""COMPUTED_VALUE"""),"Uncle Sams Cider (11/12/2021) 02")</f>
        <v>Uncle Sams Cider (11/12/2021) 02</v>
      </c>
      <c r="H207" s="19"/>
    </row>
    <row r="208">
      <c r="A208" s="9"/>
      <c r="B208" s="15"/>
      <c r="C208" s="9">
        <f>IFERROR(__xludf.DUMMYFUNCTION("""COMPUTED_VALUE"""),44603.3917231597)</f>
        <v>44603.39172</v>
      </c>
      <c r="D208" s="15">
        <f>IFERROR(__xludf.DUMMYFUNCTION("""COMPUTED_VALUE"""),1.004)</f>
        <v>1.004</v>
      </c>
      <c r="E208" s="16">
        <f>IFERROR(__xludf.DUMMYFUNCTION("""COMPUTED_VALUE"""),64.0)</f>
        <v>64</v>
      </c>
      <c r="F208" s="19" t="str">
        <f>IFERROR(__xludf.DUMMYFUNCTION("""COMPUTED_VALUE"""),"BLACK")</f>
        <v>BLACK</v>
      </c>
      <c r="G208" s="20" t="str">
        <f>IFERROR(__xludf.DUMMYFUNCTION("""COMPUTED_VALUE"""),"Uncle Sams Cider (11/12/2021) 02")</f>
        <v>Uncle Sams Cider (11/12/2021) 02</v>
      </c>
      <c r="H208" s="19"/>
    </row>
    <row r="209">
      <c r="A209" s="9"/>
      <c r="B209" s="15"/>
      <c r="C209" s="9">
        <f>IFERROR(__xludf.DUMMYFUNCTION("""COMPUTED_VALUE"""),44603.3813014699)</f>
        <v>44603.3813</v>
      </c>
      <c r="D209" s="15">
        <f>IFERROR(__xludf.DUMMYFUNCTION("""COMPUTED_VALUE"""),1.004)</f>
        <v>1.004</v>
      </c>
      <c r="E209" s="16">
        <f>IFERROR(__xludf.DUMMYFUNCTION("""COMPUTED_VALUE"""),64.0)</f>
        <v>64</v>
      </c>
      <c r="F209" s="19" t="str">
        <f>IFERROR(__xludf.DUMMYFUNCTION("""COMPUTED_VALUE"""),"BLACK")</f>
        <v>BLACK</v>
      </c>
      <c r="G209" s="20" t="str">
        <f>IFERROR(__xludf.DUMMYFUNCTION("""COMPUTED_VALUE"""),"Uncle Sams Cider (11/12/2021) 02")</f>
        <v>Uncle Sams Cider (11/12/2021) 02</v>
      </c>
      <c r="H209" s="19"/>
    </row>
    <row r="210">
      <c r="A210" s="9"/>
      <c r="B210" s="15"/>
      <c r="C210" s="9">
        <f>IFERROR(__xludf.DUMMYFUNCTION("""COMPUTED_VALUE"""),44603.3708807754)</f>
        <v>44603.37088</v>
      </c>
      <c r="D210" s="15">
        <f>IFERROR(__xludf.DUMMYFUNCTION("""COMPUTED_VALUE"""),1.004)</f>
        <v>1.004</v>
      </c>
      <c r="E210" s="16">
        <f>IFERROR(__xludf.DUMMYFUNCTION("""COMPUTED_VALUE"""),64.0)</f>
        <v>64</v>
      </c>
      <c r="F210" s="19" t="str">
        <f>IFERROR(__xludf.DUMMYFUNCTION("""COMPUTED_VALUE"""),"BLACK")</f>
        <v>BLACK</v>
      </c>
      <c r="G210" s="20" t="str">
        <f>IFERROR(__xludf.DUMMYFUNCTION("""COMPUTED_VALUE"""),"Uncle Sams Cider (11/12/2021) 02")</f>
        <v>Uncle Sams Cider (11/12/2021) 02</v>
      </c>
      <c r="H210" s="19"/>
    </row>
    <row r="211">
      <c r="A211" s="9"/>
      <c r="B211" s="15"/>
      <c r="C211" s="9">
        <f>IFERROR(__xludf.DUMMYFUNCTION("""COMPUTED_VALUE"""),44603.3604601504)</f>
        <v>44603.36046</v>
      </c>
      <c r="D211" s="15">
        <f>IFERROR(__xludf.DUMMYFUNCTION("""COMPUTED_VALUE"""),1.004)</f>
        <v>1.004</v>
      </c>
      <c r="E211" s="16">
        <f>IFERROR(__xludf.DUMMYFUNCTION("""COMPUTED_VALUE"""),64.0)</f>
        <v>64</v>
      </c>
      <c r="F211" s="19" t="str">
        <f>IFERROR(__xludf.DUMMYFUNCTION("""COMPUTED_VALUE"""),"BLACK")</f>
        <v>BLACK</v>
      </c>
      <c r="G211" s="20" t="str">
        <f>IFERROR(__xludf.DUMMYFUNCTION("""COMPUTED_VALUE"""),"Uncle Sams Cider (11/12/2021) 02")</f>
        <v>Uncle Sams Cider (11/12/2021) 02</v>
      </c>
      <c r="H211" s="19"/>
    </row>
    <row r="212">
      <c r="A212" s="9"/>
      <c r="B212" s="15"/>
      <c r="C212" s="9">
        <f>IFERROR(__xludf.DUMMYFUNCTION("""COMPUTED_VALUE"""),44603.3500399537)</f>
        <v>44603.35004</v>
      </c>
      <c r="D212" s="15">
        <f>IFERROR(__xludf.DUMMYFUNCTION("""COMPUTED_VALUE"""),1.004)</f>
        <v>1.004</v>
      </c>
      <c r="E212" s="16">
        <f>IFERROR(__xludf.DUMMYFUNCTION("""COMPUTED_VALUE"""),64.0)</f>
        <v>64</v>
      </c>
      <c r="F212" s="19" t="str">
        <f>IFERROR(__xludf.DUMMYFUNCTION("""COMPUTED_VALUE"""),"BLACK")</f>
        <v>BLACK</v>
      </c>
      <c r="G212" s="20" t="str">
        <f>IFERROR(__xludf.DUMMYFUNCTION("""COMPUTED_VALUE"""),"Uncle Sams Cider (11/12/2021) 02")</f>
        <v>Uncle Sams Cider (11/12/2021) 02</v>
      </c>
      <c r="H212" s="19"/>
    </row>
    <row r="213">
      <c r="A213" s="9"/>
      <c r="B213" s="15"/>
      <c r="C213" s="9">
        <f>IFERROR(__xludf.DUMMYFUNCTION("""COMPUTED_VALUE"""),44603.3396159143)</f>
        <v>44603.33962</v>
      </c>
      <c r="D213" s="15">
        <f>IFERROR(__xludf.DUMMYFUNCTION("""COMPUTED_VALUE"""),1.004)</f>
        <v>1.004</v>
      </c>
      <c r="E213" s="16">
        <f>IFERROR(__xludf.DUMMYFUNCTION("""COMPUTED_VALUE"""),64.0)</f>
        <v>64</v>
      </c>
      <c r="F213" s="19" t="str">
        <f>IFERROR(__xludf.DUMMYFUNCTION("""COMPUTED_VALUE"""),"BLACK")</f>
        <v>BLACK</v>
      </c>
      <c r="G213" s="20" t="str">
        <f>IFERROR(__xludf.DUMMYFUNCTION("""COMPUTED_VALUE"""),"Uncle Sams Cider (11/12/2021) 02")</f>
        <v>Uncle Sams Cider (11/12/2021) 02</v>
      </c>
      <c r="H213" s="19"/>
    </row>
    <row r="214">
      <c r="A214" s="9"/>
      <c r="B214" s="15"/>
      <c r="C214" s="9">
        <f>IFERROR(__xludf.DUMMYFUNCTION("""COMPUTED_VALUE"""),44603.3291703819)</f>
        <v>44603.32917</v>
      </c>
      <c r="D214" s="15">
        <f>IFERROR(__xludf.DUMMYFUNCTION("""COMPUTED_VALUE"""),1.004)</f>
        <v>1.004</v>
      </c>
      <c r="E214" s="16">
        <f>IFERROR(__xludf.DUMMYFUNCTION("""COMPUTED_VALUE"""),64.0)</f>
        <v>64</v>
      </c>
      <c r="F214" s="19" t="str">
        <f>IFERROR(__xludf.DUMMYFUNCTION("""COMPUTED_VALUE"""),"BLACK")</f>
        <v>BLACK</v>
      </c>
      <c r="G214" s="20" t="str">
        <f>IFERROR(__xludf.DUMMYFUNCTION("""COMPUTED_VALUE"""),"Uncle Sams Cider (11/12/2021) 02")</f>
        <v>Uncle Sams Cider (11/12/2021) 02</v>
      </c>
      <c r="H214" s="19"/>
    </row>
    <row r="215">
      <c r="A215" s="9"/>
      <c r="B215" s="15"/>
      <c r="C215" s="9">
        <f>IFERROR(__xludf.DUMMYFUNCTION("""COMPUTED_VALUE"""),44603.3187504629)</f>
        <v>44603.31875</v>
      </c>
      <c r="D215" s="15">
        <f>IFERROR(__xludf.DUMMYFUNCTION("""COMPUTED_VALUE"""),1.004)</f>
        <v>1.004</v>
      </c>
      <c r="E215" s="16">
        <f>IFERROR(__xludf.DUMMYFUNCTION("""COMPUTED_VALUE"""),64.0)</f>
        <v>64</v>
      </c>
      <c r="F215" s="19" t="str">
        <f>IFERROR(__xludf.DUMMYFUNCTION("""COMPUTED_VALUE"""),"BLACK")</f>
        <v>BLACK</v>
      </c>
      <c r="G215" s="20" t="str">
        <f>IFERROR(__xludf.DUMMYFUNCTION("""COMPUTED_VALUE"""),"Uncle Sams Cider (11/12/2021) 02")</f>
        <v>Uncle Sams Cider (11/12/2021) 02</v>
      </c>
      <c r="H215" s="19"/>
    </row>
    <row r="216">
      <c r="A216" s="9"/>
      <c r="B216" s="15"/>
      <c r="C216" s="9">
        <f>IFERROR(__xludf.DUMMYFUNCTION("""COMPUTED_VALUE"""),44603.3083288657)</f>
        <v>44603.30833</v>
      </c>
      <c r="D216" s="15">
        <f>IFERROR(__xludf.DUMMYFUNCTION("""COMPUTED_VALUE"""),1.004)</f>
        <v>1.004</v>
      </c>
      <c r="E216" s="16">
        <f>IFERROR(__xludf.DUMMYFUNCTION("""COMPUTED_VALUE"""),64.0)</f>
        <v>64</v>
      </c>
      <c r="F216" s="19" t="str">
        <f>IFERROR(__xludf.DUMMYFUNCTION("""COMPUTED_VALUE"""),"BLACK")</f>
        <v>BLACK</v>
      </c>
      <c r="G216" s="20" t="str">
        <f>IFERROR(__xludf.DUMMYFUNCTION("""COMPUTED_VALUE"""),"Uncle Sams Cider (11/12/2021) 02")</f>
        <v>Uncle Sams Cider (11/12/2021) 02</v>
      </c>
      <c r="H216" s="19"/>
    </row>
    <row r="217">
      <c r="A217" s="9"/>
      <c r="B217" s="15"/>
      <c r="C217" s="9">
        <f>IFERROR(__xludf.DUMMYFUNCTION("""COMPUTED_VALUE"""),44603.2979064467)</f>
        <v>44603.29791</v>
      </c>
      <c r="D217" s="15">
        <f>IFERROR(__xludf.DUMMYFUNCTION("""COMPUTED_VALUE"""),1.004)</f>
        <v>1.004</v>
      </c>
      <c r="E217" s="16">
        <f>IFERROR(__xludf.DUMMYFUNCTION("""COMPUTED_VALUE"""),64.0)</f>
        <v>64</v>
      </c>
      <c r="F217" s="19" t="str">
        <f>IFERROR(__xludf.DUMMYFUNCTION("""COMPUTED_VALUE"""),"BLACK")</f>
        <v>BLACK</v>
      </c>
      <c r="G217" s="20" t="str">
        <f>IFERROR(__xludf.DUMMYFUNCTION("""COMPUTED_VALUE"""),"Uncle Sams Cider (11/12/2021) 02")</f>
        <v>Uncle Sams Cider (11/12/2021) 02</v>
      </c>
      <c r="H217" s="19"/>
    </row>
    <row r="218">
      <c r="A218" s="9"/>
      <c r="B218" s="15"/>
      <c r="C218" s="9">
        <f>IFERROR(__xludf.DUMMYFUNCTION("""COMPUTED_VALUE"""),44603.2874746412)</f>
        <v>44603.28747</v>
      </c>
      <c r="D218" s="15">
        <f>IFERROR(__xludf.DUMMYFUNCTION("""COMPUTED_VALUE"""),1.003)</f>
        <v>1.003</v>
      </c>
      <c r="E218" s="16">
        <f>IFERROR(__xludf.DUMMYFUNCTION("""COMPUTED_VALUE"""),64.0)</f>
        <v>64</v>
      </c>
      <c r="F218" s="19" t="str">
        <f>IFERROR(__xludf.DUMMYFUNCTION("""COMPUTED_VALUE"""),"BLACK")</f>
        <v>BLACK</v>
      </c>
      <c r="G218" s="20" t="str">
        <f>IFERROR(__xludf.DUMMYFUNCTION("""COMPUTED_VALUE"""),"Uncle Sams Cider (11/12/2021) 02")</f>
        <v>Uncle Sams Cider (11/12/2021) 02</v>
      </c>
      <c r="H218" s="19"/>
    </row>
    <row r="219">
      <c r="A219" s="9"/>
      <c r="B219" s="15"/>
      <c r="C219" s="9">
        <f>IFERROR(__xludf.DUMMYFUNCTION("""COMPUTED_VALUE"""),44603.2770521064)</f>
        <v>44603.27705</v>
      </c>
      <c r="D219" s="15">
        <f>IFERROR(__xludf.DUMMYFUNCTION("""COMPUTED_VALUE"""),1.004)</f>
        <v>1.004</v>
      </c>
      <c r="E219" s="16">
        <f>IFERROR(__xludf.DUMMYFUNCTION("""COMPUTED_VALUE"""),64.0)</f>
        <v>64</v>
      </c>
      <c r="F219" s="19" t="str">
        <f>IFERROR(__xludf.DUMMYFUNCTION("""COMPUTED_VALUE"""),"BLACK")</f>
        <v>BLACK</v>
      </c>
      <c r="G219" s="20" t="str">
        <f>IFERROR(__xludf.DUMMYFUNCTION("""COMPUTED_VALUE"""),"Uncle Sams Cider (11/12/2021) 02")</f>
        <v>Uncle Sams Cider (11/12/2021) 02</v>
      </c>
      <c r="H219" s="19"/>
    </row>
    <row r="220">
      <c r="A220" s="9"/>
      <c r="B220" s="15"/>
      <c r="C220" s="9">
        <f>IFERROR(__xludf.DUMMYFUNCTION("""COMPUTED_VALUE"""),44603.2666310995)</f>
        <v>44603.26663</v>
      </c>
      <c r="D220" s="15">
        <f>IFERROR(__xludf.DUMMYFUNCTION("""COMPUTED_VALUE"""),1.003)</f>
        <v>1.003</v>
      </c>
      <c r="E220" s="16">
        <f>IFERROR(__xludf.DUMMYFUNCTION("""COMPUTED_VALUE"""),64.0)</f>
        <v>64</v>
      </c>
      <c r="F220" s="19" t="str">
        <f>IFERROR(__xludf.DUMMYFUNCTION("""COMPUTED_VALUE"""),"BLACK")</f>
        <v>BLACK</v>
      </c>
      <c r="G220" s="20" t="str">
        <f>IFERROR(__xludf.DUMMYFUNCTION("""COMPUTED_VALUE"""),"Uncle Sams Cider (11/12/2021) 02")</f>
        <v>Uncle Sams Cider (11/12/2021) 02</v>
      </c>
      <c r="H220" s="19"/>
    </row>
    <row r="221">
      <c r="A221" s="9"/>
      <c r="B221" s="15"/>
      <c r="C221" s="9">
        <f>IFERROR(__xludf.DUMMYFUNCTION("""COMPUTED_VALUE"""),44603.2562100463)</f>
        <v>44603.25621</v>
      </c>
      <c r="D221" s="15">
        <f>IFERROR(__xludf.DUMMYFUNCTION("""COMPUTED_VALUE"""),1.004)</f>
        <v>1.004</v>
      </c>
      <c r="E221" s="16">
        <f>IFERROR(__xludf.DUMMYFUNCTION("""COMPUTED_VALUE"""),64.0)</f>
        <v>64</v>
      </c>
      <c r="F221" s="19" t="str">
        <f>IFERROR(__xludf.DUMMYFUNCTION("""COMPUTED_VALUE"""),"BLACK")</f>
        <v>BLACK</v>
      </c>
      <c r="G221" s="20" t="str">
        <f>IFERROR(__xludf.DUMMYFUNCTION("""COMPUTED_VALUE"""),"Uncle Sams Cider (11/12/2021) 02")</f>
        <v>Uncle Sams Cider (11/12/2021) 02</v>
      </c>
      <c r="H221" s="19"/>
    </row>
    <row r="222">
      <c r="A222" s="9"/>
      <c r="B222" s="15"/>
      <c r="C222" s="9">
        <f>IFERROR(__xludf.DUMMYFUNCTION("""COMPUTED_VALUE"""),44603.245788993)</f>
        <v>44603.24579</v>
      </c>
      <c r="D222" s="15">
        <f>IFERROR(__xludf.DUMMYFUNCTION("""COMPUTED_VALUE"""),1.004)</f>
        <v>1.004</v>
      </c>
      <c r="E222" s="16">
        <f>IFERROR(__xludf.DUMMYFUNCTION("""COMPUTED_VALUE"""),64.0)</f>
        <v>64</v>
      </c>
      <c r="F222" s="19" t="str">
        <f>IFERROR(__xludf.DUMMYFUNCTION("""COMPUTED_VALUE"""),"BLACK")</f>
        <v>BLACK</v>
      </c>
      <c r="G222" s="20" t="str">
        <f>IFERROR(__xludf.DUMMYFUNCTION("""COMPUTED_VALUE"""),"Uncle Sams Cider (11/12/2021) 02")</f>
        <v>Uncle Sams Cider (11/12/2021) 02</v>
      </c>
      <c r="H222" s="19"/>
    </row>
    <row r="223">
      <c r="A223" s="9"/>
      <c r="B223" s="15"/>
      <c r="C223" s="9">
        <f>IFERROR(__xludf.DUMMYFUNCTION("""COMPUTED_VALUE"""),44603.2353341435)</f>
        <v>44603.23533</v>
      </c>
      <c r="D223" s="15">
        <f>IFERROR(__xludf.DUMMYFUNCTION("""COMPUTED_VALUE"""),1.004)</f>
        <v>1.004</v>
      </c>
      <c r="E223" s="16">
        <f>IFERROR(__xludf.DUMMYFUNCTION("""COMPUTED_VALUE"""),64.0)</f>
        <v>64</v>
      </c>
      <c r="F223" s="19" t="str">
        <f>IFERROR(__xludf.DUMMYFUNCTION("""COMPUTED_VALUE"""),"BLACK")</f>
        <v>BLACK</v>
      </c>
      <c r="G223" s="20" t="str">
        <f>IFERROR(__xludf.DUMMYFUNCTION("""COMPUTED_VALUE"""),"Uncle Sams Cider (11/12/2021) 02")</f>
        <v>Uncle Sams Cider (11/12/2021) 02</v>
      </c>
      <c r="H223" s="19"/>
    </row>
    <row r="224">
      <c r="A224" s="9"/>
      <c r="B224" s="15"/>
      <c r="C224" s="9">
        <f>IFERROR(__xludf.DUMMYFUNCTION("""COMPUTED_VALUE"""),44603.2249123379)</f>
        <v>44603.22491</v>
      </c>
      <c r="D224" s="15">
        <f>IFERROR(__xludf.DUMMYFUNCTION("""COMPUTED_VALUE"""),1.004)</f>
        <v>1.004</v>
      </c>
      <c r="E224" s="16">
        <f>IFERROR(__xludf.DUMMYFUNCTION("""COMPUTED_VALUE"""),64.0)</f>
        <v>64</v>
      </c>
      <c r="F224" s="19" t="str">
        <f>IFERROR(__xludf.DUMMYFUNCTION("""COMPUTED_VALUE"""),"BLACK")</f>
        <v>BLACK</v>
      </c>
      <c r="G224" s="20" t="str">
        <f>IFERROR(__xludf.DUMMYFUNCTION("""COMPUTED_VALUE"""),"Uncle Sams Cider (11/12/2021) 02")</f>
        <v>Uncle Sams Cider (11/12/2021) 02</v>
      </c>
      <c r="H224" s="19"/>
    </row>
    <row r="225">
      <c r="A225" s="9"/>
      <c r="B225" s="15"/>
      <c r="C225" s="9">
        <f>IFERROR(__xludf.DUMMYFUNCTION("""COMPUTED_VALUE"""),44603.2144919907)</f>
        <v>44603.21449</v>
      </c>
      <c r="D225" s="15">
        <f>IFERROR(__xludf.DUMMYFUNCTION("""COMPUTED_VALUE"""),1.004)</f>
        <v>1.004</v>
      </c>
      <c r="E225" s="16">
        <f>IFERROR(__xludf.DUMMYFUNCTION("""COMPUTED_VALUE"""),64.0)</f>
        <v>64</v>
      </c>
      <c r="F225" s="19" t="str">
        <f>IFERROR(__xludf.DUMMYFUNCTION("""COMPUTED_VALUE"""),"BLACK")</f>
        <v>BLACK</v>
      </c>
      <c r="G225" s="20" t="str">
        <f>IFERROR(__xludf.DUMMYFUNCTION("""COMPUTED_VALUE"""),"Uncle Sams Cider (11/12/2021) 02")</f>
        <v>Uncle Sams Cider (11/12/2021) 02</v>
      </c>
      <c r="H225" s="19"/>
    </row>
    <row r="226">
      <c r="A226" s="9"/>
      <c r="B226" s="15"/>
      <c r="C226" s="9">
        <f>IFERROR(__xludf.DUMMYFUNCTION("""COMPUTED_VALUE"""),44603.2040585763)</f>
        <v>44603.20406</v>
      </c>
      <c r="D226" s="15">
        <f>IFERROR(__xludf.DUMMYFUNCTION("""COMPUTED_VALUE"""),1.004)</f>
        <v>1.004</v>
      </c>
      <c r="E226" s="16">
        <f>IFERROR(__xludf.DUMMYFUNCTION("""COMPUTED_VALUE"""),64.0)</f>
        <v>64</v>
      </c>
      <c r="F226" s="19" t="str">
        <f>IFERROR(__xludf.DUMMYFUNCTION("""COMPUTED_VALUE"""),"BLACK")</f>
        <v>BLACK</v>
      </c>
      <c r="G226" s="20" t="str">
        <f>IFERROR(__xludf.DUMMYFUNCTION("""COMPUTED_VALUE"""),"Uncle Sams Cider (11/12/2021) 02")</f>
        <v>Uncle Sams Cider (11/12/2021) 02</v>
      </c>
      <c r="H226" s="19"/>
    </row>
    <row r="227">
      <c r="A227" s="9"/>
      <c r="B227" s="15"/>
      <c r="C227" s="9">
        <f>IFERROR(__xludf.DUMMYFUNCTION("""COMPUTED_VALUE"""),44603.1936152546)</f>
        <v>44603.19362</v>
      </c>
      <c r="D227" s="15">
        <f>IFERROR(__xludf.DUMMYFUNCTION("""COMPUTED_VALUE"""),1.003)</f>
        <v>1.003</v>
      </c>
      <c r="E227" s="16">
        <f>IFERROR(__xludf.DUMMYFUNCTION("""COMPUTED_VALUE"""),64.0)</f>
        <v>64</v>
      </c>
      <c r="F227" s="19" t="str">
        <f>IFERROR(__xludf.DUMMYFUNCTION("""COMPUTED_VALUE"""),"BLACK")</f>
        <v>BLACK</v>
      </c>
      <c r="G227" s="20" t="str">
        <f>IFERROR(__xludf.DUMMYFUNCTION("""COMPUTED_VALUE"""),"Uncle Sams Cider (11/12/2021) 02")</f>
        <v>Uncle Sams Cider (11/12/2021) 02</v>
      </c>
      <c r="H227" s="19"/>
    </row>
    <row r="228">
      <c r="A228" s="9"/>
      <c r="B228" s="15"/>
      <c r="C228" s="9">
        <f>IFERROR(__xludf.DUMMYFUNCTION("""COMPUTED_VALUE"""),44603.1831949768)</f>
        <v>44603.18319</v>
      </c>
      <c r="D228" s="15">
        <f>IFERROR(__xludf.DUMMYFUNCTION("""COMPUTED_VALUE"""),1.004)</f>
        <v>1.004</v>
      </c>
      <c r="E228" s="16">
        <f>IFERROR(__xludf.DUMMYFUNCTION("""COMPUTED_VALUE"""),64.0)</f>
        <v>64</v>
      </c>
      <c r="F228" s="19" t="str">
        <f>IFERROR(__xludf.DUMMYFUNCTION("""COMPUTED_VALUE"""),"BLACK")</f>
        <v>BLACK</v>
      </c>
      <c r="G228" s="20" t="str">
        <f>IFERROR(__xludf.DUMMYFUNCTION("""COMPUTED_VALUE"""),"Uncle Sams Cider (11/12/2021) 02")</f>
        <v>Uncle Sams Cider (11/12/2021) 02</v>
      </c>
      <c r="H228" s="19"/>
    </row>
    <row r="229">
      <c r="A229" s="9"/>
      <c r="B229" s="15"/>
      <c r="C229" s="9">
        <f>IFERROR(__xludf.DUMMYFUNCTION("""COMPUTED_VALUE"""),44603.1727498842)</f>
        <v>44603.17275</v>
      </c>
      <c r="D229" s="15">
        <f>IFERROR(__xludf.DUMMYFUNCTION("""COMPUTED_VALUE"""),1.004)</f>
        <v>1.004</v>
      </c>
      <c r="E229" s="16">
        <f>IFERROR(__xludf.DUMMYFUNCTION("""COMPUTED_VALUE"""),64.0)</f>
        <v>64</v>
      </c>
      <c r="F229" s="19" t="str">
        <f>IFERROR(__xludf.DUMMYFUNCTION("""COMPUTED_VALUE"""),"BLACK")</f>
        <v>BLACK</v>
      </c>
      <c r="G229" s="20" t="str">
        <f>IFERROR(__xludf.DUMMYFUNCTION("""COMPUTED_VALUE"""),"Uncle Sams Cider (11/12/2021) 02")</f>
        <v>Uncle Sams Cider (11/12/2021) 02</v>
      </c>
      <c r="H229" s="19"/>
    </row>
    <row r="230">
      <c r="A230" s="9"/>
      <c r="B230" s="15"/>
      <c r="C230" s="9">
        <f>IFERROR(__xludf.DUMMYFUNCTION("""COMPUTED_VALUE"""),44603.1623282407)</f>
        <v>44603.16233</v>
      </c>
      <c r="D230" s="15">
        <f>IFERROR(__xludf.DUMMYFUNCTION("""COMPUTED_VALUE"""),1.004)</f>
        <v>1.004</v>
      </c>
      <c r="E230" s="16">
        <f>IFERROR(__xludf.DUMMYFUNCTION("""COMPUTED_VALUE"""),64.0)</f>
        <v>64</v>
      </c>
      <c r="F230" s="19" t="str">
        <f>IFERROR(__xludf.DUMMYFUNCTION("""COMPUTED_VALUE"""),"BLACK")</f>
        <v>BLACK</v>
      </c>
      <c r="G230" s="20" t="str">
        <f>IFERROR(__xludf.DUMMYFUNCTION("""COMPUTED_VALUE"""),"Uncle Sams Cider (11/12/2021) 02")</f>
        <v>Uncle Sams Cider (11/12/2021) 02</v>
      </c>
      <c r="H230" s="19"/>
    </row>
    <row r="231">
      <c r="A231" s="9"/>
      <c r="B231" s="15"/>
      <c r="C231" s="9">
        <f>IFERROR(__xludf.DUMMYFUNCTION("""COMPUTED_VALUE"""),44603.151907824)</f>
        <v>44603.15191</v>
      </c>
      <c r="D231" s="15">
        <f>IFERROR(__xludf.DUMMYFUNCTION("""COMPUTED_VALUE"""),1.004)</f>
        <v>1.004</v>
      </c>
      <c r="E231" s="16">
        <f>IFERROR(__xludf.DUMMYFUNCTION("""COMPUTED_VALUE"""),64.0)</f>
        <v>64</v>
      </c>
      <c r="F231" s="19" t="str">
        <f>IFERROR(__xludf.DUMMYFUNCTION("""COMPUTED_VALUE"""),"BLACK")</f>
        <v>BLACK</v>
      </c>
      <c r="G231" s="20" t="str">
        <f>IFERROR(__xludf.DUMMYFUNCTION("""COMPUTED_VALUE"""),"Uncle Sams Cider (11/12/2021) 02")</f>
        <v>Uncle Sams Cider (11/12/2021) 02</v>
      </c>
      <c r="H231" s="19"/>
    </row>
    <row r="232">
      <c r="A232" s="9"/>
      <c r="B232" s="15"/>
      <c r="C232" s="9">
        <f>IFERROR(__xludf.DUMMYFUNCTION("""COMPUTED_VALUE"""),44603.1414881018)</f>
        <v>44603.14149</v>
      </c>
      <c r="D232" s="15">
        <f>IFERROR(__xludf.DUMMYFUNCTION("""COMPUTED_VALUE"""),1.004)</f>
        <v>1.004</v>
      </c>
      <c r="E232" s="16">
        <f>IFERROR(__xludf.DUMMYFUNCTION("""COMPUTED_VALUE"""),64.0)</f>
        <v>64</v>
      </c>
      <c r="F232" s="19" t="str">
        <f>IFERROR(__xludf.DUMMYFUNCTION("""COMPUTED_VALUE"""),"BLACK")</f>
        <v>BLACK</v>
      </c>
      <c r="G232" s="20" t="str">
        <f>IFERROR(__xludf.DUMMYFUNCTION("""COMPUTED_VALUE"""),"Uncle Sams Cider (11/12/2021) 02")</f>
        <v>Uncle Sams Cider (11/12/2021) 02</v>
      </c>
      <c r="H232" s="19"/>
    </row>
    <row r="233">
      <c r="A233" s="9"/>
      <c r="B233" s="15"/>
      <c r="C233" s="9">
        <f>IFERROR(__xludf.DUMMYFUNCTION("""COMPUTED_VALUE"""),44603.1310660763)</f>
        <v>44603.13107</v>
      </c>
      <c r="D233" s="15">
        <f>IFERROR(__xludf.DUMMYFUNCTION("""COMPUTED_VALUE"""),1.004)</f>
        <v>1.004</v>
      </c>
      <c r="E233" s="16">
        <f>IFERROR(__xludf.DUMMYFUNCTION("""COMPUTED_VALUE"""),64.0)</f>
        <v>64</v>
      </c>
      <c r="F233" s="19" t="str">
        <f>IFERROR(__xludf.DUMMYFUNCTION("""COMPUTED_VALUE"""),"BLACK")</f>
        <v>BLACK</v>
      </c>
      <c r="G233" s="20" t="str">
        <f>IFERROR(__xludf.DUMMYFUNCTION("""COMPUTED_VALUE"""),"Uncle Sams Cider (11/12/2021) 02")</f>
        <v>Uncle Sams Cider (11/12/2021) 02</v>
      </c>
      <c r="H233" s="19"/>
    </row>
    <row r="234">
      <c r="A234" s="9"/>
      <c r="B234" s="15"/>
      <c r="C234" s="9">
        <f>IFERROR(__xludf.DUMMYFUNCTION("""COMPUTED_VALUE"""),44603.1206450463)</f>
        <v>44603.12065</v>
      </c>
      <c r="D234" s="15">
        <f>IFERROR(__xludf.DUMMYFUNCTION("""COMPUTED_VALUE"""),1.004)</f>
        <v>1.004</v>
      </c>
      <c r="E234" s="16">
        <f>IFERROR(__xludf.DUMMYFUNCTION("""COMPUTED_VALUE"""),64.0)</f>
        <v>64</v>
      </c>
      <c r="F234" s="19" t="str">
        <f>IFERROR(__xludf.DUMMYFUNCTION("""COMPUTED_VALUE"""),"BLACK")</f>
        <v>BLACK</v>
      </c>
      <c r="G234" s="20" t="str">
        <f>IFERROR(__xludf.DUMMYFUNCTION("""COMPUTED_VALUE"""),"Uncle Sams Cider (11/12/2021) 02")</f>
        <v>Uncle Sams Cider (11/12/2021) 02</v>
      </c>
      <c r="H234" s="19"/>
    </row>
    <row r="235">
      <c r="A235" s="9"/>
      <c r="B235" s="15"/>
      <c r="C235" s="9">
        <f>IFERROR(__xludf.DUMMYFUNCTION("""COMPUTED_VALUE"""),44603.1102116319)</f>
        <v>44603.11021</v>
      </c>
      <c r="D235" s="15">
        <f>IFERROR(__xludf.DUMMYFUNCTION("""COMPUTED_VALUE"""),1.004)</f>
        <v>1.004</v>
      </c>
      <c r="E235" s="16">
        <f>IFERROR(__xludf.DUMMYFUNCTION("""COMPUTED_VALUE"""),64.0)</f>
        <v>64</v>
      </c>
      <c r="F235" s="19" t="str">
        <f>IFERROR(__xludf.DUMMYFUNCTION("""COMPUTED_VALUE"""),"BLACK")</f>
        <v>BLACK</v>
      </c>
      <c r="G235" s="20" t="str">
        <f>IFERROR(__xludf.DUMMYFUNCTION("""COMPUTED_VALUE"""),"Uncle Sams Cider (11/12/2021) 02")</f>
        <v>Uncle Sams Cider (11/12/2021) 02</v>
      </c>
      <c r="H235" s="19"/>
    </row>
    <row r="236">
      <c r="A236" s="9"/>
      <c r="B236" s="15"/>
      <c r="C236" s="9">
        <f>IFERROR(__xludf.DUMMYFUNCTION("""COMPUTED_VALUE"""),44603.099789537)</f>
        <v>44603.09979</v>
      </c>
      <c r="D236" s="15">
        <f>IFERROR(__xludf.DUMMYFUNCTION("""COMPUTED_VALUE"""),1.004)</f>
        <v>1.004</v>
      </c>
      <c r="E236" s="16">
        <f>IFERROR(__xludf.DUMMYFUNCTION("""COMPUTED_VALUE"""),64.0)</f>
        <v>64</v>
      </c>
      <c r="F236" s="19" t="str">
        <f>IFERROR(__xludf.DUMMYFUNCTION("""COMPUTED_VALUE"""),"BLACK")</f>
        <v>BLACK</v>
      </c>
      <c r="G236" s="20" t="str">
        <f>IFERROR(__xludf.DUMMYFUNCTION("""COMPUTED_VALUE"""),"Uncle Sams Cider (11/12/2021) 02")</f>
        <v>Uncle Sams Cider (11/12/2021) 02</v>
      </c>
      <c r="H236" s="19"/>
    </row>
    <row r="237">
      <c r="A237" s="9"/>
      <c r="B237" s="15"/>
      <c r="C237" s="9">
        <f>IFERROR(__xludf.DUMMYFUNCTION("""COMPUTED_VALUE"""),44603.0893674189)</f>
        <v>44603.08937</v>
      </c>
      <c r="D237" s="15">
        <f>IFERROR(__xludf.DUMMYFUNCTION("""COMPUTED_VALUE"""),1.004)</f>
        <v>1.004</v>
      </c>
      <c r="E237" s="16">
        <f>IFERROR(__xludf.DUMMYFUNCTION("""COMPUTED_VALUE"""),64.0)</f>
        <v>64</v>
      </c>
      <c r="F237" s="19" t="str">
        <f>IFERROR(__xludf.DUMMYFUNCTION("""COMPUTED_VALUE"""),"BLACK")</f>
        <v>BLACK</v>
      </c>
      <c r="G237" s="20" t="str">
        <f>IFERROR(__xludf.DUMMYFUNCTION("""COMPUTED_VALUE"""),"Uncle Sams Cider (11/12/2021) 02")</f>
        <v>Uncle Sams Cider (11/12/2021) 02</v>
      </c>
      <c r="H237" s="19"/>
    </row>
    <row r="238">
      <c r="A238" s="9"/>
      <c r="B238" s="15"/>
      <c r="C238" s="9">
        <f>IFERROR(__xludf.DUMMYFUNCTION("""COMPUTED_VALUE"""),44603.0789468518)</f>
        <v>44603.07895</v>
      </c>
      <c r="D238" s="15">
        <f>IFERROR(__xludf.DUMMYFUNCTION("""COMPUTED_VALUE"""),1.004)</f>
        <v>1.004</v>
      </c>
      <c r="E238" s="16">
        <f>IFERROR(__xludf.DUMMYFUNCTION("""COMPUTED_VALUE"""),64.0)</f>
        <v>64</v>
      </c>
      <c r="F238" s="19" t="str">
        <f>IFERROR(__xludf.DUMMYFUNCTION("""COMPUTED_VALUE"""),"BLACK")</f>
        <v>BLACK</v>
      </c>
      <c r="G238" s="20" t="str">
        <f>IFERROR(__xludf.DUMMYFUNCTION("""COMPUTED_VALUE"""),"Uncle Sams Cider (11/12/2021) 02")</f>
        <v>Uncle Sams Cider (11/12/2021) 02</v>
      </c>
      <c r="H238" s="19"/>
    </row>
    <row r="239">
      <c r="A239" s="9"/>
      <c r="B239" s="15"/>
      <c r="C239" s="9">
        <f>IFERROR(__xludf.DUMMYFUNCTION("""COMPUTED_VALUE"""),44603.0685163194)</f>
        <v>44603.06852</v>
      </c>
      <c r="D239" s="15">
        <f>IFERROR(__xludf.DUMMYFUNCTION("""COMPUTED_VALUE"""),1.004)</f>
        <v>1.004</v>
      </c>
      <c r="E239" s="16">
        <f>IFERROR(__xludf.DUMMYFUNCTION("""COMPUTED_VALUE"""),64.0)</f>
        <v>64</v>
      </c>
      <c r="F239" s="19" t="str">
        <f>IFERROR(__xludf.DUMMYFUNCTION("""COMPUTED_VALUE"""),"BLACK")</f>
        <v>BLACK</v>
      </c>
      <c r="G239" s="20" t="str">
        <f>IFERROR(__xludf.DUMMYFUNCTION("""COMPUTED_VALUE"""),"Uncle Sams Cider (11/12/2021) 02")</f>
        <v>Uncle Sams Cider (11/12/2021) 02</v>
      </c>
      <c r="H239" s="19"/>
    </row>
    <row r="240">
      <c r="A240" s="9"/>
      <c r="B240" s="15"/>
      <c r="C240" s="9">
        <f>IFERROR(__xludf.DUMMYFUNCTION("""COMPUTED_VALUE"""),44603.0580958449)</f>
        <v>44603.0581</v>
      </c>
      <c r="D240" s="15">
        <f>IFERROR(__xludf.DUMMYFUNCTION("""COMPUTED_VALUE"""),1.003)</f>
        <v>1.003</v>
      </c>
      <c r="E240" s="16">
        <f>IFERROR(__xludf.DUMMYFUNCTION("""COMPUTED_VALUE"""),64.0)</f>
        <v>64</v>
      </c>
      <c r="F240" s="19" t="str">
        <f>IFERROR(__xludf.DUMMYFUNCTION("""COMPUTED_VALUE"""),"BLACK")</f>
        <v>BLACK</v>
      </c>
      <c r="G240" s="20" t="str">
        <f>IFERROR(__xludf.DUMMYFUNCTION("""COMPUTED_VALUE"""),"Uncle Sams Cider (11/12/2021) 02")</f>
        <v>Uncle Sams Cider (11/12/2021) 02</v>
      </c>
      <c r="H240" s="19"/>
    </row>
    <row r="241">
      <c r="A241" s="9"/>
      <c r="B241" s="15"/>
      <c r="C241" s="9">
        <f>IFERROR(__xludf.DUMMYFUNCTION("""COMPUTED_VALUE"""),44603.0476745486)</f>
        <v>44603.04767</v>
      </c>
      <c r="D241" s="15">
        <f>IFERROR(__xludf.DUMMYFUNCTION("""COMPUTED_VALUE"""),1.004)</f>
        <v>1.004</v>
      </c>
      <c r="E241" s="16">
        <f>IFERROR(__xludf.DUMMYFUNCTION("""COMPUTED_VALUE"""),64.0)</f>
        <v>64</v>
      </c>
      <c r="F241" s="19" t="str">
        <f>IFERROR(__xludf.DUMMYFUNCTION("""COMPUTED_VALUE"""),"BLACK")</f>
        <v>BLACK</v>
      </c>
      <c r="G241" s="20" t="str">
        <f>IFERROR(__xludf.DUMMYFUNCTION("""COMPUTED_VALUE"""),"Uncle Sams Cider (11/12/2021) 02")</f>
        <v>Uncle Sams Cider (11/12/2021) 02</v>
      </c>
      <c r="H241" s="19"/>
    </row>
    <row r="242">
      <c r="A242" s="9"/>
      <c r="B242" s="15"/>
      <c r="C242" s="9">
        <f>IFERROR(__xludf.DUMMYFUNCTION("""COMPUTED_VALUE"""),44603.0372417361)</f>
        <v>44603.03724</v>
      </c>
      <c r="D242" s="15">
        <f>IFERROR(__xludf.DUMMYFUNCTION("""COMPUTED_VALUE"""),1.004)</f>
        <v>1.004</v>
      </c>
      <c r="E242" s="16">
        <f>IFERROR(__xludf.DUMMYFUNCTION("""COMPUTED_VALUE"""),64.0)</f>
        <v>64</v>
      </c>
      <c r="F242" s="19" t="str">
        <f>IFERROR(__xludf.DUMMYFUNCTION("""COMPUTED_VALUE"""),"BLACK")</f>
        <v>BLACK</v>
      </c>
      <c r="G242" s="20" t="str">
        <f>IFERROR(__xludf.DUMMYFUNCTION("""COMPUTED_VALUE"""),"Uncle Sams Cider (11/12/2021) 02")</f>
        <v>Uncle Sams Cider (11/12/2021) 02</v>
      </c>
      <c r="H242" s="19"/>
    </row>
    <row r="243">
      <c r="A243" s="9"/>
      <c r="B243" s="15"/>
      <c r="C243" s="9">
        <f>IFERROR(__xludf.DUMMYFUNCTION("""COMPUTED_VALUE"""),44603.0268198726)</f>
        <v>44603.02682</v>
      </c>
      <c r="D243" s="15">
        <f>IFERROR(__xludf.DUMMYFUNCTION("""COMPUTED_VALUE"""),1.004)</f>
        <v>1.004</v>
      </c>
      <c r="E243" s="16">
        <f>IFERROR(__xludf.DUMMYFUNCTION("""COMPUTED_VALUE"""),64.0)</f>
        <v>64</v>
      </c>
      <c r="F243" s="19" t="str">
        <f>IFERROR(__xludf.DUMMYFUNCTION("""COMPUTED_VALUE"""),"BLACK")</f>
        <v>BLACK</v>
      </c>
      <c r="G243" s="20" t="str">
        <f>IFERROR(__xludf.DUMMYFUNCTION("""COMPUTED_VALUE"""),"Uncle Sams Cider (11/12/2021) 02")</f>
        <v>Uncle Sams Cider (11/12/2021) 02</v>
      </c>
      <c r="H243" s="19"/>
    </row>
    <row r="244">
      <c r="A244" s="9"/>
      <c r="B244" s="15"/>
      <c r="C244" s="9">
        <f>IFERROR(__xludf.DUMMYFUNCTION("""COMPUTED_VALUE"""),44603.0163865161)</f>
        <v>44603.01639</v>
      </c>
      <c r="D244" s="15">
        <f>IFERROR(__xludf.DUMMYFUNCTION("""COMPUTED_VALUE"""),1.004)</f>
        <v>1.004</v>
      </c>
      <c r="E244" s="16">
        <f>IFERROR(__xludf.DUMMYFUNCTION("""COMPUTED_VALUE"""),64.0)</f>
        <v>64</v>
      </c>
      <c r="F244" s="19" t="str">
        <f>IFERROR(__xludf.DUMMYFUNCTION("""COMPUTED_VALUE"""),"BLACK")</f>
        <v>BLACK</v>
      </c>
      <c r="G244" s="20" t="str">
        <f>IFERROR(__xludf.DUMMYFUNCTION("""COMPUTED_VALUE"""),"Uncle Sams Cider (11/12/2021) 02")</f>
        <v>Uncle Sams Cider (11/12/2021) 02</v>
      </c>
      <c r="H244" s="19"/>
    </row>
    <row r="245">
      <c r="A245" s="9"/>
      <c r="B245" s="15"/>
      <c r="C245" s="9">
        <f>IFERROR(__xludf.DUMMYFUNCTION("""COMPUTED_VALUE"""),44603.0059529745)</f>
        <v>44603.00595</v>
      </c>
      <c r="D245" s="15">
        <f>IFERROR(__xludf.DUMMYFUNCTION("""COMPUTED_VALUE"""),1.004)</f>
        <v>1.004</v>
      </c>
      <c r="E245" s="16">
        <f>IFERROR(__xludf.DUMMYFUNCTION("""COMPUTED_VALUE"""),64.0)</f>
        <v>64</v>
      </c>
      <c r="F245" s="19" t="str">
        <f>IFERROR(__xludf.DUMMYFUNCTION("""COMPUTED_VALUE"""),"BLACK")</f>
        <v>BLACK</v>
      </c>
      <c r="G245" s="20" t="str">
        <f>IFERROR(__xludf.DUMMYFUNCTION("""COMPUTED_VALUE"""),"Uncle Sams Cider (11/12/2021) 02")</f>
        <v>Uncle Sams Cider (11/12/2021) 02</v>
      </c>
      <c r="H245" s="19"/>
    </row>
    <row r="246">
      <c r="A246" s="9"/>
      <c r="B246" s="15"/>
      <c r="C246" s="9">
        <f>IFERROR(__xludf.DUMMYFUNCTION("""COMPUTED_VALUE"""),44602.9955207754)</f>
        <v>44602.99552</v>
      </c>
      <c r="D246" s="15">
        <f>IFERROR(__xludf.DUMMYFUNCTION("""COMPUTED_VALUE"""),1.004)</f>
        <v>1.004</v>
      </c>
      <c r="E246" s="16">
        <f>IFERROR(__xludf.DUMMYFUNCTION("""COMPUTED_VALUE"""),64.0)</f>
        <v>64</v>
      </c>
      <c r="F246" s="19" t="str">
        <f>IFERROR(__xludf.DUMMYFUNCTION("""COMPUTED_VALUE"""),"BLACK")</f>
        <v>BLACK</v>
      </c>
      <c r="G246" s="20" t="str">
        <f>IFERROR(__xludf.DUMMYFUNCTION("""COMPUTED_VALUE"""),"Uncle Sams Cider (11/12/2021) 02")</f>
        <v>Uncle Sams Cider (11/12/2021) 02</v>
      </c>
      <c r="H246" s="19"/>
    </row>
    <row r="247">
      <c r="A247" s="9"/>
      <c r="B247" s="15"/>
      <c r="C247" s="9">
        <f>IFERROR(__xludf.DUMMYFUNCTION("""COMPUTED_VALUE"""),44602.9850881018)</f>
        <v>44602.98509</v>
      </c>
      <c r="D247" s="15">
        <f>IFERROR(__xludf.DUMMYFUNCTION("""COMPUTED_VALUE"""),1.004)</f>
        <v>1.004</v>
      </c>
      <c r="E247" s="16">
        <f>IFERROR(__xludf.DUMMYFUNCTION("""COMPUTED_VALUE"""),64.0)</f>
        <v>64</v>
      </c>
      <c r="F247" s="19" t="str">
        <f>IFERROR(__xludf.DUMMYFUNCTION("""COMPUTED_VALUE"""),"BLACK")</f>
        <v>BLACK</v>
      </c>
      <c r="G247" s="20" t="str">
        <f>IFERROR(__xludf.DUMMYFUNCTION("""COMPUTED_VALUE"""),"Uncle Sams Cider (11/12/2021) 02")</f>
        <v>Uncle Sams Cider (11/12/2021) 02</v>
      </c>
      <c r="H247" s="19"/>
    </row>
    <row r="248">
      <c r="A248" s="9"/>
      <c r="B248" s="15"/>
      <c r="C248" s="9">
        <f>IFERROR(__xludf.DUMMYFUNCTION("""COMPUTED_VALUE"""),44602.9746553472)</f>
        <v>44602.97466</v>
      </c>
      <c r="D248" s="15">
        <f>IFERROR(__xludf.DUMMYFUNCTION("""COMPUTED_VALUE"""),1.003)</f>
        <v>1.003</v>
      </c>
      <c r="E248" s="16">
        <f>IFERROR(__xludf.DUMMYFUNCTION("""COMPUTED_VALUE"""),64.0)</f>
        <v>64</v>
      </c>
      <c r="F248" s="19" t="str">
        <f>IFERROR(__xludf.DUMMYFUNCTION("""COMPUTED_VALUE"""),"BLACK")</f>
        <v>BLACK</v>
      </c>
      <c r="G248" s="20" t="str">
        <f>IFERROR(__xludf.DUMMYFUNCTION("""COMPUTED_VALUE"""),"Uncle Sams Cider (11/12/2021) 02")</f>
        <v>Uncle Sams Cider (11/12/2021) 02</v>
      </c>
      <c r="H248" s="19"/>
    </row>
    <row r="249">
      <c r="A249" s="9"/>
      <c r="B249" s="15"/>
      <c r="C249" s="9">
        <f>IFERROR(__xludf.DUMMYFUNCTION("""COMPUTED_VALUE"""),44602.9642341435)</f>
        <v>44602.96423</v>
      </c>
      <c r="D249" s="15">
        <f>IFERROR(__xludf.DUMMYFUNCTION("""COMPUTED_VALUE"""),1.004)</f>
        <v>1.004</v>
      </c>
      <c r="E249" s="16">
        <f>IFERROR(__xludf.DUMMYFUNCTION("""COMPUTED_VALUE"""),64.0)</f>
        <v>64</v>
      </c>
      <c r="F249" s="19" t="str">
        <f>IFERROR(__xludf.DUMMYFUNCTION("""COMPUTED_VALUE"""),"BLACK")</f>
        <v>BLACK</v>
      </c>
      <c r="G249" s="20" t="str">
        <f>IFERROR(__xludf.DUMMYFUNCTION("""COMPUTED_VALUE"""),"Uncle Sams Cider (11/12/2021) 02")</f>
        <v>Uncle Sams Cider (11/12/2021) 02</v>
      </c>
      <c r="H249" s="19"/>
    </row>
    <row r="250">
      <c r="A250" s="9"/>
      <c r="B250" s="15"/>
      <c r="C250" s="9">
        <f>IFERROR(__xludf.DUMMYFUNCTION("""COMPUTED_VALUE"""),44602.9538107986)</f>
        <v>44602.95381</v>
      </c>
      <c r="D250" s="15">
        <f>IFERROR(__xludf.DUMMYFUNCTION("""COMPUTED_VALUE"""),1.004)</f>
        <v>1.004</v>
      </c>
      <c r="E250" s="16">
        <f>IFERROR(__xludf.DUMMYFUNCTION("""COMPUTED_VALUE"""),64.0)</f>
        <v>64</v>
      </c>
      <c r="F250" s="19" t="str">
        <f>IFERROR(__xludf.DUMMYFUNCTION("""COMPUTED_VALUE"""),"BLACK")</f>
        <v>BLACK</v>
      </c>
      <c r="G250" s="20" t="str">
        <f>IFERROR(__xludf.DUMMYFUNCTION("""COMPUTED_VALUE"""),"Uncle Sams Cider (11/12/2021) 02")</f>
        <v>Uncle Sams Cider (11/12/2021) 02</v>
      </c>
      <c r="H250" s="19"/>
    </row>
    <row r="251">
      <c r="A251" s="9"/>
      <c r="B251" s="15"/>
      <c r="C251" s="9">
        <f>IFERROR(__xludf.DUMMYFUNCTION("""COMPUTED_VALUE"""),44602.9433783101)</f>
        <v>44602.94338</v>
      </c>
      <c r="D251" s="15">
        <f>IFERROR(__xludf.DUMMYFUNCTION("""COMPUTED_VALUE"""),1.004)</f>
        <v>1.004</v>
      </c>
      <c r="E251" s="16">
        <f>IFERROR(__xludf.DUMMYFUNCTION("""COMPUTED_VALUE"""),64.0)</f>
        <v>64</v>
      </c>
      <c r="F251" s="19" t="str">
        <f>IFERROR(__xludf.DUMMYFUNCTION("""COMPUTED_VALUE"""),"BLACK")</f>
        <v>BLACK</v>
      </c>
      <c r="G251" s="20" t="str">
        <f>IFERROR(__xludf.DUMMYFUNCTION("""COMPUTED_VALUE"""),"Uncle Sams Cider (11/12/2021) 02")</f>
        <v>Uncle Sams Cider (11/12/2021) 02</v>
      </c>
      <c r="H251" s="19"/>
    </row>
    <row r="252">
      <c r="A252" s="9"/>
      <c r="B252" s="15"/>
      <c r="C252" s="9">
        <f>IFERROR(__xludf.DUMMYFUNCTION("""COMPUTED_VALUE"""),44602.9329226157)</f>
        <v>44602.93292</v>
      </c>
      <c r="D252" s="15">
        <f>IFERROR(__xludf.DUMMYFUNCTION("""COMPUTED_VALUE"""),1.004)</f>
        <v>1.004</v>
      </c>
      <c r="E252" s="16">
        <f>IFERROR(__xludf.DUMMYFUNCTION("""COMPUTED_VALUE"""),64.0)</f>
        <v>64</v>
      </c>
      <c r="F252" s="19" t="str">
        <f>IFERROR(__xludf.DUMMYFUNCTION("""COMPUTED_VALUE"""),"BLACK")</f>
        <v>BLACK</v>
      </c>
      <c r="G252" s="20" t="str">
        <f>IFERROR(__xludf.DUMMYFUNCTION("""COMPUTED_VALUE"""),"Uncle Sams Cider (11/12/2021) 02")</f>
        <v>Uncle Sams Cider (11/12/2021) 02</v>
      </c>
      <c r="H252" s="19"/>
    </row>
    <row r="253">
      <c r="A253" s="9"/>
      <c r="B253" s="15"/>
      <c r="C253" s="9">
        <f>IFERROR(__xludf.DUMMYFUNCTION("""COMPUTED_VALUE"""),44602.9225009953)</f>
        <v>44602.9225</v>
      </c>
      <c r="D253" s="15">
        <f>IFERROR(__xludf.DUMMYFUNCTION("""COMPUTED_VALUE"""),1.004)</f>
        <v>1.004</v>
      </c>
      <c r="E253" s="16">
        <f>IFERROR(__xludf.DUMMYFUNCTION("""COMPUTED_VALUE"""),64.0)</f>
        <v>64</v>
      </c>
      <c r="F253" s="19" t="str">
        <f>IFERROR(__xludf.DUMMYFUNCTION("""COMPUTED_VALUE"""),"BLACK")</f>
        <v>BLACK</v>
      </c>
      <c r="G253" s="20" t="str">
        <f>IFERROR(__xludf.DUMMYFUNCTION("""COMPUTED_VALUE"""),"Uncle Sams Cider (11/12/2021) 02")</f>
        <v>Uncle Sams Cider (11/12/2021) 02</v>
      </c>
      <c r="H253" s="19"/>
    </row>
    <row r="254">
      <c r="A254" s="9"/>
      <c r="B254" s="15"/>
      <c r="C254" s="9">
        <f>IFERROR(__xludf.DUMMYFUNCTION("""COMPUTED_VALUE"""),44602.9120792476)</f>
        <v>44602.91208</v>
      </c>
      <c r="D254" s="15">
        <f>IFERROR(__xludf.DUMMYFUNCTION("""COMPUTED_VALUE"""),1.004)</f>
        <v>1.004</v>
      </c>
      <c r="E254" s="16">
        <f>IFERROR(__xludf.DUMMYFUNCTION("""COMPUTED_VALUE"""),64.0)</f>
        <v>64</v>
      </c>
      <c r="F254" s="19" t="str">
        <f>IFERROR(__xludf.DUMMYFUNCTION("""COMPUTED_VALUE"""),"BLACK")</f>
        <v>BLACK</v>
      </c>
      <c r="G254" s="20" t="str">
        <f>IFERROR(__xludf.DUMMYFUNCTION("""COMPUTED_VALUE"""),"Uncle Sams Cider (11/12/2021) 02")</f>
        <v>Uncle Sams Cider (11/12/2021) 02</v>
      </c>
      <c r="H254" s="19"/>
    </row>
    <row r="255">
      <c r="A255" s="9"/>
      <c r="B255" s="15"/>
      <c r="C255" s="9">
        <f>IFERROR(__xludf.DUMMYFUNCTION("""COMPUTED_VALUE"""),44602.9016470717)</f>
        <v>44602.90165</v>
      </c>
      <c r="D255" s="15">
        <f>IFERROR(__xludf.DUMMYFUNCTION("""COMPUTED_VALUE"""),1.004)</f>
        <v>1.004</v>
      </c>
      <c r="E255" s="16">
        <f>IFERROR(__xludf.DUMMYFUNCTION("""COMPUTED_VALUE"""),64.0)</f>
        <v>64</v>
      </c>
      <c r="F255" s="19" t="str">
        <f>IFERROR(__xludf.DUMMYFUNCTION("""COMPUTED_VALUE"""),"BLACK")</f>
        <v>BLACK</v>
      </c>
      <c r="G255" s="20" t="str">
        <f>IFERROR(__xludf.DUMMYFUNCTION("""COMPUTED_VALUE"""),"Uncle Sams Cider (11/12/2021) 02")</f>
        <v>Uncle Sams Cider (11/12/2021) 02</v>
      </c>
      <c r="H255" s="19"/>
    </row>
    <row r="256">
      <c r="A256" s="9"/>
      <c r="B256" s="15"/>
      <c r="C256" s="9">
        <f>IFERROR(__xludf.DUMMYFUNCTION("""COMPUTED_VALUE"""),44602.8912258564)</f>
        <v>44602.89123</v>
      </c>
      <c r="D256" s="15">
        <f>IFERROR(__xludf.DUMMYFUNCTION("""COMPUTED_VALUE"""),1.004)</f>
        <v>1.004</v>
      </c>
      <c r="E256" s="16">
        <f>IFERROR(__xludf.DUMMYFUNCTION("""COMPUTED_VALUE"""),64.0)</f>
        <v>64</v>
      </c>
      <c r="F256" s="19" t="str">
        <f>IFERROR(__xludf.DUMMYFUNCTION("""COMPUTED_VALUE"""),"BLACK")</f>
        <v>BLACK</v>
      </c>
      <c r="G256" s="20" t="str">
        <f>IFERROR(__xludf.DUMMYFUNCTION("""COMPUTED_VALUE"""),"Uncle Sams Cider (11/12/2021) 02")</f>
        <v>Uncle Sams Cider (11/12/2021) 02</v>
      </c>
      <c r="H256" s="19"/>
    </row>
    <row r="257">
      <c r="A257" s="9"/>
      <c r="B257" s="15"/>
      <c r="C257" s="9">
        <f>IFERROR(__xludf.DUMMYFUNCTION("""COMPUTED_VALUE"""),44602.8808059606)</f>
        <v>44602.88081</v>
      </c>
      <c r="D257" s="15">
        <f>IFERROR(__xludf.DUMMYFUNCTION("""COMPUTED_VALUE"""),1.004)</f>
        <v>1.004</v>
      </c>
      <c r="E257" s="16">
        <f>IFERROR(__xludf.DUMMYFUNCTION("""COMPUTED_VALUE"""),64.0)</f>
        <v>64</v>
      </c>
      <c r="F257" s="19" t="str">
        <f>IFERROR(__xludf.DUMMYFUNCTION("""COMPUTED_VALUE"""),"BLACK")</f>
        <v>BLACK</v>
      </c>
      <c r="G257" s="20" t="str">
        <f>IFERROR(__xludf.DUMMYFUNCTION("""COMPUTED_VALUE"""),"Uncle Sams Cider (11/12/2021) 02")</f>
        <v>Uncle Sams Cider (11/12/2021) 02</v>
      </c>
      <c r="H257" s="19"/>
    </row>
    <row r="258">
      <c r="A258" s="9"/>
      <c r="B258" s="15"/>
      <c r="C258" s="9">
        <f>IFERROR(__xludf.DUMMYFUNCTION("""COMPUTED_VALUE"""),44602.8703493055)</f>
        <v>44602.87035</v>
      </c>
      <c r="D258" s="15">
        <f>IFERROR(__xludf.DUMMYFUNCTION("""COMPUTED_VALUE"""),1.004)</f>
        <v>1.004</v>
      </c>
      <c r="E258" s="16">
        <f>IFERROR(__xludf.DUMMYFUNCTION("""COMPUTED_VALUE"""),64.0)</f>
        <v>64</v>
      </c>
      <c r="F258" s="19" t="str">
        <f>IFERROR(__xludf.DUMMYFUNCTION("""COMPUTED_VALUE"""),"BLACK")</f>
        <v>BLACK</v>
      </c>
      <c r="G258" s="20" t="str">
        <f>IFERROR(__xludf.DUMMYFUNCTION("""COMPUTED_VALUE"""),"Uncle Sams Cider (11/12/2021) 02")</f>
        <v>Uncle Sams Cider (11/12/2021) 02</v>
      </c>
      <c r="H258" s="19"/>
    </row>
    <row r="259">
      <c r="A259" s="9"/>
      <c r="B259" s="15"/>
      <c r="C259" s="9">
        <f>IFERROR(__xludf.DUMMYFUNCTION("""COMPUTED_VALUE"""),44602.8599170486)</f>
        <v>44602.85992</v>
      </c>
      <c r="D259" s="15">
        <f>IFERROR(__xludf.DUMMYFUNCTION("""COMPUTED_VALUE"""),1.004)</f>
        <v>1.004</v>
      </c>
      <c r="E259" s="16">
        <f>IFERROR(__xludf.DUMMYFUNCTION("""COMPUTED_VALUE"""),64.0)</f>
        <v>64</v>
      </c>
      <c r="F259" s="19" t="str">
        <f>IFERROR(__xludf.DUMMYFUNCTION("""COMPUTED_VALUE"""),"BLACK")</f>
        <v>BLACK</v>
      </c>
      <c r="G259" s="20" t="str">
        <f>IFERROR(__xludf.DUMMYFUNCTION("""COMPUTED_VALUE"""),"Uncle Sams Cider (11/12/2021) 02")</f>
        <v>Uncle Sams Cider (11/12/2021) 02</v>
      </c>
      <c r="H259" s="19"/>
    </row>
    <row r="260">
      <c r="A260" s="9"/>
      <c r="B260" s="15"/>
      <c r="C260" s="9">
        <f>IFERROR(__xludf.DUMMYFUNCTION("""COMPUTED_VALUE"""),44602.8494942939)</f>
        <v>44602.84949</v>
      </c>
      <c r="D260" s="15">
        <f>IFERROR(__xludf.DUMMYFUNCTION("""COMPUTED_VALUE"""),1.004)</f>
        <v>1.004</v>
      </c>
      <c r="E260" s="16">
        <f>IFERROR(__xludf.DUMMYFUNCTION("""COMPUTED_VALUE"""),64.0)</f>
        <v>64</v>
      </c>
      <c r="F260" s="19" t="str">
        <f>IFERROR(__xludf.DUMMYFUNCTION("""COMPUTED_VALUE"""),"BLACK")</f>
        <v>BLACK</v>
      </c>
      <c r="G260" s="20" t="str">
        <f>IFERROR(__xludf.DUMMYFUNCTION("""COMPUTED_VALUE"""),"Uncle Sams Cider (11/12/2021) 02")</f>
        <v>Uncle Sams Cider (11/12/2021) 02</v>
      </c>
      <c r="H260" s="19"/>
    </row>
    <row r="261">
      <c r="A261" s="9"/>
      <c r="B261" s="15"/>
      <c r="C261" s="9">
        <f>IFERROR(__xludf.DUMMYFUNCTION("""COMPUTED_VALUE"""),44602.8390627546)</f>
        <v>44602.83906</v>
      </c>
      <c r="D261" s="15">
        <f>IFERROR(__xludf.DUMMYFUNCTION("""COMPUTED_VALUE"""),1.004)</f>
        <v>1.004</v>
      </c>
      <c r="E261" s="16">
        <f>IFERROR(__xludf.DUMMYFUNCTION("""COMPUTED_VALUE"""),64.0)</f>
        <v>64</v>
      </c>
      <c r="F261" s="19" t="str">
        <f>IFERROR(__xludf.DUMMYFUNCTION("""COMPUTED_VALUE"""),"BLACK")</f>
        <v>BLACK</v>
      </c>
      <c r="G261" s="20" t="str">
        <f>IFERROR(__xludf.DUMMYFUNCTION("""COMPUTED_VALUE"""),"Uncle Sams Cider (11/12/2021) 02")</f>
        <v>Uncle Sams Cider (11/12/2021) 02</v>
      </c>
      <c r="H261" s="19"/>
    </row>
    <row r="262">
      <c r="A262" s="9"/>
      <c r="B262" s="15"/>
      <c r="C262" s="9">
        <f>IFERROR(__xludf.DUMMYFUNCTION("""COMPUTED_VALUE"""),44602.8286429513)</f>
        <v>44602.82864</v>
      </c>
      <c r="D262" s="15">
        <f>IFERROR(__xludf.DUMMYFUNCTION("""COMPUTED_VALUE"""),1.004)</f>
        <v>1.004</v>
      </c>
      <c r="E262" s="16">
        <f>IFERROR(__xludf.DUMMYFUNCTION("""COMPUTED_VALUE"""),65.0)</f>
        <v>65</v>
      </c>
      <c r="F262" s="19" t="str">
        <f>IFERROR(__xludf.DUMMYFUNCTION("""COMPUTED_VALUE"""),"BLACK")</f>
        <v>BLACK</v>
      </c>
      <c r="G262" s="20" t="str">
        <f>IFERROR(__xludf.DUMMYFUNCTION("""COMPUTED_VALUE"""),"Uncle Sams Cider (11/12/2021) 02")</f>
        <v>Uncle Sams Cider (11/12/2021) 02</v>
      </c>
      <c r="H262" s="19"/>
    </row>
    <row r="263">
      <c r="A263" s="9"/>
      <c r="B263" s="15"/>
      <c r="C263" s="9">
        <f>IFERROR(__xludf.DUMMYFUNCTION("""COMPUTED_VALUE"""),44602.8182103356)</f>
        <v>44602.81821</v>
      </c>
      <c r="D263" s="15">
        <f>IFERROR(__xludf.DUMMYFUNCTION("""COMPUTED_VALUE"""),1.004)</f>
        <v>1.004</v>
      </c>
      <c r="E263" s="16">
        <f>IFERROR(__xludf.DUMMYFUNCTION("""COMPUTED_VALUE"""),65.0)</f>
        <v>65</v>
      </c>
      <c r="F263" s="19" t="str">
        <f>IFERROR(__xludf.DUMMYFUNCTION("""COMPUTED_VALUE"""),"BLACK")</f>
        <v>BLACK</v>
      </c>
      <c r="G263" s="20" t="str">
        <f>IFERROR(__xludf.DUMMYFUNCTION("""COMPUTED_VALUE"""),"Uncle Sams Cider (11/12/2021) 02")</f>
        <v>Uncle Sams Cider (11/12/2021) 02</v>
      </c>
      <c r="H263" s="19"/>
    </row>
    <row r="264">
      <c r="A264" s="9"/>
      <c r="B264" s="15"/>
      <c r="C264" s="9">
        <f>IFERROR(__xludf.DUMMYFUNCTION("""COMPUTED_VALUE"""),44602.8077542476)</f>
        <v>44602.80775</v>
      </c>
      <c r="D264" s="15">
        <f>IFERROR(__xludf.DUMMYFUNCTION("""COMPUTED_VALUE"""),1.004)</f>
        <v>1.004</v>
      </c>
      <c r="E264" s="16">
        <f>IFERROR(__xludf.DUMMYFUNCTION("""COMPUTED_VALUE"""),64.0)</f>
        <v>64</v>
      </c>
      <c r="F264" s="19" t="str">
        <f>IFERROR(__xludf.DUMMYFUNCTION("""COMPUTED_VALUE"""),"BLACK")</f>
        <v>BLACK</v>
      </c>
      <c r="G264" s="20" t="str">
        <f>IFERROR(__xludf.DUMMYFUNCTION("""COMPUTED_VALUE"""),"Uncle Sams Cider (11/12/2021) 02")</f>
        <v>Uncle Sams Cider (11/12/2021) 02</v>
      </c>
      <c r="H264" s="19"/>
    </row>
    <row r="265">
      <c r="A265" s="9"/>
      <c r="B265" s="15"/>
      <c r="C265" s="9">
        <f>IFERROR(__xludf.DUMMYFUNCTION("""COMPUTED_VALUE"""),44602.7973191782)</f>
        <v>44602.79732</v>
      </c>
      <c r="D265" s="15">
        <f>IFERROR(__xludf.DUMMYFUNCTION("""COMPUTED_VALUE"""),1.004)</f>
        <v>1.004</v>
      </c>
      <c r="E265" s="16">
        <f>IFERROR(__xludf.DUMMYFUNCTION("""COMPUTED_VALUE"""),65.0)</f>
        <v>65</v>
      </c>
      <c r="F265" s="19" t="str">
        <f>IFERROR(__xludf.DUMMYFUNCTION("""COMPUTED_VALUE"""),"BLACK")</f>
        <v>BLACK</v>
      </c>
      <c r="G265" s="20" t="str">
        <f>IFERROR(__xludf.DUMMYFUNCTION("""COMPUTED_VALUE"""),"Uncle Sams Cider (11/12/2021) 02")</f>
        <v>Uncle Sams Cider (11/12/2021) 02</v>
      </c>
      <c r="H265" s="19"/>
    </row>
    <row r="266">
      <c r="A266" s="9"/>
      <c r="B266" s="15"/>
      <c r="C266" s="9">
        <f>IFERROR(__xludf.DUMMYFUNCTION("""COMPUTED_VALUE"""),44602.7868872801)</f>
        <v>44602.78689</v>
      </c>
      <c r="D266" s="15">
        <f>IFERROR(__xludf.DUMMYFUNCTION("""COMPUTED_VALUE"""),1.004)</f>
        <v>1.004</v>
      </c>
      <c r="E266" s="16">
        <f>IFERROR(__xludf.DUMMYFUNCTION("""COMPUTED_VALUE"""),65.0)</f>
        <v>65</v>
      </c>
      <c r="F266" s="19" t="str">
        <f>IFERROR(__xludf.DUMMYFUNCTION("""COMPUTED_VALUE"""),"BLACK")</f>
        <v>BLACK</v>
      </c>
      <c r="G266" s="20" t="str">
        <f>IFERROR(__xludf.DUMMYFUNCTION("""COMPUTED_VALUE"""),"Uncle Sams Cider (11/12/2021) 02")</f>
        <v>Uncle Sams Cider (11/12/2021) 02</v>
      </c>
      <c r="H266" s="19"/>
    </row>
    <row r="267">
      <c r="A267" s="9"/>
      <c r="B267" s="15"/>
      <c r="C267" s="9">
        <f>IFERROR(__xludf.DUMMYFUNCTION("""COMPUTED_VALUE"""),44602.7764650925)</f>
        <v>44602.77647</v>
      </c>
      <c r="D267" s="15">
        <f>IFERROR(__xludf.DUMMYFUNCTION("""COMPUTED_VALUE"""),1.004)</f>
        <v>1.004</v>
      </c>
      <c r="E267" s="16">
        <f>IFERROR(__xludf.DUMMYFUNCTION("""COMPUTED_VALUE"""),65.0)</f>
        <v>65</v>
      </c>
      <c r="F267" s="19" t="str">
        <f>IFERROR(__xludf.DUMMYFUNCTION("""COMPUTED_VALUE"""),"BLACK")</f>
        <v>BLACK</v>
      </c>
      <c r="G267" s="20" t="str">
        <f>IFERROR(__xludf.DUMMYFUNCTION("""COMPUTED_VALUE"""),"Uncle Sams Cider (11/12/2021) 02")</f>
        <v>Uncle Sams Cider (11/12/2021) 02</v>
      </c>
      <c r="H267" s="19"/>
    </row>
    <row r="268">
      <c r="A268" s="9"/>
      <c r="B268" s="15"/>
      <c r="C268" s="9">
        <f>IFERROR(__xludf.DUMMYFUNCTION("""COMPUTED_VALUE"""),44602.7660440625)</f>
        <v>44602.76604</v>
      </c>
      <c r="D268" s="15">
        <f>IFERROR(__xludf.DUMMYFUNCTION("""COMPUTED_VALUE"""),1.004)</f>
        <v>1.004</v>
      </c>
      <c r="E268" s="16">
        <f>IFERROR(__xludf.DUMMYFUNCTION("""COMPUTED_VALUE"""),65.0)</f>
        <v>65</v>
      </c>
      <c r="F268" s="19" t="str">
        <f>IFERROR(__xludf.DUMMYFUNCTION("""COMPUTED_VALUE"""),"BLACK")</f>
        <v>BLACK</v>
      </c>
      <c r="G268" s="20" t="str">
        <f>IFERROR(__xludf.DUMMYFUNCTION("""COMPUTED_VALUE"""),"Uncle Sams Cider (11/12/2021) 02")</f>
        <v>Uncle Sams Cider (11/12/2021) 02</v>
      </c>
      <c r="H268" s="19"/>
    </row>
    <row r="269">
      <c r="A269" s="9"/>
      <c r="B269" s="15"/>
      <c r="C269" s="9">
        <f>IFERROR(__xludf.DUMMYFUNCTION("""COMPUTED_VALUE"""),44602.7556217708)</f>
        <v>44602.75562</v>
      </c>
      <c r="D269" s="15">
        <f>IFERROR(__xludf.DUMMYFUNCTION("""COMPUTED_VALUE"""),1.004)</f>
        <v>1.004</v>
      </c>
      <c r="E269" s="16">
        <f>IFERROR(__xludf.DUMMYFUNCTION("""COMPUTED_VALUE"""),65.0)</f>
        <v>65</v>
      </c>
      <c r="F269" s="19" t="str">
        <f>IFERROR(__xludf.DUMMYFUNCTION("""COMPUTED_VALUE"""),"BLACK")</f>
        <v>BLACK</v>
      </c>
      <c r="G269" s="20" t="str">
        <f>IFERROR(__xludf.DUMMYFUNCTION("""COMPUTED_VALUE"""),"Uncle Sams Cider (11/12/2021) 02")</f>
        <v>Uncle Sams Cider (11/12/2021) 02</v>
      </c>
      <c r="H269" s="19"/>
    </row>
    <row r="270">
      <c r="A270" s="9"/>
      <c r="B270" s="15"/>
      <c r="C270" s="9">
        <f>IFERROR(__xludf.DUMMYFUNCTION("""COMPUTED_VALUE"""),44602.7451898379)</f>
        <v>44602.74519</v>
      </c>
      <c r="D270" s="15">
        <f>IFERROR(__xludf.DUMMYFUNCTION("""COMPUTED_VALUE"""),1.004)</f>
        <v>1.004</v>
      </c>
      <c r="E270" s="16">
        <f>IFERROR(__xludf.DUMMYFUNCTION("""COMPUTED_VALUE"""),65.0)</f>
        <v>65</v>
      </c>
      <c r="F270" s="19" t="str">
        <f>IFERROR(__xludf.DUMMYFUNCTION("""COMPUTED_VALUE"""),"BLACK")</f>
        <v>BLACK</v>
      </c>
      <c r="G270" s="20" t="str">
        <f>IFERROR(__xludf.DUMMYFUNCTION("""COMPUTED_VALUE"""),"Uncle Sams Cider (11/12/2021) 02")</f>
        <v>Uncle Sams Cider (11/12/2021) 02</v>
      </c>
      <c r="H270" s="19"/>
    </row>
    <row r="271">
      <c r="A271" s="9"/>
      <c r="B271" s="15"/>
      <c r="C271" s="9">
        <f>IFERROR(__xludf.DUMMYFUNCTION("""COMPUTED_VALUE"""),44602.7347447453)</f>
        <v>44602.73474</v>
      </c>
      <c r="D271" s="15">
        <f>IFERROR(__xludf.DUMMYFUNCTION("""COMPUTED_VALUE"""),1.004)</f>
        <v>1.004</v>
      </c>
      <c r="E271" s="16">
        <f>IFERROR(__xludf.DUMMYFUNCTION("""COMPUTED_VALUE"""),65.0)</f>
        <v>65</v>
      </c>
      <c r="F271" s="19" t="str">
        <f>IFERROR(__xludf.DUMMYFUNCTION("""COMPUTED_VALUE"""),"BLACK")</f>
        <v>BLACK</v>
      </c>
      <c r="G271" s="20" t="str">
        <f>IFERROR(__xludf.DUMMYFUNCTION("""COMPUTED_VALUE"""),"Uncle Sams Cider (11/12/2021) 02")</f>
        <v>Uncle Sams Cider (11/12/2021) 02</v>
      </c>
      <c r="H271" s="19"/>
    </row>
    <row r="272">
      <c r="A272" s="9"/>
      <c r="B272" s="15"/>
      <c r="C272" s="9">
        <f>IFERROR(__xludf.DUMMYFUNCTION("""COMPUTED_VALUE"""),44602.7243115277)</f>
        <v>44602.72431</v>
      </c>
      <c r="D272" s="15">
        <f>IFERROR(__xludf.DUMMYFUNCTION("""COMPUTED_VALUE"""),1.004)</f>
        <v>1.004</v>
      </c>
      <c r="E272" s="16">
        <f>IFERROR(__xludf.DUMMYFUNCTION("""COMPUTED_VALUE"""),65.0)</f>
        <v>65</v>
      </c>
      <c r="F272" s="19" t="str">
        <f>IFERROR(__xludf.DUMMYFUNCTION("""COMPUTED_VALUE"""),"BLACK")</f>
        <v>BLACK</v>
      </c>
      <c r="G272" s="20" t="str">
        <f>IFERROR(__xludf.DUMMYFUNCTION("""COMPUTED_VALUE"""),"Uncle Sams Cider (11/12/2021) 02")</f>
        <v>Uncle Sams Cider (11/12/2021) 02</v>
      </c>
      <c r="H272" s="19"/>
    </row>
    <row r="273">
      <c r="A273" s="9"/>
      <c r="B273" s="15"/>
      <c r="C273" s="9">
        <f>IFERROR(__xludf.DUMMYFUNCTION("""COMPUTED_VALUE"""),44602.7138929398)</f>
        <v>44602.71389</v>
      </c>
      <c r="D273" s="15">
        <f>IFERROR(__xludf.DUMMYFUNCTION("""COMPUTED_VALUE"""),1.004)</f>
        <v>1.004</v>
      </c>
      <c r="E273" s="16">
        <f>IFERROR(__xludf.DUMMYFUNCTION("""COMPUTED_VALUE"""),65.0)</f>
        <v>65</v>
      </c>
      <c r="F273" s="19" t="str">
        <f>IFERROR(__xludf.DUMMYFUNCTION("""COMPUTED_VALUE"""),"BLACK")</f>
        <v>BLACK</v>
      </c>
      <c r="G273" s="20" t="str">
        <f>IFERROR(__xludf.DUMMYFUNCTION("""COMPUTED_VALUE"""),"Uncle Sams Cider (11/12/2021) 02")</f>
        <v>Uncle Sams Cider (11/12/2021) 02</v>
      </c>
      <c r="H273" s="19"/>
    </row>
    <row r="274">
      <c r="A274" s="9"/>
      <c r="B274" s="15"/>
      <c r="C274" s="9">
        <f>IFERROR(__xludf.DUMMYFUNCTION("""COMPUTED_VALUE"""),44602.7034719097)</f>
        <v>44602.70347</v>
      </c>
      <c r="D274" s="15">
        <f>IFERROR(__xludf.DUMMYFUNCTION("""COMPUTED_VALUE"""),1.004)</f>
        <v>1.004</v>
      </c>
      <c r="E274" s="16">
        <f>IFERROR(__xludf.DUMMYFUNCTION("""COMPUTED_VALUE"""),65.0)</f>
        <v>65</v>
      </c>
      <c r="F274" s="19" t="str">
        <f>IFERROR(__xludf.DUMMYFUNCTION("""COMPUTED_VALUE"""),"BLACK")</f>
        <v>BLACK</v>
      </c>
      <c r="G274" s="20" t="str">
        <f>IFERROR(__xludf.DUMMYFUNCTION("""COMPUTED_VALUE"""),"Uncle Sams Cider (11/12/2021) 02")</f>
        <v>Uncle Sams Cider (11/12/2021) 02</v>
      </c>
      <c r="H274" s="19"/>
    </row>
    <row r="275">
      <c r="A275" s="9"/>
      <c r="B275" s="15"/>
      <c r="C275" s="9">
        <f>IFERROR(__xludf.DUMMYFUNCTION("""COMPUTED_VALUE"""),44602.6930506712)</f>
        <v>44602.69305</v>
      </c>
      <c r="D275" s="15">
        <f>IFERROR(__xludf.DUMMYFUNCTION("""COMPUTED_VALUE"""),1.004)</f>
        <v>1.004</v>
      </c>
      <c r="E275" s="16">
        <f>IFERROR(__xludf.DUMMYFUNCTION("""COMPUTED_VALUE"""),65.0)</f>
        <v>65</v>
      </c>
      <c r="F275" s="19" t="str">
        <f>IFERROR(__xludf.DUMMYFUNCTION("""COMPUTED_VALUE"""),"BLACK")</f>
        <v>BLACK</v>
      </c>
      <c r="G275" s="20" t="str">
        <f>IFERROR(__xludf.DUMMYFUNCTION("""COMPUTED_VALUE"""),"Uncle Sams Cider (11/12/2021) 02")</f>
        <v>Uncle Sams Cider (11/12/2021) 02</v>
      </c>
      <c r="H275" s="19"/>
    </row>
    <row r="276">
      <c r="A276" s="9"/>
      <c r="B276" s="15"/>
      <c r="C276" s="9">
        <f>IFERROR(__xludf.DUMMYFUNCTION("""COMPUTED_VALUE"""),44602.6826322569)</f>
        <v>44602.68263</v>
      </c>
      <c r="D276" s="15">
        <f>IFERROR(__xludf.DUMMYFUNCTION("""COMPUTED_VALUE"""),1.004)</f>
        <v>1.004</v>
      </c>
      <c r="E276" s="16">
        <f>IFERROR(__xludf.DUMMYFUNCTION("""COMPUTED_VALUE"""),65.0)</f>
        <v>65</v>
      </c>
      <c r="F276" s="19" t="str">
        <f>IFERROR(__xludf.DUMMYFUNCTION("""COMPUTED_VALUE"""),"BLACK")</f>
        <v>BLACK</v>
      </c>
      <c r="G276" s="20" t="str">
        <f>IFERROR(__xludf.DUMMYFUNCTION("""COMPUTED_VALUE"""),"Uncle Sams Cider (11/12/2021) 02")</f>
        <v>Uncle Sams Cider (11/12/2021) 02</v>
      </c>
      <c r="H276" s="19"/>
    </row>
    <row r="277">
      <c r="A277" s="9"/>
      <c r="B277" s="15"/>
      <c r="C277" s="9">
        <f>IFERROR(__xludf.DUMMYFUNCTION("""COMPUTED_VALUE"""),44602.6722106597)</f>
        <v>44602.67221</v>
      </c>
      <c r="D277" s="15">
        <f>IFERROR(__xludf.DUMMYFUNCTION("""COMPUTED_VALUE"""),1.004)</f>
        <v>1.004</v>
      </c>
      <c r="E277" s="16">
        <f>IFERROR(__xludf.DUMMYFUNCTION("""COMPUTED_VALUE"""),65.0)</f>
        <v>65</v>
      </c>
      <c r="F277" s="19" t="str">
        <f>IFERROR(__xludf.DUMMYFUNCTION("""COMPUTED_VALUE"""),"BLACK")</f>
        <v>BLACK</v>
      </c>
      <c r="G277" s="20" t="str">
        <f>IFERROR(__xludf.DUMMYFUNCTION("""COMPUTED_VALUE"""),"Uncle Sams Cider (11/12/2021) 02")</f>
        <v>Uncle Sams Cider (11/12/2021) 02</v>
      </c>
      <c r="H277" s="19"/>
    </row>
    <row r="278">
      <c r="A278" s="9"/>
      <c r="B278" s="15"/>
      <c r="C278" s="9">
        <f>IFERROR(__xludf.DUMMYFUNCTION("""COMPUTED_VALUE"""),44602.6617649884)</f>
        <v>44602.66176</v>
      </c>
      <c r="D278" s="15">
        <f>IFERROR(__xludf.DUMMYFUNCTION("""COMPUTED_VALUE"""),1.004)</f>
        <v>1.004</v>
      </c>
      <c r="E278" s="16">
        <f>IFERROR(__xludf.DUMMYFUNCTION("""COMPUTED_VALUE"""),65.0)</f>
        <v>65</v>
      </c>
      <c r="F278" s="19" t="str">
        <f>IFERROR(__xludf.DUMMYFUNCTION("""COMPUTED_VALUE"""),"BLACK")</f>
        <v>BLACK</v>
      </c>
      <c r="G278" s="20" t="str">
        <f>IFERROR(__xludf.DUMMYFUNCTION("""COMPUTED_VALUE"""),"Uncle Sams Cider (11/12/2021) 02")</f>
        <v>Uncle Sams Cider (11/12/2021) 02</v>
      </c>
      <c r="H278" s="19"/>
    </row>
    <row r="279">
      <c r="A279" s="9"/>
      <c r="B279" s="15"/>
      <c r="C279" s="9">
        <f>IFERROR(__xludf.DUMMYFUNCTION("""COMPUTED_VALUE"""),44602.6513435069)</f>
        <v>44602.65134</v>
      </c>
      <c r="D279" s="15">
        <f>IFERROR(__xludf.DUMMYFUNCTION("""COMPUTED_VALUE"""),1.004)</f>
        <v>1.004</v>
      </c>
      <c r="E279" s="16">
        <f>IFERROR(__xludf.DUMMYFUNCTION("""COMPUTED_VALUE"""),65.0)</f>
        <v>65</v>
      </c>
      <c r="F279" s="19" t="str">
        <f>IFERROR(__xludf.DUMMYFUNCTION("""COMPUTED_VALUE"""),"BLACK")</f>
        <v>BLACK</v>
      </c>
      <c r="G279" s="20" t="str">
        <f>IFERROR(__xludf.DUMMYFUNCTION("""COMPUTED_VALUE"""),"Uncle Sams Cider (11/12/2021) 02")</f>
        <v>Uncle Sams Cider (11/12/2021) 02</v>
      </c>
      <c r="H279" s="19"/>
    </row>
    <row r="280">
      <c r="A280" s="9"/>
      <c r="B280" s="15"/>
      <c r="C280" s="9">
        <f>IFERROR(__xludf.DUMMYFUNCTION("""COMPUTED_VALUE"""),44602.6409232291)</f>
        <v>44602.64092</v>
      </c>
      <c r="D280" s="15">
        <f>IFERROR(__xludf.DUMMYFUNCTION("""COMPUTED_VALUE"""),1.004)</f>
        <v>1.004</v>
      </c>
      <c r="E280" s="16">
        <f>IFERROR(__xludf.DUMMYFUNCTION("""COMPUTED_VALUE"""),65.0)</f>
        <v>65</v>
      </c>
      <c r="F280" s="19" t="str">
        <f>IFERROR(__xludf.DUMMYFUNCTION("""COMPUTED_VALUE"""),"BLACK")</f>
        <v>BLACK</v>
      </c>
      <c r="G280" s="20" t="str">
        <f>IFERROR(__xludf.DUMMYFUNCTION("""COMPUTED_VALUE"""),"Uncle Sams Cider (11/12/2021) 02")</f>
        <v>Uncle Sams Cider (11/12/2021) 02</v>
      </c>
      <c r="H280" s="19"/>
    </row>
    <row r="281">
      <c r="A281" s="9"/>
      <c r="B281" s="15"/>
      <c r="C281" s="9">
        <f>IFERROR(__xludf.DUMMYFUNCTION("""COMPUTED_VALUE"""),44602.6304899189)</f>
        <v>44602.63049</v>
      </c>
      <c r="D281" s="15">
        <f>IFERROR(__xludf.DUMMYFUNCTION("""COMPUTED_VALUE"""),1.004)</f>
        <v>1.004</v>
      </c>
      <c r="E281" s="16">
        <f>IFERROR(__xludf.DUMMYFUNCTION("""COMPUTED_VALUE"""),65.0)</f>
        <v>65</v>
      </c>
      <c r="F281" s="19" t="str">
        <f>IFERROR(__xludf.DUMMYFUNCTION("""COMPUTED_VALUE"""),"BLACK")</f>
        <v>BLACK</v>
      </c>
      <c r="G281" s="20" t="str">
        <f>IFERROR(__xludf.DUMMYFUNCTION("""COMPUTED_VALUE"""),"Uncle Sams Cider (11/12/2021) 02")</f>
        <v>Uncle Sams Cider (11/12/2021) 02</v>
      </c>
      <c r="H281" s="19"/>
    </row>
    <row r="282">
      <c r="A282" s="9"/>
      <c r="B282" s="15"/>
      <c r="C282" s="9">
        <f>IFERROR(__xludf.DUMMYFUNCTION("""COMPUTED_VALUE"""),44602.620069456)</f>
        <v>44602.62007</v>
      </c>
      <c r="D282" s="15">
        <f>IFERROR(__xludf.DUMMYFUNCTION("""COMPUTED_VALUE"""),1.004)</f>
        <v>1.004</v>
      </c>
      <c r="E282" s="16">
        <f>IFERROR(__xludf.DUMMYFUNCTION("""COMPUTED_VALUE"""),65.0)</f>
        <v>65</v>
      </c>
      <c r="F282" s="19" t="str">
        <f>IFERROR(__xludf.DUMMYFUNCTION("""COMPUTED_VALUE"""),"BLACK")</f>
        <v>BLACK</v>
      </c>
      <c r="G282" s="20" t="str">
        <f>IFERROR(__xludf.DUMMYFUNCTION("""COMPUTED_VALUE"""),"Uncle Sams Cider (11/12/2021) 02")</f>
        <v>Uncle Sams Cider (11/12/2021) 02</v>
      </c>
      <c r="H282" s="19"/>
    </row>
    <row r="283">
      <c r="A283" s="9"/>
      <c r="B283" s="15"/>
      <c r="C283" s="9">
        <f>IFERROR(__xludf.DUMMYFUNCTION("""COMPUTED_VALUE"""),44602.6096362037)</f>
        <v>44602.60964</v>
      </c>
      <c r="D283" s="15">
        <f>IFERROR(__xludf.DUMMYFUNCTION("""COMPUTED_VALUE"""),1.004)</f>
        <v>1.004</v>
      </c>
      <c r="E283" s="16">
        <f>IFERROR(__xludf.DUMMYFUNCTION("""COMPUTED_VALUE"""),65.0)</f>
        <v>65</v>
      </c>
      <c r="F283" s="19" t="str">
        <f>IFERROR(__xludf.DUMMYFUNCTION("""COMPUTED_VALUE"""),"BLACK")</f>
        <v>BLACK</v>
      </c>
      <c r="G283" s="20" t="str">
        <f>IFERROR(__xludf.DUMMYFUNCTION("""COMPUTED_VALUE"""),"Uncle Sams Cider (11/12/2021) 02")</f>
        <v>Uncle Sams Cider (11/12/2021) 02</v>
      </c>
      <c r="H283" s="19"/>
    </row>
    <row r="284">
      <c r="A284" s="9"/>
      <c r="B284" s="15"/>
      <c r="C284" s="9">
        <f>IFERROR(__xludf.DUMMYFUNCTION("""COMPUTED_VALUE"""),44602.5992141319)</f>
        <v>44602.59921</v>
      </c>
      <c r="D284" s="15">
        <f>IFERROR(__xludf.DUMMYFUNCTION("""COMPUTED_VALUE"""),1.004)</f>
        <v>1.004</v>
      </c>
      <c r="E284" s="16">
        <f>IFERROR(__xludf.DUMMYFUNCTION("""COMPUTED_VALUE"""),65.0)</f>
        <v>65</v>
      </c>
      <c r="F284" s="19" t="str">
        <f>IFERROR(__xludf.DUMMYFUNCTION("""COMPUTED_VALUE"""),"BLACK")</f>
        <v>BLACK</v>
      </c>
      <c r="G284" s="20" t="str">
        <f>IFERROR(__xludf.DUMMYFUNCTION("""COMPUTED_VALUE"""),"Uncle Sams Cider (11/12/2021) 02")</f>
        <v>Uncle Sams Cider (11/12/2021) 02</v>
      </c>
      <c r="H284" s="19"/>
    </row>
    <row r="285">
      <c r="A285" s="9"/>
      <c r="B285" s="15"/>
      <c r="C285" s="9">
        <f>IFERROR(__xludf.DUMMYFUNCTION("""COMPUTED_VALUE"""),44602.5887803935)</f>
        <v>44602.58878</v>
      </c>
      <c r="D285" s="15">
        <f>IFERROR(__xludf.DUMMYFUNCTION("""COMPUTED_VALUE"""),1.004)</f>
        <v>1.004</v>
      </c>
      <c r="E285" s="16">
        <f>IFERROR(__xludf.DUMMYFUNCTION("""COMPUTED_VALUE"""),65.0)</f>
        <v>65</v>
      </c>
      <c r="F285" s="19" t="str">
        <f>IFERROR(__xludf.DUMMYFUNCTION("""COMPUTED_VALUE"""),"BLACK")</f>
        <v>BLACK</v>
      </c>
      <c r="G285" s="20" t="str">
        <f>IFERROR(__xludf.DUMMYFUNCTION("""COMPUTED_VALUE"""),"Uncle Sams Cider (11/12/2021) 02")</f>
        <v>Uncle Sams Cider (11/12/2021) 02</v>
      </c>
      <c r="H285" s="19"/>
    </row>
    <row r="286">
      <c r="A286" s="9"/>
      <c r="B286" s="15"/>
      <c r="C286" s="9">
        <f>IFERROR(__xludf.DUMMYFUNCTION("""COMPUTED_VALUE"""),44602.5783572916)</f>
        <v>44602.57836</v>
      </c>
      <c r="D286" s="15">
        <f>IFERROR(__xludf.DUMMYFUNCTION("""COMPUTED_VALUE"""),1.004)</f>
        <v>1.004</v>
      </c>
      <c r="E286" s="16">
        <f>IFERROR(__xludf.DUMMYFUNCTION("""COMPUTED_VALUE"""),65.0)</f>
        <v>65</v>
      </c>
      <c r="F286" s="19" t="str">
        <f>IFERROR(__xludf.DUMMYFUNCTION("""COMPUTED_VALUE"""),"BLACK")</f>
        <v>BLACK</v>
      </c>
      <c r="G286" s="20" t="str">
        <f>IFERROR(__xludf.DUMMYFUNCTION("""COMPUTED_VALUE"""),"Uncle Sams Cider (11/12/2021) 02")</f>
        <v>Uncle Sams Cider (11/12/2021) 02</v>
      </c>
      <c r="H286" s="19"/>
    </row>
    <row r="287">
      <c r="A287" s="9"/>
      <c r="B287" s="15"/>
      <c r="C287" s="9">
        <f>IFERROR(__xludf.DUMMYFUNCTION("""COMPUTED_VALUE"""),44602.5679360763)</f>
        <v>44602.56794</v>
      </c>
      <c r="D287" s="15">
        <f>IFERROR(__xludf.DUMMYFUNCTION("""COMPUTED_VALUE"""),1.004)</f>
        <v>1.004</v>
      </c>
      <c r="E287" s="16">
        <f>IFERROR(__xludf.DUMMYFUNCTION("""COMPUTED_VALUE"""),65.0)</f>
        <v>65</v>
      </c>
      <c r="F287" s="19" t="str">
        <f>IFERROR(__xludf.DUMMYFUNCTION("""COMPUTED_VALUE"""),"BLACK")</f>
        <v>BLACK</v>
      </c>
      <c r="G287" s="20" t="str">
        <f>IFERROR(__xludf.DUMMYFUNCTION("""COMPUTED_VALUE"""),"Uncle Sams Cider (11/12/2021) 02")</f>
        <v>Uncle Sams Cider (11/12/2021) 02</v>
      </c>
      <c r="H287" s="19"/>
    </row>
    <row r="288">
      <c r="A288" s="9"/>
      <c r="B288" s="15"/>
      <c r="C288" s="9">
        <f>IFERROR(__xludf.DUMMYFUNCTION("""COMPUTED_VALUE"""),44602.5575160069)</f>
        <v>44602.55752</v>
      </c>
      <c r="D288" s="15">
        <f>IFERROR(__xludf.DUMMYFUNCTION("""COMPUTED_VALUE"""),1.004)</f>
        <v>1.004</v>
      </c>
      <c r="E288" s="16">
        <f>IFERROR(__xludf.DUMMYFUNCTION("""COMPUTED_VALUE"""),65.0)</f>
        <v>65</v>
      </c>
      <c r="F288" s="19" t="str">
        <f>IFERROR(__xludf.DUMMYFUNCTION("""COMPUTED_VALUE"""),"BLACK")</f>
        <v>BLACK</v>
      </c>
      <c r="G288" s="20" t="str">
        <f>IFERROR(__xludf.DUMMYFUNCTION("""COMPUTED_VALUE"""),"Uncle Sams Cider (11/12/2021) 02")</f>
        <v>Uncle Sams Cider (11/12/2021) 02</v>
      </c>
      <c r="H288" s="19"/>
    </row>
    <row r="289">
      <c r="A289" s="9"/>
      <c r="B289" s="15"/>
      <c r="C289" s="9">
        <f>IFERROR(__xludf.DUMMYFUNCTION("""COMPUTED_VALUE"""),44602.5470611342)</f>
        <v>44602.54706</v>
      </c>
      <c r="D289" s="15">
        <f>IFERROR(__xludf.DUMMYFUNCTION("""COMPUTED_VALUE"""),1.004)</f>
        <v>1.004</v>
      </c>
      <c r="E289" s="16">
        <f>IFERROR(__xludf.DUMMYFUNCTION("""COMPUTED_VALUE"""),65.0)</f>
        <v>65</v>
      </c>
      <c r="F289" s="19" t="str">
        <f>IFERROR(__xludf.DUMMYFUNCTION("""COMPUTED_VALUE"""),"BLACK")</f>
        <v>BLACK</v>
      </c>
      <c r="G289" s="20" t="str">
        <f>IFERROR(__xludf.DUMMYFUNCTION("""COMPUTED_VALUE"""),"Uncle Sams Cider (11/12/2021) 02")</f>
        <v>Uncle Sams Cider (11/12/2021) 02</v>
      </c>
      <c r="H289" s="19"/>
    </row>
    <row r="290">
      <c r="A290" s="9"/>
      <c r="B290" s="15"/>
      <c r="C290" s="9">
        <f>IFERROR(__xludf.DUMMYFUNCTION("""COMPUTED_VALUE"""),44602.5366292592)</f>
        <v>44602.53663</v>
      </c>
      <c r="D290" s="15">
        <f>IFERROR(__xludf.DUMMYFUNCTION("""COMPUTED_VALUE"""),1.004)</f>
        <v>1.004</v>
      </c>
      <c r="E290" s="16">
        <f>IFERROR(__xludf.DUMMYFUNCTION("""COMPUTED_VALUE"""),65.0)</f>
        <v>65</v>
      </c>
      <c r="F290" s="19" t="str">
        <f>IFERROR(__xludf.DUMMYFUNCTION("""COMPUTED_VALUE"""),"BLACK")</f>
        <v>BLACK</v>
      </c>
      <c r="G290" s="20" t="str">
        <f>IFERROR(__xludf.DUMMYFUNCTION("""COMPUTED_VALUE"""),"Uncle Sams Cider (11/12/2021) 02")</f>
        <v>Uncle Sams Cider (11/12/2021) 02</v>
      </c>
      <c r="H290" s="19"/>
    </row>
    <row r="291">
      <c r="A291" s="9"/>
      <c r="B291" s="15"/>
      <c r="C291" s="9">
        <f>IFERROR(__xludf.DUMMYFUNCTION("""COMPUTED_VALUE"""),44602.5261964467)</f>
        <v>44602.5262</v>
      </c>
      <c r="D291" s="15">
        <f>IFERROR(__xludf.DUMMYFUNCTION("""COMPUTED_VALUE"""),1.004)</f>
        <v>1.004</v>
      </c>
      <c r="E291" s="16">
        <f>IFERROR(__xludf.DUMMYFUNCTION("""COMPUTED_VALUE"""),65.0)</f>
        <v>65</v>
      </c>
      <c r="F291" s="19" t="str">
        <f>IFERROR(__xludf.DUMMYFUNCTION("""COMPUTED_VALUE"""),"BLACK")</f>
        <v>BLACK</v>
      </c>
      <c r="G291" s="20" t="str">
        <f>IFERROR(__xludf.DUMMYFUNCTION("""COMPUTED_VALUE"""),"Uncle Sams Cider (11/12/2021) 02")</f>
        <v>Uncle Sams Cider (11/12/2021) 02</v>
      </c>
      <c r="H291" s="19"/>
    </row>
    <row r="292">
      <c r="A292" s="9"/>
      <c r="B292" s="15"/>
      <c r="C292" s="9">
        <f>IFERROR(__xludf.DUMMYFUNCTION("""COMPUTED_VALUE"""),44602.5157629745)</f>
        <v>44602.51576</v>
      </c>
      <c r="D292" s="15">
        <f>IFERROR(__xludf.DUMMYFUNCTION("""COMPUTED_VALUE"""),1.004)</f>
        <v>1.004</v>
      </c>
      <c r="E292" s="16">
        <f>IFERROR(__xludf.DUMMYFUNCTION("""COMPUTED_VALUE"""),65.0)</f>
        <v>65</v>
      </c>
      <c r="F292" s="19" t="str">
        <f>IFERROR(__xludf.DUMMYFUNCTION("""COMPUTED_VALUE"""),"BLACK")</f>
        <v>BLACK</v>
      </c>
      <c r="G292" s="20" t="str">
        <f>IFERROR(__xludf.DUMMYFUNCTION("""COMPUTED_VALUE"""),"Uncle Sams Cider (11/12/2021) 02")</f>
        <v>Uncle Sams Cider (11/12/2021) 02</v>
      </c>
      <c r="H292" s="19"/>
    </row>
    <row r="293">
      <c r="A293" s="9"/>
      <c r="B293" s="15"/>
      <c r="C293" s="9">
        <f>IFERROR(__xludf.DUMMYFUNCTION("""COMPUTED_VALUE"""),44602.5053418518)</f>
        <v>44602.50534</v>
      </c>
      <c r="D293" s="15">
        <f>IFERROR(__xludf.DUMMYFUNCTION("""COMPUTED_VALUE"""),1.004)</f>
        <v>1.004</v>
      </c>
      <c r="E293" s="16">
        <f>IFERROR(__xludf.DUMMYFUNCTION("""COMPUTED_VALUE"""),65.0)</f>
        <v>65</v>
      </c>
      <c r="F293" s="19" t="str">
        <f>IFERROR(__xludf.DUMMYFUNCTION("""COMPUTED_VALUE"""),"BLACK")</f>
        <v>BLACK</v>
      </c>
      <c r="G293" s="20" t="str">
        <f>IFERROR(__xludf.DUMMYFUNCTION("""COMPUTED_VALUE"""),"Uncle Sams Cider (11/12/2021) 02")</f>
        <v>Uncle Sams Cider (11/12/2021) 02</v>
      </c>
      <c r="H293" s="19"/>
    </row>
    <row r="294">
      <c r="A294" s="9"/>
      <c r="B294" s="15"/>
      <c r="C294" s="9">
        <f>IFERROR(__xludf.DUMMYFUNCTION("""COMPUTED_VALUE"""),44602.4949197569)</f>
        <v>44602.49492</v>
      </c>
      <c r="D294" s="15">
        <f>IFERROR(__xludf.DUMMYFUNCTION("""COMPUTED_VALUE"""),1.004)</f>
        <v>1.004</v>
      </c>
      <c r="E294" s="16">
        <f>IFERROR(__xludf.DUMMYFUNCTION("""COMPUTED_VALUE"""),65.0)</f>
        <v>65</v>
      </c>
      <c r="F294" s="19" t="str">
        <f>IFERROR(__xludf.DUMMYFUNCTION("""COMPUTED_VALUE"""),"BLACK")</f>
        <v>BLACK</v>
      </c>
      <c r="G294" s="20" t="str">
        <f>IFERROR(__xludf.DUMMYFUNCTION("""COMPUTED_VALUE"""),"Uncle Sams Cider (11/12/2021) 02")</f>
        <v>Uncle Sams Cider (11/12/2021) 02</v>
      </c>
      <c r="H294" s="19"/>
    </row>
    <row r="295">
      <c r="A295" s="9"/>
      <c r="B295" s="15"/>
      <c r="C295" s="9">
        <f>IFERROR(__xludf.DUMMYFUNCTION("""COMPUTED_VALUE"""),44602.4844984837)</f>
        <v>44602.4845</v>
      </c>
      <c r="D295" s="15">
        <f>IFERROR(__xludf.DUMMYFUNCTION("""COMPUTED_VALUE"""),1.004)</f>
        <v>1.004</v>
      </c>
      <c r="E295" s="16">
        <f>IFERROR(__xludf.DUMMYFUNCTION("""COMPUTED_VALUE"""),65.0)</f>
        <v>65</v>
      </c>
      <c r="F295" s="19" t="str">
        <f>IFERROR(__xludf.DUMMYFUNCTION("""COMPUTED_VALUE"""),"BLACK")</f>
        <v>BLACK</v>
      </c>
      <c r="G295" s="20" t="str">
        <f>IFERROR(__xludf.DUMMYFUNCTION("""COMPUTED_VALUE"""),"Uncle Sams Cider (11/12/2021) 02")</f>
        <v>Uncle Sams Cider (11/12/2021) 02</v>
      </c>
      <c r="H295" s="19"/>
    </row>
    <row r="296">
      <c r="A296" s="9"/>
      <c r="B296" s="15"/>
      <c r="C296" s="9">
        <f>IFERROR(__xludf.DUMMYFUNCTION("""COMPUTED_VALUE"""),44602.474065868)</f>
        <v>44602.47407</v>
      </c>
      <c r="D296" s="15">
        <f>IFERROR(__xludf.DUMMYFUNCTION("""COMPUTED_VALUE"""),1.004)</f>
        <v>1.004</v>
      </c>
      <c r="E296" s="16">
        <f>IFERROR(__xludf.DUMMYFUNCTION("""COMPUTED_VALUE"""),65.0)</f>
        <v>65</v>
      </c>
      <c r="F296" s="19" t="str">
        <f>IFERROR(__xludf.DUMMYFUNCTION("""COMPUTED_VALUE"""),"BLACK")</f>
        <v>BLACK</v>
      </c>
      <c r="G296" s="20" t="str">
        <f>IFERROR(__xludf.DUMMYFUNCTION("""COMPUTED_VALUE"""),"Uncle Sams Cider (11/12/2021) 02")</f>
        <v>Uncle Sams Cider (11/12/2021) 02</v>
      </c>
      <c r="H296" s="19"/>
    </row>
    <row r="297">
      <c r="A297" s="9"/>
      <c r="B297" s="15"/>
      <c r="C297" s="9">
        <f>IFERROR(__xludf.DUMMYFUNCTION("""COMPUTED_VALUE"""),44602.46364228)</f>
        <v>44602.46364</v>
      </c>
      <c r="D297" s="15">
        <f>IFERROR(__xludf.DUMMYFUNCTION("""COMPUTED_VALUE"""),1.004)</f>
        <v>1.004</v>
      </c>
      <c r="E297" s="16">
        <f>IFERROR(__xludf.DUMMYFUNCTION("""COMPUTED_VALUE"""),65.0)</f>
        <v>65</v>
      </c>
      <c r="F297" s="19" t="str">
        <f>IFERROR(__xludf.DUMMYFUNCTION("""COMPUTED_VALUE"""),"BLACK")</f>
        <v>BLACK</v>
      </c>
      <c r="G297" s="20" t="str">
        <f>IFERROR(__xludf.DUMMYFUNCTION("""COMPUTED_VALUE"""),"Uncle Sams Cider (11/12/2021) 02")</f>
        <v>Uncle Sams Cider (11/12/2021) 02</v>
      </c>
      <c r="H297" s="19"/>
    </row>
    <row r="298">
      <c r="A298" s="9"/>
      <c r="B298" s="15"/>
      <c r="C298" s="9">
        <f>IFERROR(__xludf.DUMMYFUNCTION("""COMPUTED_VALUE"""),44602.4532223611)</f>
        <v>44602.45322</v>
      </c>
      <c r="D298" s="15">
        <f>IFERROR(__xludf.DUMMYFUNCTION("""COMPUTED_VALUE"""),1.004)</f>
        <v>1.004</v>
      </c>
      <c r="E298" s="16">
        <f>IFERROR(__xludf.DUMMYFUNCTION("""COMPUTED_VALUE"""),65.0)</f>
        <v>65</v>
      </c>
      <c r="F298" s="19" t="str">
        <f>IFERROR(__xludf.DUMMYFUNCTION("""COMPUTED_VALUE"""),"BLACK")</f>
        <v>BLACK</v>
      </c>
      <c r="G298" s="20" t="str">
        <f>IFERROR(__xludf.DUMMYFUNCTION("""COMPUTED_VALUE"""),"Uncle Sams Cider (11/12/2021) 02")</f>
        <v>Uncle Sams Cider (11/12/2021) 02</v>
      </c>
      <c r="H298" s="19"/>
    </row>
    <row r="299">
      <c r="A299" s="9"/>
      <c r="B299" s="15"/>
      <c r="C299" s="9">
        <f>IFERROR(__xludf.DUMMYFUNCTION("""COMPUTED_VALUE"""),44602.4427895949)</f>
        <v>44602.44279</v>
      </c>
      <c r="D299" s="15">
        <f>IFERROR(__xludf.DUMMYFUNCTION("""COMPUTED_VALUE"""),1.004)</f>
        <v>1.004</v>
      </c>
      <c r="E299" s="16">
        <f>IFERROR(__xludf.DUMMYFUNCTION("""COMPUTED_VALUE"""),65.0)</f>
        <v>65</v>
      </c>
      <c r="F299" s="19" t="str">
        <f>IFERROR(__xludf.DUMMYFUNCTION("""COMPUTED_VALUE"""),"BLACK")</f>
        <v>BLACK</v>
      </c>
      <c r="G299" s="20" t="str">
        <f>IFERROR(__xludf.DUMMYFUNCTION("""COMPUTED_VALUE"""),"Uncle Sams Cider (11/12/2021) 02")</f>
        <v>Uncle Sams Cider (11/12/2021) 02</v>
      </c>
      <c r="H299" s="19"/>
    </row>
    <row r="300">
      <c r="A300" s="9"/>
      <c r="B300" s="15"/>
      <c r="C300" s="9">
        <f>IFERROR(__xludf.DUMMYFUNCTION("""COMPUTED_VALUE"""),44602.4323576041)</f>
        <v>44602.43236</v>
      </c>
      <c r="D300" s="15">
        <f>IFERROR(__xludf.DUMMYFUNCTION("""COMPUTED_VALUE"""),1.004)</f>
        <v>1.004</v>
      </c>
      <c r="E300" s="16">
        <f>IFERROR(__xludf.DUMMYFUNCTION("""COMPUTED_VALUE"""),65.0)</f>
        <v>65</v>
      </c>
      <c r="F300" s="19" t="str">
        <f>IFERROR(__xludf.DUMMYFUNCTION("""COMPUTED_VALUE"""),"BLACK")</f>
        <v>BLACK</v>
      </c>
      <c r="G300" s="20" t="str">
        <f>IFERROR(__xludf.DUMMYFUNCTION("""COMPUTED_VALUE"""),"Uncle Sams Cider (11/12/2021) 02")</f>
        <v>Uncle Sams Cider (11/12/2021) 02</v>
      </c>
      <c r="H300" s="19"/>
    </row>
    <row r="301">
      <c r="A301" s="9"/>
      <c r="B301" s="15"/>
      <c r="C301" s="9">
        <f>IFERROR(__xludf.DUMMYFUNCTION("""COMPUTED_VALUE"""),44602.4219109375)</f>
        <v>44602.42191</v>
      </c>
      <c r="D301" s="15">
        <f>IFERROR(__xludf.DUMMYFUNCTION("""COMPUTED_VALUE"""),1.004)</f>
        <v>1.004</v>
      </c>
      <c r="E301" s="16">
        <f>IFERROR(__xludf.DUMMYFUNCTION("""COMPUTED_VALUE"""),65.0)</f>
        <v>65</v>
      </c>
      <c r="F301" s="19" t="str">
        <f>IFERROR(__xludf.DUMMYFUNCTION("""COMPUTED_VALUE"""),"BLACK")</f>
        <v>BLACK</v>
      </c>
      <c r="G301" s="20" t="str">
        <f>IFERROR(__xludf.DUMMYFUNCTION("""COMPUTED_VALUE"""),"Uncle Sams Cider (11/12/2021) 02")</f>
        <v>Uncle Sams Cider (11/12/2021) 02</v>
      </c>
      <c r="H301" s="19"/>
    </row>
    <row r="302">
      <c r="A302" s="9"/>
      <c r="B302" s="15"/>
      <c r="C302" s="9">
        <f>IFERROR(__xludf.DUMMYFUNCTION("""COMPUTED_VALUE"""),44602.4114883449)</f>
        <v>44602.41149</v>
      </c>
      <c r="D302" s="15">
        <f>IFERROR(__xludf.DUMMYFUNCTION("""COMPUTED_VALUE"""),1.004)</f>
        <v>1.004</v>
      </c>
      <c r="E302" s="16">
        <f>IFERROR(__xludf.DUMMYFUNCTION("""COMPUTED_VALUE"""),65.0)</f>
        <v>65</v>
      </c>
      <c r="F302" s="19" t="str">
        <f>IFERROR(__xludf.DUMMYFUNCTION("""COMPUTED_VALUE"""),"BLACK")</f>
        <v>BLACK</v>
      </c>
      <c r="G302" s="20" t="str">
        <f>IFERROR(__xludf.DUMMYFUNCTION("""COMPUTED_VALUE"""),"Uncle Sams Cider (11/12/2021) 02")</f>
        <v>Uncle Sams Cider (11/12/2021) 02</v>
      </c>
      <c r="H302" s="19"/>
    </row>
    <row r="303">
      <c r="A303" s="9"/>
      <c r="B303" s="15"/>
      <c r="C303" s="9">
        <f>IFERROR(__xludf.DUMMYFUNCTION("""COMPUTED_VALUE"""),44602.4010677083)</f>
        <v>44602.40107</v>
      </c>
      <c r="D303" s="15">
        <f>IFERROR(__xludf.DUMMYFUNCTION("""COMPUTED_VALUE"""),1.004)</f>
        <v>1.004</v>
      </c>
      <c r="E303" s="16">
        <f>IFERROR(__xludf.DUMMYFUNCTION("""COMPUTED_VALUE"""),65.0)</f>
        <v>65</v>
      </c>
      <c r="F303" s="19" t="str">
        <f>IFERROR(__xludf.DUMMYFUNCTION("""COMPUTED_VALUE"""),"BLACK")</f>
        <v>BLACK</v>
      </c>
      <c r="G303" s="20" t="str">
        <f>IFERROR(__xludf.DUMMYFUNCTION("""COMPUTED_VALUE"""),"Uncle Sams Cider (11/12/2021) 02")</f>
        <v>Uncle Sams Cider (11/12/2021) 02</v>
      </c>
      <c r="H303" s="19"/>
    </row>
    <row r="304">
      <c r="A304" s="9"/>
      <c r="B304" s="15"/>
      <c r="C304" s="9">
        <f>IFERROR(__xludf.DUMMYFUNCTION("""COMPUTED_VALUE"""),44602.3906478125)</f>
        <v>44602.39065</v>
      </c>
      <c r="D304" s="15">
        <f>IFERROR(__xludf.DUMMYFUNCTION("""COMPUTED_VALUE"""),1.004)</f>
        <v>1.004</v>
      </c>
      <c r="E304" s="16">
        <f>IFERROR(__xludf.DUMMYFUNCTION("""COMPUTED_VALUE"""),65.0)</f>
        <v>65</v>
      </c>
      <c r="F304" s="19" t="str">
        <f>IFERROR(__xludf.DUMMYFUNCTION("""COMPUTED_VALUE"""),"BLACK")</f>
        <v>BLACK</v>
      </c>
      <c r="G304" s="20" t="str">
        <f>IFERROR(__xludf.DUMMYFUNCTION("""COMPUTED_VALUE"""),"Uncle Sams Cider (11/12/2021) 02")</f>
        <v>Uncle Sams Cider (11/12/2021) 02</v>
      </c>
      <c r="H304" s="19"/>
    </row>
    <row r="305">
      <c r="A305" s="9"/>
      <c r="B305" s="15"/>
      <c r="C305" s="9">
        <f>IFERROR(__xludf.DUMMYFUNCTION("""COMPUTED_VALUE"""),44602.3802279282)</f>
        <v>44602.38023</v>
      </c>
      <c r="D305" s="15">
        <f>IFERROR(__xludf.DUMMYFUNCTION("""COMPUTED_VALUE"""),1.004)</f>
        <v>1.004</v>
      </c>
      <c r="E305" s="16">
        <f>IFERROR(__xludf.DUMMYFUNCTION("""COMPUTED_VALUE"""),65.0)</f>
        <v>65</v>
      </c>
      <c r="F305" s="19" t="str">
        <f>IFERROR(__xludf.DUMMYFUNCTION("""COMPUTED_VALUE"""),"BLACK")</f>
        <v>BLACK</v>
      </c>
      <c r="G305" s="20" t="str">
        <f>IFERROR(__xludf.DUMMYFUNCTION("""COMPUTED_VALUE"""),"Uncle Sams Cider (11/12/2021) 02")</f>
        <v>Uncle Sams Cider (11/12/2021) 02</v>
      </c>
      <c r="H305" s="19"/>
    </row>
    <row r="306">
      <c r="A306" s="9"/>
      <c r="B306" s="15"/>
      <c r="C306" s="9">
        <f>IFERROR(__xludf.DUMMYFUNCTION("""COMPUTED_VALUE"""),44602.3697949536)</f>
        <v>44602.36979</v>
      </c>
      <c r="D306" s="15">
        <f>IFERROR(__xludf.DUMMYFUNCTION("""COMPUTED_VALUE"""),1.004)</f>
        <v>1.004</v>
      </c>
      <c r="E306" s="16">
        <f>IFERROR(__xludf.DUMMYFUNCTION("""COMPUTED_VALUE"""),65.0)</f>
        <v>65</v>
      </c>
      <c r="F306" s="19" t="str">
        <f>IFERROR(__xludf.DUMMYFUNCTION("""COMPUTED_VALUE"""),"BLACK")</f>
        <v>BLACK</v>
      </c>
      <c r="G306" s="20" t="str">
        <f>IFERROR(__xludf.DUMMYFUNCTION("""COMPUTED_VALUE"""),"Uncle Sams Cider (11/12/2021) 02")</f>
        <v>Uncle Sams Cider (11/12/2021) 02</v>
      </c>
      <c r="H306" s="19"/>
    </row>
    <row r="307">
      <c r="A307" s="9"/>
      <c r="B307" s="15"/>
      <c r="C307" s="9">
        <f>IFERROR(__xludf.DUMMYFUNCTION("""COMPUTED_VALUE"""),44602.3593640625)</f>
        <v>44602.35936</v>
      </c>
      <c r="D307" s="15">
        <f>IFERROR(__xludf.DUMMYFUNCTION("""COMPUTED_VALUE"""),1.004)</f>
        <v>1.004</v>
      </c>
      <c r="E307" s="16">
        <f>IFERROR(__xludf.DUMMYFUNCTION("""COMPUTED_VALUE"""),65.0)</f>
        <v>65</v>
      </c>
      <c r="F307" s="19" t="str">
        <f>IFERROR(__xludf.DUMMYFUNCTION("""COMPUTED_VALUE"""),"BLACK")</f>
        <v>BLACK</v>
      </c>
      <c r="G307" s="20" t="str">
        <f>IFERROR(__xludf.DUMMYFUNCTION("""COMPUTED_VALUE"""),"Uncle Sams Cider (11/12/2021) 02")</f>
        <v>Uncle Sams Cider (11/12/2021) 02</v>
      </c>
      <c r="H307" s="19"/>
    </row>
    <row r="308">
      <c r="A308" s="9"/>
      <c r="B308" s="15"/>
      <c r="C308" s="9">
        <f>IFERROR(__xludf.DUMMYFUNCTION("""COMPUTED_VALUE"""),44602.348907199)</f>
        <v>44602.34891</v>
      </c>
      <c r="D308" s="15">
        <f>IFERROR(__xludf.DUMMYFUNCTION("""COMPUTED_VALUE"""),1.004)</f>
        <v>1.004</v>
      </c>
      <c r="E308" s="16">
        <f>IFERROR(__xludf.DUMMYFUNCTION("""COMPUTED_VALUE"""),65.0)</f>
        <v>65</v>
      </c>
      <c r="F308" s="19" t="str">
        <f>IFERROR(__xludf.DUMMYFUNCTION("""COMPUTED_VALUE"""),"BLACK")</f>
        <v>BLACK</v>
      </c>
      <c r="G308" s="20" t="str">
        <f>IFERROR(__xludf.DUMMYFUNCTION("""COMPUTED_VALUE"""),"Uncle Sams Cider (11/12/2021) 02")</f>
        <v>Uncle Sams Cider (11/12/2021) 02</v>
      </c>
      <c r="H308" s="19"/>
    </row>
    <row r="309">
      <c r="A309" s="9"/>
      <c r="B309" s="15"/>
      <c r="C309" s="9">
        <f>IFERROR(__xludf.DUMMYFUNCTION("""COMPUTED_VALUE"""),44602.3384857523)</f>
        <v>44602.33849</v>
      </c>
      <c r="D309" s="15">
        <f>IFERROR(__xludf.DUMMYFUNCTION("""COMPUTED_VALUE"""),1.004)</f>
        <v>1.004</v>
      </c>
      <c r="E309" s="16">
        <f>IFERROR(__xludf.DUMMYFUNCTION("""COMPUTED_VALUE"""),65.0)</f>
        <v>65</v>
      </c>
      <c r="F309" s="19" t="str">
        <f>IFERROR(__xludf.DUMMYFUNCTION("""COMPUTED_VALUE"""),"BLACK")</f>
        <v>BLACK</v>
      </c>
      <c r="G309" s="20" t="str">
        <f>IFERROR(__xludf.DUMMYFUNCTION("""COMPUTED_VALUE"""),"Uncle Sams Cider (11/12/2021) 02")</f>
        <v>Uncle Sams Cider (11/12/2021) 02</v>
      </c>
      <c r="H309" s="19"/>
    </row>
    <row r="310">
      <c r="A310" s="9"/>
      <c r="B310" s="15"/>
      <c r="C310" s="9">
        <f>IFERROR(__xludf.DUMMYFUNCTION("""COMPUTED_VALUE"""),44602.3280642592)</f>
        <v>44602.32806</v>
      </c>
      <c r="D310" s="15">
        <f>IFERROR(__xludf.DUMMYFUNCTION("""COMPUTED_VALUE"""),1.004)</f>
        <v>1.004</v>
      </c>
      <c r="E310" s="16">
        <f>IFERROR(__xludf.DUMMYFUNCTION("""COMPUTED_VALUE"""),65.0)</f>
        <v>65</v>
      </c>
      <c r="F310" s="19" t="str">
        <f>IFERROR(__xludf.DUMMYFUNCTION("""COMPUTED_VALUE"""),"BLACK")</f>
        <v>BLACK</v>
      </c>
      <c r="G310" s="20" t="str">
        <f>IFERROR(__xludf.DUMMYFUNCTION("""COMPUTED_VALUE"""),"Uncle Sams Cider (11/12/2021) 02")</f>
        <v>Uncle Sams Cider (11/12/2021) 02</v>
      </c>
      <c r="H310" s="19"/>
    </row>
    <row r="311">
      <c r="A311" s="9"/>
      <c r="B311" s="15"/>
      <c r="C311" s="9">
        <f>IFERROR(__xludf.DUMMYFUNCTION("""COMPUTED_VALUE"""),44602.3176417476)</f>
        <v>44602.31764</v>
      </c>
      <c r="D311" s="15">
        <f>IFERROR(__xludf.DUMMYFUNCTION("""COMPUTED_VALUE"""),1.004)</f>
        <v>1.004</v>
      </c>
      <c r="E311" s="16">
        <f>IFERROR(__xludf.DUMMYFUNCTION("""COMPUTED_VALUE"""),65.0)</f>
        <v>65</v>
      </c>
      <c r="F311" s="19" t="str">
        <f>IFERROR(__xludf.DUMMYFUNCTION("""COMPUTED_VALUE"""),"BLACK")</f>
        <v>BLACK</v>
      </c>
      <c r="G311" s="20" t="str">
        <f>IFERROR(__xludf.DUMMYFUNCTION("""COMPUTED_VALUE"""),"Uncle Sams Cider (11/12/2021) 02")</f>
        <v>Uncle Sams Cider (11/12/2021) 02</v>
      </c>
      <c r="H311" s="19"/>
    </row>
    <row r="312">
      <c r="A312" s="9"/>
      <c r="B312" s="15"/>
      <c r="C312" s="9">
        <f>IFERROR(__xludf.DUMMYFUNCTION("""COMPUTED_VALUE"""),44602.3072070949)</f>
        <v>44602.30721</v>
      </c>
      <c r="D312" s="15">
        <f>IFERROR(__xludf.DUMMYFUNCTION("""COMPUTED_VALUE"""),1.004)</f>
        <v>1.004</v>
      </c>
      <c r="E312" s="16">
        <f>IFERROR(__xludf.DUMMYFUNCTION("""COMPUTED_VALUE"""),65.0)</f>
        <v>65</v>
      </c>
      <c r="F312" s="19" t="str">
        <f>IFERROR(__xludf.DUMMYFUNCTION("""COMPUTED_VALUE"""),"BLACK")</f>
        <v>BLACK</v>
      </c>
      <c r="G312" s="20" t="str">
        <f>IFERROR(__xludf.DUMMYFUNCTION("""COMPUTED_VALUE"""),"Uncle Sams Cider (11/12/2021) 02")</f>
        <v>Uncle Sams Cider (11/12/2021) 02</v>
      </c>
      <c r="H312" s="19"/>
    </row>
    <row r="313">
      <c r="A313" s="9"/>
      <c r="B313" s="15"/>
      <c r="C313" s="9">
        <f>IFERROR(__xludf.DUMMYFUNCTION("""COMPUTED_VALUE"""),44602.2967846527)</f>
        <v>44602.29678</v>
      </c>
      <c r="D313" s="15">
        <f>IFERROR(__xludf.DUMMYFUNCTION("""COMPUTED_VALUE"""),1.004)</f>
        <v>1.004</v>
      </c>
      <c r="E313" s="16">
        <f>IFERROR(__xludf.DUMMYFUNCTION("""COMPUTED_VALUE"""),65.0)</f>
        <v>65</v>
      </c>
      <c r="F313" s="19" t="str">
        <f>IFERROR(__xludf.DUMMYFUNCTION("""COMPUTED_VALUE"""),"BLACK")</f>
        <v>BLACK</v>
      </c>
      <c r="G313" s="20" t="str">
        <f>IFERROR(__xludf.DUMMYFUNCTION("""COMPUTED_VALUE"""),"Uncle Sams Cider (11/12/2021) 02")</f>
        <v>Uncle Sams Cider (11/12/2021) 02</v>
      </c>
      <c r="H313" s="19"/>
    </row>
    <row r="314">
      <c r="A314" s="9"/>
      <c r="B314" s="15"/>
      <c r="C314" s="9">
        <f>IFERROR(__xludf.DUMMYFUNCTION("""COMPUTED_VALUE"""),44602.2863637384)</f>
        <v>44602.28636</v>
      </c>
      <c r="D314" s="15">
        <f>IFERROR(__xludf.DUMMYFUNCTION("""COMPUTED_VALUE"""),1.004)</f>
        <v>1.004</v>
      </c>
      <c r="E314" s="16">
        <f>IFERROR(__xludf.DUMMYFUNCTION("""COMPUTED_VALUE"""),65.0)</f>
        <v>65</v>
      </c>
      <c r="F314" s="19" t="str">
        <f>IFERROR(__xludf.DUMMYFUNCTION("""COMPUTED_VALUE"""),"BLACK")</f>
        <v>BLACK</v>
      </c>
      <c r="G314" s="20" t="str">
        <f>IFERROR(__xludf.DUMMYFUNCTION("""COMPUTED_VALUE"""),"Uncle Sams Cider (11/12/2021) 02")</f>
        <v>Uncle Sams Cider (11/12/2021) 02</v>
      </c>
      <c r="H314" s="19"/>
    </row>
    <row r="315">
      <c r="A315" s="9"/>
      <c r="B315" s="15"/>
      <c r="C315" s="9">
        <f>IFERROR(__xludf.DUMMYFUNCTION("""COMPUTED_VALUE"""),44602.2759178703)</f>
        <v>44602.27592</v>
      </c>
      <c r="D315" s="15">
        <f>IFERROR(__xludf.DUMMYFUNCTION("""COMPUTED_VALUE"""),1.004)</f>
        <v>1.004</v>
      </c>
      <c r="E315" s="16">
        <f>IFERROR(__xludf.DUMMYFUNCTION("""COMPUTED_VALUE"""),65.0)</f>
        <v>65</v>
      </c>
      <c r="F315" s="19" t="str">
        <f>IFERROR(__xludf.DUMMYFUNCTION("""COMPUTED_VALUE"""),"BLACK")</f>
        <v>BLACK</v>
      </c>
      <c r="G315" s="20" t="str">
        <f>IFERROR(__xludf.DUMMYFUNCTION("""COMPUTED_VALUE"""),"Uncle Sams Cider (11/12/2021) 02")</f>
        <v>Uncle Sams Cider (11/12/2021) 02</v>
      </c>
      <c r="H315" s="19"/>
    </row>
    <row r="316">
      <c r="A316" s="9"/>
      <c r="B316" s="15"/>
      <c r="C316" s="9">
        <f>IFERROR(__xludf.DUMMYFUNCTION("""COMPUTED_VALUE"""),44602.2654945601)</f>
        <v>44602.26549</v>
      </c>
      <c r="D316" s="15">
        <f>IFERROR(__xludf.DUMMYFUNCTION("""COMPUTED_VALUE"""),1.004)</f>
        <v>1.004</v>
      </c>
      <c r="E316" s="16">
        <f>IFERROR(__xludf.DUMMYFUNCTION("""COMPUTED_VALUE"""),65.0)</f>
        <v>65</v>
      </c>
      <c r="F316" s="19" t="str">
        <f>IFERROR(__xludf.DUMMYFUNCTION("""COMPUTED_VALUE"""),"BLACK")</f>
        <v>BLACK</v>
      </c>
      <c r="G316" s="20" t="str">
        <f>IFERROR(__xludf.DUMMYFUNCTION("""COMPUTED_VALUE"""),"Uncle Sams Cider (11/12/2021) 02")</f>
        <v>Uncle Sams Cider (11/12/2021) 02</v>
      </c>
      <c r="H316" s="19"/>
    </row>
    <row r="317">
      <c r="A317" s="9"/>
      <c r="B317" s="15"/>
      <c r="C317" s="9">
        <f>IFERROR(__xludf.DUMMYFUNCTION("""COMPUTED_VALUE"""),44602.2550750694)</f>
        <v>44602.25508</v>
      </c>
      <c r="D317" s="15">
        <f>IFERROR(__xludf.DUMMYFUNCTION("""COMPUTED_VALUE"""),1.004)</f>
        <v>1.004</v>
      </c>
      <c r="E317" s="16">
        <f>IFERROR(__xludf.DUMMYFUNCTION("""COMPUTED_VALUE"""),65.0)</f>
        <v>65</v>
      </c>
      <c r="F317" s="19" t="str">
        <f>IFERROR(__xludf.DUMMYFUNCTION("""COMPUTED_VALUE"""),"BLACK")</f>
        <v>BLACK</v>
      </c>
      <c r="G317" s="20" t="str">
        <f>IFERROR(__xludf.DUMMYFUNCTION("""COMPUTED_VALUE"""),"Uncle Sams Cider (11/12/2021) 02")</f>
        <v>Uncle Sams Cider (11/12/2021) 02</v>
      </c>
      <c r="H317" s="19"/>
    </row>
    <row r="318">
      <c r="A318" s="9"/>
      <c r="B318" s="15"/>
      <c r="C318" s="9">
        <f>IFERROR(__xludf.DUMMYFUNCTION("""COMPUTED_VALUE"""),44602.244652743)</f>
        <v>44602.24465</v>
      </c>
      <c r="D318" s="15">
        <f>IFERROR(__xludf.DUMMYFUNCTION("""COMPUTED_VALUE"""),1.004)</f>
        <v>1.004</v>
      </c>
      <c r="E318" s="16">
        <f>IFERROR(__xludf.DUMMYFUNCTION("""COMPUTED_VALUE"""),65.0)</f>
        <v>65</v>
      </c>
      <c r="F318" s="19" t="str">
        <f>IFERROR(__xludf.DUMMYFUNCTION("""COMPUTED_VALUE"""),"BLACK")</f>
        <v>BLACK</v>
      </c>
      <c r="G318" s="20" t="str">
        <f>IFERROR(__xludf.DUMMYFUNCTION("""COMPUTED_VALUE"""),"Uncle Sams Cider (11/12/2021) 02")</f>
        <v>Uncle Sams Cider (11/12/2021) 02</v>
      </c>
      <c r="H318" s="19"/>
    </row>
    <row r="319">
      <c r="A319" s="9"/>
      <c r="B319" s="15"/>
      <c r="C319" s="9">
        <f>IFERROR(__xludf.DUMMYFUNCTION("""COMPUTED_VALUE"""),44602.234230405)</f>
        <v>44602.23423</v>
      </c>
      <c r="D319" s="15">
        <f>IFERROR(__xludf.DUMMYFUNCTION("""COMPUTED_VALUE"""),1.004)</f>
        <v>1.004</v>
      </c>
      <c r="E319" s="16">
        <f>IFERROR(__xludf.DUMMYFUNCTION("""COMPUTED_VALUE"""),65.0)</f>
        <v>65</v>
      </c>
      <c r="F319" s="19" t="str">
        <f>IFERROR(__xludf.DUMMYFUNCTION("""COMPUTED_VALUE"""),"BLACK")</f>
        <v>BLACK</v>
      </c>
      <c r="G319" s="20" t="str">
        <f>IFERROR(__xludf.DUMMYFUNCTION("""COMPUTED_VALUE"""),"Uncle Sams Cider (11/12/2021) 02")</f>
        <v>Uncle Sams Cider (11/12/2021) 02</v>
      </c>
      <c r="H319" s="19"/>
    </row>
    <row r="320">
      <c r="A320" s="9"/>
      <c r="B320" s="15"/>
      <c r="C320" s="9">
        <f>IFERROR(__xludf.DUMMYFUNCTION("""COMPUTED_VALUE"""),44602.2238103703)</f>
        <v>44602.22381</v>
      </c>
      <c r="D320" s="15">
        <f>IFERROR(__xludf.DUMMYFUNCTION("""COMPUTED_VALUE"""),1.004)</f>
        <v>1.004</v>
      </c>
      <c r="E320" s="16">
        <f>IFERROR(__xludf.DUMMYFUNCTION("""COMPUTED_VALUE"""),65.0)</f>
        <v>65</v>
      </c>
      <c r="F320" s="19" t="str">
        <f>IFERROR(__xludf.DUMMYFUNCTION("""COMPUTED_VALUE"""),"BLACK")</f>
        <v>BLACK</v>
      </c>
      <c r="G320" s="20" t="str">
        <f>IFERROR(__xludf.DUMMYFUNCTION("""COMPUTED_VALUE"""),"Uncle Sams Cider (11/12/2021) 02")</f>
        <v>Uncle Sams Cider (11/12/2021) 02</v>
      </c>
      <c r="H320" s="19"/>
    </row>
    <row r="321">
      <c r="A321" s="9"/>
      <c r="B321" s="15"/>
      <c r="C321" s="9">
        <f>IFERROR(__xludf.DUMMYFUNCTION("""COMPUTED_VALUE"""),44602.2133886921)</f>
        <v>44602.21339</v>
      </c>
      <c r="D321" s="15">
        <f>IFERROR(__xludf.DUMMYFUNCTION("""COMPUTED_VALUE"""),1.004)</f>
        <v>1.004</v>
      </c>
      <c r="E321" s="16">
        <f>IFERROR(__xludf.DUMMYFUNCTION("""COMPUTED_VALUE"""),65.0)</f>
        <v>65</v>
      </c>
      <c r="F321" s="19" t="str">
        <f>IFERROR(__xludf.DUMMYFUNCTION("""COMPUTED_VALUE"""),"BLACK")</f>
        <v>BLACK</v>
      </c>
      <c r="G321" s="20" t="str">
        <f>IFERROR(__xludf.DUMMYFUNCTION("""COMPUTED_VALUE"""),"Uncle Sams Cider (11/12/2021) 02")</f>
        <v>Uncle Sams Cider (11/12/2021) 02</v>
      </c>
      <c r="H321" s="19"/>
    </row>
    <row r="322">
      <c r="A322" s="9"/>
      <c r="B322" s="15"/>
      <c r="C322" s="9">
        <f>IFERROR(__xludf.DUMMYFUNCTION("""COMPUTED_VALUE"""),44602.2029691782)</f>
        <v>44602.20297</v>
      </c>
      <c r="D322" s="15">
        <f>IFERROR(__xludf.DUMMYFUNCTION("""COMPUTED_VALUE"""),1.004)</f>
        <v>1.004</v>
      </c>
      <c r="E322" s="16">
        <f>IFERROR(__xludf.DUMMYFUNCTION("""COMPUTED_VALUE"""),65.0)</f>
        <v>65</v>
      </c>
      <c r="F322" s="19" t="str">
        <f>IFERROR(__xludf.DUMMYFUNCTION("""COMPUTED_VALUE"""),"BLACK")</f>
        <v>BLACK</v>
      </c>
      <c r="G322" s="20" t="str">
        <f>IFERROR(__xludf.DUMMYFUNCTION("""COMPUTED_VALUE"""),"Uncle Sams Cider (11/12/2021) 02")</f>
        <v>Uncle Sams Cider (11/12/2021) 02</v>
      </c>
      <c r="H322" s="19"/>
    </row>
    <row r="323">
      <c r="A323" s="9"/>
      <c r="B323" s="15"/>
      <c r="C323" s="9">
        <f>IFERROR(__xludf.DUMMYFUNCTION("""COMPUTED_VALUE"""),44602.1925249074)</f>
        <v>44602.19252</v>
      </c>
      <c r="D323" s="15">
        <f>IFERROR(__xludf.DUMMYFUNCTION("""COMPUTED_VALUE"""),1.004)</f>
        <v>1.004</v>
      </c>
      <c r="E323" s="16">
        <f>IFERROR(__xludf.DUMMYFUNCTION("""COMPUTED_VALUE"""),65.0)</f>
        <v>65</v>
      </c>
      <c r="F323" s="19" t="str">
        <f>IFERROR(__xludf.DUMMYFUNCTION("""COMPUTED_VALUE"""),"BLACK")</f>
        <v>BLACK</v>
      </c>
      <c r="G323" s="20" t="str">
        <f>IFERROR(__xludf.DUMMYFUNCTION("""COMPUTED_VALUE"""),"Uncle Sams Cider (11/12/2021) 02")</f>
        <v>Uncle Sams Cider (11/12/2021) 02</v>
      </c>
      <c r="H323" s="19"/>
    </row>
    <row r="324">
      <c r="A324" s="9"/>
      <c r="B324" s="15"/>
      <c r="C324" s="9">
        <f>IFERROR(__xludf.DUMMYFUNCTION("""COMPUTED_VALUE"""),44602.1820686921)</f>
        <v>44602.18207</v>
      </c>
      <c r="D324" s="15">
        <f>IFERROR(__xludf.DUMMYFUNCTION("""COMPUTED_VALUE"""),1.004)</f>
        <v>1.004</v>
      </c>
      <c r="E324" s="16">
        <f>IFERROR(__xludf.DUMMYFUNCTION("""COMPUTED_VALUE"""),65.0)</f>
        <v>65</v>
      </c>
      <c r="F324" s="19" t="str">
        <f>IFERROR(__xludf.DUMMYFUNCTION("""COMPUTED_VALUE"""),"BLACK")</f>
        <v>BLACK</v>
      </c>
      <c r="G324" s="20" t="str">
        <f>IFERROR(__xludf.DUMMYFUNCTION("""COMPUTED_VALUE"""),"Uncle Sams Cider (11/12/2021) 02")</f>
        <v>Uncle Sams Cider (11/12/2021) 02</v>
      </c>
      <c r="H324" s="19"/>
    </row>
    <row r="325">
      <c r="A325" s="9"/>
      <c r="B325" s="15"/>
      <c r="C325" s="9">
        <f>IFERROR(__xludf.DUMMYFUNCTION("""COMPUTED_VALUE"""),44602.1716464814)</f>
        <v>44602.17165</v>
      </c>
      <c r="D325" s="15">
        <f>IFERROR(__xludf.DUMMYFUNCTION("""COMPUTED_VALUE"""),1.004)</f>
        <v>1.004</v>
      </c>
      <c r="E325" s="16">
        <f>IFERROR(__xludf.DUMMYFUNCTION("""COMPUTED_VALUE"""),65.0)</f>
        <v>65</v>
      </c>
      <c r="F325" s="19" t="str">
        <f>IFERROR(__xludf.DUMMYFUNCTION("""COMPUTED_VALUE"""),"BLACK")</f>
        <v>BLACK</v>
      </c>
      <c r="G325" s="20" t="str">
        <f>IFERROR(__xludf.DUMMYFUNCTION("""COMPUTED_VALUE"""),"Uncle Sams Cider (11/12/2021) 02")</f>
        <v>Uncle Sams Cider (11/12/2021) 02</v>
      </c>
      <c r="H325" s="19"/>
    </row>
    <row r="326">
      <c r="A326" s="9"/>
      <c r="B326" s="15"/>
      <c r="C326" s="9">
        <f>IFERROR(__xludf.DUMMYFUNCTION("""COMPUTED_VALUE"""),44602.1612122569)</f>
        <v>44602.16121</v>
      </c>
      <c r="D326" s="15">
        <f>IFERROR(__xludf.DUMMYFUNCTION("""COMPUTED_VALUE"""),1.004)</f>
        <v>1.004</v>
      </c>
      <c r="E326" s="16">
        <f>IFERROR(__xludf.DUMMYFUNCTION("""COMPUTED_VALUE"""),65.0)</f>
        <v>65</v>
      </c>
      <c r="F326" s="19" t="str">
        <f>IFERROR(__xludf.DUMMYFUNCTION("""COMPUTED_VALUE"""),"BLACK")</f>
        <v>BLACK</v>
      </c>
      <c r="G326" s="20" t="str">
        <f>IFERROR(__xludf.DUMMYFUNCTION("""COMPUTED_VALUE"""),"Uncle Sams Cider (11/12/2021) 02")</f>
        <v>Uncle Sams Cider (11/12/2021) 02</v>
      </c>
      <c r="H326" s="19"/>
    </row>
    <row r="327">
      <c r="A327" s="9"/>
      <c r="B327" s="15"/>
      <c r="C327" s="9">
        <f>IFERROR(__xludf.DUMMYFUNCTION("""COMPUTED_VALUE"""),44602.1507790046)</f>
        <v>44602.15078</v>
      </c>
      <c r="D327" s="15">
        <f>IFERROR(__xludf.DUMMYFUNCTION("""COMPUTED_VALUE"""),1.004)</f>
        <v>1.004</v>
      </c>
      <c r="E327" s="16">
        <f>IFERROR(__xludf.DUMMYFUNCTION("""COMPUTED_VALUE"""),66.0)</f>
        <v>66</v>
      </c>
      <c r="F327" s="19" t="str">
        <f>IFERROR(__xludf.DUMMYFUNCTION("""COMPUTED_VALUE"""),"BLACK")</f>
        <v>BLACK</v>
      </c>
      <c r="G327" s="20" t="str">
        <f>IFERROR(__xludf.DUMMYFUNCTION("""COMPUTED_VALUE"""),"Uncle Sams Cider (11/12/2021) 02")</f>
        <v>Uncle Sams Cider (11/12/2021) 02</v>
      </c>
      <c r="H327" s="19"/>
    </row>
    <row r="328">
      <c r="A328" s="9"/>
      <c r="B328" s="15"/>
      <c r="C328" s="9">
        <f>IFERROR(__xludf.DUMMYFUNCTION("""COMPUTED_VALUE"""),44602.1403572222)</f>
        <v>44602.14036</v>
      </c>
      <c r="D328" s="15">
        <f>IFERROR(__xludf.DUMMYFUNCTION("""COMPUTED_VALUE"""),1.004)</f>
        <v>1.004</v>
      </c>
      <c r="E328" s="16">
        <f>IFERROR(__xludf.DUMMYFUNCTION("""COMPUTED_VALUE"""),65.0)</f>
        <v>65</v>
      </c>
      <c r="F328" s="19" t="str">
        <f>IFERROR(__xludf.DUMMYFUNCTION("""COMPUTED_VALUE"""),"BLACK")</f>
        <v>BLACK</v>
      </c>
      <c r="G328" s="20" t="str">
        <f>IFERROR(__xludf.DUMMYFUNCTION("""COMPUTED_VALUE"""),"Uncle Sams Cider (11/12/2021) 02")</f>
        <v>Uncle Sams Cider (11/12/2021) 02</v>
      </c>
      <c r="H328" s="19"/>
    </row>
    <row r="329">
      <c r="A329" s="9"/>
      <c r="B329" s="15"/>
      <c r="C329" s="9">
        <f>IFERROR(__xludf.DUMMYFUNCTION("""COMPUTED_VALUE"""),44602.1299241782)</f>
        <v>44602.12992</v>
      </c>
      <c r="D329" s="15">
        <f>IFERROR(__xludf.DUMMYFUNCTION("""COMPUTED_VALUE"""),1.004)</f>
        <v>1.004</v>
      </c>
      <c r="E329" s="16">
        <f>IFERROR(__xludf.DUMMYFUNCTION("""COMPUTED_VALUE"""),65.0)</f>
        <v>65</v>
      </c>
      <c r="F329" s="19" t="str">
        <f>IFERROR(__xludf.DUMMYFUNCTION("""COMPUTED_VALUE"""),"BLACK")</f>
        <v>BLACK</v>
      </c>
      <c r="G329" s="20" t="str">
        <f>IFERROR(__xludf.DUMMYFUNCTION("""COMPUTED_VALUE"""),"Uncle Sams Cider (11/12/2021) 02")</f>
        <v>Uncle Sams Cider (11/12/2021) 02</v>
      </c>
      <c r="H329" s="19"/>
    </row>
    <row r="330">
      <c r="A330" s="9"/>
      <c r="B330" s="15"/>
      <c r="C330" s="9">
        <f>IFERROR(__xludf.DUMMYFUNCTION("""COMPUTED_VALUE"""),44602.1194806365)</f>
        <v>44602.11948</v>
      </c>
      <c r="D330" s="15">
        <f>IFERROR(__xludf.DUMMYFUNCTION("""COMPUTED_VALUE"""),1.004)</f>
        <v>1.004</v>
      </c>
      <c r="E330" s="16">
        <f>IFERROR(__xludf.DUMMYFUNCTION("""COMPUTED_VALUE"""),66.0)</f>
        <v>66</v>
      </c>
      <c r="F330" s="19" t="str">
        <f>IFERROR(__xludf.DUMMYFUNCTION("""COMPUTED_VALUE"""),"BLACK")</f>
        <v>BLACK</v>
      </c>
      <c r="G330" s="20" t="str">
        <f>IFERROR(__xludf.DUMMYFUNCTION("""COMPUTED_VALUE"""),"Uncle Sams Cider (11/12/2021) 02")</f>
        <v>Uncle Sams Cider (11/12/2021) 02</v>
      </c>
      <c r="H330" s="19"/>
    </row>
    <row r="331">
      <c r="A331" s="9"/>
      <c r="B331" s="15"/>
      <c r="C331" s="9">
        <f>IFERROR(__xludf.DUMMYFUNCTION("""COMPUTED_VALUE"""),44602.1090468865)</f>
        <v>44602.10905</v>
      </c>
      <c r="D331" s="15">
        <f>IFERROR(__xludf.DUMMYFUNCTION("""COMPUTED_VALUE"""),1.004)</f>
        <v>1.004</v>
      </c>
      <c r="E331" s="16">
        <f>IFERROR(__xludf.DUMMYFUNCTION("""COMPUTED_VALUE"""),66.0)</f>
        <v>66</v>
      </c>
      <c r="F331" s="19" t="str">
        <f>IFERROR(__xludf.DUMMYFUNCTION("""COMPUTED_VALUE"""),"BLACK")</f>
        <v>BLACK</v>
      </c>
      <c r="G331" s="20" t="str">
        <f>IFERROR(__xludf.DUMMYFUNCTION("""COMPUTED_VALUE"""),"Uncle Sams Cider (11/12/2021) 02")</f>
        <v>Uncle Sams Cider (11/12/2021) 02</v>
      </c>
      <c r="H331" s="19"/>
    </row>
    <row r="332">
      <c r="A332" s="9"/>
      <c r="B332" s="15"/>
      <c r="C332" s="9">
        <f>IFERROR(__xludf.DUMMYFUNCTION("""COMPUTED_VALUE"""),44602.098625706)</f>
        <v>44602.09863</v>
      </c>
      <c r="D332" s="15">
        <f>IFERROR(__xludf.DUMMYFUNCTION("""COMPUTED_VALUE"""),1.004)</f>
        <v>1.004</v>
      </c>
      <c r="E332" s="16">
        <f>IFERROR(__xludf.DUMMYFUNCTION("""COMPUTED_VALUE"""),66.0)</f>
        <v>66</v>
      </c>
      <c r="F332" s="19" t="str">
        <f>IFERROR(__xludf.DUMMYFUNCTION("""COMPUTED_VALUE"""),"BLACK")</f>
        <v>BLACK</v>
      </c>
      <c r="G332" s="20" t="str">
        <f>IFERROR(__xludf.DUMMYFUNCTION("""COMPUTED_VALUE"""),"Uncle Sams Cider (11/12/2021) 02")</f>
        <v>Uncle Sams Cider (11/12/2021) 02</v>
      </c>
      <c r="H332" s="19"/>
    </row>
    <row r="333">
      <c r="A333" s="9"/>
      <c r="B333" s="15"/>
      <c r="C333" s="9">
        <f>IFERROR(__xludf.DUMMYFUNCTION("""COMPUTED_VALUE"""),44602.0882063194)</f>
        <v>44602.08821</v>
      </c>
      <c r="D333" s="15">
        <f>IFERROR(__xludf.DUMMYFUNCTION("""COMPUTED_VALUE"""),1.004)</f>
        <v>1.004</v>
      </c>
      <c r="E333" s="16">
        <f>IFERROR(__xludf.DUMMYFUNCTION("""COMPUTED_VALUE"""),66.0)</f>
        <v>66</v>
      </c>
      <c r="F333" s="19" t="str">
        <f>IFERROR(__xludf.DUMMYFUNCTION("""COMPUTED_VALUE"""),"BLACK")</f>
        <v>BLACK</v>
      </c>
      <c r="G333" s="20" t="str">
        <f>IFERROR(__xludf.DUMMYFUNCTION("""COMPUTED_VALUE"""),"Uncle Sams Cider (11/12/2021) 02")</f>
        <v>Uncle Sams Cider (11/12/2021) 02</v>
      </c>
      <c r="H333" s="19"/>
    </row>
    <row r="334">
      <c r="A334" s="9"/>
      <c r="B334" s="15"/>
      <c r="C334" s="9">
        <f>IFERROR(__xludf.DUMMYFUNCTION("""COMPUTED_VALUE"""),44602.0777836689)</f>
        <v>44602.07778</v>
      </c>
      <c r="D334" s="15">
        <f>IFERROR(__xludf.DUMMYFUNCTION("""COMPUTED_VALUE"""),1.004)</f>
        <v>1.004</v>
      </c>
      <c r="E334" s="16">
        <f>IFERROR(__xludf.DUMMYFUNCTION("""COMPUTED_VALUE"""),66.0)</f>
        <v>66</v>
      </c>
      <c r="F334" s="19" t="str">
        <f>IFERROR(__xludf.DUMMYFUNCTION("""COMPUTED_VALUE"""),"BLACK")</f>
        <v>BLACK</v>
      </c>
      <c r="G334" s="20" t="str">
        <f>IFERROR(__xludf.DUMMYFUNCTION("""COMPUTED_VALUE"""),"Uncle Sams Cider (11/12/2021) 02")</f>
        <v>Uncle Sams Cider (11/12/2021) 02</v>
      </c>
      <c r="H334" s="19"/>
    </row>
    <row r="335">
      <c r="A335" s="9"/>
      <c r="B335" s="15"/>
      <c r="C335" s="9">
        <f>IFERROR(__xludf.DUMMYFUNCTION("""COMPUTED_VALUE"""),44602.0673623379)</f>
        <v>44602.06736</v>
      </c>
      <c r="D335" s="15">
        <f>IFERROR(__xludf.DUMMYFUNCTION("""COMPUTED_VALUE"""),1.004)</f>
        <v>1.004</v>
      </c>
      <c r="E335" s="16">
        <f>IFERROR(__xludf.DUMMYFUNCTION("""COMPUTED_VALUE"""),66.0)</f>
        <v>66</v>
      </c>
      <c r="F335" s="19" t="str">
        <f>IFERROR(__xludf.DUMMYFUNCTION("""COMPUTED_VALUE"""),"BLACK")</f>
        <v>BLACK</v>
      </c>
      <c r="G335" s="20" t="str">
        <f>IFERROR(__xludf.DUMMYFUNCTION("""COMPUTED_VALUE"""),"Uncle Sams Cider (11/12/2021) 02")</f>
        <v>Uncle Sams Cider (11/12/2021) 02</v>
      </c>
      <c r="H335" s="19"/>
    </row>
    <row r="336">
      <c r="A336" s="9"/>
      <c r="B336" s="15"/>
      <c r="C336" s="9">
        <f>IFERROR(__xludf.DUMMYFUNCTION("""COMPUTED_VALUE"""),44602.0569417013)</f>
        <v>44602.05694</v>
      </c>
      <c r="D336" s="15">
        <f>IFERROR(__xludf.DUMMYFUNCTION("""COMPUTED_VALUE"""),1.003)</f>
        <v>1.003</v>
      </c>
      <c r="E336" s="16">
        <f>IFERROR(__xludf.DUMMYFUNCTION("""COMPUTED_VALUE"""),66.0)</f>
        <v>66</v>
      </c>
      <c r="F336" s="19" t="str">
        <f>IFERROR(__xludf.DUMMYFUNCTION("""COMPUTED_VALUE"""),"BLACK")</f>
        <v>BLACK</v>
      </c>
      <c r="G336" s="20" t="str">
        <f>IFERROR(__xludf.DUMMYFUNCTION("""COMPUTED_VALUE"""),"Uncle Sams Cider (11/12/2021) 02")</f>
        <v>Uncle Sams Cider (11/12/2021) 02</v>
      </c>
      <c r="H336" s="19"/>
    </row>
    <row r="337">
      <c r="A337" s="9"/>
      <c r="B337" s="15"/>
      <c r="C337" s="9">
        <f>IFERROR(__xludf.DUMMYFUNCTION("""COMPUTED_VALUE"""),44602.0465085185)</f>
        <v>44602.04651</v>
      </c>
      <c r="D337" s="15">
        <f>IFERROR(__xludf.DUMMYFUNCTION("""COMPUTED_VALUE"""),1.004)</f>
        <v>1.004</v>
      </c>
      <c r="E337" s="16">
        <f>IFERROR(__xludf.DUMMYFUNCTION("""COMPUTED_VALUE"""),66.0)</f>
        <v>66</v>
      </c>
      <c r="F337" s="19" t="str">
        <f>IFERROR(__xludf.DUMMYFUNCTION("""COMPUTED_VALUE"""),"BLACK")</f>
        <v>BLACK</v>
      </c>
      <c r="G337" s="20" t="str">
        <f>IFERROR(__xludf.DUMMYFUNCTION("""COMPUTED_VALUE"""),"Uncle Sams Cider (11/12/2021) 02")</f>
        <v>Uncle Sams Cider (11/12/2021) 02</v>
      </c>
      <c r="H337" s="19"/>
    </row>
    <row r="338">
      <c r="A338" s="9"/>
      <c r="B338" s="15"/>
      <c r="C338" s="9">
        <f>IFERROR(__xludf.DUMMYFUNCTION("""COMPUTED_VALUE"""),44602.0360756249)</f>
        <v>44602.03608</v>
      </c>
      <c r="D338" s="15">
        <f>IFERROR(__xludf.DUMMYFUNCTION("""COMPUTED_VALUE"""),1.004)</f>
        <v>1.004</v>
      </c>
      <c r="E338" s="16">
        <f>IFERROR(__xludf.DUMMYFUNCTION("""COMPUTED_VALUE"""),66.0)</f>
        <v>66</v>
      </c>
      <c r="F338" s="19" t="str">
        <f>IFERROR(__xludf.DUMMYFUNCTION("""COMPUTED_VALUE"""),"BLACK")</f>
        <v>BLACK</v>
      </c>
      <c r="G338" s="20" t="str">
        <f>IFERROR(__xludf.DUMMYFUNCTION("""COMPUTED_VALUE"""),"Uncle Sams Cider (11/12/2021) 02")</f>
        <v>Uncle Sams Cider (11/12/2021) 02</v>
      </c>
      <c r="H338" s="19"/>
    </row>
    <row r="339">
      <c r="A339" s="9"/>
      <c r="B339" s="15"/>
      <c r="C339" s="9">
        <f>IFERROR(__xludf.DUMMYFUNCTION("""COMPUTED_VALUE"""),44602.0256554166)</f>
        <v>44602.02566</v>
      </c>
      <c r="D339" s="15">
        <f>IFERROR(__xludf.DUMMYFUNCTION("""COMPUTED_VALUE"""),1.003)</f>
        <v>1.003</v>
      </c>
      <c r="E339" s="16">
        <f>IFERROR(__xludf.DUMMYFUNCTION("""COMPUTED_VALUE"""),66.0)</f>
        <v>66</v>
      </c>
      <c r="F339" s="19" t="str">
        <f>IFERROR(__xludf.DUMMYFUNCTION("""COMPUTED_VALUE"""),"BLACK")</f>
        <v>BLACK</v>
      </c>
      <c r="G339" s="20" t="str">
        <f>IFERROR(__xludf.DUMMYFUNCTION("""COMPUTED_VALUE"""),"Uncle Sams Cider (11/12/2021) 02")</f>
        <v>Uncle Sams Cider (11/12/2021) 02</v>
      </c>
      <c r="H339" s="19"/>
    </row>
    <row r="340">
      <c r="A340" s="9"/>
      <c r="B340" s="15"/>
      <c r="C340" s="9">
        <f>IFERROR(__xludf.DUMMYFUNCTION("""COMPUTED_VALUE"""),44602.0152329745)</f>
        <v>44602.01523</v>
      </c>
      <c r="D340" s="15">
        <f>IFERROR(__xludf.DUMMYFUNCTION("""COMPUTED_VALUE"""),1.004)</f>
        <v>1.004</v>
      </c>
      <c r="E340" s="16">
        <f>IFERROR(__xludf.DUMMYFUNCTION("""COMPUTED_VALUE"""),66.0)</f>
        <v>66</v>
      </c>
      <c r="F340" s="19" t="str">
        <f>IFERROR(__xludf.DUMMYFUNCTION("""COMPUTED_VALUE"""),"BLACK")</f>
        <v>BLACK</v>
      </c>
      <c r="G340" s="20" t="str">
        <f>IFERROR(__xludf.DUMMYFUNCTION("""COMPUTED_VALUE"""),"Uncle Sams Cider (11/12/2021) 02")</f>
        <v>Uncle Sams Cider (11/12/2021) 02</v>
      </c>
      <c r="H340" s="19"/>
    </row>
    <row r="341">
      <c r="A341" s="9"/>
      <c r="B341" s="15"/>
      <c r="C341" s="9">
        <f>IFERROR(__xludf.DUMMYFUNCTION("""COMPUTED_VALUE"""),44602.0047899421)</f>
        <v>44602.00479</v>
      </c>
      <c r="D341" s="15">
        <f>IFERROR(__xludf.DUMMYFUNCTION("""COMPUTED_VALUE"""),1.004)</f>
        <v>1.004</v>
      </c>
      <c r="E341" s="16">
        <f>IFERROR(__xludf.DUMMYFUNCTION("""COMPUTED_VALUE"""),66.0)</f>
        <v>66</v>
      </c>
      <c r="F341" s="19" t="str">
        <f>IFERROR(__xludf.DUMMYFUNCTION("""COMPUTED_VALUE"""),"BLACK")</f>
        <v>BLACK</v>
      </c>
      <c r="G341" s="20" t="str">
        <f>IFERROR(__xludf.DUMMYFUNCTION("""COMPUTED_VALUE"""),"Uncle Sams Cider (11/12/2021) 02")</f>
        <v>Uncle Sams Cider (11/12/2021) 02</v>
      </c>
      <c r="H341" s="19"/>
    </row>
    <row r="342">
      <c r="A342" s="9"/>
      <c r="B342" s="15"/>
      <c r="C342" s="9">
        <f>IFERROR(__xludf.DUMMYFUNCTION("""COMPUTED_VALUE"""),44601.9943688773)</f>
        <v>44601.99437</v>
      </c>
      <c r="D342" s="15">
        <f>IFERROR(__xludf.DUMMYFUNCTION("""COMPUTED_VALUE"""),1.004)</f>
        <v>1.004</v>
      </c>
      <c r="E342" s="16">
        <f>IFERROR(__xludf.DUMMYFUNCTION("""COMPUTED_VALUE"""),66.0)</f>
        <v>66</v>
      </c>
      <c r="F342" s="19" t="str">
        <f>IFERROR(__xludf.DUMMYFUNCTION("""COMPUTED_VALUE"""),"BLACK")</f>
        <v>BLACK</v>
      </c>
      <c r="G342" s="20" t="str">
        <f>IFERROR(__xludf.DUMMYFUNCTION("""COMPUTED_VALUE"""),"Uncle Sams Cider (11/12/2021) 02")</f>
        <v>Uncle Sams Cider (11/12/2021) 02</v>
      </c>
      <c r="H342" s="19"/>
    </row>
    <row r="343">
      <c r="A343" s="9"/>
      <c r="B343" s="15"/>
      <c r="C343" s="9">
        <f>IFERROR(__xludf.DUMMYFUNCTION("""COMPUTED_VALUE"""),44601.9839456481)</f>
        <v>44601.98395</v>
      </c>
      <c r="D343" s="15">
        <f>IFERROR(__xludf.DUMMYFUNCTION("""COMPUTED_VALUE"""),1.004)</f>
        <v>1.004</v>
      </c>
      <c r="E343" s="16">
        <f>IFERROR(__xludf.DUMMYFUNCTION("""COMPUTED_VALUE"""),66.0)</f>
        <v>66</v>
      </c>
      <c r="F343" s="19" t="str">
        <f>IFERROR(__xludf.DUMMYFUNCTION("""COMPUTED_VALUE"""),"BLACK")</f>
        <v>BLACK</v>
      </c>
      <c r="G343" s="20" t="str">
        <f>IFERROR(__xludf.DUMMYFUNCTION("""COMPUTED_VALUE"""),"Uncle Sams Cider (11/12/2021) 02")</f>
        <v>Uncle Sams Cider (11/12/2021) 02</v>
      </c>
      <c r="H343" s="19"/>
    </row>
    <row r="344">
      <c r="A344" s="9"/>
      <c r="B344" s="15"/>
      <c r="C344" s="9">
        <f>IFERROR(__xludf.DUMMYFUNCTION("""COMPUTED_VALUE"""),44601.9735245717)</f>
        <v>44601.97352</v>
      </c>
      <c r="D344" s="15">
        <f>IFERROR(__xludf.DUMMYFUNCTION("""COMPUTED_VALUE"""),1.004)</f>
        <v>1.004</v>
      </c>
      <c r="E344" s="16">
        <f>IFERROR(__xludf.DUMMYFUNCTION("""COMPUTED_VALUE"""),66.0)</f>
        <v>66</v>
      </c>
      <c r="F344" s="19" t="str">
        <f>IFERROR(__xludf.DUMMYFUNCTION("""COMPUTED_VALUE"""),"BLACK")</f>
        <v>BLACK</v>
      </c>
      <c r="G344" s="20" t="str">
        <f>IFERROR(__xludf.DUMMYFUNCTION("""COMPUTED_VALUE"""),"Uncle Sams Cider (11/12/2021) 02")</f>
        <v>Uncle Sams Cider (11/12/2021) 02</v>
      </c>
      <c r="H344" s="19"/>
    </row>
    <row r="345">
      <c r="A345" s="9"/>
      <c r="B345" s="15"/>
      <c r="C345" s="9">
        <f>IFERROR(__xludf.DUMMYFUNCTION("""COMPUTED_VALUE"""),44601.9631031018)</f>
        <v>44601.9631</v>
      </c>
      <c r="D345" s="15">
        <f>IFERROR(__xludf.DUMMYFUNCTION("""COMPUTED_VALUE"""),1.004)</f>
        <v>1.004</v>
      </c>
      <c r="E345" s="16">
        <f>IFERROR(__xludf.DUMMYFUNCTION("""COMPUTED_VALUE"""),66.0)</f>
        <v>66</v>
      </c>
      <c r="F345" s="19" t="str">
        <f>IFERROR(__xludf.DUMMYFUNCTION("""COMPUTED_VALUE"""),"BLACK")</f>
        <v>BLACK</v>
      </c>
      <c r="G345" s="20" t="str">
        <f>IFERROR(__xludf.DUMMYFUNCTION("""COMPUTED_VALUE"""),"Uncle Sams Cider (11/12/2021) 02")</f>
        <v>Uncle Sams Cider (11/12/2021) 02</v>
      </c>
      <c r="H345" s="19"/>
    </row>
    <row r="346">
      <c r="A346" s="9"/>
      <c r="B346" s="15"/>
      <c r="C346" s="9">
        <f>IFERROR(__xludf.DUMMYFUNCTION("""COMPUTED_VALUE"""),44601.9526818981)</f>
        <v>44601.95268</v>
      </c>
      <c r="D346" s="15">
        <f>IFERROR(__xludf.DUMMYFUNCTION("""COMPUTED_VALUE"""),1.004)</f>
        <v>1.004</v>
      </c>
      <c r="E346" s="16">
        <f>IFERROR(__xludf.DUMMYFUNCTION("""COMPUTED_VALUE"""),66.0)</f>
        <v>66</v>
      </c>
      <c r="F346" s="19" t="str">
        <f>IFERROR(__xludf.DUMMYFUNCTION("""COMPUTED_VALUE"""),"BLACK")</f>
        <v>BLACK</v>
      </c>
      <c r="G346" s="20" t="str">
        <f>IFERROR(__xludf.DUMMYFUNCTION("""COMPUTED_VALUE"""),"Uncle Sams Cider (11/12/2021) 02")</f>
        <v>Uncle Sams Cider (11/12/2021) 02</v>
      </c>
      <c r="H346" s="19"/>
    </row>
    <row r="347">
      <c r="A347" s="9"/>
      <c r="B347" s="15"/>
      <c r="C347" s="9">
        <f>IFERROR(__xludf.DUMMYFUNCTION("""COMPUTED_VALUE"""),44601.9422614004)</f>
        <v>44601.94226</v>
      </c>
      <c r="D347" s="15">
        <f>IFERROR(__xludf.DUMMYFUNCTION("""COMPUTED_VALUE"""),1.004)</f>
        <v>1.004</v>
      </c>
      <c r="E347" s="16">
        <f>IFERROR(__xludf.DUMMYFUNCTION("""COMPUTED_VALUE"""),66.0)</f>
        <v>66</v>
      </c>
      <c r="F347" s="19" t="str">
        <f>IFERROR(__xludf.DUMMYFUNCTION("""COMPUTED_VALUE"""),"BLACK")</f>
        <v>BLACK</v>
      </c>
      <c r="G347" s="20" t="str">
        <f>IFERROR(__xludf.DUMMYFUNCTION("""COMPUTED_VALUE"""),"Uncle Sams Cider (11/12/2021) 02")</f>
        <v>Uncle Sams Cider (11/12/2021) 02</v>
      </c>
      <c r="H347" s="19"/>
    </row>
    <row r="348">
      <c r="A348" s="9"/>
      <c r="B348" s="15"/>
      <c r="C348" s="9">
        <f>IFERROR(__xludf.DUMMYFUNCTION("""COMPUTED_VALUE"""),44601.9318394213)</f>
        <v>44601.93184</v>
      </c>
      <c r="D348" s="15">
        <f>IFERROR(__xludf.DUMMYFUNCTION("""COMPUTED_VALUE"""),1.004)</f>
        <v>1.004</v>
      </c>
      <c r="E348" s="16">
        <f>IFERROR(__xludf.DUMMYFUNCTION("""COMPUTED_VALUE"""),66.0)</f>
        <v>66</v>
      </c>
      <c r="F348" s="19" t="str">
        <f>IFERROR(__xludf.DUMMYFUNCTION("""COMPUTED_VALUE"""),"BLACK")</f>
        <v>BLACK</v>
      </c>
      <c r="G348" s="20" t="str">
        <f>IFERROR(__xludf.DUMMYFUNCTION("""COMPUTED_VALUE"""),"Uncle Sams Cider (11/12/2021) 02")</f>
        <v>Uncle Sams Cider (11/12/2021) 02</v>
      </c>
      <c r="H348" s="19"/>
    </row>
    <row r="349">
      <c r="A349" s="9"/>
      <c r="B349" s="15"/>
      <c r="C349" s="9">
        <f>IFERROR(__xludf.DUMMYFUNCTION("""COMPUTED_VALUE"""),44601.9213828587)</f>
        <v>44601.92138</v>
      </c>
      <c r="D349" s="15">
        <f>IFERROR(__xludf.DUMMYFUNCTION("""COMPUTED_VALUE"""),1.004)</f>
        <v>1.004</v>
      </c>
      <c r="E349" s="16">
        <f>IFERROR(__xludf.DUMMYFUNCTION("""COMPUTED_VALUE"""),66.0)</f>
        <v>66</v>
      </c>
      <c r="F349" s="19" t="str">
        <f>IFERROR(__xludf.DUMMYFUNCTION("""COMPUTED_VALUE"""),"BLACK")</f>
        <v>BLACK</v>
      </c>
      <c r="G349" s="20" t="str">
        <f>IFERROR(__xludf.DUMMYFUNCTION("""COMPUTED_VALUE"""),"Uncle Sams Cider (11/12/2021) 02")</f>
        <v>Uncle Sams Cider (11/12/2021) 02</v>
      </c>
      <c r="H349" s="19"/>
    </row>
    <row r="350">
      <c r="A350" s="9"/>
      <c r="B350" s="15"/>
      <c r="C350" s="9">
        <f>IFERROR(__xludf.DUMMYFUNCTION("""COMPUTED_VALUE"""),44601.9109612962)</f>
        <v>44601.91096</v>
      </c>
      <c r="D350" s="15">
        <f>IFERROR(__xludf.DUMMYFUNCTION("""COMPUTED_VALUE"""),1.004)</f>
        <v>1.004</v>
      </c>
      <c r="E350" s="16">
        <f>IFERROR(__xludf.DUMMYFUNCTION("""COMPUTED_VALUE"""),66.0)</f>
        <v>66</v>
      </c>
      <c r="F350" s="19" t="str">
        <f>IFERROR(__xludf.DUMMYFUNCTION("""COMPUTED_VALUE"""),"BLACK")</f>
        <v>BLACK</v>
      </c>
      <c r="G350" s="20" t="str">
        <f>IFERROR(__xludf.DUMMYFUNCTION("""COMPUTED_VALUE"""),"Uncle Sams Cider (11/12/2021) 02")</f>
        <v>Uncle Sams Cider (11/12/2021) 02</v>
      </c>
      <c r="H350" s="19"/>
    </row>
    <row r="351">
      <c r="A351" s="9"/>
      <c r="B351" s="15"/>
      <c r="C351" s="9">
        <f>IFERROR(__xludf.DUMMYFUNCTION("""COMPUTED_VALUE"""),44601.90054103)</f>
        <v>44601.90054</v>
      </c>
      <c r="D351" s="15">
        <f>IFERROR(__xludf.DUMMYFUNCTION("""COMPUTED_VALUE"""),1.004)</f>
        <v>1.004</v>
      </c>
      <c r="E351" s="16">
        <f>IFERROR(__xludf.DUMMYFUNCTION("""COMPUTED_VALUE"""),66.0)</f>
        <v>66</v>
      </c>
      <c r="F351" s="19" t="str">
        <f>IFERROR(__xludf.DUMMYFUNCTION("""COMPUTED_VALUE"""),"BLACK")</f>
        <v>BLACK</v>
      </c>
      <c r="G351" s="20" t="str">
        <f>IFERROR(__xludf.DUMMYFUNCTION("""COMPUTED_VALUE"""),"Uncle Sams Cider (11/12/2021) 02")</f>
        <v>Uncle Sams Cider (11/12/2021) 02</v>
      </c>
      <c r="H351" s="19"/>
    </row>
    <row r="352">
      <c r="A352" s="9"/>
      <c r="B352" s="15"/>
      <c r="C352" s="9">
        <f>IFERROR(__xludf.DUMMYFUNCTION("""COMPUTED_VALUE"""),44601.8900861921)</f>
        <v>44601.89009</v>
      </c>
      <c r="D352" s="15">
        <f>IFERROR(__xludf.DUMMYFUNCTION("""COMPUTED_VALUE"""),1.004)</f>
        <v>1.004</v>
      </c>
      <c r="E352" s="16">
        <f>IFERROR(__xludf.DUMMYFUNCTION("""COMPUTED_VALUE"""),66.0)</f>
        <v>66</v>
      </c>
      <c r="F352" s="19" t="str">
        <f>IFERROR(__xludf.DUMMYFUNCTION("""COMPUTED_VALUE"""),"BLACK")</f>
        <v>BLACK</v>
      </c>
      <c r="G352" s="20" t="str">
        <f>IFERROR(__xludf.DUMMYFUNCTION("""COMPUTED_VALUE"""),"Uncle Sams Cider (11/12/2021) 02")</f>
        <v>Uncle Sams Cider (11/12/2021) 02</v>
      </c>
      <c r="H352" s="19"/>
    </row>
    <row r="353">
      <c r="A353" s="9"/>
      <c r="B353" s="15"/>
      <c r="C353" s="9">
        <f>IFERROR(__xludf.DUMMYFUNCTION("""COMPUTED_VALUE"""),44601.8796528472)</f>
        <v>44601.87965</v>
      </c>
      <c r="D353" s="15">
        <f>IFERROR(__xludf.DUMMYFUNCTION("""COMPUTED_VALUE"""),1.004)</f>
        <v>1.004</v>
      </c>
      <c r="E353" s="16">
        <f>IFERROR(__xludf.DUMMYFUNCTION("""COMPUTED_VALUE"""),66.0)</f>
        <v>66</v>
      </c>
      <c r="F353" s="19" t="str">
        <f>IFERROR(__xludf.DUMMYFUNCTION("""COMPUTED_VALUE"""),"BLACK")</f>
        <v>BLACK</v>
      </c>
      <c r="G353" s="20" t="str">
        <f>IFERROR(__xludf.DUMMYFUNCTION("""COMPUTED_VALUE"""),"Uncle Sams Cider (11/12/2021) 02")</f>
        <v>Uncle Sams Cider (11/12/2021) 02</v>
      </c>
      <c r="H353" s="19"/>
    </row>
    <row r="354">
      <c r="A354" s="9"/>
      <c r="B354" s="15"/>
      <c r="C354" s="9">
        <f>IFERROR(__xludf.DUMMYFUNCTION("""COMPUTED_VALUE"""),44601.8692319328)</f>
        <v>44601.86923</v>
      </c>
      <c r="D354" s="15">
        <f>IFERROR(__xludf.DUMMYFUNCTION("""COMPUTED_VALUE"""),1.004)</f>
        <v>1.004</v>
      </c>
      <c r="E354" s="16">
        <f>IFERROR(__xludf.DUMMYFUNCTION("""COMPUTED_VALUE"""),66.0)</f>
        <v>66</v>
      </c>
      <c r="F354" s="19" t="str">
        <f>IFERROR(__xludf.DUMMYFUNCTION("""COMPUTED_VALUE"""),"BLACK")</f>
        <v>BLACK</v>
      </c>
      <c r="G354" s="20" t="str">
        <f>IFERROR(__xludf.DUMMYFUNCTION("""COMPUTED_VALUE"""),"Uncle Sams Cider (11/12/2021) 02")</f>
        <v>Uncle Sams Cider (11/12/2021) 02</v>
      </c>
      <c r="H354" s="19"/>
    </row>
    <row r="355">
      <c r="A355" s="9"/>
      <c r="B355" s="15"/>
      <c r="C355" s="9">
        <f>IFERROR(__xludf.DUMMYFUNCTION("""COMPUTED_VALUE"""),44601.8588113657)</f>
        <v>44601.85881</v>
      </c>
      <c r="D355" s="15">
        <f>IFERROR(__xludf.DUMMYFUNCTION("""COMPUTED_VALUE"""),1.004)</f>
        <v>1.004</v>
      </c>
      <c r="E355" s="16">
        <f>IFERROR(__xludf.DUMMYFUNCTION("""COMPUTED_VALUE"""),66.0)</f>
        <v>66</v>
      </c>
      <c r="F355" s="19" t="str">
        <f>IFERROR(__xludf.DUMMYFUNCTION("""COMPUTED_VALUE"""),"BLACK")</f>
        <v>BLACK</v>
      </c>
      <c r="G355" s="20" t="str">
        <f>IFERROR(__xludf.DUMMYFUNCTION("""COMPUTED_VALUE"""),"Uncle Sams Cider (11/12/2021) 02")</f>
        <v>Uncle Sams Cider (11/12/2021) 02</v>
      </c>
      <c r="H355" s="19"/>
    </row>
    <row r="356">
      <c r="A356" s="9"/>
      <c r="B356" s="15"/>
      <c r="C356" s="9">
        <f>IFERROR(__xludf.DUMMYFUNCTION("""COMPUTED_VALUE"""),44601.8483894907)</f>
        <v>44601.84839</v>
      </c>
      <c r="D356" s="15">
        <f>IFERROR(__xludf.DUMMYFUNCTION("""COMPUTED_VALUE"""),1.004)</f>
        <v>1.004</v>
      </c>
      <c r="E356" s="16">
        <f>IFERROR(__xludf.DUMMYFUNCTION("""COMPUTED_VALUE"""),66.0)</f>
        <v>66</v>
      </c>
      <c r="F356" s="19" t="str">
        <f>IFERROR(__xludf.DUMMYFUNCTION("""COMPUTED_VALUE"""),"BLACK")</f>
        <v>BLACK</v>
      </c>
      <c r="G356" s="20" t="str">
        <f>IFERROR(__xludf.DUMMYFUNCTION("""COMPUTED_VALUE"""),"Uncle Sams Cider (11/12/2021) 02")</f>
        <v>Uncle Sams Cider (11/12/2021) 02</v>
      </c>
      <c r="H356" s="19"/>
    </row>
    <row r="357">
      <c r="A357" s="9"/>
      <c r="B357" s="15"/>
      <c r="C357" s="9">
        <f>IFERROR(__xludf.DUMMYFUNCTION("""COMPUTED_VALUE"""),44601.8379666666)</f>
        <v>44601.83797</v>
      </c>
      <c r="D357" s="15">
        <f>IFERROR(__xludf.DUMMYFUNCTION("""COMPUTED_VALUE"""),1.004)</f>
        <v>1.004</v>
      </c>
      <c r="E357" s="16">
        <f>IFERROR(__xludf.DUMMYFUNCTION("""COMPUTED_VALUE"""),66.0)</f>
        <v>66</v>
      </c>
      <c r="F357" s="19" t="str">
        <f>IFERROR(__xludf.DUMMYFUNCTION("""COMPUTED_VALUE"""),"BLACK")</f>
        <v>BLACK</v>
      </c>
      <c r="G357" s="20" t="str">
        <f>IFERROR(__xludf.DUMMYFUNCTION("""COMPUTED_VALUE"""),"Uncle Sams Cider (11/12/2021) 02")</f>
        <v>Uncle Sams Cider (11/12/2021) 02</v>
      </c>
      <c r="H357" s="19"/>
    </row>
    <row r="358">
      <c r="A358" s="9"/>
      <c r="B358" s="15"/>
      <c r="C358" s="9">
        <f>IFERROR(__xludf.DUMMYFUNCTION("""COMPUTED_VALUE"""),44601.8275333564)</f>
        <v>44601.82753</v>
      </c>
      <c r="D358" s="15">
        <f>IFERROR(__xludf.DUMMYFUNCTION("""COMPUTED_VALUE"""),1.004)</f>
        <v>1.004</v>
      </c>
      <c r="E358" s="16">
        <f>IFERROR(__xludf.DUMMYFUNCTION("""COMPUTED_VALUE"""),66.0)</f>
        <v>66</v>
      </c>
      <c r="F358" s="19" t="str">
        <f>IFERROR(__xludf.DUMMYFUNCTION("""COMPUTED_VALUE"""),"BLACK")</f>
        <v>BLACK</v>
      </c>
      <c r="G358" s="20" t="str">
        <f>IFERROR(__xludf.DUMMYFUNCTION("""COMPUTED_VALUE"""),"Uncle Sams Cider (11/12/2021) 02")</f>
        <v>Uncle Sams Cider (11/12/2021) 02</v>
      </c>
      <c r="H358" s="19"/>
    </row>
    <row r="359">
      <c r="A359" s="9"/>
      <c r="B359" s="15"/>
      <c r="C359" s="9">
        <f>IFERROR(__xludf.DUMMYFUNCTION("""COMPUTED_VALUE"""),44601.8171140393)</f>
        <v>44601.81711</v>
      </c>
      <c r="D359" s="15">
        <f>IFERROR(__xludf.DUMMYFUNCTION("""COMPUTED_VALUE"""),1.004)</f>
        <v>1.004</v>
      </c>
      <c r="E359" s="16">
        <f>IFERROR(__xludf.DUMMYFUNCTION("""COMPUTED_VALUE"""),66.0)</f>
        <v>66</v>
      </c>
      <c r="F359" s="19" t="str">
        <f>IFERROR(__xludf.DUMMYFUNCTION("""COMPUTED_VALUE"""),"BLACK")</f>
        <v>BLACK</v>
      </c>
      <c r="G359" s="20" t="str">
        <f>IFERROR(__xludf.DUMMYFUNCTION("""COMPUTED_VALUE"""),"Uncle Sams Cider (11/12/2021) 02")</f>
        <v>Uncle Sams Cider (11/12/2021) 02</v>
      </c>
      <c r="H359" s="19"/>
    </row>
    <row r="360">
      <c r="A360" s="9"/>
      <c r="B360" s="15"/>
      <c r="C360" s="9">
        <f>IFERROR(__xludf.DUMMYFUNCTION("""COMPUTED_VALUE"""),44601.8066702199)</f>
        <v>44601.80667</v>
      </c>
      <c r="D360" s="15">
        <f>IFERROR(__xludf.DUMMYFUNCTION("""COMPUTED_VALUE"""),1.004)</f>
        <v>1.004</v>
      </c>
      <c r="E360" s="16">
        <f>IFERROR(__xludf.DUMMYFUNCTION("""COMPUTED_VALUE"""),66.0)</f>
        <v>66</v>
      </c>
      <c r="F360" s="19" t="str">
        <f>IFERROR(__xludf.DUMMYFUNCTION("""COMPUTED_VALUE"""),"BLACK")</f>
        <v>BLACK</v>
      </c>
      <c r="G360" s="20" t="str">
        <f>IFERROR(__xludf.DUMMYFUNCTION("""COMPUTED_VALUE"""),"Uncle Sams Cider (11/12/2021) 02")</f>
        <v>Uncle Sams Cider (11/12/2021) 02</v>
      </c>
      <c r="H360" s="19"/>
    </row>
    <row r="361">
      <c r="A361" s="9"/>
      <c r="B361" s="15"/>
      <c r="C361" s="9">
        <f>IFERROR(__xludf.DUMMYFUNCTION("""COMPUTED_VALUE"""),44601.7962481481)</f>
        <v>44601.79625</v>
      </c>
      <c r="D361" s="15">
        <f>IFERROR(__xludf.DUMMYFUNCTION("""COMPUTED_VALUE"""),1.004)</f>
        <v>1.004</v>
      </c>
      <c r="E361" s="16">
        <f>IFERROR(__xludf.DUMMYFUNCTION("""COMPUTED_VALUE"""),66.0)</f>
        <v>66</v>
      </c>
      <c r="F361" s="19" t="str">
        <f>IFERROR(__xludf.DUMMYFUNCTION("""COMPUTED_VALUE"""),"BLACK")</f>
        <v>BLACK</v>
      </c>
      <c r="G361" s="20" t="str">
        <f>IFERROR(__xludf.DUMMYFUNCTION("""COMPUTED_VALUE"""),"Uncle Sams Cider (11/12/2021) 02")</f>
        <v>Uncle Sams Cider (11/12/2021) 02</v>
      </c>
      <c r="H361" s="19"/>
    </row>
    <row r="362">
      <c r="A362" s="9"/>
      <c r="B362" s="15"/>
      <c r="C362" s="9">
        <f>IFERROR(__xludf.DUMMYFUNCTION("""COMPUTED_VALUE"""),44601.7858038078)</f>
        <v>44601.7858</v>
      </c>
      <c r="D362" s="15">
        <f>IFERROR(__xludf.DUMMYFUNCTION("""COMPUTED_VALUE"""),1.004)</f>
        <v>1.004</v>
      </c>
      <c r="E362" s="16">
        <f>IFERROR(__xludf.DUMMYFUNCTION("""COMPUTED_VALUE"""),66.0)</f>
        <v>66</v>
      </c>
      <c r="F362" s="19" t="str">
        <f>IFERROR(__xludf.DUMMYFUNCTION("""COMPUTED_VALUE"""),"BLACK")</f>
        <v>BLACK</v>
      </c>
      <c r="G362" s="20" t="str">
        <f>IFERROR(__xludf.DUMMYFUNCTION("""COMPUTED_VALUE"""),"Uncle Sams Cider (11/12/2021) 02")</f>
        <v>Uncle Sams Cider (11/12/2021) 02</v>
      </c>
      <c r="H362" s="19"/>
    </row>
    <row r="363">
      <c r="A363" s="9"/>
      <c r="B363" s="15"/>
      <c r="C363" s="9">
        <f>IFERROR(__xludf.DUMMYFUNCTION("""COMPUTED_VALUE"""),44601.7753607175)</f>
        <v>44601.77536</v>
      </c>
      <c r="D363" s="15">
        <f>IFERROR(__xludf.DUMMYFUNCTION("""COMPUTED_VALUE"""),1.004)</f>
        <v>1.004</v>
      </c>
      <c r="E363" s="16">
        <f>IFERROR(__xludf.DUMMYFUNCTION("""COMPUTED_VALUE"""),66.0)</f>
        <v>66</v>
      </c>
      <c r="F363" s="19" t="str">
        <f>IFERROR(__xludf.DUMMYFUNCTION("""COMPUTED_VALUE"""),"BLACK")</f>
        <v>BLACK</v>
      </c>
      <c r="G363" s="20" t="str">
        <f>IFERROR(__xludf.DUMMYFUNCTION("""COMPUTED_VALUE"""),"Uncle Sams Cider (11/12/2021) 02")</f>
        <v>Uncle Sams Cider (11/12/2021) 02</v>
      </c>
      <c r="H363" s="19"/>
    </row>
    <row r="364">
      <c r="A364" s="9"/>
      <c r="B364" s="15"/>
      <c r="C364" s="9">
        <f>IFERROR(__xludf.DUMMYFUNCTION("""COMPUTED_VALUE"""),44601.7649392129)</f>
        <v>44601.76494</v>
      </c>
      <c r="D364" s="15">
        <f>IFERROR(__xludf.DUMMYFUNCTION("""COMPUTED_VALUE"""),1.004)</f>
        <v>1.004</v>
      </c>
      <c r="E364" s="16">
        <f>IFERROR(__xludf.DUMMYFUNCTION("""COMPUTED_VALUE"""),66.0)</f>
        <v>66</v>
      </c>
      <c r="F364" s="19" t="str">
        <f>IFERROR(__xludf.DUMMYFUNCTION("""COMPUTED_VALUE"""),"BLACK")</f>
        <v>BLACK</v>
      </c>
      <c r="G364" s="20" t="str">
        <f>IFERROR(__xludf.DUMMYFUNCTION("""COMPUTED_VALUE"""),"Uncle Sams Cider (11/12/2021) 02")</f>
        <v>Uncle Sams Cider (11/12/2021) 02</v>
      </c>
      <c r="H364" s="19"/>
    </row>
    <row r="365">
      <c r="A365" s="9"/>
      <c r="B365" s="15"/>
      <c r="C365" s="9">
        <f>IFERROR(__xludf.DUMMYFUNCTION("""COMPUTED_VALUE"""),44601.7545166087)</f>
        <v>44601.75452</v>
      </c>
      <c r="D365" s="15">
        <f>IFERROR(__xludf.DUMMYFUNCTION("""COMPUTED_VALUE"""),1.004)</f>
        <v>1.004</v>
      </c>
      <c r="E365" s="16">
        <f>IFERROR(__xludf.DUMMYFUNCTION("""COMPUTED_VALUE"""),66.0)</f>
        <v>66</v>
      </c>
      <c r="F365" s="19" t="str">
        <f>IFERROR(__xludf.DUMMYFUNCTION("""COMPUTED_VALUE"""),"BLACK")</f>
        <v>BLACK</v>
      </c>
      <c r="G365" s="20" t="str">
        <f>IFERROR(__xludf.DUMMYFUNCTION("""COMPUTED_VALUE"""),"Uncle Sams Cider (11/12/2021) 02")</f>
        <v>Uncle Sams Cider (11/12/2021) 02</v>
      </c>
      <c r="H365" s="19"/>
    </row>
    <row r="366">
      <c r="A366" s="9"/>
      <c r="B366" s="15"/>
      <c r="C366" s="9">
        <f>IFERROR(__xludf.DUMMYFUNCTION("""COMPUTED_VALUE"""),44601.7440384722)</f>
        <v>44601.74404</v>
      </c>
      <c r="D366" s="15">
        <f>IFERROR(__xludf.DUMMYFUNCTION("""COMPUTED_VALUE"""),1.003)</f>
        <v>1.003</v>
      </c>
      <c r="E366" s="16">
        <f>IFERROR(__xludf.DUMMYFUNCTION("""COMPUTED_VALUE"""),66.0)</f>
        <v>66</v>
      </c>
      <c r="F366" s="19" t="str">
        <f>IFERROR(__xludf.DUMMYFUNCTION("""COMPUTED_VALUE"""),"BLACK")</f>
        <v>BLACK</v>
      </c>
      <c r="G366" s="20" t="str">
        <f>IFERROR(__xludf.DUMMYFUNCTION("""COMPUTED_VALUE"""),"Uncle Sams Cider (11/12/2021) 02")</f>
        <v>Uncle Sams Cider (11/12/2021) 02</v>
      </c>
      <c r="H366" s="19"/>
    </row>
    <row r="367">
      <c r="A367" s="9"/>
      <c r="B367" s="15"/>
      <c r="C367" s="9">
        <f>IFERROR(__xludf.DUMMYFUNCTION("""COMPUTED_VALUE"""),44601.7336051388)</f>
        <v>44601.73361</v>
      </c>
      <c r="D367" s="15">
        <f>IFERROR(__xludf.DUMMYFUNCTION("""COMPUTED_VALUE"""),1.004)</f>
        <v>1.004</v>
      </c>
      <c r="E367" s="16">
        <f>IFERROR(__xludf.DUMMYFUNCTION("""COMPUTED_VALUE"""),66.0)</f>
        <v>66</v>
      </c>
      <c r="F367" s="19" t="str">
        <f>IFERROR(__xludf.DUMMYFUNCTION("""COMPUTED_VALUE"""),"BLACK")</f>
        <v>BLACK</v>
      </c>
      <c r="G367" s="20" t="str">
        <f>IFERROR(__xludf.DUMMYFUNCTION("""COMPUTED_VALUE"""),"Uncle Sams Cider (11/12/2021) 02")</f>
        <v>Uncle Sams Cider (11/12/2021) 02</v>
      </c>
      <c r="H367" s="19"/>
    </row>
    <row r="368">
      <c r="A368" s="9"/>
      <c r="B368" s="15"/>
      <c r="C368" s="9">
        <f>IFERROR(__xludf.DUMMYFUNCTION("""COMPUTED_VALUE"""),44601.7231733217)</f>
        <v>44601.72317</v>
      </c>
      <c r="D368" s="15">
        <f>IFERROR(__xludf.DUMMYFUNCTION("""COMPUTED_VALUE"""),1.004)</f>
        <v>1.004</v>
      </c>
      <c r="E368" s="16">
        <f>IFERROR(__xludf.DUMMYFUNCTION("""COMPUTED_VALUE"""),66.0)</f>
        <v>66</v>
      </c>
      <c r="F368" s="19" t="str">
        <f>IFERROR(__xludf.DUMMYFUNCTION("""COMPUTED_VALUE"""),"BLACK")</f>
        <v>BLACK</v>
      </c>
      <c r="G368" s="20" t="str">
        <f>IFERROR(__xludf.DUMMYFUNCTION("""COMPUTED_VALUE"""),"Uncle Sams Cider (11/12/2021) 02")</f>
        <v>Uncle Sams Cider (11/12/2021) 02</v>
      </c>
      <c r="H368" s="19"/>
    </row>
    <row r="369">
      <c r="A369" s="9"/>
      <c r="B369" s="15"/>
      <c r="C369" s="9">
        <f>IFERROR(__xludf.DUMMYFUNCTION("""COMPUTED_VALUE"""),44601.712752743)</f>
        <v>44601.71275</v>
      </c>
      <c r="D369" s="15">
        <f>IFERROR(__xludf.DUMMYFUNCTION("""COMPUTED_VALUE"""),1.004)</f>
        <v>1.004</v>
      </c>
      <c r="E369" s="16">
        <f>IFERROR(__xludf.DUMMYFUNCTION("""COMPUTED_VALUE"""),66.0)</f>
        <v>66</v>
      </c>
      <c r="F369" s="19" t="str">
        <f>IFERROR(__xludf.DUMMYFUNCTION("""COMPUTED_VALUE"""),"BLACK")</f>
        <v>BLACK</v>
      </c>
      <c r="G369" s="20" t="str">
        <f>IFERROR(__xludf.DUMMYFUNCTION("""COMPUTED_VALUE"""),"Uncle Sams Cider (11/12/2021) 02")</f>
        <v>Uncle Sams Cider (11/12/2021) 02</v>
      </c>
      <c r="H369" s="19"/>
    </row>
    <row r="370">
      <c r="A370" s="9"/>
      <c r="B370" s="15"/>
      <c r="C370" s="9">
        <f>IFERROR(__xludf.DUMMYFUNCTION("""COMPUTED_VALUE"""),44601.7023300115)</f>
        <v>44601.70233</v>
      </c>
      <c r="D370" s="15">
        <f>IFERROR(__xludf.DUMMYFUNCTION("""COMPUTED_VALUE"""),1.003)</f>
        <v>1.003</v>
      </c>
      <c r="E370" s="16">
        <f>IFERROR(__xludf.DUMMYFUNCTION("""COMPUTED_VALUE"""),66.0)</f>
        <v>66</v>
      </c>
      <c r="F370" s="19" t="str">
        <f>IFERROR(__xludf.DUMMYFUNCTION("""COMPUTED_VALUE"""),"BLACK")</f>
        <v>BLACK</v>
      </c>
      <c r="G370" s="20" t="str">
        <f>IFERROR(__xludf.DUMMYFUNCTION("""COMPUTED_VALUE"""),"Uncle Sams Cider (11/12/2021) 02")</f>
        <v>Uncle Sams Cider (11/12/2021) 02</v>
      </c>
      <c r="H370" s="19"/>
    </row>
    <row r="371">
      <c r="A371" s="9"/>
      <c r="B371" s="15"/>
      <c r="C371" s="9">
        <f>IFERROR(__xludf.DUMMYFUNCTION("""COMPUTED_VALUE"""),44601.6919081712)</f>
        <v>44601.69191</v>
      </c>
      <c r="D371" s="15">
        <f>IFERROR(__xludf.DUMMYFUNCTION("""COMPUTED_VALUE"""),1.004)</f>
        <v>1.004</v>
      </c>
      <c r="E371" s="16">
        <f>IFERROR(__xludf.DUMMYFUNCTION("""COMPUTED_VALUE"""),66.0)</f>
        <v>66</v>
      </c>
      <c r="F371" s="19" t="str">
        <f>IFERROR(__xludf.DUMMYFUNCTION("""COMPUTED_VALUE"""),"BLACK")</f>
        <v>BLACK</v>
      </c>
      <c r="G371" s="20" t="str">
        <f>IFERROR(__xludf.DUMMYFUNCTION("""COMPUTED_VALUE"""),"Uncle Sams Cider (11/12/2021) 02")</f>
        <v>Uncle Sams Cider (11/12/2021) 02</v>
      </c>
      <c r="H371" s="19"/>
    </row>
    <row r="372">
      <c r="A372" s="9"/>
      <c r="B372" s="15"/>
      <c r="C372" s="9">
        <f>IFERROR(__xludf.DUMMYFUNCTION("""COMPUTED_VALUE"""),44601.6814860879)</f>
        <v>44601.68149</v>
      </c>
      <c r="D372" s="15">
        <f>IFERROR(__xludf.DUMMYFUNCTION("""COMPUTED_VALUE"""),1.004)</f>
        <v>1.004</v>
      </c>
      <c r="E372" s="16">
        <f>IFERROR(__xludf.DUMMYFUNCTION("""COMPUTED_VALUE"""),66.0)</f>
        <v>66</v>
      </c>
      <c r="F372" s="19" t="str">
        <f>IFERROR(__xludf.DUMMYFUNCTION("""COMPUTED_VALUE"""),"BLACK")</f>
        <v>BLACK</v>
      </c>
      <c r="G372" s="20" t="str">
        <f>IFERROR(__xludf.DUMMYFUNCTION("""COMPUTED_VALUE"""),"Uncle Sams Cider (11/12/2021) 02")</f>
        <v>Uncle Sams Cider (11/12/2021) 02</v>
      </c>
      <c r="H372" s="19"/>
    </row>
    <row r="373">
      <c r="A373" s="9"/>
      <c r="B373" s="15"/>
      <c r="C373" s="9">
        <f>IFERROR(__xludf.DUMMYFUNCTION("""COMPUTED_VALUE"""),44601.6710654282)</f>
        <v>44601.67107</v>
      </c>
      <c r="D373" s="15">
        <f>IFERROR(__xludf.DUMMYFUNCTION("""COMPUTED_VALUE"""),1.004)</f>
        <v>1.004</v>
      </c>
      <c r="E373" s="16">
        <f>IFERROR(__xludf.DUMMYFUNCTION("""COMPUTED_VALUE"""),66.0)</f>
        <v>66</v>
      </c>
      <c r="F373" s="19" t="str">
        <f>IFERROR(__xludf.DUMMYFUNCTION("""COMPUTED_VALUE"""),"BLACK")</f>
        <v>BLACK</v>
      </c>
      <c r="G373" s="20" t="str">
        <f>IFERROR(__xludf.DUMMYFUNCTION("""COMPUTED_VALUE"""),"Uncle Sams Cider (11/12/2021) 02")</f>
        <v>Uncle Sams Cider (11/12/2021) 02</v>
      </c>
      <c r="H373" s="19"/>
    </row>
    <row r="374">
      <c r="A374" s="9"/>
      <c r="B374" s="15"/>
      <c r="C374" s="9">
        <f>IFERROR(__xludf.DUMMYFUNCTION("""COMPUTED_VALUE"""),44601.6606427777)</f>
        <v>44601.66064</v>
      </c>
      <c r="D374" s="15">
        <f>IFERROR(__xludf.DUMMYFUNCTION("""COMPUTED_VALUE"""),1.004)</f>
        <v>1.004</v>
      </c>
      <c r="E374" s="16">
        <f>IFERROR(__xludf.DUMMYFUNCTION("""COMPUTED_VALUE"""),66.0)</f>
        <v>66</v>
      </c>
      <c r="F374" s="19" t="str">
        <f>IFERROR(__xludf.DUMMYFUNCTION("""COMPUTED_VALUE"""),"BLACK")</f>
        <v>BLACK</v>
      </c>
      <c r="G374" s="20" t="str">
        <f>IFERROR(__xludf.DUMMYFUNCTION("""COMPUTED_VALUE"""),"Uncle Sams Cider (11/12/2021) 02")</f>
        <v>Uncle Sams Cider (11/12/2021) 02</v>
      </c>
      <c r="H374" s="19"/>
    </row>
    <row r="375">
      <c r="A375" s="9"/>
      <c r="B375" s="15"/>
      <c r="C375" s="9">
        <f>IFERROR(__xludf.DUMMYFUNCTION("""COMPUTED_VALUE"""),44601.6502105902)</f>
        <v>44601.65021</v>
      </c>
      <c r="D375" s="15">
        <f>IFERROR(__xludf.DUMMYFUNCTION("""COMPUTED_VALUE"""),1.004)</f>
        <v>1.004</v>
      </c>
      <c r="E375" s="16">
        <f>IFERROR(__xludf.DUMMYFUNCTION("""COMPUTED_VALUE"""),67.0)</f>
        <v>67</v>
      </c>
      <c r="F375" s="19" t="str">
        <f>IFERROR(__xludf.DUMMYFUNCTION("""COMPUTED_VALUE"""),"BLACK")</f>
        <v>BLACK</v>
      </c>
      <c r="G375" s="20" t="str">
        <f>IFERROR(__xludf.DUMMYFUNCTION("""COMPUTED_VALUE"""),"Uncle Sams Cider (11/12/2021) 02")</f>
        <v>Uncle Sams Cider (11/12/2021) 02</v>
      </c>
      <c r="H375" s="19"/>
    </row>
    <row r="376">
      <c r="A376" s="9"/>
      <c r="B376" s="15"/>
      <c r="C376" s="9">
        <f>IFERROR(__xludf.DUMMYFUNCTION("""COMPUTED_VALUE"""),44601.6397905902)</f>
        <v>44601.63979</v>
      </c>
      <c r="D376" s="15">
        <f>IFERROR(__xludf.DUMMYFUNCTION("""COMPUTED_VALUE"""),1.004)</f>
        <v>1.004</v>
      </c>
      <c r="E376" s="16">
        <f>IFERROR(__xludf.DUMMYFUNCTION("""COMPUTED_VALUE"""),67.0)</f>
        <v>67</v>
      </c>
      <c r="F376" s="19" t="str">
        <f>IFERROR(__xludf.DUMMYFUNCTION("""COMPUTED_VALUE"""),"BLACK")</f>
        <v>BLACK</v>
      </c>
      <c r="G376" s="20" t="str">
        <f>IFERROR(__xludf.DUMMYFUNCTION("""COMPUTED_VALUE"""),"Uncle Sams Cider (11/12/2021) 02")</f>
        <v>Uncle Sams Cider (11/12/2021) 02</v>
      </c>
      <c r="H376" s="19"/>
    </row>
    <row r="377">
      <c r="A377" s="9"/>
      <c r="B377" s="15"/>
      <c r="C377" s="9">
        <f>IFERROR(__xludf.DUMMYFUNCTION("""COMPUTED_VALUE"""),44601.6293572916)</f>
        <v>44601.62936</v>
      </c>
      <c r="D377" s="15">
        <f>IFERROR(__xludf.DUMMYFUNCTION("""COMPUTED_VALUE"""),1.004)</f>
        <v>1.004</v>
      </c>
      <c r="E377" s="16">
        <f>IFERROR(__xludf.DUMMYFUNCTION("""COMPUTED_VALUE"""),67.0)</f>
        <v>67</v>
      </c>
      <c r="F377" s="19" t="str">
        <f>IFERROR(__xludf.DUMMYFUNCTION("""COMPUTED_VALUE"""),"BLACK")</f>
        <v>BLACK</v>
      </c>
      <c r="G377" s="20" t="str">
        <f>IFERROR(__xludf.DUMMYFUNCTION("""COMPUTED_VALUE"""),"Uncle Sams Cider (11/12/2021) 02")</f>
        <v>Uncle Sams Cider (11/12/2021) 02</v>
      </c>
      <c r="H377" s="19"/>
    </row>
    <row r="378">
      <c r="A378" s="9"/>
      <c r="B378" s="15"/>
      <c r="C378" s="9">
        <f>IFERROR(__xludf.DUMMYFUNCTION("""COMPUTED_VALUE"""),44601.6189245023)</f>
        <v>44601.61892</v>
      </c>
      <c r="D378" s="15">
        <f>IFERROR(__xludf.DUMMYFUNCTION("""COMPUTED_VALUE"""),1.004)</f>
        <v>1.004</v>
      </c>
      <c r="E378" s="16">
        <f>IFERROR(__xludf.DUMMYFUNCTION("""COMPUTED_VALUE"""),67.0)</f>
        <v>67</v>
      </c>
      <c r="F378" s="19" t="str">
        <f>IFERROR(__xludf.DUMMYFUNCTION("""COMPUTED_VALUE"""),"BLACK")</f>
        <v>BLACK</v>
      </c>
      <c r="G378" s="20" t="str">
        <f>IFERROR(__xludf.DUMMYFUNCTION("""COMPUTED_VALUE"""),"Uncle Sams Cider (11/12/2021) 02")</f>
        <v>Uncle Sams Cider (11/12/2021) 02</v>
      </c>
      <c r="H378" s="19"/>
    </row>
    <row r="379">
      <c r="A379" s="9"/>
      <c r="B379" s="15"/>
      <c r="C379" s="9">
        <f>IFERROR(__xludf.DUMMYFUNCTION("""COMPUTED_VALUE"""),44601.6085035995)</f>
        <v>44601.6085</v>
      </c>
      <c r="D379" s="15">
        <f>IFERROR(__xludf.DUMMYFUNCTION("""COMPUTED_VALUE"""),1.004)</f>
        <v>1.004</v>
      </c>
      <c r="E379" s="16">
        <f>IFERROR(__xludf.DUMMYFUNCTION("""COMPUTED_VALUE"""),67.0)</f>
        <v>67</v>
      </c>
      <c r="F379" s="19" t="str">
        <f>IFERROR(__xludf.DUMMYFUNCTION("""COMPUTED_VALUE"""),"BLACK")</f>
        <v>BLACK</v>
      </c>
      <c r="G379" s="20" t="str">
        <f>IFERROR(__xludf.DUMMYFUNCTION("""COMPUTED_VALUE"""),"Uncle Sams Cider (11/12/2021) 02")</f>
        <v>Uncle Sams Cider (11/12/2021) 02</v>
      </c>
      <c r="H379" s="19"/>
    </row>
    <row r="380">
      <c r="A380" s="9"/>
      <c r="B380" s="15"/>
      <c r="C380" s="9">
        <f>IFERROR(__xludf.DUMMYFUNCTION("""COMPUTED_VALUE"""),44601.5980717939)</f>
        <v>44601.59807</v>
      </c>
      <c r="D380" s="15">
        <f>IFERROR(__xludf.DUMMYFUNCTION("""COMPUTED_VALUE"""),1.004)</f>
        <v>1.004</v>
      </c>
      <c r="E380" s="16">
        <f>IFERROR(__xludf.DUMMYFUNCTION("""COMPUTED_VALUE"""),67.0)</f>
        <v>67</v>
      </c>
      <c r="F380" s="19" t="str">
        <f>IFERROR(__xludf.DUMMYFUNCTION("""COMPUTED_VALUE"""),"BLACK")</f>
        <v>BLACK</v>
      </c>
      <c r="G380" s="20" t="str">
        <f>IFERROR(__xludf.DUMMYFUNCTION("""COMPUTED_VALUE"""),"Uncle Sams Cider (11/12/2021) 02")</f>
        <v>Uncle Sams Cider (11/12/2021) 02</v>
      </c>
      <c r="H380" s="19"/>
    </row>
    <row r="381">
      <c r="A381" s="9"/>
      <c r="B381" s="15"/>
      <c r="C381" s="9">
        <f>IFERROR(__xludf.DUMMYFUNCTION("""COMPUTED_VALUE"""),44601.5876503472)</f>
        <v>44601.58765</v>
      </c>
      <c r="D381" s="15">
        <f>IFERROR(__xludf.DUMMYFUNCTION("""COMPUTED_VALUE"""),1.004)</f>
        <v>1.004</v>
      </c>
      <c r="E381" s="16">
        <f>IFERROR(__xludf.DUMMYFUNCTION("""COMPUTED_VALUE"""),67.0)</f>
        <v>67</v>
      </c>
      <c r="F381" s="19" t="str">
        <f>IFERROR(__xludf.DUMMYFUNCTION("""COMPUTED_VALUE"""),"BLACK")</f>
        <v>BLACK</v>
      </c>
      <c r="G381" s="20" t="str">
        <f>IFERROR(__xludf.DUMMYFUNCTION("""COMPUTED_VALUE"""),"Uncle Sams Cider (11/12/2021) 02")</f>
        <v>Uncle Sams Cider (11/12/2021) 02</v>
      </c>
      <c r="H381" s="19"/>
    </row>
    <row r="382">
      <c r="A382" s="9"/>
      <c r="B382" s="15"/>
      <c r="C382" s="9">
        <f>IFERROR(__xludf.DUMMYFUNCTION("""COMPUTED_VALUE"""),44601.5772168402)</f>
        <v>44601.57722</v>
      </c>
      <c r="D382" s="15">
        <f>IFERROR(__xludf.DUMMYFUNCTION("""COMPUTED_VALUE"""),1.004)</f>
        <v>1.004</v>
      </c>
      <c r="E382" s="16">
        <f>IFERROR(__xludf.DUMMYFUNCTION("""COMPUTED_VALUE"""),67.0)</f>
        <v>67</v>
      </c>
      <c r="F382" s="19" t="str">
        <f>IFERROR(__xludf.DUMMYFUNCTION("""COMPUTED_VALUE"""),"BLACK")</f>
        <v>BLACK</v>
      </c>
      <c r="G382" s="20" t="str">
        <f>IFERROR(__xludf.DUMMYFUNCTION("""COMPUTED_VALUE"""),"Uncle Sams Cider (11/12/2021) 02")</f>
        <v>Uncle Sams Cider (11/12/2021) 02</v>
      </c>
      <c r="H382" s="19"/>
    </row>
    <row r="383">
      <c r="A383" s="9"/>
      <c r="B383" s="15"/>
      <c r="C383" s="9">
        <f>IFERROR(__xludf.DUMMYFUNCTION("""COMPUTED_VALUE"""),44601.5667832986)</f>
        <v>44601.56678</v>
      </c>
      <c r="D383" s="15">
        <f>IFERROR(__xludf.DUMMYFUNCTION("""COMPUTED_VALUE"""),1.004)</f>
        <v>1.004</v>
      </c>
      <c r="E383" s="16">
        <f>IFERROR(__xludf.DUMMYFUNCTION("""COMPUTED_VALUE"""),67.0)</f>
        <v>67</v>
      </c>
      <c r="F383" s="19" t="str">
        <f>IFERROR(__xludf.DUMMYFUNCTION("""COMPUTED_VALUE"""),"BLACK")</f>
        <v>BLACK</v>
      </c>
      <c r="G383" s="20" t="str">
        <f>IFERROR(__xludf.DUMMYFUNCTION("""COMPUTED_VALUE"""),"Uncle Sams Cider (11/12/2021) 02")</f>
        <v>Uncle Sams Cider (11/12/2021) 02</v>
      </c>
      <c r="H383" s="19"/>
    </row>
    <row r="384">
      <c r="A384" s="9"/>
      <c r="B384" s="15"/>
      <c r="C384" s="9">
        <f>IFERROR(__xludf.DUMMYFUNCTION("""COMPUTED_VALUE"""),44601.5563382291)</f>
        <v>44601.55634</v>
      </c>
      <c r="D384" s="15">
        <f>IFERROR(__xludf.DUMMYFUNCTION("""COMPUTED_VALUE"""),1.004)</f>
        <v>1.004</v>
      </c>
      <c r="E384" s="16">
        <f>IFERROR(__xludf.DUMMYFUNCTION("""COMPUTED_VALUE"""),67.0)</f>
        <v>67</v>
      </c>
      <c r="F384" s="19" t="str">
        <f>IFERROR(__xludf.DUMMYFUNCTION("""COMPUTED_VALUE"""),"BLACK")</f>
        <v>BLACK</v>
      </c>
      <c r="G384" s="20" t="str">
        <f>IFERROR(__xludf.DUMMYFUNCTION("""COMPUTED_VALUE"""),"Uncle Sams Cider (11/12/2021) 02")</f>
        <v>Uncle Sams Cider (11/12/2021) 02</v>
      </c>
      <c r="H384" s="19"/>
    </row>
    <row r="385">
      <c r="A385" s="9"/>
      <c r="B385" s="15"/>
      <c r="C385" s="9">
        <f>IFERROR(__xludf.DUMMYFUNCTION("""COMPUTED_VALUE"""),44601.5459160995)</f>
        <v>44601.54592</v>
      </c>
      <c r="D385" s="15">
        <f>IFERROR(__xludf.DUMMYFUNCTION("""COMPUTED_VALUE"""),1.003)</f>
        <v>1.003</v>
      </c>
      <c r="E385" s="16">
        <f>IFERROR(__xludf.DUMMYFUNCTION("""COMPUTED_VALUE"""),67.0)</f>
        <v>67</v>
      </c>
      <c r="F385" s="19" t="str">
        <f>IFERROR(__xludf.DUMMYFUNCTION("""COMPUTED_VALUE"""),"BLACK")</f>
        <v>BLACK</v>
      </c>
      <c r="G385" s="20" t="str">
        <f>IFERROR(__xludf.DUMMYFUNCTION("""COMPUTED_VALUE"""),"Uncle Sams Cider (11/12/2021) 02")</f>
        <v>Uncle Sams Cider (11/12/2021) 02</v>
      </c>
      <c r="H385" s="19"/>
    </row>
    <row r="386">
      <c r="A386" s="9"/>
      <c r="B386" s="15"/>
      <c r="C386" s="9">
        <f>IFERROR(__xludf.DUMMYFUNCTION("""COMPUTED_VALUE"""),44601.5354815509)</f>
        <v>44601.53548</v>
      </c>
      <c r="D386" s="15">
        <f>IFERROR(__xludf.DUMMYFUNCTION("""COMPUTED_VALUE"""),1.004)</f>
        <v>1.004</v>
      </c>
      <c r="E386" s="16">
        <f>IFERROR(__xludf.DUMMYFUNCTION("""COMPUTED_VALUE"""),67.0)</f>
        <v>67</v>
      </c>
      <c r="F386" s="19" t="str">
        <f>IFERROR(__xludf.DUMMYFUNCTION("""COMPUTED_VALUE"""),"BLACK")</f>
        <v>BLACK</v>
      </c>
      <c r="G386" s="20" t="str">
        <f>IFERROR(__xludf.DUMMYFUNCTION("""COMPUTED_VALUE"""),"Uncle Sams Cider (11/12/2021) 02")</f>
        <v>Uncle Sams Cider (11/12/2021) 02</v>
      </c>
      <c r="H386" s="19"/>
    </row>
    <row r="387">
      <c r="A387" s="9"/>
      <c r="B387" s="15"/>
      <c r="C387" s="9">
        <f>IFERROR(__xludf.DUMMYFUNCTION("""COMPUTED_VALUE"""),44601.5250490625)</f>
        <v>44601.52505</v>
      </c>
      <c r="D387" s="15">
        <f>IFERROR(__xludf.DUMMYFUNCTION("""COMPUTED_VALUE"""),1.004)</f>
        <v>1.004</v>
      </c>
      <c r="E387" s="16">
        <f>IFERROR(__xludf.DUMMYFUNCTION("""COMPUTED_VALUE"""),67.0)</f>
        <v>67</v>
      </c>
      <c r="F387" s="19" t="str">
        <f>IFERROR(__xludf.DUMMYFUNCTION("""COMPUTED_VALUE"""),"BLACK")</f>
        <v>BLACK</v>
      </c>
      <c r="G387" s="20" t="str">
        <f>IFERROR(__xludf.DUMMYFUNCTION("""COMPUTED_VALUE"""),"Uncle Sams Cider (11/12/2021) 02")</f>
        <v>Uncle Sams Cider (11/12/2021) 02</v>
      </c>
      <c r="H387" s="19"/>
    </row>
    <row r="388">
      <c r="A388" s="9"/>
      <c r="B388" s="15"/>
      <c r="C388" s="9">
        <f>IFERROR(__xludf.DUMMYFUNCTION("""COMPUTED_VALUE"""),44601.5146293518)</f>
        <v>44601.51463</v>
      </c>
      <c r="D388" s="15">
        <f>IFERROR(__xludf.DUMMYFUNCTION("""COMPUTED_VALUE"""),1.004)</f>
        <v>1.004</v>
      </c>
      <c r="E388" s="16">
        <f>IFERROR(__xludf.DUMMYFUNCTION("""COMPUTED_VALUE"""),67.0)</f>
        <v>67</v>
      </c>
      <c r="F388" s="19" t="str">
        <f>IFERROR(__xludf.DUMMYFUNCTION("""COMPUTED_VALUE"""),"BLACK")</f>
        <v>BLACK</v>
      </c>
      <c r="G388" s="20" t="str">
        <f>IFERROR(__xludf.DUMMYFUNCTION("""COMPUTED_VALUE"""),"Uncle Sams Cider (11/12/2021) 02")</f>
        <v>Uncle Sams Cider (11/12/2021) 02</v>
      </c>
      <c r="H388" s="19"/>
    </row>
    <row r="389">
      <c r="A389" s="9"/>
      <c r="B389" s="15"/>
      <c r="C389" s="9">
        <f>IFERROR(__xludf.DUMMYFUNCTION("""COMPUTED_VALUE"""),44601.5041747685)</f>
        <v>44601.50417</v>
      </c>
      <c r="D389" s="15">
        <f>IFERROR(__xludf.DUMMYFUNCTION("""COMPUTED_VALUE"""),1.004)</f>
        <v>1.004</v>
      </c>
      <c r="E389" s="16">
        <f>IFERROR(__xludf.DUMMYFUNCTION("""COMPUTED_VALUE"""),67.0)</f>
        <v>67</v>
      </c>
      <c r="F389" s="19" t="str">
        <f>IFERROR(__xludf.DUMMYFUNCTION("""COMPUTED_VALUE"""),"BLACK")</f>
        <v>BLACK</v>
      </c>
      <c r="G389" s="20" t="str">
        <f>IFERROR(__xludf.DUMMYFUNCTION("""COMPUTED_VALUE"""),"Uncle Sams Cider (11/12/2021) 02")</f>
        <v>Uncle Sams Cider (11/12/2021) 02</v>
      </c>
      <c r="H389" s="19"/>
    </row>
    <row r="390">
      <c r="A390" s="9"/>
      <c r="B390" s="15"/>
      <c r="C390" s="9">
        <f>IFERROR(__xludf.DUMMYFUNCTION("""COMPUTED_VALUE"""),44601.4937532523)</f>
        <v>44601.49375</v>
      </c>
      <c r="D390" s="15">
        <f>IFERROR(__xludf.DUMMYFUNCTION("""COMPUTED_VALUE"""),1.003)</f>
        <v>1.003</v>
      </c>
      <c r="E390" s="16">
        <f>IFERROR(__xludf.DUMMYFUNCTION("""COMPUTED_VALUE"""),67.0)</f>
        <v>67</v>
      </c>
      <c r="F390" s="19" t="str">
        <f>IFERROR(__xludf.DUMMYFUNCTION("""COMPUTED_VALUE"""),"BLACK")</f>
        <v>BLACK</v>
      </c>
      <c r="G390" s="20" t="str">
        <f>IFERROR(__xludf.DUMMYFUNCTION("""COMPUTED_VALUE"""),"Uncle Sams Cider (11/12/2021) 02")</f>
        <v>Uncle Sams Cider (11/12/2021) 02</v>
      </c>
      <c r="H390" s="19"/>
    </row>
    <row r="391">
      <c r="A391" s="9"/>
      <c r="B391" s="15"/>
      <c r="C391" s="9">
        <f>IFERROR(__xludf.DUMMYFUNCTION("""COMPUTED_VALUE"""),44601.4833316782)</f>
        <v>44601.48333</v>
      </c>
      <c r="D391" s="15">
        <f>IFERROR(__xludf.DUMMYFUNCTION("""COMPUTED_VALUE"""),1.004)</f>
        <v>1.004</v>
      </c>
      <c r="E391" s="16">
        <f>IFERROR(__xludf.DUMMYFUNCTION("""COMPUTED_VALUE"""),67.0)</f>
        <v>67</v>
      </c>
      <c r="F391" s="19" t="str">
        <f>IFERROR(__xludf.DUMMYFUNCTION("""COMPUTED_VALUE"""),"BLACK")</f>
        <v>BLACK</v>
      </c>
      <c r="G391" s="20" t="str">
        <f>IFERROR(__xludf.DUMMYFUNCTION("""COMPUTED_VALUE"""),"Uncle Sams Cider (11/12/2021) 02")</f>
        <v>Uncle Sams Cider (11/12/2021) 02</v>
      </c>
      <c r="H391" s="19"/>
    </row>
    <row r="392">
      <c r="A392" s="9"/>
      <c r="B392" s="15"/>
      <c r="C392" s="9">
        <f>IFERROR(__xludf.DUMMYFUNCTION("""COMPUTED_VALUE"""),44601.4729117592)</f>
        <v>44601.47291</v>
      </c>
      <c r="D392" s="15">
        <f>IFERROR(__xludf.DUMMYFUNCTION("""COMPUTED_VALUE"""),1.004)</f>
        <v>1.004</v>
      </c>
      <c r="E392" s="16">
        <f>IFERROR(__xludf.DUMMYFUNCTION("""COMPUTED_VALUE"""),67.0)</f>
        <v>67</v>
      </c>
      <c r="F392" s="19" t="str">
        <f>IFERROR(__xludf.DUMMYFUNCTION("""COMPUTED_VALUE"""),"BLACK")</f>
        <v>BLACK</v>
      </c>
      <c r="G392" s="20" t="str">
        <f>IFERROR(__xludf.DUMMYFUNCTION("""COMPUTED_VALUE"""),"Uncle Sams Cider (11/12/2021) 02")</f>
        <v>Uncle Sams Cider (11/12/2021) 02</v>
      </c>
      <c r="H392" s="19"/>
    </row>
    <row r="393">
      <c r="A393" s="9"/>
      <c r="B393" s="15"/>
      <c r="C393" s="9">
        <f>IFERROR(__xludf.DUMMYFUNCTION("""COMPUTED_VALUE"""),44601.4624884606)</f>
        <v>44601.46249</v>
      </c>
      <c r="D393" s="15">
        <f>IFERROR(__xludf.DUMMYFUNCTION("""COMPUTED_VALUE"""),1.003)</f>
        <v>1.003</v>
      </c>
      <c r="E393" s="16">
        <f>IFERROR(__xludf.DUMMYFUNCTION("""COMPUTED_VALUE"""),67.0)</f>
        <v>67</v>
      </c>
      <c r="F393" s="19" t="str">
        <f>IFERROR(__xludf.DUMMYFUNCTION("""COMPUTED_VALUE"""),"BLACK")</f>
        <v>BLACK</v>
      </c>
      <c r="G393" s="20" t="str">
        <f>IFERROR(__xludf.DUMMYFUNCTION("""COMPUTED_VALUE"""),"Uncle Sams Cider (11/12/2021) 02")</f>
        <v>Uncle Sams Cider (11/12/2021) 02</v>
      </c>
      <c r="H393" s="19"/>
    </row>
    <row r="394">
      <c r="A394" s="9"/>
      <c r="B394" s="15"/>
      <c r="C394" s="9">
        <f>IFERROR(__xludf.DUMMYFUNCTION("""COMPUTED_VALUE"""),44601.4520563888)</f>
        <v>44601.45206</v>
      </c>
      <c r="D394" s="15">
        <f>IFERROR(__xludf.DUMMYFUNCTION("""COMPUTED_VALUE"""),1.003)</f>
        <v>1.003</v>
      </c>
      <c r="E394" s="16">
        <f>IFERROR(__xludf.DUMMYFUNCTION("""COMPUTED_VALUE"""),67.0)</f>
        <v>67</v>
      </c>
      <c r="F394" s="19" t="str">
        <f>IFERROR(__xludf.DUMMYFUNCTION("""COMPUTED_VALUE"""),"BLACK")</f>
        <v>BLACK</v>
      </c>
      <c r="G394" s="20" t="str">
        <f>IFERROR(__xludf.DUMMYFUNCTION("""COMPUTED_VALUE"""),"Uncle Sams Cider (11/12/2021) 02")</f>
        <v>Uncle Sams Cider (11/12/2021) 02</v>
      </c>
      <c r="H394" s="19"/>
    </row>
    <row r="395">
      <c r="A395" s="9"/>
      <c r="B395" s="15"/>
      <c r="C395" s="9">
        <f>IFERROR(__xludf.DUMMYFUNCTION("""COMPUTED_VALUE"""),44601.4416366898)</f>
        <v>44601.44164</v>
      </c>
      <c r="D395" s="15">
        <f>IFERROR(__xludf.DUMMYFUNCTION("""COMPUTED_VALUE"""),1.003)</f>
        <v>1.003</v>
      </c>
      <c r="E395" s="16">
        <f>IFERROR(__xludf.DUMMYFUNCTION("""COMPUTED_VALUE"""),67.0)</f>
        <v>67</v>
      </c>
      <c r="F395" s="19" t="str">
        <f>IFERROR(__xludf.DUMMYFUNCTION("""COMPUTED_VALUE"""),"BLACK")</f>
        <v>BLACK</v>
      </c>
      <c r="G395" s="20" t="str">
        <f>IFERROR(__xludf.DUMMYFUNCTION("""COMPUTED_VALUE"""),"Uncle Sams Cider (11/12/2021) 02")</f>
        <v>Uncle Sams Cider (11/12/2021) 02</v>
      </c>
      <c r="H395" s="19"/>
    </row>
    <row r="396">
      <c r="A396" s="9"/>
      <c r="B396" s="15"/>
      <c r="C396" s="9">
        <f>IFERROR(__xludf.DUMMYFUNCTION("""COMPUTED_VALUE"""),44601.4312157523)</f>
        <v>44601.43122</v>
      </c>
      <c r="D396" s="15">
        <f>IFERROR(__xludf.DUMMYFUNCTION("""COMPUTED_VALUE"""),1.004)</f>
        <v>1.004</v>
      </c>
      <c r="E396" s="16">
        <f>IFERROR(__xludf.DUMMYFUNCTION("""COMPUTED_VALUE"""),67.0)</f>
        <v>67</v>
      </c>
      <c r="F396" s="19" t="str">
        <f>IFERROR(__xludf.DUMMYFUNCTION("""COMPUTED_VALUE"""),"BLACK")</f>
        <v>BLACK</v>
      </c>
      <c r="G396" s="20" t="str">
        <f>IFERROR(__xludf.DUMMYFUNCTION("""COMPUTED_VALUE"""),"Uncle Sams Cider (11/12/2021) 02")</f>
        <v>Uncle Sams Cider (11/12/2021) 02</v>
      </c>
      <c r="H396" s="19"/>
    </row>
    <row r="397">
      <c r="A397" s="9"/>
      <c r="B397" s="15"/>
      <c r="C397" s="9">
        <f>IFERROR(__xludf.DUMMYFUNCTION("""COMPUTED_VALUE"""),44601.4207941087)</f>
        <v>44601.42079</v>
      </c>
      <c r="D397" s="15">
        <f>IFERROR(__xludf.DUMMYFUNCTION("""COMPUTED_VALUE"""),1.004)</f>
        <v>1.004</v>
      </c>
      <c r="E397" s="16">
        <f>IFERROR(__xludf.DUMMYFUNCTION("""COMPUTED_VALUE"""),67.0)</f>
        <v>67</v>
      </c>
      <c r="F397" s="19" t="str">
        <f>IFERROR(__xludf.DUMMYFUNCTION("""COMPUTED_VALUE"""),"BLACK")</f>
        <v>BLACK</v>
      </c>
      <c r="G397" s="20" t="str">
        <f>IFERROR(__xludf.DUMMYFUNCTION("""COMPUTED_VALUE"""),"Uncle Sams Cider (11/12/2021) 02")</f>
        <v>Uncle Sams Cider (11/12/2021) 02</v>
      </c>
      <c r="H397" s="19"/>
    </row>
    <row r="398">
      <c r="A398" s="9"/>
      <c r="B398" s="15"/>
      <c r="C398" s="9">
        <f>IFERROR(__xludf.DUMMYFUNCTION("""COMPUTED_VALUE"""),44601.4103732754)</f>
        <v>44601.41037</v>
      </c>
      <c r="D398" s="15">
        <f>IFERROR(__xludf.DUMMYFUNCTION("""COMPUTED_VALUE"""),1.003)</f>
        <v>1.003</v>
      </c>
      <c r="E398" s="16">
        <f>IFERROR(__xludf.DUMMYFUNCTION("""COMPUTED_VALUE"""),67.0)</f>
        <v>67</v>
      </c>
      <c r="F398" s="19" t="str">
        <f>IFERROR(__xludf.DUMMYFUNCTION("""COMPUTED_VALUE"""),"BLACK")</f>
        <v>BLACK</v>
      </c>
      <c r="G398" s="20" t="str">
        <f>IFERROR(__xludf.DUMMYFUNCTION("""COMPUTED_VALUE"""),"Uncle Sams Cider (11/12/2021) 02")</f>
        <v>Uncle Sams Cider (11/12/2021) 02</v>
      </c>
      <c r="H398" s="19"/>
    </row>
    <row r="399">
      <c r="A399" s="9"/>
      <c r="B399" s="15"/>
      <c r="C399" s="9">
        <f>IFERROR(__xludf.DUMMYFUNCTION("""COMPUTED_VALUE"""),44601.3999292361)</f>
        <v>44601.39993</v>
      </c>
      <c r="D399" s="15">
        <f>IFERROR(__xludf.DUMMYFUNCTION("""COMPUTED_VALUE"""),1.003)</f>
        <v>1.003</v>
      </c>
      <c r="E399" s="16">
        <f>IFERROR(__xludf.DUMMYFUNCTION("""COMPUTED_VALUE"""),67.0)</f>
        <v>67</v>
      </c>
      <c r="F399" s="19" t="str">
        <f>IFERROR(__xludf.DUMMYFUNCTION("""COMPUTED_VALUE"""),"BLACK")</f>
        <v>BLACK</v>
      </c>
      <c r="G399" s="20" t="str">
        <f>IFERROR(__xludf.DUMMYFUNCTION("""COMPUTED_VALUE"""),"Uncle Sams Cider (11/12/2021) 02")</f>
        <v>Uncle Sams Cider (11/12/2021) 02</v>
      </c>
      <c r="H399" s="19"/>
    </row>
    <row r="400">
      <c r="A400" s="9"/>
      <c r="B400" s="15"/>
      <c r="C400" s="9">
        <f>IFERROR(__xludf.DUMMYFUNCTION("""COMPUTED_VALUE"""),44601.3895065162)</f>
        <v>44601.38951</v>
      </c>
      <c r="D400" s="15">
        <f>IFERROR(__xludf.DUMMYFUNCTION("""COMPUTED_VALUE"""),1.004)</f>
        <v>1.004</v>
      </c>
      <c r="E400" s="16">
        <f>IFERROR(__xludf.DUMMYFUNCTION("""COMPUTED_VALUE"""),67.0)</f>
        <v>67</v>
      </c>
      <c r="F400" s="19" t="str">
        <f>IFERROR(__xludf.DUMMYFUNCTION("""COMPUTED_VALUE"""),"BLACK")</f>
        <v>BLACK</v>
      </c>
      <c r="G400" s="20" t="str">
        <f>IFERROR(__xludf.DUMMYFUNCTION("""COMPUTED_VALUE"""),"Uncle Sams Cider (11/12/2021) 02")</f>
        <v>Uncle Sams Cider (11/12/2021) 02</v>
      </c>
      <c r="H400" s="19"/>
    </row>
    <row r="401">
      <c r="A401" s="9"/>
      <c r="B401" s="15"/>
      <c r="C401" s="9">
        <f>IFERROR(__xludf.DUMMYFUNCTION("""COMPUTED_VALUE"""),44601.3790506018)</f>
        <v>44601.37905</v>
      </c>
      <c r="D401" s="15">
        <f>IFERROR(__xludf.DUMMYFUNCTION("""COMPUTED_VALUE"""),1.003)</f>
        <v>1.003</v>
      </c>
      <c r="E401" s="16">
        <f>IFERROR(__xludf.DUMMYFUNCTION("""COMPUTED_VALUE"""),67.0)</f>
        <v>67</v>
      </c>
      <c r="F401" s="19" t="str">
        <f>IFERROR(__xludf.DUMMYFUNCTION("""COMPUTED_VALUE"""),"BLACK")</f>
        <v>BLACK</v>
      </c>
      <c r="G401" s="20" t="str">
        <f>IFERROR(__xludf.DUMMYFUNCTION("""COMPUTED_VALUE"""),"Uncle Sams Cider (11/12/2021) 02")</f>
        <v>Uncle Sams Cider (11/12/2021) 02</v>
      </c>
      <c r="H401" s="19"/>
    </row>
    <row r="402">
      <c r="A402" s="9"/>
      <c r="B402" s="15"/>
      <c r="C402" s="9">
        <f>IFERROR(__xludf.DUMMYFUNCTION("""COMPUTED_VALUE"""),44601.3686168287)</f>
        <v>44601.36862</v>
      </c>
      <c r="D402" s="15">
        <f>IFERROR(__xludf.DUMMYFUNCTION("""COMPUTED_VALUE"""),1.004)</f>
        <v>1.004</v>
      </c>
      <c r="E402" s="16">
        <f>IFERROR(__xludf.DUMMYFUNCTION("""COMPUTED_VALUE"""),67.0)</f>
        <v>67</v>
      </c>
      <c r="F402" s="19" t="str">
        <f>IFERROR(__xludf.DUMMYFUNCTION("""COMPUTED_VALUE"""),"BLACK")</f>
        <v>BLACK</v>
      </c>
      <c r="G402" s="20" t="str">
        <f>IFERROR(__xludf.DUMMYFUNCTION("""COMPUTED_VALUE"""),"Uncle Sams Cider (11/12/2021) 02")</f>
        <v>Uncle Sams Cider (11/12/2021) 02</v>
      </c>
      <c r="H402" s="19"/>
    </row>
    <row r="403">
      <c r="A403" s="9"/>
      <c r="B403" s="15"/>
      <c r="C403" s="9">
        <f>IFERROR(__xludf.DUMMYFUNCTION("""COMPUTED_VALUE"""),44601.3581951388)</f>
        <v>44601.3582</v>
      </c>
      <c r="D403" s="15">
        <f>IFERROR(__xludf.DUMMYFUNCTION("""COMPUTED_VALUE"""),1.004)</f>
        <v>1.004</v>
      </c>
      <c r="E403" s="16">
        <f>IFERROR(__xludf.DUMMYFUNCTION("""COMPUTED_VALUE"""),67.0)</f>
        <v>67</v>
      </c>
      <c r="F403" s="19" t="str">
        <f>IFERROR(__xludf.DUMMYFUNCTION("""COMPUTED_VALUE"""),"BLACK")</f>
        <v>BLACK</v>
      </c>
      <c r="G403" s="20" t="str">
        <f>IFERROR(__xludf.DUMMYFUNCTION("""COMPUTED_VALUE"""),"Uncle Sams Cider (11/12/2021) 02")</f>
        <v>Uncle Sams Cider (11/12/2021) 02</v>
      </c>
      <c r="H403" s="19"/>
    </row>
    <row r="404">
      <c r="A404" s="9"/>
      <c r="B404" s="15"/>
      <c r="C404" s="9">
        <f>IFERROR(__xludf.DUMMYFUNCTION("""COMPUTED_VALUE"""),44601.3477736805)</f>
        <v>44601.34777</v>
      </c>
      <c r="D404" s="15">
        <f>IFERROR(__xludf.DUMMYFUNCTION("""COMPUTED_VALUE"""),1.004)</f>
        <v>1.004</v>
      </c>
      <c r="E404" s="16">
        <f>IFERROR(__xludf.DUMMYFUNCTION("""COMPUTED_VALUE"""),67.0)</f>
        <v>67</v>
      </c>
      <c r="F404" s="19" t="str">
        <f>IFERROR(__xludf.DUMMYFUNCTION("""COMPUTED_VALUE"""),"BLACK")</f>
        <v>BLACK</v>
      </c>
      <c r="G404" s="20" t="str">
        <f>IFERROR(__xludf.DUMMYFUNCTION("""COMPUTED_VALUE"""),"Uncle Sams Cider (11/12/2021) 02")</f>
        <v>Uncle Sams Cider (11/12/2021) 02</v>
      </c>
      <c r="H404" s="19"/>
    </row>
    <row r="405">
      <c r="A405" s="9"/>
      <c r="B405" s="15"/>
      <c r="C405" s="9">
        <f>IFERROR(__xludf.DUMMYFUNCTION("""COMPUTED_VALUE"""),44601.337352581)</f>
        <v>44601.33735</v>
      </c>
      <c r="D405" s="15">
        <f>IFERROR(__xludf.DUMMYFUNCTION("""COMPUTED_VALUE"""),1.003)</f>
        <v>1.003</v>
      </c>
      <c r="E405" s="16">
        <f>IFERROR(__xludf.DUMMYFUNCTION("""COMPUTED_VALUE"""),67.0)</f>
        <v>67</v>
      </c>
      <c r="F405" s="19" t="str">
        <f>IFERROR(__xludf.DUMMYFUNCTION("""COMPUTED_VALUE"""),"BLACK")</f>
        <v>BLACK</v>
      </c>
      <c r="G405" s="20" t="str">
        <f>IFERROR(__xludf.DUMMYFUNCTION("""COMPUTED_VALUE"""),"Uncle Sams Cider (11/12/2021) 02")</f>
        <v>Uncle Sams Cider (11/12/2021) 02</v>
      </c>
      <c r="H405" s="19"/>
    </row>
    <row r="406">
      <c r="A406" s="9"/>
      <c r="B406" s="15"/>
      <c r="C406" s="9">
        <f>IFERROR(__xludf.DUMMYFUNCTION("""COMPUTED_VALUE"""),44601.3269293171)</f>
        <v>44601.32693</v>
      </c>
      <c r="D406" s="15">
        <f>IFERROR(__xludf.DUMMYFUNCTION("""COMPUTED_VALUE"""),1.004)</f>
        <v>1.004</v>
      </c>
      <c r="E406" s="16">
        <f>IFERROR(__xludf.DUMMYFUNCTION("""COMPUTED_VALUE"""),67.0)</f>
        <v>67</v>
      </c>
      <c r="F406" s="19" t="str">
        <f>IFERROR(__xludf.DUMMYFUNCTION("""COMPUTED_VALUE"""),"BLACK")</f>
        <v>BLACK</v>
      </c>
      <c r="G406" s="20" t="str">
        <f>IFERROR(__xludf.DUMMYFUNCTION("""COMPUTED_VALUE"""),"Uncle Sams Cider (11/12/2021) 02")</f>
        <v>Uncle Sams Cider (11/12/2021) 02</v>
      </c>
      <c r="H406" s="19"/>
    </row>
    <row r="407">
      <c r="A407" s="9"/>
      <c r="B407" s="15"/>
      <c r="C407" s="9">
        <f>IFERROR(__xludf.DUMMYFUNCTION("""COMPUTED_VALUE"""),44601.3164973032)</f>
        <v>44601.3165</v>
      </c>
      <c r="D407" s="15">
        <f>IFERROR(__xludf.DUMMYFUNCTION("""COMPUTED_VALUE"""),1.003)</f>
        <v>1.003</v>
      </c>
      <c r="E407" s="16">
        <f>IFERROR(__xludf.DUMMYFUNCTION("""COMPUTED_VALUE"""),67.0)</f>
        <v>67</v>
      </c>
      <c r="F407" s="19" t="str">
        <f>IFERROR(__xludf.DUMMYFUNCTION("""COMPUTED_VALUE"""),"BLACK")</f>
        <v>BLACK</v>
      </c>
      <c r="G407" s="20" t="str">
        <f>IFERROR(__xludf.DUMMYFUNCTION("""COMPUTED_VALUE"""),"Uncle Sams Cider (11/12/2021) 02")</f>
        <v>Uncle Sams Cider (11/12/2021) 02</v>
      </c>
      <c r="H407" s="19"/>
    </row>
    <row r="408">
      <c r="A408" s="9"/>
      <c r="B408" s="15"/>
      <c r="C408" s="9">
        <f>IFERROR(__xludf.DUMMYFUNCTION("""COMPUTED_VALUE"""),44601.3060773842)</f>
        <v>44601.30608</v>
      </c>
      <c r="D408" s="15">
        <f>IFERROR(__xludf.DUMMYFUNCTION("""COMPUTED_VALUE"""),1.003)</f>
        <v>1.003</v>
      </c>
      <c r="E408" s="16">
        <f>IFERROR(__xludf.DUMMYFUNCTION("""COMPUTED_VALUE"""),67.0)</f>
        <v>67</v>
      </c>
      <c r="F408" s="19" t="str">
        <f>IFERROR(__xludf.DUMMYFUNCTION("""COMPUTED_VALUE"""),"BLACK")</f>
        <v>BLACK</v>
      </c>
      <c r="G408" s="20" t="str">
        <f>IFERROR(__xludf.DUMMYFUNCTION("""COMPUTED_VALUE"""),"Uncle Sams Cider (11/12/2021) 02")</f>
        <v>Uncle Sams Cider (11/12/2021) 02</v>
      </c>
      <c r="H408" s="19"/>
    </row>
    <row r="409">
      <c r="A409" s="9"/>
      <c r="B409" s="15"/>
      <c r="C409" s="9">
        <f>IFERROR(__xludf.DUMMYFUNCTION("""COMPUTED_VALUE"""),44601.2956572916)</f>
        <v>44601.29566</v>
      </c>
      <c r="D409" s="15">
        <f>IFERROR(__xludf.DUMMYFUNCTION("""COMPUTED_VALUE"""),1.003)</f>
        <v>1.003</v>
      </c>
      <c r="E409" s="16">
        <f>IFERROR(__xludf.DUMMYFUNCTION("""COMPUTED_VALUE"""),67.0)</f>
        <v>67</v>
      </c>
      <c r="F409" s="19" t="str">
        <f>IFERROR(__xludf.DUMMYFUNCTION("""COMPUTED_VALUE"""),"BLACK")</f>
        <v>BLACK</v>
      </c>
      <c r="G409" s="20" t="str">
        <f>IFERROR(__xludf.DUMMYFUNCTION("""COMPUTED_VALUE"""),"Uncle Sams Cider (11/12/2021) 02")</f>
        <v>Uncle Sams Cider (11/12/2021) 02</v>
      </c>
      <c r="H409" s="19"/>
    </row>
    <row r="410">
      <c r="A410" s="9"/>
      <c r="B410" s="15"/>
      <c r="C410" s="9">
        <f>IFERROR(__xludf.DUMMYFUNCTION("""COMPUTED_VALUE"""),44601.2852362615)</f>
        <v>44601.28524</v>
      </c>
      <c r="D410" s="15">
        <f>IFERROR(__xludf.DUMMYFUNCTION("""COMPUTED_VALUE"""),1.003)</f>
        <v>1.003</v>
      </c>
      <c r="E410" s="16">
        <f>IFERROR(__xludf.DUMMYFUNCTION("""COMPUTED_VALUE"""),67.0)</f>
        <v>67</v>
      </c>
      <c r="F410" s="19" t="str">
        <f>IFERROR(__xludf.DUMMYFUNCTION("""COMPUTED_VALUE"""),"BLACK")</f>
        <v>BLACK</v>
      </c>
      <c r="G410" s="20" t="str">
        <f>IFERROR(__xludf.DUMMYFUNCTION("""COMPUTED_VALUE"""),"Uncle Sams Cider (11/12/2021) 02")</f>
        <v>Uncle Sams Cider (11/12/2021) 02</v>
      </c>
      <c r="H410" s="19"/>
    </row>
    <row r="411">
      <c r="A411" s="9"/>
      <c r="B411" s="15"/>
      <c r="C411" s="9">
        <f>IFERROR(__xludf.DUMMYFUNCTION("""COMPUTED_VALUE"""),44601.2748026388)</f>
        <v>44601.2748</v>
      </c>
      <c r="D411" s="15">
        <f>IFERROR(__xludf.DUMMYFUNCTION("""COMPUTED_VALUE"""),1.004)</f>
        <v>1.004</v>
      </c>
      <c r="E411" s="16">
        <f>IFERROR(__xludf.DUMMYFUNCTION("""COMPUTED_VALUE"""),67.0)</f>
        <v>67</v>
      </c>
      <c r="F411" s="19" t="str">
        <f>IFERROR(__xludf.DUMMYFUNCTION("""COMPUTED_VALUE"""),"BLACK")</f>
        <v>BLACK</v>
      </c>
      <c r="G411" s="20" t="str">
        <f>IFERROR(__xludf.DUMMYFUNCTION("""COMPUTED_VALUE"""),"Uncle Sams Cider (11/12/2021) 02")</f>
        <v>Uncle Sams Cider (11/12/2021) 02</v>
      </c>
      <c r="H411" s="19"/>
    </row>
    <row r="412">
      <c r="A412" s="9"/>
      <c r="B412" s="15"/>
      <c r="C412" s="9">
        <f>IFERROR(__xludf.DUMMYFUNCTION("""COMPUTED_VALUE"""),44601.2643823263)</f>
        <v>44601.26438</v>
      </c>
      <c r="D412" s="15">
        <f>IFERROR(__xludf.DUMMYFUNCTION("""COMPUTED_VALUE"""),1.003)</f>
        <v>1.003</v>
      </c>
      <c r="E412" s="16">
        <f>IFERROR(__xludf.DUMMYFUNCTION("""COMPUTED_VALUE"""),67.0)</f>
        <v>67</v>
      </c>
      <c r="F412" s="19" t="str">
        <f>IFERROR(__xludf.DUMMYFUNCTION("""COMPUTED_VALUE"""),"BLACK")</f>
        <v>BLACK</v>
      </c>
      <c r="G412" s="20" t="str">
        <f>IFERROR(__xludf.DUMMYFUNCTION("""COMPUTED_VALUE"""),"Uncle Sams Cider (11/12/2021) 02")</f>
        <v>Uncle Sams Cider (11/12/2021) 02</v>
      </c>
      <c r="H412" s="19"/>
    </row>
    <row r="413">
      <c r="A413" s="9"/>
      <c r="B413" s="15"/>
      <c r="C413" s="9">
        <f>IFERROR(__xludf.DUMMYFUNCTION("""COMPUTED_VALUE"""),44601.2539489814)</f>
        <v>44601.25395</v>
      </c>
      <c r="D413" s="15">
        <f>IFERROR(__xludf.DUMMYFUNCTION("""COMPUTED_VALUE"""),1.003)</f>
        <v>1.003</v>
      </c>
      <c r="E413" s="16">
        <f>IFERROR(__xludf.DUMMYFUNCTION("""COMPUTED_VALUE"""),68.0)</f>
        <v>68</v>
      </c>
      <c r="F413" s="19" t="str">
        <f>IFERROR(__xludf.DUMMYFUNCTION("""COMPUTED_VALUE"""),"BLACK")</f>
        <v>BLACK</v>
      </c>
      <c r="G413" s="20" t="str">
        <f>IFERROR(__xludf.DUMMYFUNCTION("""COMPUTED_VALUE"""),"Uncle Sams Cider (11/12/2021) 02")</f>
        <v>Uncle Sams Cider (11/12/2021) 02</v>
      </c>
      <c r="H413" s="19"/>
    </row>
    <row r="414">
      <c r="A414" s="9"/>
      <c r="B414" s="15"/>
      <c r="C414" s="9">
        <f>IFERROR(__xludf.DUMMYFUNCTION("""COMPUTED_VALUE"""),44601.2435271874)</f>
        <v>44601.24353</v>
      </c>
      <c r="D414" s="15">
        <f>IFERROR(__xludf.DUMMYFUNCTION("""COMPUTED_VALUE"""),1.003)</f>
        <v>1.003</v>
      </c>
      <c r="E414" s="16">
        <f>IFERROR(__xludf.DUMMYFUNCTION("""COMPUTED_VALUE"""),68.0)</f>
        <v>68</v>
      </c>
      <c r="F414" s="19" t="str">
        <f>IFERROR(__xludf.DUMMYFUNCTION("""COMPUTED_VALUE"""),"BLACK")</f>
        <v>BLACK</v>
      </c>
      <c r="G414" s="20" t="str">
        <f>IFERROR(__xludf.DUMMYFUNCTION("""COMPUTED_VALUE"""),"Uncle Sams Cider (11/12/2021) 02")</f>
        <v>Uncle Sams Cider (11/12/2021) 02</v>
      </c>
      <c r="H414" s="19"/>
    </row>
    <row r="415">
      <c r="A415" s="9"/>
      <c r="B415" s="15"/>
      <c r="C415" s="9">
        <f>IFERROR(__xludf.DUMMYFUNCTION("""COMPUTED_VALUE"""),44601.2331074189)</f>
        <v>44601.23311</v>
      </c>
      <c r="D415" s="15">
        <f>IFERROR(__xludf.DUMMYFUNCTION("""COMPUTED_VALUE"""),1.003)</f>
        <v>1.003</v>
      </c>
      <c r="E415" s="16">
        <f>IFERROR(__xludf.DUMMYFUNCTION("""COMPUTED_VALUE"""),68.0)</f>
        <v>68</v>
      </c>
      <c r="F415" s="19" t="str">
        <f>IFERROR(__xludf.DUMMYFUNCTION("""COMPUTED_VALUE"""),"BLACK")</f>
        <v>BLACK</v>
      </c>
      <c r="G415" s="20" t="str">
        <f>IFERROR(__xludf.DUMMYFUNCTION("""COMPUTED_VALUE"""),"Uncle Sams Cider (11/12/2021) 02")</f>
        <v>Uncle Sams Cider (11/12/2021) 02</v>
      </c>
      <c r="H415" s="19"/>
    </row>
    <row r="416">
      <c r="A416" s="9"/>
      <c r="B416" s="15"/>
      <c r="C416" s="9">
        <f>IFERROR(__xludf.DUMMYFUNCTION("""COMPUTED_VALUE"""),44601.2226860763)</f>
        <v>44601.22269</v>
      </c>
      <c r="D416" s="15">
        <f>IFERROR(__xludf.DUMMYFUNCTION("""COMPUTED_VALUE"""),1.003)</f>
        <v>1.003</v>
      </c>
      <c r="E416" s="16">
        <f>IFERROR(__xludf.DUMMYFUNCTION("""COMPUTED_VALUE"""),68.0)</f>
        <v>68</v>
      </c>
      <c r="F416" s="19" t="str">
        <f>IFERROR(__xludf.DUMMYFUNCTION("""COMPUTED_VALUE"""),"BLACK")</f>
        <v>BLACK</v>
      </c>
      <c r="G416" s="20" t="str">
        <f>IFERROR(__xludf.DUMMYFUNCTION("""COMPUTED_VALUE"""),"Uncle Sams Cider (11/12/2021) 02")</f>
        <v>Uncle Sams Cider (11/12/2021) 02</v>
      </c>
      <c r="H416" s="19"/>
    </row>
    <row r="417">
      <c r="A417" s="9"/>
      <c r="B417" s="15"/>
      <c r="C417" s="9">
        <f>IFERROR(__xludf.DUMMYFUNCTION("""COMPUTED_VALUE"""),44601.2122639004)</f>
        <v>44601.21226</v>
      </c>
      <c r="D417" s="15">
        <f>IFERROR(__xludf.DUMMYFUNCTION("""COMPUTED_VALUE"""),1.003)</f>
        <v>1.003</v>
      </c>
      <c r="E417" s="16">
        <f>IFERROR(__xludf.DUMMYFUNCTION("""COMPUTED_VALUE"""),68.0)</f>
        <v>68</v>
      </c>
      <c r="F417" s="19" t="str">
        <f>IFERROR(__xludf.DUMMYFUNCTION("""COMPUTED_VALUE"""),"BLACK")</f>
        <v>BLACK</v>
      </c>
      <c r="G417" s="20" t="str">
        <f>IFERROR(__xludf.DUMMYFUNCTION("""COMPUTED_VALUE"""),"Uncle Sams Cider (11/12/2021) 02")</f>
        <v>Uncle Sams Cider (11/12/2021) 02</v>
      </c>
      <c r="H417" s="19"/>
    </row>
    <row r="418">
      <c r="A418" s="9"/>
      <c r="B418" s="15"/>
      <c r="C418" s="9">
        <f>IFERROR(__xludf.DUMMYFUNCTION("""COMPUTED_VALUE"""),44601.2018429166)</f>
        <v>44601.20184</v>
      </c>
      <c r="D418" s="15">
        <f>IFERROR(__xludf.DUMMYFUNCTION("""COMPUTED_VALUE"""),1.003)</f>
        <v>1.003</v>
      </c>
      <c r="E418" s="16">
        <f>IFERROR(__xludf.DUMMYFUNCTION("""COMPUTED_VALUE"""),68.0)</f>
        <v>68</v>
      </c>
      <c r="F418" s="19" t="str">
        <f>IFERROR(__xludf.DUMMYFUNCTION("""COMPUTED_VALUE"""),"BLACK")</f>
        <v>BLACK</v>
      </c>
      <c r="G418" s="20" t="str">
        <f>IFERROR(__xludf.DUMMYFUNCTION("""COMPUTED_VALUE"""),"Uncle Sams Cider (11/12/2021) 02")</f>
        <v>Uncle Sams Cider (11/12/2021) 02</v>
      </c>
      <c r="H418" s="19"/>
    </row>
    <row r="419">
      <c r="A419" s="9"/>
      <c r="B419" s="15"/>
      <c r="C419" s="9">
        <f>IFERROR(__xludf.DUMMYFUNCTION("""COMPUTED_VALUE"""),44601.1914226851)</f>
        <v>44601.19142</v>
      </c>
      <c r="D419" s="15">
        <f>IFERROR(__xludf.DUMMYFUNCTION("""COMPUTED_VALUE"""),1.003)</f>
        <v>1.003</v>
      </c>
      <c r="E419" s="16">
        <f>IFERROR(__xludf.DUMMYFUNCTION("""COMPUTED_VALUE"""),68.0)</f>
        <v>68</v>
      </c>
      <c r="F419" s="19" t="str">
        <f>IFERROR(__xludf.DUMMYFUNCTION("""COMPUTED_VALUE"""),"BLACK")</f>
        <v>BLACK</v>
      </c>
      <c r="G419" s="20" t="str">
        <f>IFERROR(__xludf.DUMMYFUNCTION("""COMPUTED_VALUE"""),"Uncle Sams Cider (11/12/2021) 02")</f>
        <v>Uncle Sams Cider (11/12/2021) 02</v>
      </c>
      <c r="H419" s="19"/>
    </row>
    <row r="420">
      <c r="A420" s="9"/>
      <c r="B420" s="15"/>
      <c r="C420" s="9">
        <f>IFERROR(__xludf.DUMMYFUNCTION("""COMPUTED_VALUE"""),44601.1810029282)</f>
        <v>44601.181</v>
      </c>
      <c r="D420" s="15">
        <f>IFERROR(__xludf.DUMMYFUNCTION("""COMPUTED_VALUE"""),1.003)</f>
        <v>1.003</v>
      </c>
      <c r="E420" s="16">
        <f>IFERROR(__xludf.DUMMYFUNCTION("""COMPUTED_VALUE"""),68.0)</f>
        <v>68</v>
      </c>
      <c r="F420" s="19" t="str">
        <f>IFERROR(__xludf.DUMMYFUNCTION("""COMPUTED_VALUE"""),"BLACK")</f>
        <v>BLACK</v>
      </c>
      <c r="G420" s="20" t="str">
        <f>IFERROR(__xludf.DUMMYFUNCTION("""COMPUTED_VALUE"""),"Uncle Sams Cider (11/12/2021) 02")</f>
        <v>Uncle Sams Cider (11/12/2021) 02</v>
      </c>
      <c r="H420" s="19"/>
    </row>
    <row r="421">
      <c r="A421" s="9"/>
      <c r="B421" s="15"/>
      <c r="C421" s="9">
        <f>IFERROR(__xludf.DUMMYFUNCTION("""COMPUTED_VALUE"""),44601.17056853)</f>
        <v>44601.17057</v>
      </c>
      <c r="D421" s="15">
        <f>IFERROR(__xludf.DUMMYFUNCTION("""COMPUTED_VALUE"""),1.003)</f>
        <v>1.003</v>
      </c>
      <c r="E421" s="16">
        <f>IFERROR(__xludf.DUMMYFUNCTION("""COMPUTED_VALUE"""),68.0)</f>
        <v>68</v>
      </c>
      <c r="F421" s="19" t="str">
        <f>IFERROR(__xludf.DUMMYFUNCTION("""COMPUTED_VALUE"""),"BLACK")</f>
        <v>BLACK</v>
      </c>
      <c r="G421" s="20" t="str">
        <f>IFERROR(__xludf.DUMMYFUNCTION("""COMPUTED_VALUE"""),"Uncle Sams Cider (11/12/2021) 02")</f>
        <v>Uncle Sams Cider (11/12/2021) 02</v>
      </c>
      <c r="H421" s="19"/>
    </row>
    <row r="422">
      <c r="A422" s="9"/>
      <c r="B422" s="15"/>
      <c r="C422" s="9">
        <f>IFERROR(__xludf.DUMMYFUNCTION("""COMPUTED_VALUE"""),44601.160147037)</f>
        <v>44601.16015</v>
      </c>
      <c r="D422" s="15">
        <f>IFERROR(__xludf.DUMMYFUNCTION("""COMPUTED_VALUE"""),1.003)</f>
        <v>1.003</v>
      </c>
      <c r="E422" s="16">
        <f>IFERROR(__xludf.DUMMYFUNCTION("""COMPUTED_VALUE"""),68.0)</f>
        <v>68</v>
      </c>
      <c r="F422" s="19" t="str">
        <f>IFERROR(__xludf.DUMMYFUNCTION("""COMPUTED_VALUE"""),"BLACK")</f>
        <v>BLACK</v>
      </c>
      <c r="G422" s="20" t="str">
        <f>IFERROR(__xludf.DUMMYFUNCTION("""COMPUTED_VALUE"""),"Uncle Sams Cider (11/12/2021) 02")</f>
        <v>Uncle Sams Cider (11/12/2021) 02</v>
      </c>
      <c r="H422" s="19"/>
    </row>
    <row r="423">
      <c r="A423" s="9"/>
      <c r="B423" s="15"/>
      <c r="C423" s="9">
        <f>IFERROR(__xludf.DUMMYFUNCTION("""COMPUTED_VALUE"""),44601.14972353)</f>
        <v>44601.14972</v>
      </c>
      <c r="D423" s="15">
        <f>IFERROR(__xludf.DUMMYFUNCTION("""COMPUTED_VALUE"""),1.003)</f>
        <v>1.003</v>
      </c>
      <c r="E423" s="16">
        <f>IFERROR(__xludf.DUMMYFUNCTION("""COMPUTED_VALUE"""),68.0)</f>
        <v>68</v>
      </c>
      <c r="F423" s="19" t="str">
        <f>IFERROR(__xludf.DUMMYFUNCTION("""COMPUTED_VALUE"""),"BLACK")</f>
        <v>BLACK</v>
      </c>
      <c r="G423" s="20" t="str">
        <f>IFERROR(__xludf.DUMMYFUNCTION("""COMPUTED_VALUE"""),"Uncle Sams Cider (11/12/2021) 02")</f>
        <v>Uncle Sams Cider (11/12/2021) 02</v>
      </c>
      <c r="H423" s="19"/>
    </row>
    <row r="424">
      <c r="A424" s="9"/>
      <c r="B424" s="15"/>
      <c r="C424" s="9">
        <f>IFERROR(__xludf.DUMMYFUNCTION("""COMPUTED_VALUE"""),44601.1393040277)</f>
        <v>44601.1393</v>
      </c>
      <c r="D424" s="15">
        <f>IFERROR(__xludf.DUMMYFUNCTION("""COMPUTED_VALUE"""),1.003)</f>
        <v>1.003</v>
      </c>
      <c r="E424" s="16">
        <f>IFERROR(__xludf.DUMMYFUNCTION("""COMPUTED_VALUE"""),68.0)</f>
        <v>68</v>
      </c>
      <c r="F424" s="19" t="str">
        <f>IFERROR(__xludf.DUMMYFUNCTION("""COMPUTED_VALUE"""),"BLACK")</f>
        <v>BLACK</v>
      </c>
      <c r="G424" s="20" t="str">
        <f>IFERROR(__xludf.DUMMYFUNCTION("""COMPUTED_VALUE"""),"Uncle Sams Cider (11/12/2021) 02")</f>
        <v>Uncle Sams Cider (11/12/2021) 02</v>
      </c>
      <c r="H424" s="19"/>
    </row>
    <row r="425">
      <c r="A425" s="9"/>
      <c r="B425" s="15"/>
      <c r="C425" s="9">
        <f>IFERROR(__xludf.DUMMYFUNCTION("""COMPUTED_VALUE"""),44601.1288824074)</f>
        <v>44601.12888</v>
      </c>
      <c r="D425" s="15">
        <f>IFERROR(__xludf.DUMMYFUNCTION("""COMPUTED_VALUE"""),1.003)</f>
        <v>1.003</v>
      </c>
      <c r="E425" s="16">
        <f>IFERROR(__xludf.DUMMYFUNCTION("""COMPUTED_VALUE"""),68.0)</f>
        <v>68</v>
      </c>
      <c r="F425" s="19" t="str">
        <f>IFERROR(__xludf.DUMMYFUNCTION("""COMPUTED_VALUE"""),"BLACK")</f>
        <v>BLACK</v>
      </c>
      <c r="G425" s="20" t="str">
        <f>IFERROR(__xludf.DUMMYFUNCTION("""COMPUTED_VALUE"""),"Uncle Sams Cider (11/12/2021) 02")</f>
        <v>Uncle Sams Cider (11/12/2021) 02</v>
      </c>
      <c r="H425" s="19"/>
    </row>
    <row r="426">
      <c r="A426" s="9"/>
      <c r="B426" s="15"/>
      <c r="C426" s="9">
        <f>IFERROR(__xludf.DUMMYFUNCTION("""COMPUTED_VALUE"""),44601.1184608911)</f>
        <v>44601.11846</v>
      </c>
      <c r="D426" s="15">
        <f>IFERROR(__xludf.DUMMYFUNCTION("""COMPUTED_VALUE"""),1.003)</f>
        <v>1.003</v>
      </c>
      <c r="E426" s="16">
        <f>IFERROR(__xludf.DUMMYFUNCTION("""COMPUTED_VALUE"""),68.0)</f>
        <v>68</v>
      </c>
      <c r="F426" s="19" t="str">
        <f>IFERROR(__xludf.DUMMYFUNCTION("""COMPUTED_VALUE"""),"BLACK")</f>
        <v>BLACK</v>
      </c>
      <c r="G426" s="20" t="str">
        <f>IFERROR(__xludf.DUMMYFUNCTION("""COMPUTED_VALUE"""),"Uncle Sams Cider (11/12/2021) 02")</f>
        <v>Uncle Sams Cider (11/12/2021) 02</v>
      </c>
      <c r="H426" s="19"/>
    </row>
    <row r="427">
      <c r="A427" s="9"/>
      <c r="B427" s="15"/>
      <c r="C427" s="9">
        <f>IFERROR(__xludf.DUMMYFUNCTION("""COMPUTED_VALUE"""),44601.1080299768)</f>
        <v>44601.10803</v>
      </c>
      <c r="D427" s="15">
        <f>IFERROR(__xludf.DUMMYFUNCTION("""COMPUTED_VALUE"""),1.003)</f>
        <v>1.003</v>
      </c>
      <c r="E427" s="16">
        <f>IFERROR(__xludf.DUMMYFUNCTION("""COMPUTED_VALUE"""),68.0)</f>
        <v>68</v>
      </c>
      <c r="F427" s="19" t="str">
        <f>IFERROR(__xludf.DUMMYFUNCTION("""COMPUTED_VALUE"""),"BLACK")</f>
        <v>BLACK</v>
      </c>
      <c r="G427" s="20" t="str">
        <f>IFERROR(__xludf.DUMMYFUNCTION("""COMPUTED_VALUE"""),"Uncle Sams Cider (11/12/2021) 02")</f>
        <v>Uncle Sams Cider (11/12/2021) 02</v>
      </c>
      <c r="H427" s="19"/>
    </row>
    <row r="428">
      <c r="A428" s="9"/>
      <c r="B428" s="15"/>
      <c r="C428" s="9">
        <f>IFERROR(__xludf.DUMMYFUNCTION("""COMPUTED_VALUE"""),44601.0976092129)</f>
        <v>44601.09761</v>
      </c>
      <c r="D428" s="15">
        <f>IFERROR(__xludf.DUMMYFUNCTION("""COMPUTED_VALUE"""),1.003)</f>
        <v>1.003</v>
      </c>
      <c r="E428" s="16">
        <f>IFERROR(__xludf.DUMMYFUNCTION("""COMPUTED_VALUE"""),68.0)</f>
        <v>68</v>
      </c>
      <c r="F428" s="19" t="str">
        <f>IFERROR(__xludf.DUMMYFUNCTION("""COMPUTED_VALUE"""),"BLACK")</f>
        <v>BLACK</v>
      </c>
      <c r="G428" s="20" t="str">
        <f>IFERROR(__xludf.DUMMYFUNCTION("""COMPUTED_VALUE"""),"Uncle Sams Cider (11/12/2021) 02")</f>
        <v>Uncle Sams Cider (11/12/2021) 02</v>
      </c>
      <c r="H428" s="19"/>
    </row>
    <row r="429">
      <c r="A429" s="9"/>
      <c r="B429" s="15"/>
      <c r="C429" s="9">
        <f>IFERROR(__xludf.DUMMYFUNCTION("""COMPUTED_VALUE"""),44601.087188287)</f>
        <v>44601.08719</v>
      </c>
      <c r="D429" s="15">
        <f>IFERROR(__xludf.DUMMYFUNCTION("""COMPUTED_VALUE"""),1.004)</f>
        <v>1.004</v>
      </c>
      <c r="E429" s="16">
        <f>IFERROR(__xludf.DUMMYFUNCTION("""COMPUTED_VALUE"""),68.0)</f>
        <v>68</v>
      </c>
      <c r="F429" s="19" t="str">
        <f>IFERROR(__xludf.DUMMYFUNCTION("""COMPUTED_VALUE"""),"BLACK")</f>
        <v>BLACK</v>
      </c>
      <c r="G429" s="20" t="str">
        <f>IFERROR(__xludf.DUMMYFUNCTION("""COMPUTED_VALUE"""),"Uncle Sams Cider (11/12/2021) 02")</f>
        <v>Uncle Sams Cider (11/12/2021) 02</v>
      </c>
      <c r="H429" s="19"/>
    </row>
    <row r="430">
      <c r="A430" s="9"/>
      <c r="B430" s="15"/>
      <c r="C430" s="9">
        <f>IFERROR(__xludf.DUMMYFUNCTION("""COMPUTED_VALUE"""),44601.076766875)</f>
        <v>44601.07677</v>
      </c>
      <c r="D430" s="15">
        <f>IFERROR(__xludf.DUMMYFUNCTION("""COMPUTED_VALUE"""),1.004)</f>
        <v>1.004</v>
      </c>
      <c r="E430" s="16">
        <f>IFERROR(__xludf.DUMMYFUNCTION("""COMPUTED_VALUE"""),67.0)</f>
        <v>67</v>
      </c>
      <c r="F430" s="19" t="str">
        <f>IFERROR(__xludf.DUMMYFUNCTION("""COMPUTED_VALUE"""),"BLACK")</f>
        <v>BLACK</v>
      </c>
      <c r="G430" s="20" t="str">
        <f>IFERROR(__xludf.DUMMYFUNCTION("""COMPUTED_VALUE"""),"Uncle Sams Cider (11/12/2021) 02")</f>
        <v>Uncle Sams Cider (11/12/2021) 02</v>
      </c>
      <c r="H430" s="19"/>
    </row>
    <row r="431">
      <c r="A431" s="9"/>
      <c r="B431" s="15"/>
      <c r="C431" s="9">
        <f>IFERROR(__xludf.DUMMYFUNCTION("""COMPUTED_VALUE"""),44601.0663453703)</f>
        <v>44601.06635</v>
      </c>
      <c r="D431" s="15">
        <f>IFERROR(__xludf.DUMMYFUNCTION("""COMPUTED_VALUE"""),1.003)</f>
        <v>1.003</v>
      </c>
      <c r="E431" s="16">
        <f>IFERROR(__xludf.DUMMYFUNCTION("""COMPUTED_VALUE"""),67.0)</f>
        <v>67</v>
      </c>
      <c r="F431" s="19" t="str">
        <f>IFERROR(__xludf.DUMMYFUNCTION("""COMPUTED_VALUE"""),"BLACK")</f>
        <v>BLACK</v>
      </c>
      <c r="G431" s="20" t="str">
        <f>IFERROR(__xludf.DUMMYFUNCTION("""COMPUTED_VALUE"""),"Uncle Sams Cider (11/12/2021) 02")</f>
        <v>Uncle Sams Cider (11/12/2021) 02</v>
      </c>
      <c r="H431" s="19"/>
    </row>
    <row r="432">
      <c r="A432" s="9"/>
      <c r="B432" s="15"/>
      <c r="C432" s="9">
        <f>IFERROR(__xludf.DUMMYFUNCTION("""COMPUTED_VALUE"""),44601.0559235879)</f>
        <v>44601.05592</v>
      </c>
      <c r="D432" s="15">
        <f>IFERROR(__xludf.DUMMYFUNCTION("""COMPUTED_VALUE"""),1.003)</f>
        <v>1.003</v>
      </c>
      <c r="E432" s="16">
        <f>IFERROR(__xludf.DUMMYFUNCTION("""COMPUTED_VALUE"""),66.0)</f>
        <v>66</v>
      </c>
      <c r="F432" s="19" t="str">
        <f>IFERROR(__xludf.DUMMYFUNCTION("""COMPUTED_VALUE"""),"BLACK")</f>
        <v>BLACK</v>
      </c>
      <c r="G432" s="20" t="str">
        <f>IFERROR(__xludf.DUMMYFUNCTION("""COMPUTED_VALUE"""),"Uncle Sams Cider (11/12/2021) 02")</f>
        <v>Uncle Sams Cider (11/12/2021) 02</v>
      </c>
      <c r="H432" s="19"/>
    </row>
    <row r="433">
      <c r="A433" s="9"/>
      <c r="B433" s="15"/>
      <c r="C433" s="9">
        <f>IFERROR(__xludf.DUMMYFUNCTION("""COMPUTED_VALUE"""),44601.0454799074)</f>
        <v>44601.04548</v>
      </c>
      <c r="D433" s="15">
        <f>IFERROR(__xludf.DUMMYFUNCTION("""COMPUTED_VALUE"""),1.004)</f>
        <v>1.004</v>
      </c>
      <c r="E433" s="16">
        <f>IFERROR(__xludf.DUMMYFUNCTION("""COMPUTED_VALUE"""),66.0)</f>
        <v>66</v>
      </c>
      <c r="F433" s="19" t="str">
        <f>IFERROR(__xludf.DUMMYFUNCTION("""COMPUTED_VALUE"""),"BLACK")</f>
        <v>BLACK</v>
      </c>
      <c r="G433" s="20" t="str">
        <f>IFERROR(__xludf.DUMMYFUNCTION("""COMPUTED_VALUE"""),"Uncle Sams Cider (11/12/2021) 02")</f>
        <v>Uncle Sams Cider (11/12/2021) 02</v>
      </c>
      <c r="H433" s="19"/>
    </row>
    <row r="434">
      <c r="A434" s="9"/>
      <c r="B434" s="15"/>
      <c r="C434" s="9">
        <f>IFERROR(__xludf.DUMMYFUNCTION("""COMPUTED_VALUE"""),44601.0350566087)</f>
        <v>44601.03506</v>
      </c>
      <c r="D434" s="15">
        <f>IFERROR(__xludf.DUMMYFUNCTION("""COMPUTED_VALUE"""),1.003)</f>
        <v>1.003</v>
      </c>
      <c r="E434" s="16">
        <f>IFERROR(__xludf.DUMMYFUNCTION("""COMPUTED_VALUE"""),66.0)</f>
        <v>66</v>
      </c>
      <c r="F434" s="19" t="str">
        <f>IFERROR(__xludf.DUMMYFUNCTION("""COMPUTED_VALUE"""),"BLACK")</f>
        <v>BLACK</v>
      </c>
      <c r="G434" s="20" t="str">
        <f>IFERROR(__xludf.DUMMYFUNCTION("""COMPUTED_VALUE"""),"Uncle Sams Cider (11/12/2021) 02")</f>
        <v>Uncle Sams Cider (11/12/2021) 02</v>
      </c>
      <c r="H434" s="19"/>
    </row>
    <row r="435">
      <c r="A435" s="9"/>
      <c r="B435" s="15"/>
      <c r="C435" s="9">
        <f>IFERROR(__xludf.DUMMYFUNCTION("""COMPUTED_VALUE"""),44601.0246346296)</f>
        <v>44601.02463</v>
      </c>
      <c r="D435" s="15">
        <f>IFERROR(__xludf.DUMMYFUNCTION("""COMPUTED_VALUE"""),1.004)</f>
        <v>1.004</v>
      </c>
      <c r="E435" s="16">
        <f>IFERROR(__xludf.DUMMYFUNCTION("""COMPUTED_VALUE"""),65.0)</f>
        <v>65</v>
      </c>
      <c r="F435" s="19" t="str">
        <f>IFERROR(__xludf.DUMMYFUNCTION("""COMPUTED_VALUE"""),"BLACK")</f>
        <v>BLACK</v>
      </c>
      <c r="G435" s="20" t="str">
        <f>IFERROR(__xludf.DUMMYFUNCTION("""COMPUTED_VALUE"""),"Uncle Sams Cider (11/12/2021) 02")</f>
        <v>Uncle Sams Cider (11/12/2021) 02</v>
      </c>
      <c r="H435" s="19"/>
    </row>
    <row r="436">
      <c r="A436" s="9"/>
      <c r="B436" s="15"/>
      <c r="C436" s="9">
        <f>IFERROR(__xludf.DUMMYFUNCTION("""COMPUTED_VALUE"""),44601.0141891898)</f>
        <v>44601.01419</v>
      </c>
      <c r="D436" s="15">
        <f>IFERROR(__xludf.DUMMYFUNCTION("""COMPUTED_VALUE"""),1.004)</f>
        <v>1.004</v>
      </c>
      <c r="E436" s="16">
        <f>IFERROR(__xludf.DUMMYFUNCTION("""COMPUTED_VALUE"""),65.0)</f>
        <v>65</v>
      </c>
      <c r="F436" s="19" t="str">
        <f>IFERROR(__xludf.DUMMYFUNCTION("""COMPUTED_VALUE"""),"BLACK")</f>
        <v>BLACK</v>
      </c>
      <c r="G436" s="20" t="str">
        <f>IFERROR(__xludf.DUMMYFUNCTION("""COMPUTED_VALUE"""),"Uncle Sams Cider (11/12/2021) 02")</f>
        <v>Uncle Sams Cider (11/12/2021) 02</v>
      </c>
      <c r="H436" s="19"/>
    </row>
    <row r="437">
      <c r="A437" s="9"/>
      <c r="B437" s="15"/>
      <c r="C437" s="9">
        <f>IFERROR(__xludf.DUMMYFUNCTION("""COMPUTED_VALUE"""),44601.003767743)</f>
        <v>44601.00377</v>
      </c>
      <c r="D437" s="15">
        <f>IFERROR(__xludf.DUMMYFUNCTION("""COMPUTED_VALUE"""),1.004)</f>
        <v>1.004</v>
      </c>
      <c r="E437" s="16">
        <f>IFERROR(__xludf.DUMMYFUNCTION("""COMPUTED_VALUE"""),64.0)</f>
        <v>64</v>
      </c>
      <c r="F437" s="19" t="str">
        <f>IFERROR(__xludf.DUMMYFUNCTION("""COMPUTED_VALUE"""),"BLACK")</f>
        <v>BLACK</v>
      </c>
      <c r="G437" s="20" t="str">
        <f>IFERROR(__xludf.DUMMYFUNCTION("""COMPUTED_VALUE"""),"Uncle Sams Cider (11/12/2021) 02")</f>
        <v>Uncle Sams Cider (11/12/2021) 02</v>
      </c>
      <c r="H437" s="19"/>
    </row>
    <row r="438">
      <c r="A438" s="9"/>
      <c r="B438" s="15"/>
      <c r="C438" s="9">
        <f>IFERROR(__xludf.DUMMYFUNCTION("""COMPUTED_VALUE"""),44600.9933350694)</f>
        <v>44600.99334</v>
      </c>
      <c r="D438" s="15">
        <f>IFERROR(__xludf.DUMMYFUNCTION("""COMPUTED_VALUE"""),1.004)</f>
        <v>1.004</v>
      </c>
      <c r="E438" s="16">
        <f>IFERROR(__xludf.DUMMYFUNCTION("""COMPUTED_VALUE"""),64.0)</f>
        <v>64</v>
      </c>
      <c r="F438" s="19" t="str">
        <f>IFERROR(__xludf.DUMMYFUNCTION("""COMPUTED_VALUE"""),"BLACK")</f>
        <v>BLACK</v>
      </c>
      <c r="G438" s="20" t="str">
        <f>IFERROR(__xludf.DUMMYFUNCTION("""COMPUTED_VALUE"""),"Uncle Sams Cider (11/12/2021) 02")</f>
        <v>Uncle Sams Cider (11/12/2021) 02</v>
      </c>
      <c r="H438" s="19"/>
    </row>
    <row r="439">
      <c r="A439" s="9"/>
      <c r="B439" s="15"/>
      <c r="C439" s="9">
        <f>IFERROR(__xludf.DUMMYFUNCTION("""COMPUTED_VALUE"""),44600.9829130324)</f>
        <v>44600.98291</v>
      </c>
      <c r="D439" s="15">
        <f>IFERROR(__xludf.DUMMYFUNCTION("""COMPUTED_VALUE"""),1.004)</f>
        <v>1.004</v>
      </c>
      <c r="E439" s="16">
        <f>IFERROR(__xludf.DUMMYFUNCTION("""COMPUTED_VALUE"""),63.0)</f>
        <v>63</v>
      </c>
      <c r="F439" s="19" t="str">
        <f>IFERROR(__xludf.DUMMYFUNCTION("""COMPUTED_VALUE"""),"BLACK")</f>
        <v>BLACK</v>
      </c>
      <c r="G439" s="20" t="str">
        <f>IFERROR(__xludf.DUMMYFUNCTION("""COMPUTED_VALUE"""),"Uncle Sams Cider (11/12/2021) 02")</f>
        <v>Uncle Sams Cider (11/12/2021) 02</v>
      </c>
      <c r="H439" s="19"/>
    </row>
    <row r="440">
      <c r="A440" s="9"/>
      <c r="B440" s="15"/>
      <c r="C440" s="9">
        <f>IFERROR(__xludf.DUMMYFUNCTION("""COMPUTED_VALUE"""),44600.972481331)</f>
        <v>44600.97248</v>
      </c>
      <c r="D440" s="15">
        <f>IFERROR(__xludf.DUMMYFUNCTION("""COMPUTED_VALUE"""),1.004)</f>
        <v>1.004</v>
      </c>
      <c r="E440" s="16">
        <f>IFERROR(__xludf.DUMMYFUNCTION("""COMPUTED_VALUE"""),63.0)</f>
        <v>63</v>
      </c>
      <c r="F440" s="19" t="str">
        <f>IFERROR(__xludf.DUMMYFUNCTION("""COMPUTED_VALUE"""),"BLACK")</f>
        <v>BLACK</v>
      </c>
      <c r="G440" s="20" t="str">
        <f>IFERROR(__xludf.DUMMYFUNCTION("""COMPUTED_VALUE"""),"Uncle Sams Cider (11/12/2021) 02")</f>
        <v>Uncle Sams Cider (11/12/2021) 02</v>
      </c>
      <c r="H440" s="19"/>
    </row>
    <row r="441">
      <c r="A441" s="9"/>
      <c r="B441" s="15"/>
      <c r="C441" s="9">
        <f>IFERROR(__xludf.DUMMYFUNCTION("""COMPUTED_VALUE"""),44600.9620600115)</f>
        <v>44600.96206</v>
      </c>
      <c r="D441" s="15">
        <f>IFERROR(__xludf.DUMMYFUNCTION("""COMPUTED_VALUE"""),1.004)</f>
        <v>1.004</v>
      </c>
      <c r="E441" s="16">
        <f>IFERROR(__xludf.DUMMYFUNCTION("""COMPUTED_VALUE"""),63.0)</f>
        <v>63</v>
      </c>
      <c r="F441" s="19" t="str">
        <f>IFERROR(__xludf.DUMMYFUNCTION("""COMPUTED_VALUE"""),"BLACK")</f>
        <v>BLACK</v>
      </c>
      <c r="G441" s="20" t="str">
        <f>IFERROR(__xludf.DUMMYFUNCTION("""COMPUTED_VALUE"""),"Uncle Sams Cider (11/12/2021) 02")</f>
        <v>Uncle Sams Cider (11/12/2021) 02</v>
      </c>
      <c r="H441" s="19"/>
    </row>
    <row r="442">
      <c r="A442" s="9"/>
      <c r="B442" s="15"/>
      <c r="C442" s="9">
        <f>IFERROR(__xludf.DUMMYFUNCTION("""COMPUTED_VALUE"""),44600.9516278819)</f>
        <v>44600.95163</v>
      </c>
      <c r="D442" s="15">
        <f>IFERROR(__xludf.DUMMYFUNCTION("""COMPUTED_VALUE"""),1.004)</f>
        <v>1.004</v>
      </c>
      <c r="E442" s="16">
        <f>IFERROR(__xludf.DUMMYFUNCTION("""COMPUTED_VALUE"""),63.0)</f>
        <v>63</v>
      </c>
      <c r="F442" s="19" t="str">
        <f>IFERROR(__xludf.DUMMYFUNCTION("""COMPUTED_VALUE"""),"BLACK")</f>
        <v>BLACK</v>
      </c>
      <c r="G442" s="20" t="str">
        <f>IFERROR(__xludf.DUMMYFUNCTION("""COMPUTED_VALUE"""),"Uncle Sams Cider (11/12/2021) 02")</f>
        <v>Uncle Sams Cider (11/12/2021) 02</v>
      </c>
      <c r="H442" s="19"/>
    </row>
    <row r="443">
      <c r="A443" s="9"/>
      <c r="B443" s="15"/>
      <c r="C443" s="9">
        <f>IFERROR(__xludf.DUMMYFUNCTION("""COMPUTED_VALUE"""),44600.9412055439)</f>
        <v>44600.94121</v>
      </c>
      <c r="D443" s="15">
        <f>IFERROR(__xludf.DUMMYFUNCTION("""COMPUTED_VALUE"""),1.004)</f>
        <v>1.004</v>
      </c>
      <c r="E443" s="16">
        <f>IFERROR(__xludf.DUMMYFUNCTION("""COMPUTED_VALUE"""),63.0)</f>
        <v>63</v>
      </c>
      <c r="F443" s="19" t="str">
        <f>IFERROR(__xludf.DUMMYFUNCTION("""COMPUTED_VALUE"""),"BLACK")</f>
        <v>BLACK</v>
      </c>
      <c r="G443" s="20" t="str">
        <f>IFERROR(__xludf.DUMMYFUNCTION("""COMPUTED_VALUE"""),"Uncle Sams Cider (11/12/2021) 02")</f>
        <v>Uncle Sams Cider (11/12/2021) 02</v>
      </c>
      <c r="H443" s="19"/>
    </row>
    <row r="444">
      <c r="A444" s="9"/>
      <c r="B444" s="15"/>
      <c r="C444" s="9">
        <f>IFERROR(__xludf.DUMMYFUNCTION("""COMPUTED_VALUE"""),44600.9307614467)</f>
        <v>44600.93076</v>
      </c>
      <c r="D444" s="15">
        <f>IFERROR(__xludf.DUMMYFUNCTION("""COMPUTED_VALUE"""),1.004)</f>
        <v>1.004</v>
      </c>
      <c r="E444" s="16">
        <f>IFERROR(__xludf.DUMMYFUNCTION("""COMPUTED_VALUE"""),63.0)</f>
        <v>63</v>
      </c>
      <c r="F444" s="19" t="str">
        <f>IFERROR(__xludf.DUMMYFUNCTION("""COMPUTED_VALUE"""),"BLACK")</f>
        <v>BLACK</v>
      </c>
      <c r="G444" s="20" t="str">
        <f>IFERROR(__xludf.DUMMYFUNCTION("""COMPUTED_VALUE"""),"Uncle Sams Cider (11/12/2021) 02")</f>
        <v>Uncle Sams Cider (11/12/2021) 02</v>
      </c>
      <c r="H444" s="19"/>
    </row>
    <row r="445">
      <c r="A445" s="9"/>
      <c r="B445" s="15"/>
      <c r="C445" s="9">
        <f>IFERROR(__xludf.DUMMYFUNCTION("""COMPUTED_VALUE"""),44600.9203416203)</f>
        <v>44600.92034</v>
      </c>
      <c r="D445" s="15">
        <f>IFERROR(__xludf.DUMMYFUNCTION("""COMPUTED_VALUE"""),1.004)</f>
        <v>1.004</v>
      </c>
      <c r="E445" s="16">
        <f>IFERROR(__xludf.DUMMYFUNCTION("""COMPUTED_VALUE"""),63.0)</f>
        <v>63</v>
      </c>
      <c r="F445" s="19" t="str">
        <f>IFERROR(__xludf.DUMMYFUNCTION("""COMPUTED_VALUE"""),"BLACK")</f>
        <v>BLACK</v>
      </c>
      <c r="G445" s="20" t="str">
        <f>IFERROR(__xludf.DUMMYFUNCTION("""COMPUTED_VALUE"""),"Uncle Sams Cider (11/12/2021) 02")</f>
        <v>Uncle Sams Cider (11/12/2021) 02</v>
      </c>
      <c r="H445" s="19"/>
    </row>
    <row r="446">
      <c r="A446" s="9"/>
      <c r="B446" s="15"/>
      <c r="C446" s="9">
        <f>IFERROR(__xludf.DUMMYFUNCTION("""COMPUTED_VALUE"""),44600.9099208333)</f>
        <v>44600.90992</v>
      </c>
      <c r="D446" s="15">
        <f>IFERROR(__xludf.DUMMYFUNCTION("""COMPUTED_VALUE"""),1.004)</f>
        <v>1.004</v>
      </c>
      <c r="E446" s="16">
        <f>IFERROR(__xludf.DUMMYFUNCTION("""COMPUTED_VALUE"""),63.0)</f>
        <v>63</v>
      </c>
      <c r="F446" s="19" t="str">
        <f>IFERROR(__xludf.DUMMYFUNCTION("""COMPUTED_VALUE"""),"BLACK")</f>
        <v>BLACK</v>
      </c>
      <c r="G446" s="20" t="str">
        <f>IFERROR(__xludf.DUMMYFUNCTION("""COMPUTED_VALUE"""),"Uncle Sams Cider (11/12/2021) 02")</f>
        <v>Uncle Sams Cider (11/12/2021) 02</v>
      </c>
      <c r="H446" s="19"/>
    </row>
    <row r="447">
      <c r="A447" s="9"/>
      <c r="B447" s="15"/>
      <c r="C447" s="9">
        <f>IFERROR(__xludf.DUMMYFUNCTION("""COMPUTED_VALUE"""),44600.8995003472)</f>
        <v>44600.8995</v>
      </c>
      <c r="D447" s="15">
        <f>IFERROR(__xludf.DUMMYFUNCTION("""COMPUTED_VALUE"""),1.004)</f>
        <v>1.004</v>
      </c>
      <c r="E447" s="16">
        <f>IFERROR(__xludf.DUMMYFUNCTION("""COMPUTED_VALUE"""),63.0)</f>
        <v>63</v>
      </c>
      <c r="F447" s="19" t="str">
        <f>IFERROR(__xludf.DUMMYFUNCTION("""COMPUTED_VALUE"""),"BLACK")</f>
        <v>BLACK</v>
      </c>
      <c r="G447" s="20" t="str">
        <f>IFERROR(__xludf.DUMMYFUNCTION("""COMPUTED_VALUE"""),"Uncle Sams Cider (11/12/2021) 02")</f>
        <v>Uncle Sams Cider (11/12/2021) 02</v>
      </c>
      <c r="H447" s="19"/>
    </row>
    <row r="448">
      <c r="A448" s="9"/>
      <c r="B448" s="15"/>
      <c r="C448" s="9">
        <f>IFERROR(__xludf.DUMMYFUNCTION("""COMPUTED_VALUE"""),44600.889077743)</f>
        <v>44600.88908</v>
      </c>
      <c r="D448" s="15">
        <f>IFERROR(__xludf.DUMMYFUNCTION("""COMPUTED_VALUE"""),1.004)</f>
        <v>1.004</v>
      </c>
      <c r="E448" s="16">
        <f>IFERROR(__xludf.DUMMYFUNCTION("""COMPUTED_VALUE"""),63.0)</f>
        <v>63</v>
      </c>
      <c r="F448" s="19" t="str">
        <f>IFERROR(__xludf.DUMMYFUNCTION("""COMPUTED_VALUE"""),"BLACK")</f>
        <v>BLACK</v>
      </c>
      <c r="G448" s="20" t="str">
        <f>IFERROR(__xludf.DUMMYFUNCTION("""COMPUTED_VALUE"""),"Uncle Sams Cider (11/12/2021) 02")</f>
        <v>Uncle Sams Cider (11/12/2021) 02</v>
      </c>
      <c r="H448" s="19"/>
    </row>
    <row r="449">
      <c r="A449" s="9"/>
      <c r="B449" s="15"/>
      <c r="C449" s="9">
        <f>IFERROR(__xludf.DUMMYFUNCTION("""COMPUTED_VALUE"""),44600.8786567939)</f>
        <v>44600.87866</v>
      </c>
      <c r="D449" s="15">
        <f>IFERROR(__xludf.DUMMYFUNCTION("""COMPUTED_VALUE"""),1.004)</f>
        <v>1.004</v>
      </c>
      <c r="E449" s="16">
        <f>IFERROR(__xludf.DUMMYFUNCTION("""COMPUTED_VALUE"""),63.0)</f>
        <v>63</v>
      </c>
      <c r="F449" s="19" t="str">
        <f>IFERROR(__xludf.DUMMYFUNCTION("""COMPUTED_VALUE"""),"BLACK")</f>
        <v>BLACK</v>
      </c>
      <c r="G449" s="20" t="str">
        <f>IFERROR(__xludf.DUMMYFUNCTION("""COMPUTED_VALUE"""),"Uncle Sams Cider (11/12/2021) 02")</f>
        <v>Uncle Sams Cider (11/12/2021) 02</v>
      </c>
      <c r="H449" s="19"/>
    </row>
    <row r="450">
      <c r="A450" s="9"/>
      <c r="B450" s="15"/>
      <c r="C450" s="9">
        <f>IFERROR(__xludf.DUMMYFUNCTION("""COMPUTED_VALUE"""),44600.8682236574)</f>
        <v>44600.86822</v>
      </c>
      <c r="D450" s="15">
        <f>IFERROR(__xludf.DUMMYFUNCTION("""COMPUTED_VALUE"""),1.004)</f>
        <v>1.004</v>
      </c>
      <c r="E450" s="16">
        <f>IFERROR(__xludf.DUMMYFUNCTION("""COMPUTED_VALUE"""),63.0)</f>
        <v>63</v>
      </c>
      <c r="F450" s="19" t="str">
        <f>IFERROR(__xludf.DUMMYFUNCTION("""COMPUTED_VALUE"""),"BLACK")</f>
        <v>BLACK</v>
      </c>
      <c r="G450" s="20" t="str">
        <f>IFERROR(__xludf.DUMMYFUNCTION("""COMPUTED_VALUE"""),"Uncle Sams Cider (11/12/2021) 02")</f>
        <v>Uncle Sams Cider (11/12/2021) 02</v>
      </c>
      <c r="H450" s="19"/>
    </row>
    <row r="451">
      <c r="A451" s="9"/>
      <c r="B451" s="15"/>
      <c r="C451" s="9">
        <f>IFERROR(__xludf.DUMMYFUNCTION("""COMPUTED_VALUE"""),44600.8577788194)</f>
        <v>44600.85778</v>
      </c>
      <c r="D451" s="15">
        <f>IFERROR(__xludf.DUMMYFUNCTION("""COMPUTED_VALUE"""),1.004)</f>
        <v>1.004</v>
      </c>
      <c r="E451" s="16">
        <f>IFERROR(__xludf.DUMMYFUNCTION("""COMPUTED_VALUE"""),63.0)</f>
        <v>63</v>
      </c>
      <c r="F451" s="19" t="str">
        <f>IFERROR(__xludf.DUMMYFUNCTION("""COMPUTED_VALUE"""),"BLACK")</f>
        <v>BLACK</v>
      </c>
      <c r="G451" s="20" t="str">
        <f>IFERROR(__xludf.DUMMYFUNCTION("""COMPUTED_VALUE"""),"Uncle Sams Cider (11/12/2021) 02")</f>
        <v>Uncle Sams Cider (11/12/2021) 02</v>
      </c>
      <c r="H451" s="19"/>
    </row>
    <row r="452">
      <c r="A452" s="9"/>
      <c r="B452" s="15"/>
      <c r="C452" s="9">
        <f>IFERROR(__xludf.DUMMYFUNCTION("""COMPUTED_VALUE"""),44600.8473572337)</f>
        <v>44600.84736</v>
      </c>
      <c r="D452" s="15">
        <f>IFERROR(__xludf.DUMMYFUNCTION("""COMPUTED_VALUE"""),1.004)</f>
        <v>1.004</v>
      </c>
      <c r="E452" s="16">
        <f>IFERROR(__xludf.DUMMYFUNCTION("""COMPUTED_VALUE"""),63.0)</f>
        <v>63</v>
      </c>
      <c r="F452" s="19" t="str">
        <f>IFERROR(__xludf.DUMMYFUNCTION("""COMPUTED_VALUE"""),"BLACK")</f>
        <v>BLACK</v>
      </c>
      <c r="G452" s="20" t="str">
        <f>IFERROR(__xludf.DUMMYFUNCTION("""COMPUTED_VALUE"""),"Uncle Sams Cider (11/12/2021) 02")</f>
        <v>Uncle Sams Cider (11/12/2021) 02</v>
      </c>
      <c r="H452" s="19"/>
    </row>
    <row r="453">
      <c r="A453" s="9"/>
      <c r="B453" s="15"/>
      <c r="C453" s="9">
        <f>IFERROR(__xludf.DUMMYFUNCTION("""COMPUTED_VALUE"""),44600.8369350694)</f>
        <v>44600.83694</v>
      </c>
      <c r="D453" s="15">
        <f>IFERROR(__xludf.DUMMYFUNCTION("""COMPUTED_VALUE"""),1.004)</f>
        <v>1.004</v>
      </c>
      <c r="E453" s="16">
        <f>IFERROR(__xludf.DUMMYFUNCTION("""COMPUTED_VALUE"""),63.0)</f>
        <v>63</v>
      </c>
      <c r="F453" s="19" t="str">
        <f>IFERROR(__xludf.DUMMYFUNCTION("""COMPUTED_VALUE"""),"BLACK")</f>
        <v>BLACK</v>
      </c>
      <c r="G453" s="20" t="str">
        <f>IFERROR(__xludf.DUMMYFUNCTION("""COMPUTED_VALUE"""),"Uncle Sams Cider (11/12/2021) 02")</f>
        <v>Uncle Sams Cider (11/12/2021) 02</v>
      </c>
      <c r="H453" s="19"/>
    </row>
    <row r="454">
      <c r="A454" s="9"/>
      <c r="B454" s="15"/>
      <c r="C454" s="9">
        <f>IFERROR(__xludf.DUMMYFUNCTION("""COMPUTED_VALUE"""),44600.8265125694)</f>
        <v>44600.82651</v>
      </c>
      <c r="D454" s="15">
        <f>IFERROR(__xludf.DUMMYFUNCTION("""COMPUTED_VALUE"""),1.004)</f>
        <v>1.004</v>
      </c>
      <c r="E454" s="16">
        <f>IFERROR(__xludf.DUMMYFUNCTION("""COMPUTED_VALUE"""),63.0)</f>
        <v>63</v>
      </c>
      <c r="F454" s="19" t="str">
        <f>IFERROR(__xludf.DUMMYFUNCTION("""COMPUTED_VALUE"""),"BLACK")</f>
        <v>BLACK</v>
      </c>
      <c r="G454" s="20" t="str">
        <f>IFERROR(__xludf.DUMMYFUNCTION("""COMPUTED_VALUE"""),"Uncle Sams Cider (11/12/2021) 02")</f>
        <v>Uncle Sams Cider (11/12/2021) 02</v>
      </c>
      <c r="H454" s="19"/>
    </row>
    <row r="455">
      <c r="A455" s="9"/>
      <c r="B455" s="15"/>
      <c r="C455" s="9">
        <f>IFERROR(__xludf.DUMMYFUNCTION("""COMPUTED_VALUE"""),44600.816091956)</f>
        <v>44600.81609</v>
      </c>
      <c r="D455" s="15">
        <f>IFERROR(__xludf.DUMMYFUNCTION("""COMPUTED_VALUE"""),1.004)</f>
        <v>1.004</v>
      </c>
      <c r="E455" s="16">
        <f>IFERROR(__xludf.DUMMYFUNCTION("""COMPUTED_VALUE"""),63.0)</f>
        <v>63</v>
      </c>
      <c r="F455" s="19" t="str">
        <f>IFERROR(__xludf.DUMMYFUNCTION("""COMPUTED_VALUE"""),"BLACK")</f>
        <v>BLACK</v>
      </c>
      <c r="G455" s="20" t="str">
        <f>IFERROR(__xludf.DUMMYFUNCTION("""COMPUTED_VALUE"""),"Uncle Sams Cider (11/12/2021) 02")</f>
        <v>Uncle Sams Cider (11/12/2021) 02</v>
      </c>
      <c r="H455" s="19"/>
    </row>
    <row r="456">
      <c r="A456" s="9"/>
      <c r="B456" s="15"/>
      <c r="C456" s="9">
        <f>IFERROR(__xludf.DUMMYFUNCTION("""COMPUTED_VALUE"""),44600.8056585995)</f>
        <v>44600.80566</v>
      </c>
      <c r="D456" s="15">
        <f>IFERROR(__xludf.DUMMYFUNCTION("""COMPUTED_VALUE"""),1.004)</f>
        <v>1.004</v>
      </c>
      <c r="E456" s="16">
        <f>IFERROR(__xludf.DUMMYFUNCTION("""COMPUTED_VALUE"""),63.0)</f>
        <v>63</v>
      </c>
      <c r="F456" s="19" t="str">
        <f>IFERROR(__xludf.DUMMYFUNCTION("""COMPUTED_VALUE"""),"BLACK")</f>
        <v>BLACK</v>
      </c>
      <c r="G456" s="20" t="str">
        <f>IFERROR(__xludf.DUMMYFUNCTION("""COMPUTED_VALUE"""),"Uncle Sams Cider (11/12/2021) 02")</f>
        <v>Uncle Sams Cider (11/12/2021) 02</v>
      </c>
      <c r="H456" s="19"/>
    </row>
    <row r="457">
      <c r="A457" s="9"/>
      <c r="B457" s="15"/>
      <c r="C457" s="9">
        <f>IFERROR(__xludf.DUMMYFUNCTION("""COMPUTED_VALUE"""),44600.7952266203)</f>
        <v>44600.79523</v>
      </c>
      <c r="D457" s="15">
        <f>IFERROR(__xludf.DUMMYFUNCTION("""COMPUTED_VALUE"""),1.004)</f>
        <v>1.004</v>
      </c>
      <c r="E457" s="16">
        <f>IFERROR(__xludf.DUMMYFUNCTION("""COMPUTED_VALUE"""),63.0)</f>
        <v>63</v>
      </c>
      <c r="F457" s="19" t="str">
        <f>IFERROR(__xludf.DUMMYFUNCTION("""COMPUTED_VALUE"""),"BLACK")</f>
        <v>BLACK</v>
      </c>
      <c r="G457" s="20" t="str">
        <f>IFERROR(__xludf.DUMMYFUNCTION("""COMPUTED_VALUE"""),"Uncle Sams Cider (11/12/2021) 02")</f>
        <v>Uncle Sams Cider (11/12/2021) 02</v>
      </c>
      <c r="H457" s="19"/>
    </row>
    <row r="458">
      <c r="A458" s="9"/>
      <c r="B458" s="15"/>
      <c r="C458" s="9">
        <f>IFERROR(__xludf.DUMMYFUNCTION("""COMPUTED_VALUE"""),44600.7848056481)</f>
        <v>44600.78481</v>
      </c>
      <c r="D458" s="15">
        <f>IFERROR(__xludf.DUMMYFUNCTION("""COMPUTED_VALUE"""),1.004)</f>
        <v>1.004</v>
      </c>
      <c r="E458" s="16">
        <f>IFERROR(__xludf.DUMMYFUNCTION("""COMPUTED_VALUE"""),63.0)</f>
        <v>63</v>
      </c>
      <c r="F458" s="19" t="str">
        <f>IFERROR(__xludf.DUMMYFUNCTION("""COMPUTED_VALUE"""),"BLACK")</f>
        <v>BLACK</v>
      </c>
      <c r="G458" s="20" t="str">
        <f>IFERROR(__xludf.DUMMYFUNCTION("""COMPUTED_VALUE"""),"Uncle Sams Cider (11/12/2021) 02")</f>
        <v>Uncle Sams Cider (11/12/2021) 02</v>
      </c>
      <c r="H458" s="19"/>
    </row>
    <row r="459">
      <c r="A459" s="9"/>
      <c r="B459" s="15"/>
      <c r="C459" s="9">
        <f>IFERROR(__xludf.DUMMYFUNCTION("""COMPUTED_VALUE"""),44600.7743849189)</f>
        <v>44600.77438</v>
      </c>
      <c r="D459" s="15">
        <f>IFERROR(__xludf.DUMMYFUNCTION("""COMPUTED_VALUE"""),1.004)</f>
        <v>1.004</v>
      </c>
      <c r="E459" s="16">
        <f>IFERROR(__xludf.DUMMYFUNCTION("""COMPUTED_VALUE"""),63.0)</f>
        <v>63</v>
      </c>
      <c r="F459" s="19" t="str">
        <f>IFERROR(__xludf.DUMMYFUNCTION("""COMPUTED_VALUE"""),"BLACK")</f>
        <v>BLACK</v>
      </c>
      <c r="G459" s="20" t="str">
        <f>IFERROR(__xludf.DUMMYFUNCTION("""COMPUTED_VALUE"""),"Uncle Sams Cider (11/12/2021) 02")</f>
        <v>Uncle Sams Cider (11/12/2021) 02</v>
      </c>
      <c r="H459" s="19"/>
    </row>
    <row r="460">
      <c r="A460" s="9"/>
      <c r="B460" s="15"/>
      <c r="C460" s="9">
        <f>IFERROR(__xludf.DUMMYFUNCTION("""COMPUTED_VALUE"""),44600.7639638773)</f>
        <v>44600.76396</v>
      </c>
      <c r="D460" s="15">
        <f>IFERROR(__xludf.DUMMYFUNCTION("""COMPUTED_VALUE"""),1.004)</f>
        <v>1.004</v>
      </c>
      <c r="E460" s="16">
        <f>IFERROR(__xludf.DUMMYFUNCTION("""COMPUTED_VALUE"""),63.0)</f>
        <v>63</v>
      </c>
      <c r="F460" s="19" t="str">
        <f>IFERROR(__xludf.DUMMYFUNCTION("""COMPUTED_VALUE"""),"BLACK")</f>
        <v>BLACK</v>
      </c>
      <c r="G460" s="20" t="str">
        <f>IFERROR(__xludf.DUMMYFUNCTION("""COMPUTED_VALUE"""),"Uncle Sams Cider (11/12/2021) 02")</f>
        <v>Uncle Sams Cider (11/12/2021) 02</v>
      </c>
      <c r="H460" s="19"/>
    </row>
    <row r="461">
      <c r="A461" s="9"/>
      <c r="B461" s="15"/>
      <c r="C461" s="9">
        <f>IFERROR(__xludf.DUMMYFUNCTION("""COMPUTED_VALUE"""),44600.7535430555)</f>
        <v>44600.75354</v>
      </c>
      <c r="D461" s="15">
        <f>IFERROR(__xludf.DUMMYFUNCTION("""COMPUTED_VALUE"""),1.004)</f>
        <v>1.004</v>
      </c>
      <c r="E461" s="16">
        <f>IFERROR(__xludf.DUMMYFUNCTION("""COMPUTED_VALUE"""),63.0)</f>
        <v>63</v>
      </c>
      <c r="F461" s="19" t="str">
        <f>IFERROR(__xludf.DUMMYFUNCTION("""COMPUTED_VALUE"""),"BLACK")</f>
        <v>BLACK</v>
      </c>
      <c r="G461" s="20" t="str">
        <f>IFERROR(__xludf.DUMMYFUNCTION("""COMPUTED_VALUE"""),"Uncle Sams Cider (11/12/2021) 02")</f>
        <v>Uncle Sams Cider (11/12/2021) 02</v>
      </c>
      <c r="H461" s="19"/>
    </row>
    <row r="462">
      <c r="A462" s="9"/>
      <c r="B462" s="15"/>
      <c r="C462" s="9">
        <f>IFERROR(__xludf.DUMMYFUNCTION("""COMPUTED_VALUE"""),44600.7431230787)</f>
        <v>44600.74312</v>
      </c>
      <c r="D462" s="15">
        <f>IFERROR(__xludf.DUMMYFUNCTION("""COMPUTED_VALUE"""),1.004)</f>
        <v>1.004</v>
      </c>
      <c r="E462" s="16">
        <f>IFERROR(__xludf.DUMMYFUNCTION("""COMPUTED_VALUE"""),63.0)</f>
        <v>63</v>
      </c>
      <c r="F462" s="19" t="str">
        <f>IFERROR(__xludf.DUMMYFUNCTION("""COMPUTED_VALUE"""),"BLACK")</f>
        <v>BLACK</v>
      </c>
      <c r="G462" s="20" t="str">
        <f>IFERROR(__xludf.DUMMYFUNCTION("""COMPUTED_VALUE"""),"Uncle Sams Cider (11/12/2021) 02")</f>
        <v>Uncle Sams Cider (11/12/2021) 02</v>
      </c>
      <c r="H462" s="19"/>
    </row>
    <row r="463">
      <c r="A463" s="9"/>
      <c r="B463" s="15"/>
      <c r="C463" s="9">
        <f>IFERROR(__xludf.DUMMYFUNCTION("""COMPUTED_VALUE"""),44600.7326907175)</f>
        <v>44600.73269</v>
      </c>
      <c r="D463" s="15">
        <f>IFERROR(__xludf.DUMMYFUNCTION("""COMPUTED_VALUE"""),1.004)</f>
        <v>1.004</v>
      </c>
      <c r="E463" s="16">
        <f>IFERROR(__xludf.DUMMYFUNCTION("""COMPUTED_VALUE"""),63.0)</f>
        <v>63</v>
      </c>
      <c r="F463" s="19" t="str">
        <f>IFERROR(__xludf.DUMMYFUNCTION("""COMPUTED_VALUE"""),"BLACK")</f>
        <v>BLACK</v>
      </c>
      <c r="G463" s="20" t="str">
        <f>IFERROR(__xludf.DUMMYFUNCTION("""COMPUTED_VALUE"""),"Uncle Sams Cider (11/12/2021) 02")</f>
        <v>Uncle Sams Cider (11/12/2021) 02</v>
      </c>
      <c r="H463" s="19"/>
    </row>
    <row r="464">
      <c r="A464" s="9"/>
      <c r="B464" s="15"/>
      <c r="C464" s="9">
        <f>IFERROR(__xludf.DUMMYFUNCTION("""COMPUTED_VALUE"""),44600.7222680902)</f>
        <v>44600.72227</v>
      </c>
      <c r="D464" s="15">
        <f>IFERROR(__xludf.DUMMYFUNCTION("""COMPUTED_VALUE"""),1.004)</f>
        <v>1.004</v>
      </c>
      <c r="E464" s="16">
        <f>IFERROR(__xludf.DUMMYFUNCTION("""COMPUTED_VALUE"""),63.0)</f>
        <v>63</v>
      </c>
      <c r="F464" s="19" t="str">
        <f>IFERROR(__xludf.DUMMYFUNCTION("""COMPUTED_VALUE"""),"BLACK")</f>
        <v>BLACK</v>
      </c>
      <c r="G464" s="20" t="str">
        <f>IFERROR(__xludf.DUMMYFUNCTION("""COMPUTED_VALUE"""),"Uncle Sams Cider (11/12/2021) 02")</f>
        <v>Uncle Sams Cider (11/12/2021) 02</v>
      </c>
      <c r="H464" s="19"/>
    </row>
    <row r="465">
      <c r="A465" s="9"/>
      <c r="B465" s="15"/>
      <c r="C465" s="9">
        <f>IFERROR(__xludf.DUMMYFUNCTION("""COMPUTED_VALUE"""),44600.7118465393)</f>
        <v>44600.71185</v>
      </c>
      <c r="D465" s="15">
        <f>IFERROR(__xludf.DUMMYFUNCTION("""COMPUTED_VALUE"""),1.004)</f>
        <v>1.004</v>
      </c>
      <c r="E465" s="16">
        <f>IFERROR(__xludf.DUMMYFUNCTION("""COMPUTED_VALUE"""),63.0)</f>
        <v>63</v>
      </c>
      <c r="F465" s="19" t="str">
        <f>IFERROR(__xludf.DUMMYFUNCTION("""COMPUTED_VALUE"""),"BLACK")</f>
        <v>BLACK</v>
      </c>
      <c r="G465" s="20" t="str">
        <f>IFERROR(__xludf.DUMMYFUNCTION("""COMPUTED_VALUE"""),"Uncle Sams Cider (11/12/2021) 02")</f>
        <v>Uncle Sams Cider (11/12/2021) 02</v>
      </c>
      <c r="H465" s="19"/>
    </row>
    <row r="466">
      <c r="A466" s="9"/>
      <c r="B466" s="15"/>
      <c r="C466" s="9">
        <f>IFERROR(__xludf.DUMMYFUNCTION("""COMPUTED_VALUE"""),44600.7014259027)</f>
        <v>44600.70143</v>
      </c>
      <c r="D466" s="15">
        <f>IFERROR(__xludf.DUMMYFUNCTION("""COMPUTED_VALUE"""),1.004)</f>
        <v>1.004</v>
      </c>
      <c r="E466" s="16">
        <f>IFERROR(__xludf.DUMMYFUNCTION("""COMPUTED_VALUE"""),63.0)</f>
        <v>63</v>
      </c>
      <c r="F466" s="19" t="str">
        <f>IFERROR(__xludf.DUMMYFUNCTION("""COMPUTED_VALUE"""),"BLACK")</f>
        <v>BLACK</v>
      </c>
      <c r="G466" s="20" t="str">
        <f>IFERROR(__xludf.DUMMYFUNCTION("""COMPUTED_VALUE"""),"Uncle Sams Cider (11/12/2021) 02")</f>
        <v>Uncle Sams Cider (11/12/2021) 02</v>
      </c>
      <c r="H466" s="19"/>
    </row>
    <row r="467">
      <c r="A467" s="9"/>
      <c r="B467" s="15"/>
      <c r="C467" s="9">
        <f>IFERROR(__xludf.DUMMYFUNCTION("""COMPUTED_VALUE"""),44600.6909929861)</f>
        <v>44600.69099</v>
      </c>
      <c r="D467" s="15">
        <f>IFERROR(__xludf.DUMMYFUNCTION("""COMPUTED_VALUE"""),1.004)</f>
        <v>1.004</v>
      </c>
      <c r="E467" s="16">
        <f>IFERROR(__xludf.DUMMYFUNCTION("""COMPUTED_VALUE"""),63.0)</f>
        <v>63</v>
      </c>
      <c r="F467" s="19" t="str">
        <f>IFERROR(__xludf.DUMMYFUNCTION("""COMPUTED_VALUE"""),"BLACK")</f>
        <v>BLACK</v>
      </c>
      <c r="G467" s="20" t="str">
        <f>IFERROR(__xludf.DUMMYFUNCTION("""COMPUTED_VALUE"""),"Uncle Sams Cider (11/12/2021) 02")</f>
        <v>Uncle Sams Cider (11/12/2021) 02</v>
      </c>
      <c r="H467" s="19"/>
    </row>
    <row r="468">
      <c r="A468" s="9"/>
      <c r="B468" s="15"/>
      <c r="C468" s="9">
        <f>IFERROR(__xludf.DUMMYFUNCTION("""COMPUTED_VALUE"""),44600.6805038541)</f>
        <v>44600.6805</v>
      </c>
      <c r="D468" s="15">
        <f>IFERROR(__xludf.DUMMYFUNCTION("""COMPUTED_VALUE"""),1.004)</f>
        <v>1.004</v>
      </c>
      <c r="E468" s="16">
        <f>IFERROR(__xludf.DUMMYFUNCTION("""COMPUTED_VALUE"""),63.0)</f>
        <v>63</v>
      </c>
      <c r="F468" s="19" t="str">
        <f>IFERROR(__xludf.DUMMYFUNCTION("""COMPUTED_VALUE"""),"BLACK")</f>
        <v>BLACK</v>
      </c>
      <c r="G468" s="20" t="str">
        <f>IFERROR(__xludf.DUMMYFUNCTION("""COMPUTED_VALUE"""),"Uncle Sams Cider (11/12/2021) 02")</f>
        <v>Uncle Sams Cider (11/12/2021) 02</v>
      </c>
      <c r="H468" s="19"/>
    </row>
    <row r="469">
      <c r="A469" s="9"/>
      <c r="B469" s="15"/>
      <c r="C469" s="9">
        <f>IFERROR(__xludf.DUMMYFUNCTION("""COMPUTED_VALUE"""),44600.6700714236)</f>
        <v>44600.67007</v>
      </c>
      <c r="D469" s="15">
        <f>IFERROR(__xludf.DUMMYFUNCTION("""COMPUTED_VALUE"""),1.004)</f>
        <v>1.004</v>
      </c>
      <c r="E469" s="16">
        <f>IFERROR(__xludf.DUMMYFUNCTION("""COMPUTED_VALUE"""),63.0)</f>
        <v>63</v>
      </c>
      <c r="F469" s="19" t="str">
        <f>IFERROR(__xludf.DUMMYFUNCTION("""COMPUTED_VALUE"""),"BLACK")</f>
        <v>BLACK</v>
      </c>
      <c r="G469" s="20" t="str">
        <f>IFERROR(__xludf.DUMMYFUNCTION("""COMPUTED_VALUE"""),"Uncle Sams Cider (11/12/2021) 02")</f>
        <v>Uncle Sams Cider (11/12/2021) 02</v>
      </c>
      <c r="H469" s="19"/>
    </row>
    <row r="470">
      <c r="A470" s="9"/>
      <c r="B470" s="15"/>
      <c r="C470" s="9">
        <f>IFERROR(__xludf.DUMMYFUNCTION("""COMPUTED_VALUE"""),44600.6596271412)</f>
        <v>44600.65963</v>
      </c>
      <c r="D470" s="15">
        <f>IFERROR(__xludf.DUMMYFUNCTION("""COMPUTED_VALUE"""),1.004)</f>
        <v>1.004</v>
      </c>
      <c r="E470" s="16">
        <f>IFERROR(__xludf.DUMMYFUNCTION("""COMPUTED_VALUE"""),63.0)</f>
        <v>63</v>
      </c>
      <c r="F470" s="19" t="str">
        <f>IFERROR(__xludf.DUMMYFUNCTION("""COMPUTED_VALUE"""),"BLACK")</f>
        <v>BLACK</v>
      </c>
      <c r="G470" s="20" t="str">
        <f>IFERROR(__xludf.DUMMYFUNCTION("""COMPUTED_VALUE"""),"Uncle Sams Cider (11/12/2021) 02")</f>
        <v>Uncle Sams Cider (11/12/2021) 02</v>
      </c>
      <c r="H470" s="19"/>
    </row>
    <row r="471">
      <c r="A471" s="9"/>
      <c r="B471" s="15"/>
      <c r="C471" s="9">
        <f>IFERROR(__xludf.DUMMYFUNCTION("""COMPUTED_VALUE"""),44600.6492050115)</f>
        <v>44600.64921</v>
      </c>
      <c r="D471" s="15">
        <f>IFERROR(__xludf.DUMMYFUNCTION("""COMPUTED_VALUE"""),1.004)</f>
        <v>1.004</v>
      </c>
      <c r="E471" s="16">
        <f>IFERROR(__xludf.DUMMYFUNCTION("""COMPUTED_VALUE"""),63.0)</f>
        <v>63</v>
      </c>
      <c r="F471" s="19" t="str">
        <f>IFERROR(__xludf.DUMMYFUNCTION("""COMPUTED_VALUE"""),"BLACK")</f>
        <v>BLACK</v>
      </c>
      <c r="G471" s="20" t="str">
        <f>IFERROR(__xludf.DUMMYFUNCTION("""COMPUTED_VALUE"""),"Uncle Sams Cider (11/12/2021) 02")</f>
        <v>Uncle Sams Cider (11/12/2021) 02</v>
      </c>
      <c r="H471" s="19"/>
    </row>
    <row r="472">
      <c r="A472" s="9"/>
      <c r="B472" s="15"/>
      <c r="C472" s="9">
        <f>IFERROR(__xludf.DUMMYFUNCTION("""COMPUTED_VALUE"""),44600.6387734606)</f>
        <v>44600.63877</v>
      </c>
      <c r="D472" s="15">
        <f>IFERROR(__xludf.DUMMYFUNCTION("""COMPUTED_VALUE"""),1.004)</f>
        <v>1.004</v>
      </c>
      <c r="E472" s="16">
        <f>IFERROR(__xludf.DUMMYFUNCTION("""COMPUTED_VALUE"""),63.0)</f>
        <v>63</v>
      </c>
      <c r="F472" s="19" t="str">
        <f>IFERROR(__xludf.DUMMYFUNCTION("""COMPUTED_VALUE"""),"BLACK")</f>
        <v>BLACK</v>
      </c>
      <c r="G472" s="20" t="str">
        <f>IFERROR(__xludf.DUMMYFUNCTION("""COMPUTED_VALUE"""),"Uncle Sams Cider (11/12/2021) 02")</f>
        <v>Uncle Sams Cider (11/12/2021) 02</v>
      </c>
      <c r="H472" s="19"/>
    </row>
    <row r="473">
      <c r="A473" s="9"/>
      <c r="B473" s="15"/>
      <c r="C473" s="9">
        <f>IFERROR(__xludf.DUMMYFUNCTION("""COMPUTED_VALUE"""),44600.628351493)</f>
        <v>44600.62835</v>
      </c>
      <c r="D473" s="15">
        <f>IFERROR(__xludf.DUMMYFUNCTION("""COMPUTED_VALUE"""),1.004)</f>
        <v>1.004</v>
      </c>
      <c r="E473" s="16">
        <f>IFERROR(__xludf.DUMMYFUNCTION("""COMPUTED_VALUE"""),63.0)</f>
        <v>63</v>
      </c>
      <c r="F473" s="19" t="str">
        <f>IFERROR(__xludf.DUMMYFUNCTION("""COMPUTED_VALUE"""),"BLACK")</f>
        <v>BLACK</v>
      </c>
      <c r="G473" s="20" t="str">
        <f>IFERROR(__xludf.DUMMYFUNCTION("""COMPUTED_VALUE"""),"Uncle Sams Cider (11/12/2021) 02")</f>
        <v>Uncle Sams Cider (11/12/2021) 02</v>
      </c>
      <c r="H473" s="19"/>
    </row>
    <row r="474">
      <c r="A474" s="9"/>
      <c r="B474" s="15"/>
      <c r="C474" s="9">
        <f>IFERROR(__xludf.DUMMYFUNCTION("""COMPUTED_VALUE"""),44600.6179299421)</f>
        <v>44600.61793</v>
      </c>
      <c r="D474" s="15">
        <f>IFERROR(__xludf.DUMMYFUNCTION("""COMPUTED_VALUE"""),1.004)</f>
        <v>1.004</v>
      </c>
      <c r="E474" s="16">
        <f>IFERROR(__xludf.DUMMYFUNCTION("""COMPUTED_VALUE"""),63.0)</f>
        <v>63</v>
      </c>
      <c r="F474" s="19" t="str">
        <f>IFERROR(__xludf.DUMMYFUNCTION("""COMPUTED_VALUE"""),"BLACK")</f>
        <v>BLACK</v>
      </c>
      <c r="G474" s="20" t="str">
        <f>IFERROR(__xludf.DUMMYFUNCTION("""COMPUTED_VALUE"""),"Uncle Sams Cider (11/12/2021) 02")</f>
        <v>Uncle Sams Cider (11/12/2021) 02</v>
      </c>
      <c r="H474" s="19"/>
    </row>
    <row r="475">
      <c r="A475" s="9"/>
      <c r="B475" s="15"/>
      <c r="C475" s="9">
        <f>IFERROR(__xludf.DUMMYFUNCTION("""COMPUTED_VALUE"""),44600.6075088425)</f>
        <v>44600.60751</v>
      </c>
      <c r="D475" s="15">
        <f>IFERROR(__xludf.DUMMYFUNCTION("""COMPUTED_VALUE"""),1.004)</f>
        <v>1.004</v>
      </c>
      <c r="E475" s="16">
        <f>IFERROR(__xludf.DUMMYFUNCTION("""COMPUTED_VALUE"""),63.0)</f>
        <v>63</v>
      </c>
      <c r="F475" s="19" t="str">
        <f>IFERROR(__xludf.DUMMYFUNCTION("""COMPUTED_VALUE"""),"BLACK")</f>
        <v>BLACK</v>
      </c>
      <c r="G475" s="20" t="str">
        <f>IFERROR(__xludf.DUMMYFUNCTION("""COMPUTED_VALUE"""),"Uncle Sams Cider (11/12/2021) 02")</f>
        <v>Uncle Sams Cider (11/12/2021) 02</v>
      </c>
      <c r="H475" s="19"/>
    </row>
    <row r="476">
      <c r="A476" s="9"/>
      <c r="B476" s="15"/>
      <c r="C476" s="9">
        <f>IFERROR(__xludf.DUMMYFUNCTION("""COMPUTED_VALUE"""),44600.5970755671)</f>
        <v>44600.59708</v>
      </c>
      <c r="D476" s="15">
        <f>IFERROR(__xludf.DUMMYFUNCTION("""COMPUTED_VALUE"""),1.004)</f>
        <v>1.004</v>
      </c>
      <c r="E476" s="16">
        <f>IFERROR(__xludf.DUMMYFUNCTION("""COMPUTED_VALUE"""),63.0)</f>
        <v>63</v>
      </c>
      <c r="F476" s="19" t="str">
        <f>IFERROR(__xludf.DUMMYFUNCTION("""COMPUTED_VALUE"""),"BLACK")</f>
        <v>BLACK</v>
      </c>
      <c r="G476" s="20" t="str">
        <f>IFERROR(__xludf.DUMMYFUNCTION("""COMPUTED_VALUE"""),"Uncle Sams Cider (11/12/2021) 02")</f>
        <v>Uncle Sams Cider (11/12/2021) 02</v>
      </c>
      <c r="H476" s="19"/>
    </row>
    <row r="477">
      <c r="A477" s="9"/>
      <c r="B477" s="15"/>
      <c r="C477" s="9">
        <f>IFERROR(__xludf.DUMMYFUNCTION("""COMPUTED_VALUE"""),44600.5866558912)</f>
        <v>44600.58666</v>
      </c>
      <c r="D477" s="15">
        <f>IFERROR(__xludf.DUMMYFUNCTION("""COMPUTED_VALUE"""),1.004)</f>
        <v>1.004</v>
      </c>
      <c r="E477" s="16">
        <f>IFERROR(__xludf.DUMMYFUNCTION("""COMPUTED_VALUE"""),63.0)</f>
        <v>63</v>
      </c>
      <c r="F477" s="19" t="str">
        <f>IFERROR(__xludf.DUMMYFUNCTION("""COMPUTED_VALUE"""),"BLACK")</f>
        <v>BLACK</v>
      </c>
      <c r="G477" s="20" t="str">
        <f>IFERROR(__xludf.DUMMYFUNCTION("""COMPUTED_VALUE"""),"Uncle Sams Cider (11/12/2021) 02")</f>
        <v>Uncle Sams Cider (11/12/2021) 02</v>
      </c>
      <c r="H477" s="19"/>
    </row>
    <row r="478">
      <c r="A478" s="9"/>
      <c r="B478" s="15"/>
      <c r="C478" s="9">
        <f>IFERROR(__xludf.DUMMYFUNCTION("""COMPUTED_VALUE"""),44600.5762346643)</f>
        <v>44600.57623</v>
      </c>
      <c r="D478" s="15">
        <f>IFERROR(__xludf.DUMMYFUNCTION("""COMPUTED_VALUE"""),1.004)</f>
        <v>1.004</v>
      </c>
      <c r="E478" s="16">
        <f>IFERROR(__xludf.DUMMYFUNCTION("""COMPUTED_VALUE"""),63.0)</f>
        <v>63</v>
      </c>
      <c r="F478" s="19" t="str">
        <f>IFERROR(__xludf.DUMMYFUNCTION("""COMPUTED_VALUE"""),"BLACK")</f>
        <v>BLACK</v>
      </c>
      <c r="G478" s="20" t="str">
        <f>IFERROR(__xludf.DUMMYFUNCTION("""COMPUTED_VALUE"""),"Uncle Sams Cider (11/12/2021) 02")</f>
        <v>Uncle Sams Cider (11/12/2021) 02</v>
      </c>
      <c r="H478" s="19"/>
    </row>
    <row r="479">
      <c r="A479" s="9"/>
      <c r="B479" s="15"/>
      <c r="C479" s="9">
        <f>IFERROR(__xludf.DUMMYFUNCTION("""COMPUTED_VALUE"""),44600.5658141088)</f>
        <v>44600.56581</v>
      </c>
      <c r="D479" s="15">
        <f>IFERROR(__xludf.DUMMYFUNCTION("""COMPUTED_VALUE"""),1.004)</f>
        <v>1.004</v>
      </c>
      <c r="E479" s="16">
        <f>IFERROR(__xludf.DUMMYFUNCTION("""COMPUTED_VALUE"""),63.0)</f>
        <v>63</v>
      </c>
      <c r="F479" s="19" t="str">
        <f>IFERROR(__xludf.DUMMYFUNCTION("""COMPUTED_VALUE"""),"BLACK")</f>
        <v>BLACK</v>
      </c>
      <c r="G479" s="20" t="str">
        <f>IFERROR(__xludf.DUMMYFUNCTION("""COMPUTED_VALUE"""),"Uncle Sams Cider (11/12/2021) 02")</f>
        <v>Uncle Sams Cider (11/12/2021) 02</v>
      </c>
      <c r="H479" s="19"/>
    </row>
    <row r="480">
      <c r="A480" s="9"/>
      <c r="B480" s="15"/>
      <c r="C480" s="9">
        <f>IFERROR(__xludf.DUMMYFUNCTION("""COMPUTED_VALUE"""),44600.5553920949)</f>
        <v>44600.55539</v>
      </c>
      <c r="D480" s="15">
        <f>IFERROR(__xludf.DUMMYFUNCTION("""COMPUTED_VALUE"""),1.004)</f>
        <v>1.004</v>
      </c>
      <c r="E480" s="16">
        <f>IFERROR(__xludf.DUMMYFUNCTION("""COMPUTED_VALUE"""),63.0)</f>
        <v>63</v>
      </c>
      <c r="F480" s="19" t="str">
        <f>IFERROR(__xludf.DUMMYFUNCTION("""COMPUTED_VALUE"""),"BLACK")</f>
        <v>BLACK</v>
      </c>
      <c r="G480" s="20" t="str">
        <f>IFERROR(__xludf.DUMMYFUNCTION("""COMPUTED_VALUE"""),"Uncle Sams Cider (11/12/2021) 02")</f>
        <v>Uncle Sams Cider (11/12/2021) 02</v>
      </c>
      <c r="H480" s="19"/>
    </row>
    <row r="481">
      <c r="A481" s="9"/>
      <c r="B481" s="15"/>
      <c r="C481" s="9">
        <f>IFERROR(__xludf.DUMMYFUNCTION("""COMPUTED_VALUE"""),44600.5449581134)</f>
        <v>44600.54496</v>
      </c>
      <c r="D481" s="15">
        <f>IFERROR(__xludf.DUMMYFUNCTION("""COMPUTED_VALUE"""),1.004)</f>
        <v>1.004</v>
      </c>
      <c r="E481" s="16">
        <f>IFERROR(__xludf.DUMMYFUNCTION("""COMPUTED_VALUE"""),63.0)</f>
        <v>63</v>
      </c>
      <c r="F481" s="19" t="str">
        <f>IFERROR(__xludf.DUMMYFUNCTION("""COMPUTED_VALUE"""),"BLACK")</f>
        <v>BLACK</v>
      </c>
      <c r="G481" s="20" t="str">
        <f>IFERROR(__xludf.DUMMYFUNCTION("""COMPUTED_VALUE"""),"Uncle Sams Cider (11/12/2021) 02")</f>
        <v>Uncle Sams Cider (11/12/2021) 02</v>
      </c>
      <c r="H481" s="19"/>
    </row>
    <row r="482">
      <c r="A482" s="9"/>
      <c r="B482" s="15"/>
      <c r="C482" s="9">
        <f>IFERROR(__xludf.DUMMYFUNCTION("""COMPUTED_VALUE"""),44600.5344672916)</f>
        <v>44600.53447</v>
      </c>
      <c r="D482" s="15">
        <f>IFERROR(__xludf.DUMMYFUNCTION("""COMPUTED_VALUE"""),1.004)</f>
        <v>1.004</v>
      </c>
      <c r="E482" s="16">
        <f>IFERROR(__xludf.DUMMYFUNCTION("""COMPUTED_VALUE"""),63.0)</f>
        <v>63</v>
      </c>
      <c r="F482" s="19" t="str">
        <f>IFERROR(__xludf.DUMMYFUNCTION("""COMPUTED_VALUE"""),"BLACK")</f>
        <v>BLACK</v>
      </c>
      <c r="G482" s="20" t="str">
        <f>IFERROR(__xludf.DUMMYFUNCTION("""COMPUTED_VALUE"""),"Uncle Sams Cider (11/12/2021) 02")</f>
        <v>Uncle Sams Cider (11/12/2021) 02</v>
      </c>
      <c r="H482" s="19"/>
    </row>
    <row r="483">
      <c r="A483" s="9"/>
      <c r="B483" s="15"/>
      <c r="C483" s="9">
        <f>IFERROR(__xludf.DUMMYFUNCTION("""COMPUTED_VALUE"""),44600.5240486574)</f>
        <v>44600.52405</v>
      </c>
      <c r="D483" s="15">
        <f>IFERROR(__xludf.DUMMYFUNCTION("""COMPUTED_VALUE"""),1.004)</f>
        <v>1.004</v>
      </c>
      <c r="E483" s="16">
        <f>IFERROR(__xludf.DUMMYFUNCTION("""COMPUTED_VALUE"""),63.0)</f>
        <v>63</v>
      </c>
      <c r="F483" s="19" t="str">
        <f>IFERROR(__xludf.DUMMYFUNCTION("""COMPUTED_VALUE"""),"BLACK")</f>
        <v>BLACK</v>
      </c>
      <c r="G483" s="20" t="str">
        <f>IFERROR(__xludf.DUMMYFUNCTION("""COMPUTED_VALUE"""),"Uncle Sams Cider (11/12/2021) 02")</f>
        <v>Uncle Sams Cider (11/12/2021) 02</v>
      </c>
      <c r="H483" s="19"/>
    </row>
    <row r="484">
      <c r="A484" s="9"/>
      <c r="B484" s="15"/>
      <c r="C484" s="9">
        <f>IFERROR(__xludf.DUMMYFUNCTION("""COMPUTED_VALUE"""),44600.5136264814)</f>
        <v>44600.51363</v>
      </c>
      <c r="D484" s="15">
        <f>IFERROR(__xludf.DUMMYFUNCTION("""COMPUTED_VALUE"""),1.004)</f>
        <v>1.004</v>
      </c>
      <c r="E484" s="16">
        <f>IFERROR(__xludf.DUMMYFUNCTION("""COMPUTED_VALUE"""),63.0)</f>
        <v>63</v>
      </c>
      <c r="F484" s="19" t="str">
        <f>IFERROR(__xludf.DUMMYFUNCTION("""COMPUTED_VALUE"""),"BLACK")</f>
        <v>BLACK</v>
      </c>
      <c r="G484" s="20" t="str">
        <f>IFERROR(__xludf.DUMMYFUNCTION("""COMPUTED_VALUE"""),"Uncle Sams Cider (11/12/2021) 02")</f>
        <v>Uncle Sams Cider (11/12/2021) 02</v>
      </c>
      <c r="H484" s="19"/>
    </row>
    <row r="485">
      <c r="A485" s="9"/>
      <c r="B485" s="15"/>
      <c r="C485" s="9">
        <f>IFERROR(__xludf.DUMMYFUNCTION("""COMPUTED_VALUE"""),44600.5032067361)</f>
        <v>44600.50321</v>
      </c>
      <c r="D485" s="15">
        <f>IFERROR(__xludf.DUMMYFUNCTION("""COMPUTED_VALUE"""),1.004)</f>
        <v>1.004</v>
      </c>
      <c r="E485" s="16">
        <f>IFERROR(__xludf.DUMMYFUNCTION("""COMPUTED_VALUE"""),63.0)</f>
        <v>63</v>
      </c>
      <c r="F485" s="19" t="str">
        <f>IFERROR(__xludf.DUMMYFUNCTION("""COMPUTED_VALUE"""),"BLACK")</f>
        <v>BLACK</v>
      </c>
      <c r="G485" s="20" t="str">
        <f>IFERROR(__xludf.DUMMYFUNCTION("""COMPUTED_VALUE"""),"Uncle Sams Cider (11/12/2021) 02")</f>
        <v>Uncle Sams Cider (11/12/2021) 02</v>
      </c>
      <c r="H485" s="19"/>
    </row>
    <row r="486">
      <c r="A486" s="9"/>
      <c r="B486" s="15"/>
      <c r="C486" s="9">
        <f>IFERROR(__xludf.DUMMYFUNCTION("""COMPUTED_VALUE"""),44600.4927723495)</f>
        <v>44600.49277</v>
      </c>
      <c r="D486" s="15">
        <f>IFERROR(__xludf.DUMMYFUNCTION("""COMPUTED_VALUE"""),1.004)</f>
        <v>1.004</v>
      </c>
      <c r="E486" s="16">
        <f>IFERROR(__xludf.DUMMYFUNCTION("""COMPUTED_VALUE"""),63.0)</f>
        <v>63</v>
      </c>
      <c r="F486" s="19" t="str">
        <f>IFERROR(__xludf.DUMMYFUNCTION("""COMPUTED_VALUE"""),"BLACK")</f>
        <v>BLACK</v>
      </c>
      <c r="G486" s="20" t="str">
        <f>IFERROR(__xludf.DUMMYFUNCTION("""COMPUTED_VALUE"""),"Uncle Sams Cider (11/12/2021) 02")</f>
        <v>Uncle Sams Cider (11/12/2021) 02</v>
      </c>
      <c r="H486" s="19"/>
    </row>
    <row r="487">
      <c r="A487" s="9"/>
      <c r="B487" s="15"/>
      <c r="C487" s="9">
        <f>IFERROR(__xludf.DUMMYFUNCTION("""COMPUTED_VALUE"""),44600.4823521064)</f>
        <v>44600.48235</v>
      </c>
      <c r="D487" s="15">
        <f>IFERROR(__xludf.DUMMYFUNCTION("""COMPUTED_VALUE"""),1.004)</f>
        <v>1.004</v>
      </c>
      <c r="E487" s="16">
        <f>IFERROR(__xludf.DUMMYFUNCTION("""COMPUTED_VALUE"""),63.0)</f>
        <v>63</v>
      </c>
      <c r="F487" s="19" t="str">
        <f>IFERROR(__xludf.DUMMYFUNCTION("""COMPUTED_VALUE"""),"BLACK")</f>
        <v>BLACK</v>
      </c>
      <c r="G487" s="20" t="str">
        <f>IFERROR(__xludf.DUMMYFUNCTION("""COMPUTED_VALUE"""),"Uncle Sams Cider (11/12/2021) 02")</f>
        <v>Uncle Sams Cider (11/12/2021) 02</v>
      </c>
      <c r="H487" s="19"/>
    </row>
    <row r="488">
      <c r="A488" s="9"/>
      <c r="B488" s="15"/>
      <c r="C488" s="9">
        <f>IFERROR(__xludf.DUMMYFUNCTION("""COMPUTED_VALUE"""),44600.4719310416)</f>
        <v>44600.47193</v>
      </c>
      <c r="D488" s="15">
        <f>IFERROR(__xludf.DUMMYFUNCTION("""COMPUTED_VALUE"""),1.004)</f>
        <v>1.004</v>
      </c>
      <c r="E488" s="16">
        <f>IFERROR(__xludf.DUMMYFUNCTION("""COMPUTED_VALUE"""),63.0)</f>
        <v>63</v>
      </c>
      <c r="F488" s="19" t="str">
        <f>IFERROR(__xludf.DUMMYFUNCTION("""COMPUTED_VALUE"""),"BLACK")</f>
        <v>BLACK</v>
      </c>
      <c r="G488" s="20" t="str">
        <f>IFERROR(__xludf.DUMMYFUNCTION("""COMPUTED_VALUE"""),"Uncle Sams Cider (11/12/2021) 02")</f>
        <v>Uncle Sams Cider (11/12/2021) 02</v>
      </c>
      <c r="H488" s="19"/>
    </row>
    <row r="489">
      <c r="A489" s="9"/>
      <c r="B489" s="15"/>
      <c r="C489" s="9">
        <f>IFERROR(__xludf.DUMMYFUNCTION("""COMPUTED_VALUE"""),44600.461509155)</f>
        <v>44600.46151</v>
      </c>
      <c r="D489" s="15">
        <f>IFERROR(__xludf.DUMMYFUNCTION("""COMPUTED_VALUE"""),1.004)</f>
        <v>1.004</v>
      </c>
      <c r="E489" s="16">
        <f>IFERROR(__xludf.DUMMYFUNCTION("""COMPUTED_VALUE"""),63.0)</f>
        <v>63</v>
      </c>
      <c r="F489" s="19" t="str">
        <f>IFERROR(__xludf.DUMMYFUNCTION("""COMPUTED_VALUE"""),"BLACK")</f>
        <v>BLACK</v>
      </c>
      <c r="G489" s="20" t="str">
        <f>IFERROR(__xludf.DUMMYFUNCTION("""COMPUTED_VALUE"""),"Uncle Sams Cider (11/12/2021) 02")</f>
        <v>Uncle Sams Cider (11/12/2021) 02</v>
      </c>
      <c r="H489" s="19"/>
    </row>
    <row r="490">
      <c r="A490" s="9"/>
      <c r="B490" s="15"/>
      <c r="C490" s="9">
        <f>IFERROR(__xludf.DUMMYFUNCTION("""COMPUTED_VALUE"""),44600.4510875231)</f>
        <v>44600.45109</v>
      </c>
      <c r="D490" s="15">
        <f>IFERROR(__xludf.DUMMYFUNCTION("""COMPUTED_VALUE"""),1.004)</f>
        <v>1.004</v>
      </c>
      <c r="E490" s="16">
        <f>IFERROR(__xludf.DUMMYFUNCTION("""COMPUTED_VALUE"""),63.0)</f>
        <v>63</v>
      </c>
      <c r="F490" s="19" t="str">
        <f>IFERROR(__xludf.DUMMYFUNCTION("""COMPUTED_VALUE"""),"BLACK")</f>
        <v>BLACK</v>
      </c>
      <c r="G490" s="20" t="str">
        <f>IFERROR(__xludf.DUMMYFUNCTION("""COMPUTED_VALUE"""),"Uncle Sams Cider (11/12/2021) 02")</f>
        <v>Uncle Sams Cider (11/12/2021) 02</v>
      </c>
      <c r="H490" s="19"/>
    </row>
    <row r="491">
      <c r="A491" s="9"/>
      <c r="B491" s="15"/>
      <c r="C491" s="9">
        <f>IFERROR(__xludf.DUMMYFUNCTION("""COMPUTED_VALUE"""),44600.4406660995)</f>
        <v>44600.44067</v>
      </c>
      <c r="D491" s="15">
        <f>IFERROR(__xludf.DUMMYFUNCTION("""COMPUTED_VALUE"""),1.004)</f>
        <v>1.004</v>
      </c>
      <c r="E491" s="16">
        <f>IFERROR(__xludf.DUMMYFUNCTION("""COMPUTED_VALUE"""),63.0)</f>
        <v>63</v>
      </c>
      <c r="F491" s="19" t="str">
        <f>IFERROR(__xludf.DUMMYFUNCTION("""COMPUTED_VALUE"""),"BLACK")</f>
        <v>BLACK</v>
      </c>
      <c r="G491" s="20" t="str">
        <f>IFERROR(__xludf.DUMMYFUNCTION("""COMPUTED_VALUE"""),"Uncle Sams Cider (11/12/2021) 02")</f>
        <v>Uncle Sams Cider (11/12/2021) 02</v>
      </c>
      <c r="H491" s="19"/>
    </row>
    <row r="492">
      <c r="A492" s="9"/>
      <c r="B492" s="15"/>
      <c r="C492" s="9">
        <f>IFERROR(__xludf.DUMMYFUNCTION("""COMPUTED_VALUE"""),44600.4302435532)</f>
        <v>44600.43024</v>
      </c>
      <c r="D492" s="15">
        <f>IFERROR(__xludf.DUMMYFUNCTION("""COMPUTED_VALUE"""),1.004)</f>
        <v>1.004</v>
      </c>
      <c r="E492" s="16">
        <f>IFERROR(__xludf.DUMMYFUNCTION("""COMPUTED_VALUE"""),63.0)</f>
        <v>63</v>
      </c>
      <c r="F492" s="19" t="str">
        <f>IFERROR(__xludf.DUMMYFUNCTION("""COMPUTED_VALUE"""),"BLACK")</f>
        <v>BLACK</v>
      </c>
      <c r="G492" s="20" t="str">
        <f>IFERROR(__xludf.DUMMYFUNCTION("""COMPUTED_VALUE"""),"Uncle Sams Cider (11/12/2021) 02")</f>
        <v>Uncle Sams Cider (11/12/2021) 02</v>
      </c>
      <c r="H492" s="19"/>
    </row>
    <row r="493">
      <c r="A493" s="9"/>
      <c r="B493" s="15"/>
      <c r="C493" s="9">
        <f>IFERROR(__xludf.DUMMYFUNCTION("""COMPUTED_VALUE"""),44600.419821574)</f>
        <v>44600.41982</v>
      </c>
      <c r="D493" s="15">
        <f>IFERROR(__xludf.DUMMYFUNCTION("""COMPUTED_VALUE"""),1.004)</f>
        <v>1.004</v>
      </c>
      <c r="E493" s="16">
        <f>IFERROR(__xludf.DUMMYFUNCTION("""COMPUTED_VALUE"""),63.0)</f>
        <v>63</v>
      </c>
      <c r="F493" s="19" t="str">
        <f>IFERROR(__xludf.DUMMYFUNCTION("""COMPUTED_VALUE"""),"BLACK")</f>
        <v>BLACK</v>
      </c>
      <c r="G493" s="20" t="str">
        <f>IFERROR(__xludf.DUMMYFUNCTION("""COMPUTED_VALUE"""),"Uncle Sams Cider (11/12/2021) 02")</f>
        <v>Uncle Sams Cider (11/12/2021) 02</v>
      </c>
      <c r="H493" s="19"/>
    </row>
    <row r="494">
      <c r="A494" s="9"/>
      <c r="B494" s="15"/>
      <c r="C494" s="9">
        <f>IFERROR(__xludf.DUMMYFUNCTION("""COMPUTED_VALUE"""),44600.4093883796)</f>
        <v>44600.40939</v>
      </c>
      <c r="D494" s="15">
        <f>IFERROR(__xludf.DUMMYFUNCTION("""COMPUTED_VALUE"""),1.004)</f>
        <v>1.004</v>
      </c>
      <c r="E494" s="16">
        <f>IFERROR(__xludf.DUMMYFUNCTION("""COMPUTED_VALUE"""),63.0)</f>
        <v>63</v>
      </c>
      <c r="F494" s="19" t="str">
        <f>IFERROR(__xludf.DUMMYFUNCTION("""COMPUTED_VALUE"""),"BLACK")</f>
        <v>BLACK</v>
      </c>
      <c r="G494" s="20" t="str">
        <f>IFERROR(__xludf.DUMMYFUNCTION("""COMPUTED_VALUE"""),"Uncle Sams Cider (11/12/2021) 02")</f>
        <v>Uncle Sams Cider (11/12/2021) 02</v>
      </c>
      <c r="H494" s="19"/>
    </row>
    <row r="495">
      <c r="A495" s="9"/>
      <c r="B495" s="15"/>
      <c r="C495" s="9">
        <f>IFERROR(__xludf.DUMMYFUNCTION("""COMPUTED_VALUE"""),44600.3989442939)</f>
        <v>44600.39894</v>
      </c>
      <c r="D495" s="15">
        <f>IFERROR(__xludf.DUMMYFUNCTION("""COMPUTED_VALUE"""),1.004)</f>
        <v>1.004</v>
      </c>
      <c r="E495" s="16">
        <f>IFERROR(__xludf.DUMMYFUNCTION("""COMPUTED_VALUE"""),63.0)</f>
        <v>63</v>
      </c>
      <c r="F495" s="19" t="str">
        <f>IFERROR(__xludf.DUMMYFUNCTION("""COMPUTED_VALUE"""),"BLACK")</f>
        <v>BLACK</v>
      </c>
      <c r="G495" s="20" t="str">
        <f>IFERROR(__xludf.DUMMYFUNCTION("""COMPUTED_VALUE"""),"Uncle Sams Cider (11/12/2021) 02")</f>
        <v>Uncle Sams Cider (11/12/2021) 02</v>
      </c>
      <c r="H495" s="19"/>
    </row>
    <row r="496">
      <c r="A496" s="9"/>
      <c r="B496" s="15"/>
      <c r="C496" s="9">
        <f>IFERROR(__xludf.DUMMYFUNCTION("""COMPUTED_VALUE"""),44600.3885249537)</f>
        <v>44600.38852</v>
      </c>
      <c r="D496" s="15">
        <f>IFERROR(__xludf.DUMMYFUNCTION("""COMPUTED_VALUE"""),1.004)</f>
        <v>1.004</v>
      </c>
      <c r="E496" s="16">
        <f>IFERROR(__xludf.DUMMYFUNCTION("""COMPUTED_VALUE"""),63.0)</f>
        <v>63</v>
      </c>
      <c r="F496" s="19" t="str">
        <f>IFERROR(__xludf.DUMMYFUNCTION("""COMPUTED_VALUE"""),"BLACK")</f>
        <v>BLACK</v>
      </c>
      <c r="G496" s="20" t="str">
        <f>IFERROR(__xludf.DUMMYFUNCTION("""COMPUTED_VALUE"""),"Uncle Sams Cider (11/12/2021) 02")</f>
        <v>Uncle Sams Cider (11/12/2021) 02</v>
      </c>
      <c r="H496" s="19"/>
    </row>
    <row r="497">
      <c r="A497" s="9"/>
      <c r="B497" s="15"/>
      <c r="C497" s="9">
        <f>IFERROR(__xludf.DUMMYFUNCTION("""COMPUTED_VALUE"""),44600.3781038888)</f>
        <v>44600.3781</v>
      </c>
      <c r="D497" s="15">
        <f>IFERROR(__xludf.DUMMYFUNCTION("""COMPUTED_VALUE"""),1.004)</f>
        <v>1.004</v>
      </c>
      <c r="E497" s="16">
        <f>IFERROR(__xludf.DUMMYFUNCTION("""COMPUTED_VALUE"""),63.0)</f>
        <v>63</v>
      </c>
      <c r="F497" s="19" t="str">
        <f>IFERROR(__xludf.DUMMYFUNCTION("""COMPUTED_VALUE"""),"BLACK")</f>
        <v>BLACK</v>
      </c>
      <c r="G497" s="20" t="str">
        <f>IFERROR(__xludf.DUMMYFUNCTION("""COMPUTED_VALUE"""),"Uncle Sams Cider (11/12/2021) 02")</f>
        <v>Uncle Sams Cider (11/12/2021) 02</v>
      </c>
      <c r="H497" s="19"/>
    </row>
    <row r="498">
      <c r="A498" s="9"/>
      <c r="B498" s="15"/>
      <c r="C498" s="9">
        <f>IFERROR(__xludf.DUMMYFUNCTION("""COMPUTED_VALUE"""),44600.3676704629)</f>
        <v>44600.36767</v>
      </c>
      <c r="D498" s="15">
        <f>IFERROR(__xludf.DUMMYFUNCTION("""COMPUTED_VALUE"""),1.004)</f>
        <v>1.004</v>
      </c>
      <c r="E498" s="16">
        <f>IFERROR(__xludf.DUMMYFUNCTION("""COMPUTED_VALUE"""),63.0)</f>
        <v>63</v>
      </c>
      <c r="F498" s="19" t="str">
        <f>IFERROR(__xludf.DUMMYFUNCTION("""COMPUTED_VALUE"""),"BLACK")</f>
        <v>BLACK</v>
      </c>
      <c r="G498" s="20" t="str">
        <f>IFERROR(__xludf.DUMMYFUNCTION("""COMPUTED_VALUE"""),"Uncle Sams Cider (11/12/2021) 02")</f>
        <v>Uncle Sams Cider (11/12/2021) 02</v>
      </c>
      <c r="H498" s="19"/>
    </row>
    <row r="499">
      <c r="A499" s="9"/>
      <c r="B499" s="15"/>
      <c r="C499" s="9">
        <f>IFERROR(__xludf.DUMMYFUNCTION("""COMPUTED_VALUE"""),44600.3572486111)</f>
        <v>44600.35725</v>
      </c>
      <c r="D499" s="15">
        <f>IFERROR(__xludf.DUMMYFUNCTION("""COMPUTED_VALUE"""),1.004)</f>
        <v>1.004</v>
      </c>
      <c r="E499" s="16">
        <f>IFERROR(__xludf.DUMMYFUNCTION("""COMPUTED_VALUE"""),63.0)</f>
        <v>63</v>
      </c>
      <c r="F499" s="19" t="str">
        <f>IFERROR(__xludf.DUMMYFUNCTION("""COMPUTED_VALUE"""),"BLACK")</f>
        <v>BLACK</v>
      </c>
      <c r="G499" s="20" t="str">
        <f>IFERROR(__xludf.DUMMYFUNCTION("""COMPUTED_VALUE"""),"Uncle Sams Cider (11/12/2021) 02")</f>
        <v>Uncle Sams Cider (11/12/2021) 02</v>
      </c>
      <c r="H499" s="19"/>
    </row>
    <row r="500">
      <c r="A500" s="9"/>
      <c r="B500" s="15"/>
      <c r="C500" s="9">
        <f>IFERROR(__xludf.DUMMYFUNCTION("""COMPUTED_VALUE"""),44600.3468156249)</f>
        <v>44600.34682</v>
      </c>
      <c r="D500" s="15">
        <f>IFERROR(__xludf.DUMMYFUNCTION("""COMPUTED_VALUE"""),1.004)</f>
        <v>1.004</v>
      </c>
      <c r="E500" s="16">
        <f>IFERROR(__xludf.DUMMYFUNCTION("""COMPUTED_VALUE"""),63.0)</f>
        <v>63</v>
      </c>
      <c r="F500" s="19" t="str">
        <f>IFERROR(__xludf.DUMMYFUNCTION("""COMPUTED_VALUE"""),"BLACK")</f>
        <v>BLACK</v>
      </c>
      <c r="G500" s="20" t="str">
        <f>IFERROR(__xludf.DUMMYFUNCTION("""COMPUTED_VALUE"""),"Uncle Sams Cider (11/12/2021) 02")</f>
        <v>Uncle Sams Cider (11/12/2021) 02</v>
      </c>
      <c r="H500" s="19"/>
    </row>
    <row r="501">
      <c r="A501" s="9"/>
      <c r="B501" s="15"/>
      <c r="C501" s="9">
        <f>IFERROR(__xludf.DUMMYFUNCTION("""COMPUTED_VALUE"""),44600.3363950462)</f>
        <v>44600.3364</v>
      </c>
      <c r="D501" s="15">
        <f>IFERROR(__xludf.DUMMYFUNCTION("""COMPUTED_VALUE"""),1.004)</f>
        <v>1.004</v>
      </c>
      <c r="E501" s="16">
        <f>IFERROR(__xludf.DUMMYFUNCTION("""COMPUTED_VALUE"""),63.0)</f>
        <v>63</v>
      </c>
      <c r="F501" s="19" t="str">
        <f>IFERROR(__xludf.DUMMYFUNCTION("""COMPUTED_VALUE"""),"BLACK")</f>
        <v>BLACK</v>
      </c>
      <c r="G501" s="20" t="str">
        <f>IFERROR(__xludf.DUMMYFUNCTION("""COMPUTED_VALUE"""),"Uncle Sams Cider (11/12/2021) 02")</f>
        <v>Uncle Sams Cider (11/12/2021) 02</v>
      </c>
      <c r="H501" s="19"/>
    </row>
    <row r="502">
      <c r="A502" s="9"/>
      <c r="B502" s="15"/>
      <c r="C502" s="9">
        <f>IFERROR(__xludf.DUMMYFUNCTION("""COMPUTED_VALUE"""),44600.3259739814)</f>
        <v>44600.32597</v>
      </c>
      <c r="D502" s="15">
        <f>IFERROR(__xludf.DUMMYFUNCTION("""COMPUTED_VALUE"""),1.004)</f>
        <v>1.004</v>
      </c>
      <c r="E502" s="16">
        <f>IFERROR(__xludf.DUMMYFUNCTION("""COMPUTED_VALUE"""),63.0)</f>
        <v>63</v>
      </c>
      <c r="F502" s="19" t="str">
        <f>IFERROR(__xludf.DUMMYFUNCTION("""COMPUTED_VALUE"""),"BLACK")</f>
        <v>BLACK</v>
      </c>
      <c r="G502" s="20" t="str">
        <f>IFERROR(__xludf.DUMMYFUNCTION("""COMPUTED_VALUE"""),"Uncle Sams Cider (11/12/2021) 02")</f>
        <v>Uncle Sams Cider (11/12/2021) 02</v>
      </c>
      <c r="H502" s="19"/>
    </row>
    <row r="503">
      <c r="A503" s="9"/>
      <c r="B503" s="15"/>
      <c r="C503" s="9">
        <f>IFERROR(__xludf.DUMMYFUNCTION("""COMPUTED_VALUE"""),44600.3155507754)</f>
        <v>44600.31555</v>
      </c>
      <c r="D503" s="15">
        <f>IFERROR(__xludf.DUMMYFUNCTION("""COMPUTED_VALUE"""),1.004)</f>
        <v>1.004</v>
      </c>
      <c r="E503" s="16">
        <f>IFERROR(__xludf.DUMMYFUNCTION("""COMPUTED_VALUE"""),63.0)</f>
        <v>63</v>
      </c>
      <c r="F503" s="19" t="str">
        <f>IFERROR(__xludf.DUMMYFUNCTION("""COMPUTED_VALUE"""),"BLACK")</f>
        <v>BLACK</v>
      </c>
      <c r="G503" s="20" t="str">
        <f>IFERROR(__xludf.DUMMYFUNCTION("""COMPUTED_VALUE"""),"Uncle Sams Cider (11/12/2021) 02")</f>
        <v>Uncle Sams Cider (11/12/2021) 02</v>
      </c>
      <c r="H503" s="19"/>
    </row>
    <row r="504">
      <c r="A504" s="9"/>
      <c r="B504" s="15"/>
      <c r="C504" s="9">
        <f>IFERROR(__xludf.DUMMYFUNCTION("""COMPUTED_VALUE"""),44600.3051180902)</f>
        <v>44600.30512</v>
      </c>
      <c r="D504" s="15">
        <f>IFERROR(__xludf.DUMMYFUNCTION("""COMPUTED_VALUE"""),1.004)</f>
        <v>1.004</v>
      </c>
      <c r="E504" s="16">
        <f>IFERROR(__xludf.DUMMYFUNCTION("""COMPUTED_VALUE"""),63.0)</f>
        <v>63</v>
      </c>
      <c r="F504" s="19" t="str">
        <f>IFERROR(__xludf.DUMMYFUNCTION("""COMPUTED_VALUE"""),"BLACK")</f>
        <v>BLACK</v>
      </c>
      <c r="G504" s="20" t="str">
        <f>IFERROR(__xludf.DUMMYFUNCTION("""COMPUTED_VALUE"""),"Uncle Sams Cider (11/12/2021) 02")</f>
        <v>Uncle Sams Cider (11/12/2021) 02</v>
      </c>
      <c r="H504" s="19"/>
    </row>
    <row r="505">
      <c r="A505" s="9"/>
      <c r="B505" s="15"/>
      <c r="C505" s="9">
        <f>IFERROR(__xludf.DUMMYFUNCTION("""COMPUTED_VALUE"""),44600.2946984837)</f>
        <v>44600.2947</v>
      </c>
      <c r="D505" s="15">
        <f>IFERROR(__xludf.DUMMYFUNCTION("""COMPUTED_VALUE"""),1.004)</f>
        <v>1.004</v>
      </c>
      <c r="E505" s="16">
        <f>IFERROR(__xludf.DUMMYFUNCTION("""COMPUTED_VALUE"""),63.0)</f>
        <v>63</v>
      </c>
      <c r="F505" s="19" t="str">
        <f>IFERROR(__xludf.DUMMYFUNCTION("""COMPUTED_VALUE"""),"BLACK")</f>
        <v>BLACK</v>
      </c>
      <c r="G505" s="20" t="str">
        <f>IFERROR(__xludf.DUMMYFUNCTION("""COMPUTED_VALUE"""),"Uncle Sams Cider (11/12/2021) 02")</f>
        <v>Uncle Sams Cider (11/12/2021) 02</v>
      </c>
      <c r="H505" s="19"/>
    </row>
    <row r="506">
      <c r="A506" s="9"/>
      <c r="B506" s="15"/>
      <c r="C506" s="9">
        <f>IFERROR(__xludf.DUMMYFUNCTION("""COMPUTED_VALUE"""),44600.2842653125)</f>
        <v>44600.28427</v>
      </c>
      <c r="D506" s="15">
        <f>IFERROR(__xludf.DUMMYFUNCTION("""COMPUTED_VALUE"""),1.004)</f>
        <v>1.004</v>
      </c>
      <c r="E506" s="16">
        <f>IFERROR(__xludf.DUMMYFUNCTION("""COMPUTED_VALUE"""),63.0)</f>
        <v>63</v>
      </c>
      <c r="F506" s="19" t="str">
        <f>IFERROR(__xludf.DUMMYFUNCTION("""COMPUTED_VALUE"""),"BLACK")</f>
        <v>BLACK</v>
      </c>
      <c r="G506" s="20" t="str">
        <f>IFERROR(__xludf.DUMMYFUNCTION("""COMPUTED_VALUE"""),"Uncle Sams Cider (11/12/2021) 02")</f>
        <v>Uncle Sams Cider (11/12/2021) 02</v>
      </c>
      <c r="H506" s="19"/>
    </row>
    <row r="507">
      <c r="A507" s="9"/>
      <c r="B507" s="15"/>
      <c r="C507" s="9">
        <f>IFERROR(__xludf.DUMMYFUNCTION("""COMPUTED_VALUE"""),44600.2738435069)</f>
        <v>44600.27384</v>
      </c>
      <c r="D507" s="15">
        <f>IFERROR(__xludf.DUMMYFUNCTION("""COMPUTED_VALUE"""),1.004)</f>
        <v>1.004</v>
      </c>
      <c r="E507" s="16">
        <f>IFERROR(__xludf.DUMMYFUNCTION("""COMPUTED_VALUE"""),63.0)</f>
        <v>63</v>
      </c>
      <c r="F507" s="19" t="str">
        <f>IFERROR(__xludf.DUMMYFUNCTION("""COMPUTED_VALUE"""),"BLACK")</f>
        <v>BLACK</v>
      </c>
      <c r="G507" s="20" t="str">
        <f>IFERROR(__xludf.DUMMYFUNCTION("""COMPUTED_VALUE"""),"Uncle Sams Cider (11/12/2021) 02")</f>
        <v>Uncle Sams Cider (11/12/2021) 02</v>
      </c>
      <c r="H507" s="19"/>
    </row>
    <row r="508">
      <c r="A508" s="9"/>
      <c r="B508" s="15"/>
      <c r="C508" s="9">
        <f>IFERROR(__xludf.DUMMYFUNCTION("""COMPUTED_VALUE"""),44600.2633638425)</f>
        <v>44600.26336</v>
      </c>
      <c r="D508" s="15">
        <f>IFERROR(__xludf.DUMMYFUNCTION("""COMPUTED_VALUE"""),1.004)</f>
        <v>1.004</v>
      </c>
      <c r="E508" s="16">
        <f>IFERROR(__xludf.DUMMYFUNCTION("""COMPUTED_VALUE"""),63.0)</f>
        <v>63</v>
      </c>
      <c r="F508" s="19" t="str">
        <f>IFERROR(__xludf.DUMMYFUNCTION("""COMPUTED_VALUE"""),"BLACK")</f>
        <v>BLACK</v>
      </c>
      <c r="G508" s="20" t="str">
        <f>IFERROR(__xludf.DUMMYFUNCTION("""COMPUTED_VALUE"""),"Uncle Sams Cider (11/12/2021) 02")</f>
        <v>Uncle Sams Cider (11/12/2021) 02</v>
      </c>
      <c r="H508" s="19"/>
    </row>
    <row r="509">
      <c r="A509" s="9"/>
      <c r="B509" s="15"/>
      <c r="C509" s="9">
        <f>IFERROR(__xludf.DUMMYFUNCTION("""COMPUTED_VALUE"""),44600.2529443287)</f>
        <v>44600.25294</v>
      </c>
      <c r="D509" s="15">
        <f>IFERROR(__xludf.DUMMYFUNCTION("""COMPUTED_VALUE"""),1.004)</f>
        <v>1.004</v>
      </c>
      <c r="E509" s="16">
        <f>IFERROR(__xludf.DUMMYFUNCTION("""COMPUTED_VALUE"""),63.0)</f>
        <v>63</v>
      </c>
      <c r="F509" s="19" t="str">
        <f>IFERROR(__xludf.DUMMYFUNCTION("""COMPUTED_VALUE"""),"BLACK")</f>
        <v>BLACK</v>
      </c>
      <c r="G509" s="20" t="str">
        <f>IFERROR(__xludf.DUMMYFUNCTION("""COMPUTED_VALUE"""),"Uncle Sams Cider (11/12/2021) 02")</f>
        <v>Uncle Sams Cider (11/12/2021) 02</v>
      </c>
      <c r="H509" s="19"/>
    </row>
    <row r="510">
      <c r="A510" s="9"/>
      <c r="B510" s="15"/>
      <c r="C510" s="9">
        <f>IFERROR(__xludf.DUMMYFUNCTION("""COMPUTED_VALUE"""),44600.2425100925)</f>
        <v>44600.24251</v>
      </c>
      <c r="D510" s="15">
        <f>IFERROR(__xludf.DUMMYFUNCTION("""COMPUTED_VALUE"""),1.004)</f>
        <v>1.004</v>
      </c>
      <c r="E510" s="16">
        <f>IFERROR(__xludf.DUMMYFUNCTION("""COMPUTED_VALUE"""),63.0)</f>
        <v>63</v>
      </c>
      <c r="F510" s="19" t="str">
        <f>IFERROR(__xludf.DUMMYFUNCTION("""COMPUTED_VALUE"""),"BLACK")</f>
        <v>BLACK</v>
      </c>
      <c r="G510" s="20" t="str">
        <f>IFERROR(__xludf.DUMMYFUNCTION("""COMPUTED_VALUE"""),"Uncle Sams Cider (11/12/2021) 02")</f>
        <v>Uncle Sams Cider (11/12/2021) 02</v>
      </c>
      <c r="H510" s="19"/>
    </row>
    <row r="511">
      <c r="A511" s="9"/>
      <c r="B511" s="15"/>
      <c r="C511" s="9">
        <f>IFERROR(__xludf.DUMMYFUNCTION("""COMPUTED_VALUE"""),44600.2320677777)</f>
        <v>44600.23207</v>
      </c>
      <c r="D511" s="15">
        <f>IFERROR(__xludf.DUMMYFUNCTION("""COMPUTED_VALUE"""),1.004)</f>
        <v>1.004</v>
      </c>
      <c r="E511" s="16">
        <f>IFERROR(__xludf.DUMMYFUNCTION("""COMPUTED_VALUE"""),63.0)</f>
        <v>63</v>
      </c>
      <c r="F511" s="19" t="str">
        <f>IFERROR(__xludf.DUMMYFUNCTION("""COMPUTED_VALUE"""),"BLACK")</f>
        <v>BLACK</v>
      </c>
      <c r="G511" s="20" t="str">
        <f>IFERROR(__xludf.DUMMYFUNCTION("""COMPUTED_VALUE"""),"Uncle Sams Cider (11/12/2021) 02")</f>
        <v>Uncle Sams Cider (11/12/2021) 02</v>
      </c>
      <c r="H511" s="19"/>
    </row>
    <row r="512">
      <c r="A512" s="9"/>
      <c r="B512" s="15"/>
      <c r="C512" s="9">
        <f>IFERROR(__xludf.DUMMYFUNCTION("""COMPUTED_VALUE"""),44600.221646875)</f>
        <v>44600.22165</v>
      </c>
      <c r="D512" s="15">
        <f>IFERROR(__xludf.DUMMYFUNCTION("""COMPUTED_VALUE"""),1.004)</f>
        <v>1.004</v>
      </c>
      <c r="E512" s="16">
        <f>IFERROR(__xludf.DUMMYFUNCTION("""COMPUTED_VALUE"""),63.0)</f>
        <v>63</v>
      </c>
      <c r="F512" s="19" t="str">
        <f>IFERROR(__xludf.DUMMYFUNCTION("""COMPUTED_VALUE"""),"BLACK")</f>
        <v>BLACK</v>
      </c>
      <c r="G512" s="20" t="str">
        <f>IFERROR(__xludf.DUMMYFUNCTION("""COMPUTED_VALUE"""),"Uncle Sams Cider (11/12/2021) 02")</f>
        <v>Uncle Sams Cider (11/12/2021) 02</v>
      </c>
      <c r="H512" s="19"/>
    </row>
    <row r="513">
      <c r="A513" s="9"/>
      <c r="B513" s="15"/>
      <c r="C513" s="9">
        <f>IFERROR(__xludf.DUMMYFUNCTION("""COMPUTED_VALUE"""),44600.2112269097)</f>
        <v>44600.21123</v>
      </c>
      <c r="D513" s="15">
        <f>IFERROR(__xludf.DUMMYFUNCTION("""COMPUTED_VALUE"""),1.004)</f>
        <v>1.004</v>
      </c>
      <c r="E513" s="16">
        <f>IFERROR(__xludf.DUMMYFUNCTION("""COMPUTED_VALUE"""),63.0)</f>
        <v>63</v>
      </c>
      <c r="F513" s="19" t="str">
        <f>IFERROR(__xludf.DUMMYFUNCTION("""COMPUTED_VALUE"""),"BLACK")</f>
        <v>BLACK</v>
      </c>
      <c r="G513" s="20" t="str">
        <f>IFERROR(__xludf.DUMMYFUNCTION("""COMPUTED_VALUE"""),"Uncle Sams Cider (11/12/2021) 02")</f>
        <v>Uncle Sams Cider (11/12/2021) 02</v>
      </c>
      <c r="H513" s="19"/>
    </row>
    <row r="514">
      <c r="A514" s="9"/>
      <c r="B514" s="15"/>
      <c r="C514" s="9">
        <f>IFERROR(__xludf.DUMMYFUNCTION("""COMPUTED_VALUE"""),44600.2008038078)</f>
        <v>44600.2008</v>
      </c>
      <c r="D514" s="15">
        <f>IFERROR(__xludf.DUMMYFUNCTION("""COMPUTED_VALUE"""),1.004)</f>
        <v>1.004</v>
      </c>
      <c r="E514" s="16">
        <f>IFERROR(__xludf.DUMMYFUNCTION("""COMPUTED_VALUE"""),63.0)</f>
        <v>63</v>
      </c>
      <c r="F514" s="19" t="str">
        <f>IFERROR(__xludf.DUMMYFUNCTION("""COMPUTED_VALUE"""),"BLACK")</f>
        <v>BLACK</v>
      </c>
      <c r="G514" s="20" t="str">
        <f>IFERROR(__xludf.DUMMYFUNCTION("""COMPUTED_VALUE"""),"Uncle Sams Cider (11/12/2021) 02")</f>
        <v>Uncle Sams Cider (11/12/2021) 02</v>
      </c>
      <c r="H514" s="19"/>
    </row>
    <row r="515">
      <c r="A515" s="9"/>
      <c r="B515" s="15"/>
      <c r="C515" s="9">
        <f>IFERROR(__xludf.DUMMYFUNCTION("""COMPUTED_VALUE"""),44600.1903837615)</f>
        <v>44600.19038</v>
      </c>
      <c r="D515" s="15">
        <f>IFERROR(__xludf.DUMMYFUNCTION("""COMPUTED_VALUE"""),1.004)</f>
        <v>1.004</v>
      </c>
      <c r="E515" s="16">
        <f>IFERROR(__xludf.DUMMYFUNCTION("""COMPUTED_VALUE"""),63.0)</f>
        <v>63</v>
      </c>
      <c r="F515" s="19" t="str">
        <f>IFERROR(__xludf.DUMMYFUNCTION("""COMPUTED_VALUE"""),"BLACK")</f>
        <v>BLACK</v>
      </c>
      <c r="G515" s="20" t="str">
        <f>IFERROR(__xludf.DUMMYFUNCTION("""COMPUTED_VALUE"""),"Uncle Sams Cider (11/12/2021) 02")</f>
        <v>Uncle Sams Cider (11/12/2021) 02</v>
      </c>
      <c r="H515" s="19"/>
    </row>
    <row r="516">
      <c r="A516" s="9"/>
      <c r="B516" s="15"/>
      <c r="C516" s="9">
        <f>IFERROR(__xludf.DUMMYFUNCTION("""COMPUTED_VALUE"""),44600.1799635879)</f>
        <v>44600.17996</v>
      </c>
      <c r="D516" s="15">
        <f>IFERROR(__xludf.DUMMYFUNCTION("""COMPUTED_VALUE"""),1.004)</f>
        <v>1.004</v>
      </c>
      <c r="E516" s="16">
        <f>IFERROR(__xludf.DUMMYFUNCTION("""COMPUTED_VALUE"""),63.0)</f>
        <v>63</v>
      </c>
      <c r="F516" s="19" t="str">
        <f>IFERROR(__xludf.DUMMYFUNCTION("""COMPUTED_VALUE"""),"BLACK")</f>
        <v>BLACK</v>
      </c>
      <c r="G516" s="20" t="str">
        <f>IFERROR(__xludf.DUMMYFUNCTION("""COMPUTED_VALUE"""),"Uncle Sams Cider (11/12/2021) 02")</f>
        <v>Uncle Sams Cider (11/12/2021) 02</v>
      </c>
      <c r="H516" s="19"/>
    </row>
    <row r="517">
      <c r="A517" s="9"/>
      <c r="B517" s="15"/>
      <c r="C517" s="9">
        <f>IFERROR(__xludf.DUMMYFUNCTION("""COMPUTED_VALUE"""),44600.1695433333)</f>
        <v>44600.16954</v>
      </c>
      <c r="D517" s="15">
        <f>IFERROR(__xludf.DUMMYFUNCTION("""COMPUTED_VALUE"""),1.004)</f>
        <v>1.004</v>
      </c>
      <c r="E517" s="16">
        <f>IFERROR(__xludf.DUMMYFUNCTION("""COMPUTED_VALUE"""),63.0)</f>
        <v>63</v>
      </c>
      <c r="F517" s="19" t="str">
        <f>IFERROR(__xludf.DUMMYFUNCTION("""COMPUTED_VALUE"""),"BLACK")</f>
        <v>BLACK</v>
      </c>
      <c r="G517" s="20" t="str">
        <f>IFERROR(__xludf.DUMMYFUNCTION("""COMPUTED_VALUE"""),"Uncle Sams Cider (11/12/2021) 02")</f>
        <v>Uncle Sams Cider (11/12/2021) 02</v>
      </c>
      <c r="H517" s="19"/>
    </row>
    <row r="518">
      <c r="A518" s="9"/>
      <c r="B518" s="15"/>
      <c r="C518" s="9">
        <f>IFERROR(__xludf.DUMMYFUNCTION("""COMPUTED_VALUE"""),44600.1591212268)</f>
        <v>44600.15912</v>
      </c>
      <c r="D518" s="15">
        <f>IFERROR(__xludf.DUMMYFUNCTION("""COMPUTED_VALUE"""),1.004)</f>
        <v>1.004</v>
      </c>
      <c r="E518" s="16">
        <f>IFERROR(__xludf.DUMMYFUNCTION("""COMPUTED_VALUE"""),63.0)</f>
        <v>63</v>
      </c>
      <c r="F518" s="19" t="str">
        <f>IFERROR(__xludf.DUMMYFUNCTION("""COMPUTED_VALUE"""),"BLACK")</f>
        <v>BLACK</v>
      </c>
      <c r="G518" s="20" t="str">
        <f>IFERROR(__xludf.DUMMYFUNCTION("""COMPUTED_VALUE"""),"Uncle Sams Cider (11/12/2021) 02")</f>
        <v>Uncle Sams Cider (11/12/2021) 02</v>
      </c>
      <c r="H518" s="19"/>
    </row>
    <row r="519">
      <c r="A519" s="9"/>
      <c r="B519" s="15"/>
      <c r="C519" s="9">
        <f>IFERROR(__xludf.DUMMYFUNCTION("""COMPUTED_VALUE"""),44600.148700243)</f>
        <v>44600.1487</v>
      </c>
      <c r="D519" s="15">
        <f>IFERROR(__xludf.DUMMYFUNCTION("""COMPUTED_VALUE"""),1.004)</f>
        <v>1.004</v>
      </c>
      <c r="E519" s="16">
        <f>IFERROR(__xludf.DUMMYFUNCTION("""COMPUTED_VALUE"""),63.0)</f>
        <v>63</v>
      </c>
      <c r="F519" s="19" t="str">
        <f>IFERROR(__xludf.DUMMYFUNCTION("""COMPUTED_VALUE"""),"BLACK")</f>
        <v>BLACK</v>
      </c>
      <c r="G519" s="20" t="str">
        <f>IFERROR(__xludf.DUMMYFUNCTION("""COMPUTED_VALUE"""),"Uncle Sams Cider (11/12/2021) 02")</f>
        <v>Uncle Sams Cider (11/12/2021) 02</v>
      </c>
      <c r="H519" s="19"/>
    </row>
    <row r="520">
      <c r="A520" s="9"/>
      <c r="B520" s="15"/>
      <c r="C520" s="9">
        <f>IFERROR(__xludf.DUMMYFUNCTION("""COMPUTED_VALUE"""),44600.1382558333)</f>
        <v>44600.13826</v>
      </c>
      <c r="D520" s="15">
        <f>IFERROR(__xludf.DUMMYFUNCTION("""COMPUTED_VALUE"""),1.004)</f>
        <v>1.004</v>
      </c>
      <c r="E520" s="11">
        <f>IFERROR(__xludf.DUMMYFUNCTION("""COMPUTED_VALUE"""),63.0)</f>
        <v>63</v>
      </c>
      <c r="F520" s="12" t="str">
        <f>IFERROR(__xludf.DUMMYFUNCTION("""COMPUTED_VALUE"""),"BLACK")</f>
        <v>BLACK</v>
      </c>
      <c r="G520" s="20" t="str">
        <f>IFERROR(__xludf.DUMMYFUNCTION("""COMPUTED_VALUE"""),"Uncle Sams Cider (11/12/2021) 02")</f>
        <v>Uncle Sams Cider (11/12/2021) 02</v>
      </c>
      <c r="H520" s="19"/>
    </row>
    <row r="521">
      <c r="A521" s="9"/>
      <c r="B521" s="15"/>
      <c r="C521" s="9">
        <f>IFERROR(__xludf.DUMMYFUNCTION("""COMPUTED_VALUE"""),44600.127823206)</f>
        <v>44600.12782</v>
      </c>
      <c r="D521" s="15">
        <f>IFERROR(__xludf.DUMMYFUNCTION("""COMPUTED_VALUE"""),1.004)</f>
        <v>1.004</v>
      </c>
      <c r="E521" s="16">
        <f>IFERROR(__xludf.DUMMYFUNCTION("""COMPUTED_VALUE"""),63.0)</f>
        <v>63</v>
      </c>
      <c r="F521" s="19" t="str">
        <f>IFERROR(__xludf.DUMMYFUNCTION("""COMPUTED_VALUE"""),"BLACK")</f>
        <v>BLACK</v>
      </c>
      <c r="G521" s="20" t="str">
        <f>IFERROR(__xludf.DUMMYFUNCTION("""COMPUTED_VALUE"""),"Uncle Sams Cider (11/12/2021) 02")</f>
        <v>Uncle Sams Cider (11/12/2021) 02</v>
      </c>
      <c r="H521" s="19"/>
    </row>
    <row r="522">
      <c r="A522" s="9"/>
      <c r="B522" s="15"/>
      <c r="C522" s="9">
        <f>IFERROR(__xludf.DUMMYFUNCTION("""COMPUTED_VALUE"""),44600.1174018171)</f>
        <v>44600.1174</v>
      </c>
      <c r="D522" s="15">
        <f>IFERROR(__xludf.DUMMYFUNCTION("""COMPUTED_VALUE"""),1.004)</f>
        <v>1.004</v>
      </c>
      <c r="E522" s="16">
        <f>IFERROR(__xludf.DUMMYFUNCTION("""COMPUTED_VALUE"""),63.0)</f>
        <v>63</v>
      </c>
      <c r="F522" s="19" t="str">
        <f>IFERROR(__xludf.DUMMYFUNCTION("""COMPUTED_VALUE"""),"BLACK")</f>
        <v>BLACK</v>
      </c>
      <c r="G522" s="20" t="str">
        <f>IFERROR(__xludf.DUMMYFUNCTION("""COMPUTED_VALUE"""),"Uncle Sams Cider (11/12/2021) 02")</f>
        <v>Uncle Sams Cider (11/12/2021) 02</v>
      </c>
      <c r="H522" s="19"/>
    </row>
    <row r="523">
      <c r="A523" s="9"/>
      <c r="B523" s="15"/>
      <c r="C523" s="9">
        <f>IFERROR(__xludf.DUMMYFUNCTION("""COMPUTED_VALUE"""),44600.1069681712)</f>
        <v>44600.10697</v>
      </c>
      <c r="D523" s="15">
        <f>IFERROR(__xludf.DUMMYFUNCTION("""COMPUTED_VALUE"""),1.004)</f>
        <v>1.004</v>
      </c>
      <c r="E523" s="16">
        <f>IFERROR(__xludf.DUMMYFUNCTION("""COMPUTED_VALUE"""),63.0)</f>
        <v>63</v>
      </c>
      <c r="F523" s="19" t="str">
        <f>IFERROR(__xludf.DUMMYFUNCTION("""COMPUTED_VALUE"""),"BLACK")</f>
        <v>BLACK</v>
      </c>
      <c r="G523" s="20" t="str">
        <f>IFERROR(__xludf.DUMMYFUNCTION("""COMPUTED_VALUE"""),"Uncle Sams Cider (11/12/2021) 02")</f>
        <v>Uncle Sams Cider (11/12/2021) 02</v>
      </c>
      <c r="H523" s="19"/>
    </row>
    <row r="524">
      <c r="A524" s="9"/>
      <c r="B524" s="15"/>
      <c r="C524" s="9">
        <f>IFERROR(__xludf.DUMMYFUNCTION("""COMPUTED_VALUE"""),44600.0965357407)</f>
        <v>44600.09654</v>
      </c>
      <c r="D524" s="15">
        <f>IFERROR(__xludf.DUMMYFUNCTION("""COMPUTED_VALUE"""),1.004)</f>
        <v>1.004</v>
      </c>
      <c r="E524" s="16">
        <f>IFERROR(__xludf.DUMMYFUNCTION("""COMPUTED_VALUE"""),64.0)</f>
        <v>64</v>
      </c>
      <c r="F524" s="19" t="str">
        <f>IFERROR(__xludf.DUMMYFUNCTION("""COMPUTED_VALUE"""),"BLACK")</f>
        <v>BLACK</v>
      </c>
      <c r="G524" s="20" t="str">
        <f>IFERROR(__xludf.DUMMYFUNCTION("""COMPUTED_VALUE"""),"Uncle Sams Cider (11/12/2021) 02")</f>
        <v>Uncle Sams Cider (11/12/2021) 02</v>
      </c>
      <c r="H524" s="19"/>
    </row>
    <row r="525">
      <c r="A525" s="9"/>
      <c r="B525" s="15"/>
      <c r="C525" s="9">
        <f>IFERROR(__xludf.DUMMYFUNCTION("""COMPUTED_VALUE"""),44600.0860921064)</f>
        <v>44600.08609</v>
      </c>
      <c r="D525" s="15">
        <f>IFERROR(__xludf.DUMMYFUNCTION("""COMPUTED_VALUE"""),1.004)</f>
        <v>1.004</v>
      </c>
      <c r="E525" s="16">
        <f>IFERROR(__xludf.DUMMYFUNCTION("""COMPUTED_VALUE"""),63.0)</f>
        <v>63</v>
      </c>
      <c r="F525" s="19" t="str">
        <f>IFERROR(__xludf.DUMMYFUNCTION("""COMPUTED_VALUE"""),"BLACK")</f>
        <v>BLACK</v>
      </c>
      <c r="G525" s="20" t="str">
        <f>IFERROR(__xludf.DUMMYFUNCTION("""COMPUTED_VALUE"""),"Uncle Sams Cider (11/12/2021) 02")</f>
        <v>Uncle Sams Cider (11/12/2021) 02</v>
      </c>
      <c r="H525" s="19"/>
    </row>
    <row r="526">
      <c r="A526" s="9"/>
      <c r="B526" s="15"/>
      <c r="C526" s="9">
        <f>IFERROR(__xludf.DUMMYFUNCTION("""COMPUTED_VALUE"""),44600.0756718055)</f>
        <v>44600.07567</v>
      </c>
      <c r="D526" s="15">
        <f>IFERROR(__xludf.DUMMYFUNCTION("""COMPUTED_VALUE"""),1.004)</f>
        <v>1.004</v>
      </c>
      <c r="E526" s="16">
        <f>IFERROR(__xludf.DUMMYFUNCTION("""COMPUTED_VALUE"""),64.0)</f>
        <v>64</v>
      </c>
      <c r="F526" s="19" t="str">
        <f>IFERROR(__xludf.DUMMYFUNCTION("""COMPUTED_VALUE"""),"BLACK")</f>
        <v>BLACK</v>
      </c>
      <c r="G526" s="20" t="str">
        <f>IFERROR(__xludf.DUMMYFUNCTION("""COMPUTED_VALUE"""),"Uncle Sams Cider (11/12/2021) 02")</f>
        <v>Uncle Sams Cider (11/12/2021) 02</v>
      </c>
      <c r="H526" s="19"/>
    </row>
    <row r="527">
      <c r="A527" s="9"/>
      <c r="B527" s="15"/>
      <c r="C527" s="9">
        <f>IFERROR(__xludf.DUMMYFUNCTION("""COMPUTED_VALUE"""),44600.065250868)</f>
        <v>44600.06525</v>
      </c>
      <c r="D527" s="15">
        <f>IFERROR(__xludf.DUMMYFUNCTION("""COMPUTED_VALUE"""),1.004)</f>
        <v>1.004</v>
      </c>
      <c r="E527" s="16">
        <f>IFERROR(__xludf.DUMMYFUNCTION("""COMPUTED_VALUE"""),64.0)</f>
        <v>64</v>
      </c>
      <c r="F527" s="19" t="str">
        <f>IFERROR(__xludf.DUMMYFUNCTION("""COMPUTED_VALUE"""),"BLACK")</f>
        <v>BLACK</v>
      </c>
      <c r="G527" s="20" t="str">
        <f>IFERROR(__xludf.DUMMYFUNCTION("""COMPUTED_VALUE"""),"Uncle Sams Cider (11/12/2021) 02")</f>
        <v>Uncle Sams Cider (11/12/2021) 02</v>
      </c>
      <c r="H527" s="19"/>
    </row>
    <row r="528">
      <c r="A528" s="9"/>
      <c r="B528" s="15"/>
      <c r="C528" s="9">
        <f>IFERROR(__xludf.DUMMYFUNCTION("""COMPUTED_VALUE"""),44600.054829699)</f>
        <v>44600.05483</v>
      </c>
      <c r="D528" s="15">
        <f>IFERROR(__xludf.DUMMYFUNCTION("""COMPUTED_VALUE"""),1.004)</f>
        <v>1.004</v>
      </c>
      <c r="E528" s="16">
        <f>IFERROR(__xludf.DUMMYFUNCTION("""COMPUTED_VALUE"""),64.0)</f>
        <v>64</v>
      </c>
      <c r="F528" s="19" t="str">
        <f>IFERROR(__xludf.DUMMYFUNCTION("""COMPUTED_VALUE"""),"BLACK")</f>
        <v>BLACK</v>
      </c>
      <c r="G528" s="20" t="str">
        <f>IFERROR(__xludf.DUMMYFUNCTION("""COMPUTED_VALUE"""),"Uncle Sams Cider (11/12/2021) 02")</f>
        <v>Uncle Sams Cider (11/12/2021) 02</v>
      </c>
      <c r="H528" s="19"/>
    </row>
    <row r="529">
      <c r="A529" s="9"/>
      <c r="B529" s="15"/>
      <c r="C529" s="9">
        <f>IFERROR(__xludf.DUMMYFUNCTION("""COMPUTED_VALUE"""),44600.0443954745)</f>
        <v>44600.0444</v>
      </c>
      <c r="D529" s="15">
        <f>IFERROR(__xludf.DUMMYFUNCTION("""COMPUTED_VALUE"""),1.004)</f>
        <v>1.004</v>
      </c>
      <c r="E529" s="16">
        <f>IFERROR(__xludf.DUMMYFUNCTION("""COMPUTED_VALUE"""),64.0)</f>
        <v>64</v>
      </c>
      <c r="F529" s="19" t="str">
        <f>IFERROR(__xludf.DUMMYFUNCTION("""COMPUTED_VALUE"""),"BLACK")</f>
        <v>BLACK</v>
      </c>
      <c r="G529" s="20" t="str">
        <f>IFERROR(__xludf.DUMMYFUNCTION("""COMPUTED_VALUE"""),"Uncle Sams Cider (11/12/2021) 02")</f>
        <v>Uncle Sams Cider (11/12/2021) 02</v>
      </c>
      <c r="H529" s="19"/>
    </row>
    <row r="530">
      <c r="A530" s="9"/>
      <c r="B530" s="15"/>
      <c r="C530" s="9">
        <f>IFERROR(__xludf.DUMMYFUNCTION("""COMPUTED_VALUE"""),44600.0339747222)</f>
        <v>44600.03397</v>
      </c>
      <c r="D530" s="15">
        <f>IFERROR(__xludf.DUMMYFUNCTION("""COMPUTED_VALUE"""),1.004)</f>
        <v>1.004</v>
      </c>
      <c r="E530" s="16">
        <f>IFERROR(__xludf.DUMMYFUNCTION("""COMPUTED_VALUE"""),64.0)</f>
        <v>64</v>
      </c>
      <c r="F530" s="19" t="str">
        <f>IFERROR(__xludf.DUMMYFUNCTION("""COMPUTED_VALUE"""),"BLACK")</f>
        <v>BLACK</v>
      </c>
      <c r="G530" s="20" t="str">
        <f>IFERROR(__xludf.DUMMYFUNCTION("""COMPUTED_VALUE"""),"Uncle Sams Cider (11/12/2021) 02")</f>
        <v>Uncle Sams Cider (11/12/2021) 02</v>
      </c>
      <c r="H530" s="19"/>
    </row>
    <row r="531">
      <c r="A531" s="9"/>
      <c r="B531" s="15"/>
      <c r="C531" s="9">
        <f>IFERROR(__xludf.DUMMYFUNCTION("""COMPUTED_VALUE"""),44600.0235531134)</f>
        <v>44600.02355</v>
      </c>
      <c r="D531" s="15">
        <f>IFERROR(__xludf.DUMMYFUNCTION("""COMPUTED_VALUE"""),1.004)</f>
        <v>1.004</v>
      </c>
      <c r="E531" s="16">
        <f>IFERROR(__xludf.DUMMYFUNCTION("""COMPUTED_VALUE"""),64.0)</f>
        <v>64</v>
      </c>
      <c r="F531" s="19" t="str">
        <f>IFERROR(__xludf.DUMMYFUNCTION("""COMPUTED_VALUE"""),"BLACK")</f>
        <v>BLACK</v>
      </c>
      <c r="G531" s="20" t="str">
        <f>IFERROR(__xludf.DUMMYFUNCTION("""COMPUTED_VALUE"""),"Uncle Sams Cider (11/12/2021) 02")</f>
        <v>Uncle Sams Cider (11/12/2021) 02</v>
      </c>
      <c r="H531" s="19"/>
    </row>
    <row r="532">
      <c r="A532" s="9"/>
      <c r="B532" s="15"/>
      <c r="C532" s="9">
        <f>IFERROR(__xludf.DUMMYFUNCTION("""COMPUTED_VALUE"""),44600.0130858333)</f>
        <v>44600.01309</v>
      </c>
      <c r="D532" s="15">
        <f>IFERROR(__xludf.DUMMYFUNCTION("""COMPUTED_VALUE"""),1.004)</f>
        <v>1.004</v>
      </c>
      <c r="E532" s="16">
        <f>IFERROR(__xludf.DUMMYFUNCTION("""COMPUTED_VALUE"""),64.0)</f>
        <v>64</v>
      </c>
      <c r="F532" s="19" t="str">
        <f>IFERROR(__xludf.DUMMYFUNCTION("""COMPUTED_VALUE"""),"BLACK")</f>
        <v>BLACK</v>
      </c>
      <c r="G532" s="20" t="str">
        <f>IFERROR(__xludf.DUMMYFUNCTION("""COMPUTED_VALUE"""),"Uncle Sams Cider (11/12/2021) 02")</f>
        <v>Uncle Sams Cider (11/12/2021) 02</v>
      </c>
      <c r="H532" s="19"/>
    </row>
    <row r="533">
      <c r="A533" s="9"/>
      <c r="B533" s="15"/>
      <c r="C533" s="9">
        <f>IFERROR(__xludf.DUMMYFUNCTION("""COMPUTED_VALUE"""),44600.0026641898)</f>
        <v>44600.00266</v>
      </c>
      <c r="D533" s="15">
        <f>IFERROR(__xludf.DUMMYFUNCTION("""COMPUTED_VALUE"""),1.004)</f>
        <v>1.004</v>
      </c>
      <c r="E533" s="16">
        <f>IFERROR(__xludf.DUMMYFUNCTION("""COMPUTED_VALUE"""),64.0)</f>
        <v>64</v>
      </c>
      <c r="F533" s="19" t="str">
        <f>IFERROR(__xludf.DUMMYFUNCTION("""COMPUTED_VALUE"""),"BLACK")</f>
        <v>BLACK</v>
      </c>
      <c r="G533" s="20" t="str">
        <f>IFERROR(__xludf.DUMMYFUNCTION("""COMPUTED_VALUE"""),"Uncle Sams Cider (11/12/2021) 02")</f>
        <v>Uncle Sams Cider (11/12/2021) 02</v>
      </c>
      <c r="H533" s="19"/>
    </row>
    <row r="534">
      <c r="A534" s="9"/>
      <c r="B534" s="15"/>
      <c r="C534" s="9">
        <f>IFERROR(__xludf.DUMMYFUNCTION("""COMPUTED_VALUE"""),44599.9922438541)</f>
        <v>44599.99224</v>
      </c>
      <c r="D534" s="15">
        <f>IFERROR(__xludf.DUMMYFUNCTION("""COMPUTED_VALUE"""),1.004)</f>
        <v>1.004</v>
      </c>
      <c r="E534" s="16">
        <f>IFERROR(__xludf.DUMMYFUNCTION("""COMPUTED_VALUE"""),64.0)</f>
        <v>64</v>
      </c>
      <c r="F534" s="19" t="str">
        <f>IFERROR(__xludf.DUMMYFUNCTION("""COMPUTED_VALUE"""),"BLACK")</f>
        <v>BLACK</v>
      </c>
      <c r="G534" s="20" t="str">
        <f>IFERROR(__xludf.DUMMYFUNCTION("""COMPUTED_VALUE"""),"Uncle Sams Cider (11/12/2021) 02")</f>
        <v>Uncle Sams Cider (11/12/2021) 02</v>
      </c>
      <c r="H534" s="19"/>
    </row>
    <row r="535">
      <c r="A535" s="9"/>
      <c r="B535" s="15"/>
      <c r="C535" s="9">
        <f>IFERROR(__xludf.DUMMYFUNCTION("""COMPUTED_VALUE"""),44599.9817885532)</f>
        <v>44599.98179</v>
      </c>
      <c r="D535" s="15">
        <f>IFERROR(__xludf.DUMMYFUNCTION("""COMPUTED_VALUE"""),1.004)</f>
        <v>1.004</v>
      </c>
      <c r="E535" s="16">
        <f>IFERROR(__xludf.DUMMYFUNCTION("""COMPUTED_VALUE"""),64.0)</f>
        <v>64</v>
      </c>
      <c r="F535" s="19" t="str">
        <f>IFERROR(__xludf.DUMMYFUNCTION("""COMPUTED_VALUE"""),"BLACK")</f>
        <v>BLACK</v>
      </c>
      <c r="G535" s="20" t="str">
        <f>IFERROR(__xludf.DUMMYFUNCTION("""COMPUTED_VALUE"""),"Uncle Sams Cider (11/12/2021) 02")</f>
        <v>Uncle Sams Cider (11/12/2021) 02</v>
      </c>
      <c r="H535" s="19"/>
    </row>
    <row r="536">
      <c r="A536" s="9"/>
      <c r="B536" s="15"/>
      <c r="C536" s="9">
        <f>IFERROR(__xludf.DUMMYFUNCTION("""COMPUTED_VALUE"""),44599.9713674305)</f>
        <v>44599.97137</v>
      </c>
      <c r="D536" s="15">
        <f>IFERROR(__xludf.DUMMYFUNCTION("""COMPUTED_VALUE"""),1.004)</f>
        <v>1.004</v>
      </c>
      <c r="E536" s="16">
        <f>IFERROR(__xludf.DUMMYFUNCTION("""COMPUTED_VALUE"""),64.0)</f>
        <v>64</v>
      </c>
      <c r="F536" s="19" t="str">
        <f>IFERROR(__xludf.DUMMYFUNCTION("""COMPUTED_VALUE"""),"BLACK")</f>
        <v>BLACK</v>
      </c>
      <c r="G536" s="20" t="str">
        <f>IFERROR(__xludf.DUMMYFUNCTION("""COMPUTED_VALUE"""),"Uncle Sams Cider (11/12/2021) 02")</f>
        <v>Uncle Sams Cider (11/12/2021) 02</v>
      </c>
      <c r="H536" s="19"/>
    </row>
    <row r="537">
      <c r="A537" s="9"/>
      <c r="B537" s="15"/>
      <c r="C537" s="9">
        <f>IFERROR(__xludf.DUMMYFUNCTION("""COMPUTED_VALUE"""),44599.9609454976)</f>
        <v>44599.96095</v>
      </c>
      <c r="D537" s="15">
        <f>IFERROR(__xludf.DUMMYFUNCTION("""COMPUTED_VALUE"""),1.004)</f>
        <v>1.004</v>
      </c>
      <c r="E537" s="16">
        <f>IFERROR(__xludf.DUMMYFUNCTION("""COMPUTED_VALUE"""),64.0)</f>
        <v>64</v>
      </c>
      <c r="F537" s="19" t="str">
        <f>IFERROR(__xludf.DUMMYFUNCTION("""COMPUTED_VALUE"""),"BLACK")</f>
        <v>BLACK</v>
      </c>
      <c r="G537" s="20" t="str">
        <f>IFERROR(__xludf.DUMMYFUNCTION("""COMPUTED_VALUE"""),"Uncle Sams Cider (11/12/2021) 02")</f>
        <v>Uncle Sams Cider (11/12/2021) 02</v>
      </c>
      <c r="H537" s="19"/>
    </row>
    <row r="538">
      <c r="A538" s="9"/>
      <c r="B538" s="15"/>
      <c r="C538" s="9">
        <f>IFERROR(__xludf.DUMMYFUNCTION("""COMPUTED_VALUE"""),44599.9505260416)</f>
        <v>44599.95053</v>
      </c>
      <c r="D538" s="15">
        <f>IFERROR(__xludf.DUMMYFUNCTION("""COMPUTED_VALUE"""),1.004)</f>
        <v>1.004</v>
      </c>
      <c r="E538" s="16">
        <f>IFERROR(__xludf.DUMMYFUNCTION("""COMPUTED_VALUE"""),64.0)</f>
        <v>64</v>
      </c>
      <c r="F538" s="19" t="str">
        <f>IFERROR(__xludf.DUMMYFUNCTION("""COMPUTED_VALUE"""),"BLACK")</f>
        <v>BLACK</v>
      </c>
      <c r="G538" s="20" t="str">
        <f>IFERROR(__xludf.DUMMYFUNCTION("""COMPUTED_VALUE"""),"Uncle Sams Cider (11/12/2021) 02")</f>
        <v>Uncle Sams Cider (11/12/2021) 02</v>
      </c>
      <c r="H538" s="19"/>
    </row>
    <row r="539">
      <c r="A539" s="9"/>
      <c r="B539" s="15"/>
      <c r="C539" s="9">
        <f>IFERROR(__xludf.DUMMYFUNCTION("""COMPUTED_VALUE"""),44599.9400353703)</f>
        <v>44599.94004</v>
      </c>
      <c r="D539" s="15">
        <f>IFERROR(__xludf.DUMMYFUNCTION("""COMPUTED_VALUE"""),1.004)</f>
        <v>1.004</v>
      </c>
      <c r="E539" s="16">
        <f>IFERROR(__xludf.DUMMYFUNCTION("""COMPUTED_VALUE"""),64.0)</f>
        <v>64</v>
      </c>
      <c r="F539" s="19" t="str">
        <f>IFERROR(__xludf.DUMMYFUNCTION("""COMPUTED_VALUE"""),"BLACK")</f>
        <v>BLACK</v>
      </c>
      <c r="G539" s="20" t="str">
        <f>IFERROR(__xludf.DUMMYFUNCTION("""COMPUTED_VALUE"""),"Uncle Sams Cider (11/12/2021) 02")</f>
        <v>Uncle Sams Cider (11/12/2021) 02</v>
      </c>
      <c r="H539" s="19"/>
    </row>
    <row r="540">
      <c r="A540" s="9"/>
      <c r="B540" s="15"/>
      <c r="C540" s="9">
        <f>IFERROR(__xludf.DUMMYFUNCTION("""COMPUTED_VALUE"""),44599.9296130902)</f>
        <v>44599.92961</v>
      </c>
      <c r="D540" s="15">
        <f>IFERROR(__xludf.DUMMYFUNCTION("""COMPUTED_VALUE"""),1.004)</f>
        <v>1.004</v>
      </c>
      <c r="E540" s="16">
        <f>IFERROR(__xludf.DUMMYFUNCTION("""COMPUTED_VALUE"""),64.0)</f>
        <v>64</v>
      </c>
      <c r="F540" s="19" t="str">
        <f>IFERROR(__xludf.DUMMYFUNCTION("""COMPUTED_VALUE"""),"BLACK")</f>
        <v>BLACK</v>
      </c>
      <c r="G540" s="20" t="str">
        <f>IFERROR(__xludf.DUMMYFUNCTION("""COMPUTED_VALUE"""),"Uncle Sams Cider (11/12/2021) 02")</f>
        <v>Uncle Sams Cider (11/12/2021) 02</v>
      </c>
      <c r="H540" s="19"/>
    </row>
    <row r="541">
      <c r="A541" s="9"/>
      <c r="B541" s="15"/>
      <c r="C541" s="9">
        <f>IFERROR(__xludf.DUMMYFUNCTION("""COMPUTED_VALUE"""),44599.9191914583)</f>
        <v>44599.91919</v>
      </c>
      <c r="D541" s="15">
        <f>IFERROR(__xludf.DUMMYFUNCTION("""COMPUTED_VALUE"""),1.004)</f>
        <v>1.004</v>
      </c>
      <c r="E541" s="16">
        <f>IFERROR(__xludf.DUMMYFUNCTION("""COMPUTED_VALUE"""),64.0)</f>
        <v>64</v>
      </c>
      <c r="F541" s="19" t="str">
        <f>IFERROR(__xludf.DUMMYFUNCTION("""COMPUTED_VALUE"""),"BLACK")</f>
        <v>BLACK</v>
      </c>
      <c r="G541" s="20" t="str">
        <f>IFERROR(__xludf.DUMMYFUNCTION("""COMPUTED_VALUE"""),"Uncle Sams Cider (11/12/2021) 02")</f>
        <v>Uncle Sams Cider (11/12/2021) 02</v>
      </c>
      <c r="H541" s="19"/>
    </row>
    <row r="542">
      <c r="A542" s="9"/>
      <c r="B542" s="15"/>
      <c r="C542" s="9">
        <f>IFERROR(__xludf.DUMMYFUNCTION("""COMPUTED_VALUE"""),44599.9087710763)</f>
        <v>44599.90877</v>
      </c>
      <c r="D542" s="15">
        <f>IFERROR(__xludf.DUMMYFUNCTION("""COMPUTED_VALUE"""),1.004)</f>
        <v>1.004</v>
      </c>
      <c r="E542" s="16">
        <f>IFERROR(__xludf.DUMMYFUNCTION("""COMPUTED_VALUE"""),64.0)</f>
        <v>64</v>
      </c>
      <c r="F542" s="19" t="str">
        <f>IFERROR(__xludf.DUMMYFUNCTION("""COMPUTED_VALUE"""),"BLACK")</f>
        <v>BLACK</v>
      </c>
      <c r="G542" s="20" t="str">
        <f>IFERROR(__xludf.DUMMYFUNCTION("""COMPUTED_VALUE"""),"Uncle Sams Cider (11/12/2021) 02")</f>
        <v>Uncle Sams Cider (11/12/2021) 02</v>
      </c>
      <c r="H542" s="19"/>
    </row>
    <row r="543">
      <c r="A543" s="9"/>
      <c r="B543" s="15"/>
      <c r="C543" s="9">
        <f>IFERROR(__xludf.DUMMYFUNCTION("""COMPUTED_VALUE"""),44599.8983401851)</f>
        <v>44599.89834</v>
      </c>
      <c r="D543" s="15">
        <f>IFERROR(__xludf.DUMMYFUNCTION("""COMPUTED_VALUE"""),1.004)</f>
        <v>1.004</v>
      </c>
      <c r="E543" s="16">
        <f>IFERROR(__xludf.DUMMYFUNCTION("""COMPUTED_VALUE"""),64.0)</f>
        <v>64</v>
      </c>
      <c r="F543" s="19" t="str">
        <f>IFERROR(__xludf.DUMMYFUNCTION("""COMPUTED_VALUE"""),"BLACK")</f>
        <v>BLACK</v>
      </c>
      <c r="G543" s="20" t="str">
        <f>IFERROR(__xludf.DUMMYFUNCTION("""COMPUTED_VALUE"""),"Uncle Sams Cider (11/12/2021) 02")</f>
        <v>Uncle Sams Cider (11/12/2021) 02</v>
      </c>
      <c r="H543" s="19"/>
    </row>
    <row r="544">
      <c r="A544" s="9"/>
      <c r="B544" s="15"/>
      <c r="C544" s="9">
        <f>IFERROR(__xludf.DUMMYFUNCTION("""COMPUTED_VALUE"""),44599.8879071527)</f>
        <v>44599.88791</v>
      </c>
      <c r="D544" s="15">
        <f>IFERROR(__xludf.DUMMYFUNCTION("""COMPUTED_VALUE"""),1.004)</f>
        <v>1.004</v>
      </c>
      <c r="E544" s="16">
        <f>IFERROR(__xludf.DUMMYFUNCTION("""COMPUTED_VALUE"""),64.0)</f>
        <v>64</v>
      </c>
      <c r="F544" s="19" t="str">
        <f>IFERROR(__xludf.DUMMYFUNCTION("""COMPUTED_VALUE"""),"BLACK")</f>
        <v>BLACK</v>
      </c>
      <c r="G544" s="20" t="str">
        <f>IFERROR(__xludf.DUMMYFUNCTION("""COMPUTED_VALUE"""),"Uncle Sams Cider (11/12/2021) 02")</f>
        <v>Uncle Sams Cider (11/12/2021) 02</v>
      </c>
      <c r="H544" s="19"/>
    </row>
    <row r="545">
      <c r="A545" s="9"/>
      <c r="B545" s="15"/>
      <c r="C545" s="9">
        <f>IFERROR(__xludf.DUMMYFUNCTION("""COMPUTED_VALUE"""),44599.8774860995)</f>
        <v>44599.87749</v>
      </c>
      <c r="D545" s="15">
        <f>IFERROR(__xludf.DUMMYFUNCTION("""COMPUTED_VALUE"""),1.004)</f>
        <v>1.004</v>
      </c>
      <c r="E545" s="16">
        <f>IFERROR(__xludf.DUMMYFUNCTION("""COMPUTED_VALUE"""),64.0)</f>
        <v>64</v>
      </c>
      <c r="F545" s="19" t="str">
        <f>IFERROR(__xludf.DUMMYFUNCTION("""COMPUTED_VALUE"""),"BLACK")</f>
        <v>BLACK</v>
      </c>
      <c r="G545" s="20" t="str">
        <f>IFERROR(__xludf.DUMMYFUNCTION("""COMPUTED_VALUE"""),"Uncle Sams Cider (11/12/2021) 02")</f>
        <v>Uncle Sams Cider (11/12/2021) 02</v>
      </c>
      <c r="H545" s="19"/>
    </row>
    <row r="546">
      <c r="A546" s="9"/>
      <c r="B546" s="15"/>
      <c r="C546" s="9">
        <f>IFERROR(__xludf.DUMMYFUNCTION("""COMPUTED_VALUE"""),44599.8670531365)</f>
        <v>44599.86705</v>
      </c>
      <c r="D546" s="15">
        <f>IFERROR(__xludf.DUMMYFUNCTION("""COMPUTED_VALUE"""),1.004)</f>
        <v>1.004</v>
      </c>
      <c r="E546" s="16">
        <f>IFERROR(__xludf.DUMMYFUNCTION("""COMPUTED_VALUE"""),64.0)</f>
        <v>64</v>
      </c>
      <c r="F546" s="19" t="str">
        <f>IFERROR(__xludf.DUMMYFUNCTION("""COMPUTED_VALUE"""),"BLACK")</f>
        <v>BLACK</v>
      </c>
      <c r="G546" s="20" t="str">
        <f>IFERROR(__xludf.DUMMYFUNCTION("""COMPUTED_VALUE"""),"Uncle Sams Cider (11/12/2021) 02")</f>
        <v>Uncle Sams Cider (11/12/2021) 02</v>
      </c>
      <c r="H546" s="19"/>
    </row>
    <row r="547">
      <c r="A547" s="9"/>
      <c r="B547" s="15"/>
      <c r="C547" s="9">
        <f>IFERROR(__xludf.DUMMYFUNCTION("""COMPUTED_VALUE"""),44599.8566283912)</f>
        <v>44599.85663</v>
      </c>
      <c r="D547" s="15">
        <f>IFERROR(__xludf.DUMMYFUNCTION("""COMPUTED_VALUE"""),1.004)</f>
        <v>1.004</v>
      </c>
      <c r="E547" s="16">
        <f>IFERROR(__xludf.DUMMYFUNCTION("""COMPUTED_VALUE"""),64.0)</f>
        <v>64</v>
      </c>
      <c r="F547" s="19" t="str">
        <f>IFERROR(__xludf.DUMMYFUNCTION("""COMPUTED_VALUE"""),"BLACK")</f>
        <v>BLACK</v>
      </c>
      <c r="G547" s="20" t="str">
        <f>IFERROR(__xludf.DUMMYFUNCTION("""COMPUTED_VALUE"""),"Uncle Sams Cider (11/12/2021) 02")</f>
        <v>Uncle Sams Cider (11/12/2021) 02</v>
      </c>
      <c r="H547" s="19"/>
    </row>
    <row r="548">
      <c r="A548" s="9"/>
      <c r="B548" s="15"/>
      <c r="C548" s="9">
        <f>IFERROR(__xludf.DUMMYFUNCTION("""COMPUTED_VALUE"""),44599.8462061921)</f>
        <v>44599.84621</v>
      </c>
      <c r="D548" s="15">
        <f>IFERROR(__xludf.DUMMYFUNCTION("""COMPUTED_VALUE"""),1.004)</f>
        <v>1.004</v>
      </c>
      <c r="E548" s="16">
        <f>IFERROR(__xludf.DUMMYFUNCTION("""COMPUTED_VALUE"""),64.0)</f>
        <v>64</v>
      </c>
      <c r="F548" s="19" t="str">
        <f>IFERROR(__xludf.DUMMYFUNCTION("""COMPUTED_VALUE"""),"BLACK")</f>
        <v>BLACK</v>
      </c>
      <c r="G548" s="20" t="str">
        <f>IFERROR(__xludf.DUMMYFUNCTION("""COMPUTED_VALUE"""),"Uncle Sams Cider (11/12/2021) 02")</f>
        <v>Uncle Sams Cider (11/12/2021) 02</v>
      </c>
      <c r="H548" s="19"/>
    </row>
    <row r="549">
      <c r="A549" s="9"/>
      <c r="B549" s="15"/>
      <c r="C549" s="9">
        <f>IFERROR(__xludf.DUMMYFUNCTION("""COMPUTED_VALUE"""),44599.8357841782)</f>
        <v>44599.83578</v>
      </c>
      <c r="D549" s="15">
        <f>IFERROR(__xludf.DUMMYFUNCTION("""COMPUTED_VALUE"""),1.004)</f>
        <v>1.004</v>
      </c>
      <c r="E549" s="16">
        <f>IFERROR(__xludf.DUMMYFUNCTION("""COMPUTED_VALUE"""),64.0)</f>
        <v>64</v>
      </c>
      <c r="F549" s="19" t="str">
        <f>IFERROR(__xludf.DUMMYFUNCTION("""COMPUTED_VALUE"""),"BLACK")</f>
        <v>BLACK</v>
      </c>
      <c r="G549" s="20" t="str">
        <f>IFERROR(__xludf.DUMMYFUNCTION("""COMPUTED_VALUE"""),"Uncle Sams Cider (11/12/2021) 02")</f>
        <v>Uncle Sams Cider (11/12/2021) 02</v>
      </c>
      <c r="H549" s="19"/>
    </row>
    <row r="550">
      <c r="A550" s="9"/>
      <c r="B550" s="15"/>
      <c r="C550" s="9">
        <f>IFERROR(__xludf.DUMMYFUNCTION("""COMPUTED_VALUE"""),44599.8253487152)</f>
        <v>44599.82535</v>
      </c>
      <c r="D550" s="15">
        <f>IFERROR(__xludf.DUMMYFUNCTION("""COMPUTED_VALUE"""),1.004)</f>
        <v>1.004</v>
      </c>
      <c r="E550" s="16">
        <f>IFERROR(__xludf.DUMMYFUNCTION("""COMPUTED_VALUE"""),64.0)</f>
        <v>64</v>
      </c>
      <c r="F550" s="19" t="str">
        <f>IFERROR(__xludf.DUMMYFUNCTION("""COMPUTED_VALUE"""),"BLACK")</f>
        <v>BLACK</v>
      </c>
      <c r="G550" s="20" t="str">
        <f>IFERROR(__xludf.DUMMYFUNCTION("""COMPUTED_VALUE"""),"Uncle Sams Cider (11/12/2021) 02")</f>
        <v>Uncle Sams Cider (11/12/2021) 02</v>
      </c>
      <c r="H550" s="19"/>
    </row>
    <row r="551">
      <c r="A551" s="9"/>
      <c r="B551" s="15"/>
      <c r="C551" s="9">
        <f>IFERROR(__xludf.DUMMYFUNCTION("""COMPUTED_VALUE"""),44599.8149258449)</f>
        <v>44599.81493</v>
      </c>
      <c r="D551" s="15">
        <f>IFERROR(__xludf.DUMMYFUNCTION("""COMPUTED_VALUE"""),1.004)</f>
        <v>1.004</v>
      </c>
      <c r="E551" s="16">
        <f>IFERROR(__xludf.DUMMYFUNCTION("""COMPUTED_VALUE"""),64.0)</f>
        <v>64</v>
      </c>
      <c r="F551" s="19" t="str">
        <f>IFERROR(__xludf.DUMMYFUNCTION("""COMPUTED_VALUE"""),"BLACK")</f>
        <v>BLACK</v>
      </c>
      <c r="G551" s="20" t="str">
        <f>IFERROR(__xludf.DUMMYFUNCTION("""COMPUTED_VALUE"""),"Uncle Sams Cider (11/12/2021) 02")</f>
        <v>Uncle Sams Cider (11/12/2021) 02</v>
      </c>
      <c r="H551" s="19"/>
    </row>
    <row r="552">
      <c r="A552" s="9"/>
      <c r="B552" s="15"/>
      <c r="C552" s="9">
        <f>IFERROR(__xludf.DUMMYFUNCTION("""COMPUTED_VALUE"""),44599.8045034953)</f>
        <v>44599.8045</v>
      </c>
      <c r="D552" s="15">
        <f>IFERROR(__xludf.DUMMYFUNCTION("""COMPUTED_VALUE"""),1.004)</f>
        <v>1.004</v>
      </c>
      <c r="E552" s="16">
        <f>IFERROR(__xludf.DUMMYFUNCTION("""COMPUTED_VALUE"""),64.0)</f>
        <v>64</v>
      </c>
      <c r="F552" s="19" t="str">
        <f>IFERROR(__xludf.DUMMYFUNCTION("""COMPUTED_VALUE"""),"BLACK")</f>
        <v>BLACK</v>
      </c>
      <c r="G552" s="20" t="str">
        <f>IFERROR(__xludf.DUMMYFUNCTION("""COMPUTED_VALUE"""),"Uncle Sams Cider (11/12/2021) 02")</f>
        <v>Uncle Sams Cider (11/12/2021) 02</v>
      </c>
      <c r="H552" s="19"/>
    </row>
    <row r="553">
      <c r="A553" s="9"/>
      <c r="B553" s="15"/>
      <c r="C553" s="9">
        <f>IFERROR(__xludf.DUMMYFUNCTION("""COMPUTED_VALUE"""),44599.7940688773)</f>
        <v>44599.79407</v>
      </c>
      <c r="D553" s="15">
        <f>IFERROR(__xludf.DUMMYFUNCTION("""COMPUTED_VALUE"""),1.004)</f>
        <v>1.004</v>
      </c>
      <c r="E553" s="16">
        <f>IFERROR(__xludf.DUMMYFUNCTION("""COMPUTED_VALUE"""),64.0)</f>
        <v>64</v>
      </c>
      <c r="F553" s="19" t="str">
        <f>IFERROR(__xludf.DUMMYFUNCTION("""COMPUTED_VALUE"""),"BLACK")</f>
        <v>BLACK</v>
      </c>
      <c r="G553" s="20" t="str">
        <f>IFERROR(__xludf.DUMMYFUNCTION("""COMPUTED_VALUE"""),"Uncle Sams Cider (11/12/2021) 02")</f>
        <v>Uncle Sams Cider (11/12/2021) 02</v>
      </c>
      <c r="H553" s="19"/>
    </row>
    <row r="554">
      <c r="A554" s="9"/>
      <c r="B554" s="15"/>
      <c r="C554" s="9">
        <f>IFERROR(__xludf.DUMMYFUNCTION("""COMPUTED_VALUE"""),44599.7835892708)</f>
        <v>44599.78359</v>
      </c>
      <c r="D554" s="15">
        <f>IFERROR(__xludf.DUMMYFUNCTION("""COMPUTED_VALUE"""),1.004)</f>
        <v>1.004</v>
      </c>
      <c r="E554" s="16">
        <f>IFERROR(__xludf.DUMMYFUNCTION("""COMPUTED_VALUE"""),64.0)</f>
        <v>64</v>
      </c>
      <c r="F554" s="19" t="str">
        <f>IFERROR(__xludf.DUMMYFUNCTION("""COMPUTED_VALUE"""),"BLACK")</f>
        <v>BLACK</v>
      </c>
      <c r="G554" s="20" t="str">
        <f>IFERROR(__xludf.DUMMYFUNCTION("""COMPUTED_VALUE"""),"Uncle Sams Cider (11/12/2021) 02")</f>
        <v>Uncle Sams Cider (11/12/2021) 02</v>
      </c>
      <c r="H554" s="19"/>
    </row>
    <row r="555">
      <c r="A555" s="9"/>
      <c r="B555" s="15"/>
      <c r="C555" s="9">
        <f>IFERROR(__xludf.DUMMYFUNCTION("""COMPUTED_VALUE"""),44599.773157037)</f>
        <v>44599.77316</v>
      </c>
      <c r="D555" s="15">
        <f>IFERROR(__xludf.DUMMYFUNCTION("""COMPUTED_VALUE"""),1.004)</f>
        <v>1.004</v>
      </c>
      <c r="E555" s="16">
        <f>IFERROR(__xludf.DUMMYFUNCTION("""COMPUTED_VALUE"""),64.0)</f>
        <v>64</v>
      </c>
      <c r="F555" s="19" t="str">
        <f>IFERROR(__xludf.DUMMYFUNCTION("""COMPUTED_VALUE"""),"BLACK")</f>
        <v>BLACK</v>
      </c>
      <c r="G555" s="20" t="str">
        <f>IFERROR(__xludf.DUMMYFUNCTION("""COMPUTED_VALUE"""),"Uncle Sams Cider (11/12/2021) 02")</f>
        <v>Uncle Sams Cider (11/12/2021) 02</v>
      </c>
      <c r="H555" s="19"/>
    </row>
    <row r="556">
      <c r="A556" s="9"/>
      <c r="B556" s="15"/>
      <c r="C556" s="9">
        <f>IFERROR(__xludf.DUMMYFUNCTION("""COMPUTED_VALUE"""),44599.7627359722)</f>
        <v>44599.76274</v>
      </c>
      <c r="D556" s="15">
        <f>IFERROR(__xludf.DUMMYFUNCTION("""COMPUTED_VALUE"""),1.004)</f>
        <v>1.004</v>
      </c>
      <c r="E556" s="16">
        <f>IFERROR(__xludf.DUMMYFUNCTION("""COMPUTED_VALUE"""),64.0)</f>
        <v>64</v>
      </c>
      <c r="F556" s="19" t="str">
        <f>IFERROR(__xludf.DUMMYFUNCTION("""COMPUTED_VALUE"""),"BLACK")</f>
        <v>BLACK</v>
      </c>
      <c r="G556" s="20" t="str">
        <f>IFERROR(__xludf.DUMMYFUNCTION("""COMPUTED_VALUE"""),"Uncle Sams Cider (11/12/2021) 02")</f>
        <v>Uncle Sams Cider (11/12/2021) 02</v>
      </c>
      <c r="H556" s="19"/>
    </row>
    <row r="557">
      <c r="A557" s="9"/>
      <c r="B557" s="15"/>
      <c r="C557" s="9">
        <f>IFERROR(__xludf.DUMMYFUNCTION("""COMPUTED_VALUE"""),44599.7523140046)</f>
        <v>44599.75231</v>
      </c>
      <c r="D557" s="15">
        <f>IFERROR(__xludf.DUMMYFUNCTION("""COMPUTED_VALUE"""),1.004)</f>
        <v>1.004</v>
      </c>
      <c r="E557" s="16">
        <f>IFERROR(__xludf.DUMMYFUNCTION("""COMPUTED_VALUE"""),64.0)</f>
        <v>64</v>
      </c>
      <c r="F557" s="19" t="str">
        <f>IFERROR(__xludf.DUMMYFUNCTION("""COMPUTED_VALUE"""),"BLACK")</f>
        <v>BLACK</v>
      </c>
      <c r="G557" s="20" t="str">
        <f>IFERROR(__xludf.DUMMYFUNCTION("""COMPUTED_VALUE"""),"Uncle Sams Cider (11/12/2021) 02")</f>
        <v>Uncle Sams Cider (11/12/2021) 02</v>
      </c>
      <c r="H557" s="19"/>
    </row>
    <row r="558">
      <c r="A558" s="9"/>
      <c r="B558" s="15"/>
      <c r="C558" s="9">
        <f>IFERROR(__xludf.DUMMYFUNCTION("""COMPUTED_VALUE"""),44599.7418800231)</f>
        <v>44599.74188</v>
      </c>
      <c r="D558" s="15">
        <f>IFERROR(__xludf.DUMMYFUNCTION("""COMPUTED_VALUE"""),1.004)</f>
        <v>1.004</v>
      </c>
      <c r="E558" s="16">
        <f>IFERROR(__xludf.DUMMYFUNCTION("""COMPUTED_VALUE"""),64.0)</f>
        <v>64</v>
      </c>
      <c r="F558" s="19" t="str">
        <f>IFERROR(__xludf.DUMMYFUNCTION("""COMPUTED_VALUE"""),"BLACK")</f>
        <v>BLACK</v>
      </c>
      <c r="G558" s="20" t="str">
        <f>IFERROR(__xludf.DUMMYFUNCTION("""COMPUTED_VALUE"""),"Uncle Sams Cider (11/12/2021) 02")</f>
        <v>Uncle Sams Cider (11/12/2021) 02</v>
      </c>
      <c r="H558" s="19"/>
    </row>
    <row r="559">
      <c r="A559" s="9"/>
      <c r="B559" s="15"/>
      <c r="C559" s="9">
        <f>IFERROR(__xludf.DUMMYFUNCTION("""COMPUTED_VALUE"""),44599.731460868)</f>
        <v>44599.73146</v>
      </c>
      <c r="D559" s="15">
        <f>IFERROR(__xludf.DUMMYFUNCTION("""COMPUTED_VALUE"""),1.004)</f>
        <v>1.004</v>
      </c>
      <c r="E559" s="16">
        <f>IFERROR(__xludf.DUMMYFUNCTION("""COMPUTED_VALUE"""),64.0)</f>
        <v>64</v>
      </c>
      <c r="F559" s="19" t="str">
        <f>IFERROR(__xludf.DUMMYFUNCTION("""COMPUTED_VALUE"""),"BLACK")</f>
        <v>BLACK</v>
      </c>
      <c r="G559" s="20" t="str">
        <f>IFERROR(__xludf.DUMMYFUNCTION("""COMPUTED_VALUE"""),"Uncle Sams Cider (11/12/2021) 02")</f>
        <v>Uncle Sams Cider (11/12/2021) 02</v>
      </c>
      <c r="H559" s="19"/>
    </row>
    <row r="560">
      <c r="A560" s="9"/>
      <c r="B560" s="15"/>
      <c r="C560" s="9">
        <f>IFERROR(__xludf.DUMMYFUNCTION("""COMPUTED_VALUE"""),44599.7210388078)</f>
        <v>44599.72104</v>
      </c>
      <c r="D560" s="15">
        <f>IFERROR(__xludf.DUMMYFUNCTION("""COMPUTED_VALUE"""),1.004)</f>
        <v>1.004</v>
      </c>
      <c r="E560" s="16">
        <f>IFERROR(__xludf.DUMMYFUNCTION("""COMPUTED_VALUE"""),64.0)</f>
        <v>64</v>
      </c>
      <c r="F560" s="19" t="str">
        <f>IFERROR(__xludf.DUMMYFUNCTION("""COMPUTED_VALUE"""),"BLACK")</f>
        <v>BLACK</v>
      </c>
      <c r="G560" s="20" t="str">
        <f>IFERROR(__xludf.DUMMYFUNCTION("""COMPUTED_VALUE"""),"Uncle Sams Cider (11/12/2021) 02")</f>
        <v>Uncle Sams Cider (11/12/2021) 02</v>
      </c>
      <c r="H560" s="19"/>
    </row>
    <row r="561">
      <c r="A561" s="9"/>
      <c r="B561" s="15"/>
      <c r="C561" s="9">
        <f>IFERROR(__xludf.DUMMYFUNCTION("""COMPUTED_VALUE"""),44599.7106168402)</f>
        <v>44599.71062</v>
      </c>
      <c r="D561" s="15">
        <f>IFERROR(__xludf.DUMMYFUNCTION("""COMPUTED_VALUE"""),1.004)</f>
        <v>1.004</v>
      </c>
      <c r="E561" s="16">
        <f>IFERROR(__xludf.DUMMYFUNCTION("""COMPUTED_VALUE"""),64.0)</f>
        <v>64</v>
      </c>
      <c r="F561" s="19" t="str">
        <f>IFERROR(__xludf.DUMMYFUNCTION("""COMPUTED_VALUE"""),"BLACK")</f>
        <v>BLACK</v>
      </c>
      <c r="G561" s="20" t="str">
        <f>IFERROR(__xludf.DUMMYFUNCTION("""COMPUTED_VALUE"""),"Uncle Sams Cider (11/12/2021) 02")</f>
        <v>Uncle Sams Cider (11/12/2021) 02</v>
      </c>
      <c r="H561" s="19"/>
    </row>
    <row r="562">
      <c r="A562" s="9"/>
      <c r="B562" s="15"/>
      <c r="C562" s="9">
        <f>IFERROR(__xludf.DUMMYFUNCTION("""COMPUTED_VALUE"""),44599.7001714583)</f>
        <v>44599.70017</v>
      </c>
      <c r="D562" s="15">
        <f>IFERROR(__xludf.DUMMYFUNCTION("""COMPUTED_VALUE"""),1.004)</f>
        <v>1.004</v>
      </c>
      <c r="E562" s="16">
        <f>IFERROR(__xludf.DUMMYFUNCTION("""COMPUTED_VALUE"""),64.0)</f>
        <v>64</v>
      </c>
      <c r="F562" s="19" t="str">
        <f>IFERROR(__xludf.DUMMYFUNCTION("""COMPUTED_VALUE"""),"BLACK")</f>
        <v>BLACK</v>
      </c>
      <c r="G562" s="20" t="str">
        <f>IFERROR(__xludf.DUMMYFUNCTION("""COMPUTED_VALUE"""),"Uncle Sams Cider (11/12/2021) 02")</f>
        <v>Uncle Sams Cider (11/12/2021) 02</v>
      </c>
      <c r="H562" s="19"/>
    </row>
    <row r="563">
      <c r="A563" s="9"/>
      <c r="B563" s="15"/>
      <c r="C563" s="9">
        <f>IFERROR(__xludf.DUMMYFUNCTION("""COMPUTED_VALUE"""),44599.689715243)</f>
        <v>44599.68972</v>
      </c>
      <c r="D563" s="15">
        <f>IFERROR(__xludf.DUMMYFUNCTION("""COMPUTED_VALUE"""),1.004)</f>
        <v>1.004</v>
      </c>
      <c r="E563" s="16">
        <f>IFERROR(__xludf.DUMMYFUNCTION("""COMPUTED_VALUE"""),64.0)</f>
        <v>64</v>
      </c>
      <c r="F563" s="19" t="str">
        <f>IFERROR(__xludf.DUMMYFUNCTION("""COMPUTED_VALUE"""),"BLACK")</f>
        <v>BLACK</v>
      </c>
      <c r="G563" s="20" t="str">
        <f>IFERROR(__xludf.DUMMYFUNCTION("""COMPUTED_VALUE"""),"Uncle Sams Cider (11/12/2021) 02")</f>
        <v>Uncle Sams Cider (11/12/2021) 02</v>
      </c>
      <c r="H563" s="19"/>
    </row>
    <row r="564">
      <c r="A564" s="9"/>
      <c r="B564" s="15"/>
      <c r="C564" s="9">
        <f>IFERROR(__xludf.DUMMYFUNCTION("""COMPUTED_VALUE"""),44599.6792820601)</f>
        <v>44599.67928</v>
      </c>
      <c r="D564" s="15">
        <f>IFERROR(__xludf.DUMMYFUNCTION("""COMPUTED_VALUE"""),1.004)</f>
        <v>1.004</v>
      </c>
      <c r="E564" s="16">
        <f>IFERROR(__xludf.DUMMYFUNCTION("""COMPUTED_VALUE"""),64.0)</f>
        <v>64</v>
      </c>
      <c r="F564" s="19" t="str">
        <f>IFERROR(__xludf.DUMMYFUNCTION("""COMPUTED_VALUE"""),"BLACK")</f>
        <v>BLACK</v>
      </c>
      <c r="G564" s="20" t="str">
        <f>IFERROR(__xludf.DUMMYFUNCTION("""COMPUTED_VALUE"""),"Uncle Sams Cider (11/12/2021) 02")</f>
        <v>Uncle Sams Cider (11/12/2021) 02</v>
      </c>
      <c r="H564" s="19"/>
    </row>
    <row r="565">
      <c r="A565" s="9"/>
      <c r="B565" s="15"/>
      <c r="C565" s="9">
        <f>IFERROR(__xludf.DUMMYFUNCTION("""COMPUTED_VALUE"""),44599.6688380787)</f>
        <v>44599.66884</v>
      </c>
      <c r="D565" s="15">
        <f>IFERROR(__xludf.DUMMYFUNCTION("""COMPUTED_VALUE"""),1.004)</f>
        <v>1.004</v>
      </c>
      <c r="E565" s="16">
        <f>IFERROR(__xludf.DUMMYFUNCTION("""COMPUTED_VALUE"""),64.0)</f>
        <v>64</v>
      </c>
      <c r="F565" s="19" t="str">
        <f>IFERROR(__xludf.DUMMYFUNCTION("""COMPUTED_VALUE"""),"BLACK")</f>
        <v>BLACK</v>
      </c>
      <c r="G565" s="20" t="str">
        <f>IFERROR(__xludf.DUMMYFUNCTION("""COMPUTED_VALUE"""),"Uncle Sams Cider (11/12/2021) 02")</f>
        <v>Uncle Sams Cider (11/12/2021) 02</v>
      </c>
      <c r="H565" s="19"/>
    </row>
    <row r="566">
      <c r="A566" s="9"/>
      <c r="B566" s="15"/>
      <c r="C566" s="9">
        <f>IFERROR(__xludf.DUMMYFUNCTION("""COMPUTED_VALUE"""),44599.6584162152)</f>
        <v>44599.65842</v>
      </c>
      <c r="D566" s="15">
        <f>IFERROR(__xludf.DUMMYFUNCTION("""COMPUTED_VALUE"""),1.004)</f>
        <v>1.004</v>
      </c>
      <c r="E566" s="16">
        <f>IFERROR(__xludf.DUMMYFUNCTION("""COMPUTED_VALUE"""),64.0)</f>
        <v>64</v>
      </c>
      <c r="F566" s="19" t="str">
        <f>IFERROR(__xludf.DUMMYFUNCTION("""COMPUTED_VALUE"""),"BLACK")</f>
        <v>BLACK</v>
      </c>
      <c r="G566" s="20" t="str">
        <f>IFERROR(__xludf.DUMMYFUNCTION("""COMPUTED_VALUE"""),"Uncle Sams Cider (11/12/2021) 02")</f>
        <v>Uncle Sams Cider (11/12/2021) 02</v>
      </c>
      <c r="H566" s="19"/>
    </row>
    <row r="567">
      <c r="A567" s="9"/>
      <c r="B567" s="15"/>
      <c r="C567" s="9">
        <f>IFERROR(__xludf.DUMMYFUNCTION("""COMPUTED_VALUE"""),44599.647995949)</f>
        <v>44599.648</v>
      </c>
      <c r="D567" s="15">
        <f>IFERROR(__xludf.DUMMYFUNCTION("""COMPUTED_VALUE"""),1.004)</f>
        <v>1.004</v>
      </c>
      <c r="E567" s="16">
        <f>IFERROR(__xludf.DUMMYFUNCTION("""COMPUTED_VALUE"""),64.0)</f>
        <v>64</v>
      </c>
      <c r="F567" s="19" t="str">
        <f>IFERROR(__xludf.DUMMYFUNCTION("""COMPUTED_VALUE"""),"BLACK")</f>
        <v>BLACK</v>
      </c>
      <c r="G567" s="20" t="str">
        <f>IFERROR(__xludf.DUMMYFUNCTION("""COMPUTED_VALUE"""),"Uncle Sams Cider (11/12/2021) 02")</f>
        <v>Uncle Sams Cider (11/12/2021) 02</v>
      </c>
      <c r="H567" s="19"/>
    </row>
    <row r="568">
      <c r="A568" s="9"/>
      <c r="B568" s="15"/>
      <c r="C568" s="9">
        <f>IFERROR(__xludf.DUMMYFUNCTION("""COMPUTED_VALUE"""),44599.6375748842)</f>
        <v>44599.63757</v>
      </c>
      <c r="D568" s="15">
        <f>IFERROR(__xludf.DUMMYFUNCTION("""COMPUTED_VALUE"""),1.004)</f>
        <v>1.004</v>
      </c>
      <c r="E568" s="16">
        <f>IFERROR(__xludf.DUMMYFUNCTION("""COMPUTED_VALUE"""),64.0)</f>
        <v>64</v>
      </c>
      <c r="F568" s="19" t="str">
        <f>IFERROR(__xludf.DUMMYFUNCTION("""COMPUTED_VALUE"""),"BLACK")</f>
        <v>BLACK</v>
      </c>
      <c r="G568" s="20" t="str">
        <f>IFERROR(__xludf.DUMMYFUNCTION("""COMPUTED_VALUE"""),"Uncle Sams Cider (11/12/2021) 02")</f>
        <v>Uncle Sams Cider (11/12/2021) 02</v>
      </c>
      <c r="H568" s="19"/>
    </row>
    <row r="569">
      <c r="A569" s="9"/>
      <c r="B569" s="15"/>
      <c r="C569" s="9">
        <f>IFERROR(__xludf.DUMMYFUNCTION("""COMPUTED_VALUE"""),44599.6271525578)</f>
        <v>44599.62715</v>
      </c>
      <c r="D569" s="15">
        <f>IFERROR(__xludf.DUMMYFUNCTION("""COMPUTED_VALUE"""),1.004)</f>
        <v>1.004</v>
      </c>
      <c r="E569" s="16">
        <f>IFERROR(__xludf.DUMMYFUNCTION("""COMPUTED_VALUE"""),64.0)</f>
        <v>64</v>
      </c>
      <c r="F569" s="19" t="str">
        <f>IFERROR(__xludf.DUMMYFUNCTION("""COMPUTED_VALUE"""),"BLACK")</f>
        <v>BLACK</v>
      </c>
      <c r="G569" s="20" t="str">
        <f>IFERROR(__xludf.DUMMYFUNCTION("""COMPUTED_VALUE"""),"Uncle Sams Cider (11/12/2021) 02")</f>
        <v>Uncle Sams Cider (11/12/2021) 02</v>
      </c>
      <c r="H569" s="19"/>
    </row>
    <row r="570">
      <c r="A570" s="9"/>
      <c r="B570" s="15"/>
      <c r="C570" s="9">
        <f>IFERROR(__xludf.DUMMYFUNCTION("""COMPUTED_VALUE"""),44599.6167323263)</f>
        <v>44599.61673</v>
      </c>
      <c r="D570" s="15">
        <f>IFERROR(__xludf.DUMMYFUNCTION("""COMPUTED_VALUE"""),1.004)</f>
        <v>1.004</v>
      </c>
      <c r="E570" s="16">
        <f>IFERROR(__xludf.DUMMYFUNCTION("""COMPUTED_VALUE"""),64.0)</f>
        <v>64</v>
      </c>
      <c r="F570" s="19" t="str">
        <f>IFERROR(__xludf.DUMMYFUNCTION("""COMPUTED_VALUE"""),"BLACK")</f>
        <v>BLACK</v>
      </c>
      <c r="G570" s="20" t="str">
        <f>IFERROR(__xludf.DUMMYFUNCTION("""COMPUTED_VALUE"""),"Uncle Sams Cider (11/12/2021) 02")</f>
        <v>Uncle Sams Cider (11/12/2021) 02</v>
      </c>
      <c r="H570" s="19"/>
    </row>
    <row r="571">
      <c r="A571" s="9"/>
      <c r="B571" s="15"/>
      <c r="C571" s="9">
        <f>IFERROR(__xludf.DUMMYFUNCTION("""COMPUTED_VALUE"""),44599.6062875462)</f>
        <v>44599.60629</v>
      </c>
      <c r="D571" s="15">
        <f>IFERROR(__xludf.DUMMYFUNCTION("""COMPUTED_VALUE"""),1.004)</f>
        <v>1.004</v>
      </c>
      <c r="E571" s="16">
        <f>IFERROR(__xludf.DUMMYFUNCTION("""COMPUTED_VALUE"""),64.0)</f>
        <v>64</v>
      </c>
      <c r="F571" s="19" t="str">
        <f>IFERROR(__xludf.DUMMYFUNCTION("""COMPUTED_VALUE"""),"BLACK")</f>
        <v>BLACK</v>
      </c>
      <c r="G571" s="20" t="str">
        <f>IFERROR(__xludf.DUMMYFUNCTION("""COMPUTED_VALUE"""),"Uncle Sams Cider (11/12/2021) 02")</f>
        <v>Uncle Sams Cider (11/12/2021) 02</v>
      </c>
      <c r="H571" s="19"/>
    </row>
    <row r="572">
      <c r="A572" s="9"/>
      <c r="B572" s="15"/>
      <c r="C572" s="9">
        <f>IFERROR(__xludf.DUMMYFUNCTION("""COMPUTED_VALUE"""),44599.595854074)</f>
        <v>44599.59585</v>
      </c>
      <c r="D572" s="15">
        <f>IFERROR(__xludf.DUMMYFUNCTION("""COMPUTED_VALUE"""),1.004)</f>
        <v>1.004</v>
      </c>
      <c r="E572" s="16">
        <f>IFERROR(__xludf.DUMMYFUNCTION("""COMPUTED_VALUE"""),64.0)</f>
        <v>64</v>
      </c>
      <c r="F572" s="19" t="str">
        <f>IFERROR(__xludf.DUMMYFUNCTION("""COMPUTED_VALUE"""),"BLACK")</f>
        <v>BLACK</v>
      </c>
      <c r="G572" s="20" t="str">
        <f>IFERROR(__xludf.DUMMYFUNCTION("""COMPUTED_VALUE"""),"Uncle Sams Cider (11/12/2021) 02")</f>
        <v>Uncle Sams Cider (11/12/2021) 02</v>
      </c>
      <c r="H572" s="19"/>
    </row>
    <row r="573">
      <c r="A573" s="9"/>
      <c r="B573" s="15"/>
      <c r="C573" s="9">
        <f>IFERROR(__xludf.DUMMYFUNCTION("""COMPUTED_VALUE"""),44599.5854332523)</f>
        <v>44599.58543</v>
      </c>
      <c r="D573" s="15">
        <f>IFERROR(__xludf.DUMMYFUNCTION("""COMPUTED_VALUE"""),1.004)</f>
        <v>1.004</v>
      </c>
      <c r="E573" s="16">
        <f>IFERROR(__xludf.DUMMYFUNCTION("""COMPUTED_VALUE"""),64.0)</f>
        <v>64</v>
      </c>
      <c r="F573" s="19" t="str">
        <f>IFERROR(__xludf.DUMMYFUNCTION("""COMPUTED_VALUE"""),"BLACK")</f>
        <v>BLACK</v>
      </c>
      <c r="G573" s="20" t="str">
        <f>IFERROR(__xludf.DUMMYFUNCTION("""COMPUTED_VALUE"""),"Uncle Sams Cider (11/12/2021) 02")</f>
        <v>Uncle Sams Cider (11/12/2021) 02</v>
      </c>
      <c r="H573" s="19"/>
    </row>
    <row r="574">
      <c r="A574" s="9"/>
      <c r="B574" s="15"/>
      <c r="C574" s="9">
        <f>IFERROR(__xludf.DUMMYFUNCTION("""COMPUTED_VALUE"""),44599.575013368)</f>
        <v>44599.57501</v>
      </c>
      <c r="D574" s="15">
        <f>IFERROR(__xludf.DUMMYFUNCTION("""COMPUTED_VALUE"""),1.004)</f>
        <v>1.004</v>
      </c>
      <c r="E574" s="16">
        <f>IFERROR(__xludf.DUMMYFUNCTION("""COMPUTED_VALUE"""),64.0)</f>
        <v>64</v>
      </c>
      <c r="F574" s="19" t="str">
        <f>IFERROR(__xludf.DUMMYFUNCTION("""COMPUTED_VALUE"""),"BLACK")</f>
        <v>BLACK</v>
      </c>
      <c r="G574" s="20" t="str">
        <f>IFERROR(__xludf.DUMMYFUNCTION("""COMPUTED_VALUE"""),"Uncle Sams Cider (11/12/2021) 02")</f>
        <v>Uncle Sams Cider (11/12/2021) 02</v>
      </c>
      <c r="H574" s="19"/>
    </row>
    <row r="575">
      <c r="A575" s="9"/>
      <c r="B575" s="15"/>
      <c r="C575" s="9">
        <f>IFERROR(__xludf.DUMMYFUNCTION("""COMPUTED_VALUE"""),44599.5645932638)</f>
        <v>44599.56459</v>
      </c>
      <c r="D575" s="15">
        <f>IFERROR(__xludf.DUMMYFUNCTION("""COMPUTED_VALUE"""),1.004)</f>
        <v>1.004</v>
      </c>
      <c r="E575" s="16">
        <f>IFERROR(__xludf.DUMMYFUNCTION("""COMPUTED_VALUE"""),64.0)</f>
        <v>64</v>
      </c>
      <c r="F575" s="19" t="str">
        <f>IFERROR(__xludf.DUMMYFUNCTION("""COMPUTED_VALUE"""),"BLACK")</f>
        <v>BLACK</v>
      </c>
      <c r="G575" s="20" t="str">
        <f>IFERROR(__xludf.DUMMYFUNCTION("""COMPUTED_VALUE"""),"Uncle Sams Cider (11/12/2021) 02")</f>
        <v>Uncle Sams Cider (11/12/2021) 02</v>
      </c>
      <c r="H575" s="19"/>
    </row>
    <row r="576">
      <c r="A576" s="9"/>
      <c r="B576" s="15"/>
      <c r="C576" s="9">
        <f>IFERROR(__xludf.DUMMYFUNCTION("""COMPUTED_VALUE"""),44599.55417353)</f>
        <v>44599.55417</v>
      </c>
      <c r="D576" s="15">
        <f>IFERROR(__xludf.DUMMYFUNCTION("""COMPUTED_VALUE"""),1.004)</f>
        <v>1.004</v>
      </c>
      <c r="E576" s="16">
        <f>IFERROR(__xludf.DUMMYFUNCTION("""COMPUTED_VALUE"""),64.0)</f>
        <v>64</v>
      </c>
      <c r="F576" s="19" t="str">
        <f>IFERROR(__xludf.DUMMYFUNCTION("""COMPUTED_VALUE"""),"BLACK")</f>
        <v>BLACK</v>
      </c>
      <c r="G576" s="20" t="str">
        <f>IFERROR(__xludf.DUMMYFUNCTION("""COMPUTED_VALUE"""),"Uncle Sams Cider (11/12/2021) 02")</f>
        <v>Uncle Sams Cider (11/12/2021) 02</v>
      </c>
      <c r="H576" s="19"/>
    </row>
    <row r="577">
      <c r="A577" s="9"/>
      <c r="B577" s="15"/>
      <c r="C577" s="9">
        <f>IFERROR(__xludf.DUMMYFUNCTION("""COMPUTED_VALUE"""),44599.5437526388)</f>
        <v>44599.54375</v>
      </c>
      <c r="D577" s="15">
        <f>IFERROR(__xludf.DUMMYFUNCTION("""COMPUTED_VALUE"""),1.004)</f>
        <v>1.004</v>
      </c>
      <c r="E577" s="16">
        <f>IFERROR(__xludf.DUMMYFUNCTION("""COMPUTED_VALUE"""),64.0)</f>
        <v>64</v>
      </c>
      <c r="F577" s="19" t="str">
        <f>IFERROR(__xludf.DUMMYFUNCTION("""COMPUTED_VALUE"""),"BLACK")</f>
        <v>BLACK</v>
      </c>
      <c r="G577" s="20" t="str">
        <f>IFERROR(__xludf.DUMMYFUNCTION("""COMPUTED_VALUE"""),"Uncle Sams Cider (11/12/2021) 02")</f>
        <v>Uncle Sams Cider (11/12/2021) 02</v>
      </c>
      <c r="H577" s="19"/>
    </row>
    <row r="578">
      <c r="A578" s="9"/>
      <c r="B578" s="15"/>
      <c r="C578" s="9">
        <f>IFERROR(__xludf.DUMMYFUNCTION("""COMPUTED_VALUE"""),44599.5333308333)</f>
        <v>44599.53333</v>
      </c>
      <c r="D578" s="15">
        <f>IFERROR(__xludf.DUMMYFUNCTION("""COMPUTED_VALUE"""),1.004)</f>
        <v>1.004</v>
      </c>
      <c r="E578" s="16">
        <f>IFERROR(__xludf.DUMMYFUNCTION("""COMPUTED_VALUE"""),64.0)</f>
        <v>64</v>
      </c>
      <c r="F578" s="19" t="str">
        <f>IFERROR(__xludf.DUMMYFUNCTION("""COMPUTED_VALUE"""),"BLACK")</f>
        <v>BLACK</v>
      </c>
      <c r="G578" s="20" t="str">
        <f>IFERROR(__xludf.DUMMYFUNCTION("""COMPUTED_VALUE"""),"Uncle Sams Cider (11/12/2021) 02")</f>
        <v>Uncle Sams Cider (11/12/2021) 02</v>
      </c>
      <c r="H578" s="19"/>
    </row>
    <row r="579">
      <c r="A579" s="9"/>
      <c r="B579" s="15"/>
      <c r="C579" s="9">
        <f>IFERROR(__xludf.DUMMYFUNCTION("""COMPUTED_VALUE"""),44599.5228968518)</f>
        <v>44599.5229</v>
      </c>
      <c r="D579" s="15">
        <f>IFERROR(__xludf.DUMMYFUNCTION("""COMPUTED_VALUE"""),1.004)</f>
        <v>1.004</v>
      </c>
      <c r="E579" s="16">
        <f>IFERROR(__xludf.DUMMYFUNCTION("""COMPUTED_VALUE"""),64.0)</f>
        <v>64</v>
      </c>
      <c r="F579" s="19" t="str">
        <f>IFERROR(__xludf.DUMMYFUNCTION("""COMPUTED_VALUE"""),"BLACK")</f>
        <v>BLACK</v>
      </c>
      <c r="G579" s="20" t="str">
        <f>IFERROR(__xludf.DUMMYFUNCTION("""COMPUTED_VALUE"""),"Uncle Sams Cider (11/12/2021) 02")</f>
        <v>Uncle Sams Cider (11/12/2021) 02</v>
      </c>
      <c r="H579" s="19"/>
    </row>
    <row r="580">
      <c r="A580" s="9"/>
      <c r="B580" s="15"/>
      <c r="C580" s="9">
        <f>IFERROR(__xludf.DUMMYFUNCTION("""COMPUTED_VALUE"""),44599.5124392013)</f>
        <v>44599.51244</v>
      </c>
      <c r="D580" s="15">
        <f>IFERROR(__xludf.DUMMYFUNCTION("""COMPUTED_VALUE"""),1.004)</f>
        <v>1.004</v>
      </c>
      <c r="E580" s="16">
        <f>IFERROR(__xludf.DUMMYFUNCTION("""COMPUTED_VALUE"""),64.0)</f>
        <v>64</v>
      </c>
      <c r="F580" s="19" t="str">
        <f>IFERROR(__xludf.DUMMYFUNCTION("""COMPUTED_VALUE"""),"BLACK")</f>
        <v>BLACK</v>
      </c>
      <c r="G580" s="20" t="str">
        <f>IFERROR(__xludf.DUMMYFUNCTION("""COMPUTED_VALUE"""),"Uncle Sams Cider (11/12/2021) 02")</f>
        <v>Uncle Sams Cider (11/12/2021) 02</v>
      </c>
      <c r="H580" s="19"/>
    </row>
    <row r="581">
      <c r="A581" s="9"/>
      <c r="B581" s="15"/>
      <c r="C581" s="9">
        <f>IFERROR(__xludf.DUMMYFUNCTION("""COMPUTED_VALUE"""),44599.5020191666)</f>
        <v>44599.50202</v>
      </c>
      <c r="D581" s="15">
        <f>IFERROR(__xludf.DUMMYFUNCTION("""COMPUTED_VALUE"""),1.004)</f>
        <v>1.004</v>
      </c>
      <c r="E581" s="16">
        <f>IFERROR(__xludf.DUMMYFUNCTION("""COMPUTED_VALUE"""),64.0)</f>
        <v>64</v>
      </c>
      <c r="F581" s="19" t="str">
        <f>IFERROR(__xludf.DUMMYFUNCTION("""COMPUTED_VALUE"""),"BLACK")</f>
        <v>BLACK</v>
      </c>
      <c r="G581" s="20" t="str">
        <f>IFERROR(__xludf.DUMMYFUNCTION("""COMPUTED_VALUE"""),"Uncle Sams Cider (11/12/2021) 02")</f>
        <v>Uncle Sams Cider (11/12/2021) 02</v>
      </c>
      <c r="H581" s="19"/>
    </row>
    <row r="582">
      <c r="A582" s="9"/>
      <c r="B582" s="15"/>
      <c r="C582" s="9">
        <f>IFERROR(__xludf.DUMMYFUNCTION("""COMPUTED_VALUE"""),44599.491597581)</f>
        <v>44599.4916</v>
      </c>
      <c r="D582" s="15">
        <f>IFERROR(__xludf.DUMMYFUNCTION("""COMPUTED_VALUE"""),1.004)</f>
        <v>1.004</v>
      </c>
      <c r="E582" s="16">
        <f>IFERROR(__xludf.DUMMYFUNCTION("""COMPUTED_VALUE"""),64.0)</f>
        <v>64</v>
      </c>
      <c r="F582" s="19" t="str">
        <f>IFERROR(__xludf.DUMMYFUNCTION("""COMPUTED_VALUE"""),"BLACK")</f>
        <v>BLACK</v>
      </c>
      <c r="G582" s="20" t="str">
        <f>IFERROR(__xludf.DUMMYFUNCTION("""COMPUTED_VALUE"""),"Uncle Sams Cider (11/12/2021) 02")</f>
        <v>Uncle Sams Cider (11/12/2021) 02</v>
      </c>
      <c r="H582" s="19"/>
    </row>
    <row r="583">
      <c r="A583" s="9"/>
      <c r="B583" s="15"/>
      <c r="C583" s="9">
        <f>IFERROR(__xludf.DUMMYFUNCTION("""COMPUTED_VALUE"""),44599.4811296412)</f>
        <v>44599.48113</v>
      </c>
      <c r="D583" s="15">
        <f>IFERROR(__xludf.DUMMYFUNCTION("""COMPUTED_VALUE"""),1.004)</f>
        <v>1.004</v>
      </c>
      <c r="E583" s="16">
        <f>IFERROR(__xludf.DUMMYFUNCTION("""COMPUTED_VALUE"""),64.0)</f>
        <v>64</v>
      </c>
      <c r="F583" s="19" t="str">
        <f>IFERROR(__xludf.DUMMYFUNCTION("""COMPUTED_VALUE"""),"BLACK")</f>
        <v>BLACK</v>
      </c>
      <c r="G583" s="20" t="str">
        <f>IFERROR(__xludf.DUMMYFUNCTION("""COMPUTED_VALUE"""),"Uncle Sams Cider (11/12/2021) 02")</f>
        <v>Uncle Sams Cider (11/12/2021) 02</v>
      </c>
      <c r="H583" s="19"/>
    </row>
    <row r="584">
      <c r="A584" s="9"/>
      <c r="B584" s="15"/>
      <c r="C584" s="9">
        <f>IFERROR(__xludf.DUMMYFUNCTION("""COMPUTED_VALUE"""),44599.4707088888)</f>
        <v>44599.47071</v>
      </c>
      <c r="D584" s="15">
        <f>IFERROR(__xludf.DUMMYFUNCTION("""COMPUTED_VALUE"""),1.004)</f>
        <v>1.004</v>
      </c>
      <c r="E584" s="16">
        <f>IFERROR(__xludf.DUMMYFUNCTION("""COMPUTED_VALUE"""),64.0)</f>
        <v>64</v>
      </c>
      <c r="F584" s="19" t="str">
        <f>IFERROR(__xludf.DUMMYFUNCTION("""COMPUTED_VALUE"""),"BLACK")</f>
        <v>BLACK</v>
      </c>
      <c r="G584" s="20" t="str">
        <f>IFERROR(__xludf.DUMMYFUNCTION("""COMPUTED_VALUE"""),"Uncle Sams Cider (11/12/2021) 02")</f>
        <v>Uncle Sams Cider (11/12/2021) 02</v>
      </c>
      <c r="H584" s="19"/>
    </row>
    <row r="585">
      <c r="A585" s="9"/>
      <c r="B585" s="15"/>
      <c r="C585" s="9">
        <f>IFERROR(__xludf.DUMMYFUNCTION("""COMPUTED_VALUE"""),44599.460286875)</f>
        <v>44599.46029</v>
      </c>
      <c r="D585" s="15">
        <f>IFERROR(__xludf.DUMMYFUNCTION("""COMPUTED_VALUE"""),1.004)</f>
        <v>1.004</v>
      </c>
      <c r="E585" s="16">
        <f>IFERROR(__xludf.DUMMYFUNCTION("""COMPUTED_VALUE"""),65.0)</f>
        <v>65</v>
      </c>
      <c r="F585" s="19" t="str">
        <f>IFERROR(__xludf.DUMMYFUNCTION("""COMPUTED_VALUE"""),"BLACK")</f>
        <v>BLACK</v>
      </c>
      <c r="G585" s="20" t="str">
        <f>IFERROR(__xludf.DUMMYFUNCTION("""COMPUTED_VALUE"""),"Uncle Sams Cider (11/12/2021) 02")</f>
        <v>Uncle Sams Cider (11/12/2021) 02</v>
      </c>
      <c r="H585" s="19"/>
    </row>
    <row r="586">
      <c r="A586" s="9"/>
      <c r="B586" s="15"/>
      <c r="C586" s="9">
        <f>IFERROR(__xludf.DUMMYFUNCTION("""COMPUTED_VALUE"""),44599.4498529166)</f>
        <v>44599.44985</v>
      </c>
      <c r="D586" s="15">
        <f>IFERROR(__xludf.DUMMYFUNCTION("""COMPUTED_VALUE"""),1.004)</f>
        <v>1.004</v>
      </c>
      <c r="E586" s="16">
        <f>IFERROR(__xludf.DUMMYFUNCTION("""COMPUTED_VALUE"""),65.0)</f>
        <v>65</v>
      </c>
      <c r="F586" s="19" t="str">
        <f>IFERROR(__xludf.DUMMYFUNCTION("""COMPUTED_VALUE"""),"BLACK")</f>
        <v>BLACK</v>
      </c>
      <c r="G586" s="20" t="str">
        <f>IFERROR(__xludf.DUMMYFUNCTION("""COMPUTED_VALUE"""),"Uncle Sams Cider (11/12/2021) 02")</f>
        <v>Uncle Sams Cider (11/12/2021) 02</v>
      </c>
      <c r="H586" s="19"/>
    </row>
    <row r="587">
      <c r="A587" s="9"/>
      <c r="B587" s="15"/>
      <c r="C587" s="9">
        <f>IFERROR(__xludf.DUMMYFUNCTION("""COMPUTED_VALUE"""),44599.4394313194)</f>
        <v>44599.43943</v>
      </c>
      <c r="D587" s="15">
        <f>IFERROR(__xludf.DUMMYFUNCTION("""COMPUTED_VALUE"""),1.004)</f>
        <v>1.004</v>
      </c>
      <c r="E587" s="16">
        <f>IFERROR(__xludf.DUMMYFUNCTION("""COMPUTED_VALUE"""),64.0)</f>
        <v>64</v>
      </c>
      <c r="F587" s="19" t="str">
        <f>IFERROR(__xludf.DUMMYFUNCTION("""COMPUTED_VALUE"""),"BLACK")</f>
        <v>BLACK</v>
      </c>
      <c r="G587" s="20" t="str">
        <f>IFERROR(__xludf.DUMMYFUNCTION("""COMPUTED_VALUE"""),"Uncle Sams Cider (11/12/2021) 02")</f>
        <v>Uncle Sams Cider (11/12/2021) 02</v>
      </c>
      <c r="H587" s="19"/>
    </row>
    <row r="588">
      <c r="A588" s="9"/>
      <c r="B588" s="15"/>
      <c r="C588" s="9">
        <f>IFERROR(__xludf.DUMMYFUNCTION("""COMPUTED_VALUE"""),44599.4290091319)</f>
        <v>44599.42901</v>
      </c>
      <c r="D588" s="15">
        <f>IFERROR(__xludf.DUMMYFUNCTION("""COMPUTED_VALUE"""),1.004)</f>
        <v>1.004</v>
      </c>
      <c r="E588" s="16">
        <f>IFERROR(__xludf.DUMMYFUNCTION("""COMPUTED_VALUE"""),64.0)</f>
        <v>64</v>
      </c>
      <c r="F588" s="19" t="str">
        <f>IFERROR(__xludf.DUMMYFUNCTION("""COMPUTED_VALUE"""),"BLACK")</f>
        <v>BLACK</v>
      </c>
      <c r="G588" s="20" t="str">
        <f>IFERROR(__xludf.DUMMYFUNCTION("""COMPUTED_VALUE"""),"Uncle Sams Cider (11/12/2021) 02")</f>
        <v>Uncle Sams Cider (11/12/2021) 02</v>
      </c>
      <c r="H588" s="19"/>
    </row>
    <row r="589">
      <c r="A589" s="9"/>
      <c r="B589" s="15"/>
      <c r="C589" s="9">
        <f>IFERROR(__xludf.DUMMYFUNCTION("""COMPUTED_VALUE"""),44599.4185293865)</f>
        <v>44599.41853</v>
      </c>
      <c r="D589" s="15">
        <f>IFERROR(__xludf.DUMMYFUNCTION("""COMPUTED_VALUE"""),1.004)</f>
        <v>1.004</v>
      </c>
      <c r="E589" s="16">
        <f>IFERROR(__xludf.DUMMYFUNCTION("""COMPUTED_VALUE"""),65.0)</f>
        <v>65</v>
      </c>
      <c r="F589" s="19" t="str">
        <f>IFERROR(__xludf.DUMMYFUNCTION("""COMPUTED_VALUE"""),"BLACK")</f>
        <v>BLACK</v>
      </c>
      <c r="G589" s="20" t="str">
        <f>IFERROR(__xludf.DUMMYFUNCTION("""COMPUTED_VALUE"""),"Uncle Sams Cider (11/12/2021) 02")</f>
        <v>Uncle Sams Cider (11/12/2021) 02</v>
      </c>
      <c r="H589" s="19"/>
    </row>
    <row r="590">
      <c r="A590" s="9"/>
      <c r="B590" s="15"/>
      <c r="C590" s="9">
        <f>IFERROR(__xludf.DUMMYFUNCTION("""COMPUTED_VALUE"""),44599.4081087847)</f>
        <v>44599.40811</v>
      </c>
      <c r="D590" s="15">
        <f>IFERROR(__xludf.DUMMYFUNCTION("""COMPUTED_VALUE"""),1.004)</f>
        <v>1.004</v>
      </c>
      <c r="E590" s="16">
        <f>IFERROR(__xludf.DUMMYFUNCTION("""COMPUTED_VALUE"""),65.0)</f>
        <v>65</v>
      </c>
      <c r="F590" s="19" t="str">
        <f>IFERROR(__xludf.DUMMYFUNCTION("""COMPUTED_VALUE"""),"BLACK")</f>
        <v>BLACK</v>
      </c>
      <c r="G590" s="20" t="str">
        <f>IFERROR(__xludf.DUMMYFUNCTION("""COMPUTED_VALUE"""),"Uncle Sams Cider (11/12/2021) 02")</f>
        <v>Uncle Sams Cider (11/12/2021) 02</v>
      </c>
      <c r="H590" s="19"/>
    </row>
    <row r="591">
      <c r="A591" s="9"/>
      <c r="B591" s="15"/>
      <c r="C591" s="9">
        <f>IFERROR(__xludf.DUMMYFUNCTION("""COMPUTED_VALUE"""),44599.3976863541)</f>
        <v>44599.39769</v>
      </c>
      <c r="D591" s="15">
        <f>IFERROR(__xludf.DUMMYFUNCTION("""COMPUTED_VALUE"""),1.004)</f>
        <v>1.004</v>
      </c>
      <c r="E591" s="16">
        <f>IFERROR(__xludf.DUMMYFUNCTION("""COMPUTED_VALUE"""),65.0)</f>
        <v>65</v>
      </c>
      <c r="F591" s="19" t="str">
        <f>IFERROR(__xludf.DUMMYFUNCTION("""COMPUTED_VALUE"""),"BLACK")</f>
        <v>BLACK</v>
      </c>
      <c r="G591" s="20" t="str">
        <f>IFERROR(__xludf.DUMMYFUNCTION("""COMPUTED_VALUE"""),"Uncle Sams Cider (11/12/2021) 02")</f>
        <v>Uncle Sams Cider (11/12/2021) 02</v>
      </c>
      <c r="H591" s="19"/>
    </row>
    <row r="592">
      <c r="A592" s="9"/>
      <c r="B592" s="15"/>
      <c r="C592" s="9">
        <f>IFERROR(__xludf.DUMMYFUNCTION("""COMPUTED_VALUE"""),44599.3872191435)</f>
        <v>44599.38722</v>
      </c>
      <c r="D592" s="15">
        <f>IFERROR(__xludf.DUMMYFUNCTION("""COMPUTED_VALUE"""),1.004)</f>
        <v>1.004</v>
      </c>
      <c r="E592" s="16">
        <f>IFERROR(__xludf.DUMMYFUNCTION("""COMPUTED_VALUE"""),65.0)</f>
        <v>65</v>
      </c>
      <c r="F592" s="19" t="str">
        <f>IFERROR(__xludf.DUMMYFUNCTION("""COMPUTED_VALUE"""),"BLACK")</f>
        <v>BLACK</v>
      </c>
      <c r="G592" s="20" t="str">
        <f>IFERROR(__xludf.DUMMYFUNCTION("""COMPUTED_VALUE"""),"Uncle Sams Cider (11/12/2021) 02")</f>
        <v>Uncle Sams Cider (11/12/2021) 02</v>
      </c>
      <c r="H592" s="19"/>
    </row>
    <row r="593">
      <c r="A593" s="9"/>
      <c r="B593" s="15"/>
      <c r="C593" s="9">
        <f>IFERROR(__xludf.DUMMYFUNCTION("""COMPUTED_VALUE"""),44599.3767523379)</f>
        <v>44599.37675</v>
      </c>
      <c r="D593" s="15">
        <f>IFERROR(__xludf.DUMMYFUNCTION("""COMPUTED_VALUE"""),1.004)</f>
        <v>1.004</v>
      </c>
      <c r="E593" s="16">
        <f>IFERROR(__xludf.DUMMYFUNCTION("""COMPUTED_VALUE"""),65.0)</f>
        <v>65</v>
      </c>
      <c r="F593" s="19" t="str">
        <f>IFERROR(__xludf.DUMMYFUNCTION("""COMPUTED_VALUE"""),"BLACK")</f>
        <v>BLACK</v>
      </c>
      <c r="G593" s="20" t="str">
        <f>IFERROR(__xludf.DUMMYFUNCTION("""COMPUTED_VALUE"""),"Uncle Sams Cider (11/12/2021) 02")</f>
        <v>Uncle Sams Cider (11/12/2021) 02</v>
      </c>
      <c r="H593" s="19"/>
    </row>
    <row r="594">
      <c r="A594" s="9"/>
      <c r="B594" s="15"/>
      <c r="C594" s="9">
        <f>IFERROR(__xludf.DUMMYFUNCTION("""COMPUTED_VALUE"""),44599.3663299884)</f>
        <v>44599.36633</v>
      </c>
      <c r="D594" s="15">
        <f>IFERROR(__xludf.DUMMYFUNCTION("""COMPUTED_VALUE"""),1.004)</f>
        <v>1.004</v>
      </c>
      <c r="E594" s="16">
        <f>IFERROR(__xludf.DUMMYFUNCTION("""COMPUTED_VALUE"""),65.0)</f>
        <v>65</v>
      </c>
      <c r="F594" s="19" t="str">
        <f>IFERROR(__xludf.DUMMYFUNCTION("""COMPUTED_VALUE"""),"BLACK")</f>
        <v>BLACK</v>
      </c>
      <c r="G594" s="20" t="str">
        <f>IFERROR(__xludf.DUMMYFUNCTION("""COMPUTED_VALUE"""),"Uncle Sams Cider (11/12/2021) 02")</f>
        <v>Uncle Sams Cider (11/12/2021) 02</v>
      </c>
      <c r="H594" s="19"/>
    </row>
    <row r="595">
      <c r="A595" s="9"/>
      <c r="B595" s="15"/>
      <c r="C595" s="9">
        <f>IFERROR(__xludf.DUMMYFUNCTION("""COMPUTED_VALUE"""),44599.3558848148)</f>
        <v>44599.35588</v>
      </c>
      <c r="D595" s="15">
        <f>IFERROR(__xludf.DUMMYFUNCTION("""COMPUTED_VALUE"""),1.004)</f>
        <v>1.004</v>
      </c>
      <c r="E595" s="16">
        <f>IFERROR(__xludf.DUMMYFUNCTION("""COMPUTED_VALUE"""),65.0)</f>
        <v>65</v>
      </c>
      <c r="F595" s="19" t="str">
        <f>IFERROR(__xludf.DUMMYFUNCTION("""COMPUTED_VALUE"""),"BLACK")</f>
        <v>BLACK</v>
      </c>
      <c r="G595" s="20" t="str">
        <f>IFERROR(__xludf.DUMMYFUNCTION("""COMPUTED_VALUE"""),"Uncle Sams Cider (11/12/2021) 02")</f>
        <v>Uncle Sams Cider (11/12/2021) 02</v>
      </c>
      <c r="H595" s="19"/>
    </row>
    <row r="596">
      <c r="A596" s="9"/>
      <c r="B596" s="15"/>
      <c r="C596" s="9">
        <f>IFERROR(__xludf.DUMMYFUNCTION("""COMPUTED_VALUE"""),44599.3454527893)</f>
        <v>44599.34545</v>
      </c>
      <c r="D596" s="15">
        <f>IFERROR(__xludf.DUMMYFUNCTION("""COMPUTED_VALUE"""),1.004)</f>
        <v>1.004</v>
      </c>
      <c r="E596" s="16">
        <f>IFERROR(__xludf.DUMMYFUNCTION("""COMPUTED_VALUE"""),65.0)</f>
        <v>65</v>
      </c>
      <c r="F596" s="19" t="str">
        <f>IFERROR(__xludf.DUMMYFUNCTION("""COMPUTED_VALUE"""),"BLACK")</f>
        <v>BLACK</v>
      </c>
      <c r="G596" s="20" t="str">
        <f>IFERROR(__xludf.DUMMYFUNCTION("""COMPUTED_VALUE"""),"Uncle Sams Cider (11/12/2021) 02")</f>
        <v>Uncle Sams Cider (11/12/2021) 02</v>
      </c>
      <c r="H596" s="19"/>
    </row>
    <row r="597">
      <c r="A597" s="9"/>
      <c r="B597" s="15"/>
      <c r="C597" s="9">
        <f>IFERROR(__xludf.DUMMYFUNCTION("""COMPUTED_VALUE"""),44599.3350297338)</f>
        <v>44599.33503</v>
      </c>
      <c r="D597" s="15">
        <f>IFERROR(__xludf.DUMMYFUNCTION("""COMPUTED_VALUE"""),1.004)</f>
        <v>1.004</v>
      </c>
      <c r="E597" s="16">
        <f>IFERROR(__xludf.DUMMYFUNCTION("""COMPUTED_VALUE"""),65.0)</f>
        <v>65</v>
      </c>
      <c r="F597" s="19" t="str">
        <f>IFERROR(__xludf.DUMMYFUNCTION("""COMPUTED_VALUE"""),"BLACK")</f>
        <v>BLACK</v>
      </c>
      <c r="G597" s="20" t="str">
        <f>IFERROR(__xludf.DUMMYFUNCTION("""COMPUTED_VALUE"""),"Uncle Sams Cider (11/12/2021) 02")</f>
        <v>Uncle Sams Cider (11/12/2021) 02</v>
      </c>
      <c r="H597" s="19"/>
    </row>
    <row r="598">
      <c r="A598" s="9"/>
      <c r="B598" s="15"/>
      <c r="C598" s="9">
        <f>IFERROR(__xludf.DUMMYFUNCTION("""COMPUTED_VALUE"""),44599.3246096527)</f>
        <v>44599.32461</v>
      </c>
      <c r="D598" s="15">
        <f>IFERROR(__xludf.DUMMYFUNCTION("""COMPUTED_VALUE"""),1.004)</f>
        <v>1.004</v>
      </c>
      <c r="E598" s="16">
        <f>IFERROR(__xludf.DUMMYFUNCTION("""COMPUTED_VALUE"""),65.0)</f>
        <v>65</v>
      </c>
      <c r="F598" s="19" t="str">
        <f>IFERROR(__xludf.DUMMYFUNCTION("""COMPUTED_VALUE"""),"BLACK")</f>
        <v>BLACK</v>
      </c>
      <c r="G598" s="20" t="str">
        <f>IFERROR(__xludf.DUMMYFUNCTION("""COMPUTED_VALUE"""),"Uncle Sams Cider (11/12/2021) 02")</f>
        <v>Uncle Sams Cider (11/12/2021) 02</v>
      </c>
      <c r="H598" s="19"/>
    </row>
    <row r="599">
      <c r="A599" s="9"/>
      <c r="B599" s="15"/>
      <c r="C599" s="9">
        <f>IFERROR(__xludf.DUMMYFUNCTION("""COMPUTED_VALUE"""),44599.3141430324)</f>
        <v>44599.31414</v>
      </c>
      <c r="D599" s="15">
        <f>IFERROR(__xludf.DUMMYFUNCTION("""COMPUTED_VALUE"""),1.004)</f>
        <v>1.004</v>
      </c>
      <c r="E599" s="16">
        <f>IFERROR(__xludf.DUMMYFUNCTION("""COMPUTED_VALUE"""),65.0)</f>
        <v>65</v>
      </c>
      <c r="F599" s="19" t="str">
        <f>IFERROR(__xludf.DUMMYFUNCTION("""COMPUTED_VALUE"""),"BLACK")</f>
        <v>BLACK</v>
      </c>
      <c r="G599" s="20" t="str">
        <f>IFERROR(__xludf.DUMMYFUNCTION("""COMPUTED_VALUE"""),"Uncle Sams Cider (11/12/2021) 02")</f>
        <v>Uncle Sams Cider (11/12/2021) 02</v>
      </c>
      <c r="H599" s="19"/>
    </row>
    <row r="600">
      <c r="A600" s="9"/>
      <c r="B600" s="15"/>
      <c r="C600" s="9">
        <f>IFERROR(__xludf.DUMMYFUNCTION("""COMPUTED_VALUE"""),44599.3037221064)</f>
        <v>44599.30372</v>
      </c>
      <c r="D600" s="15">
        <f>IFERROR(__xludf.DUMMYFUNCTION("""COMPUTED_VALUE"""),1.004)</f>
        <v>1.004</v>
      </c>
      <c r="E600" s="16">
        <f>IFERROR(__xludf.DUMMYFUNCTION("""COMPUTED_VALUE"""),65.0)</f>
        <v>65</v>
      </c>
      <c r="F600" s="19" t="str">
        <f>IFERROR(__xludf.DUMMYFUNCTION("""COMPUTED_VALUE"""),"BLACK")</f>
        <v>BLACK</v>
      </c>
      <c r="G600" s="20" t="str">
        <f>IFERROR(__xludf.DUMMYFUNCTION("""COMPUTED_VALUE"""),"Uncle Sams Cider (11/12/2021) 02")</f>
        <v>Uncle Sams Cider (11/12/2021) 02</v>
      </c>
      <c r="H600" s="19"/>
    </row>
    <row r="601">
      <c r="A601" s="9"/>
      <c r="B601" s="15"/>
      <c r="C601" s="9">
        <f>IFERROR(__xludf.DUMMYFUNCTION("""COMPUTED_VALUE"""),44599.2932774189)</f>
        <v>44599.29328</v>
      </c>
      <c r="D601" s="15">
        <f>IFERROR(__xludf.DUMMYFUNCTION("""COMPUTED_VALUE"""),1.004)</f>
        <v>1.004</v>
      </c>
      <c r="E601" s="16">
        <f>IFERROR(__xludf.DUMMYFUNCTION("""COMPUTED_VALUE"""),65.0)</f>
        <v>65</v>
      </c>
      <c r="F601" s="19" t="str">
        <f>IFERROR(__xludf.DUMMYFUNCTION("""COMPUTED_VALUE"""),"BLACK")</f>
        <v>BLACK</v>
      </c>
      <c r="G601" s="20" t="str">
        <f>IFERROR(__xludf.DUMMYFUNCTION("""COMPUTED_VALUE"""),"Uncle Sams Cider (11/12/2021) 02")</f>
        <v>Uncle Sams Cider (11/12/2021) 02</v>
      </c>
      <c r="H601" s="19"/>
    </row>
    <row r="602">
      <c r="A602" s="9"/>
      <c r="B602" s="15"/>
      <c r="C602" s="9">
        <f>IFERROR(__xludf.DUMMYFUNCTION("""COMPUTED_VALUE"""),44599.2828442013)</f>
        <v>44599.28284</v>
      </c>
      <c r="D602" s="15">
        <f>IFERROR(__xludf.DUMMYFUNCTION("""COMPUTED_VALUE"""),1.004)</f>
        <v>1.004</v>
      </c>
      <c r="E602" s="16">
        <f>IFERROR(__xludf.DUMMYFUNCTION("""COMPUTED_VALUE"""),65.0)</f>
        <v>65</v>
      </c>
      <c r="F602" s="19" t="str">
        <f>IFERROR(__xludf.DUMMYFUNCTION("""COMPUTED_VALUE"""),"BLACK")</f>
        <v>BLACK</v>
      </c>
      <c r="G602" s="20" t="str">
        <f>IFERROR(__xludf.DUMMYFUNCTION("""COMPUTED_VALUE"""),"Uncle Sams Cider (11/12/2021) 02")</f>
        <v>Uncle Sams Cider (11/12/2021) 02</v>
      </c>
      <c r="H602" s="19"/>
    </row>
    <row r="603">
      <c r="A603" s="9"/>
      <c r="B603" s="15"/>
      <c r="C603" s="9">
        <f>IFERROR(__xludf.DUMMYFUNCTION("""COMPUTED_VALUE"""),44599.2724115509)</f>
        <v>44599.27241</v>
      </c>
      <c r="D603" s="15">
        <f>IFERROR(__xludf.DUMMYFUNCTION("""COMPUTED_VALUE"""),1.004)</f>
        <v>1.004</v>
      </c>
      <c r="E603" s="16">
        <f>IFERROR(__xludf.DUMMYFUNCTION("""COMPUTED_VALUE"""),65.0)</f>
        <v>65</v>
      </c>
      <c r="F603" s="19" t="str">
        <f>IFERROR(__xludf.DUMMYFUNCTION("""COMPUTED_VALUE"""),"BLACK")</f>
        <v>BLACK</v>
      </c>
      <c r="G603" s="20" t="str">
        <f>IFERROR(__xludf.DUMMYFUNCTION("""COMPUTED_VALUE"""),"Uncle Sams Cider (11/12/2021) 02")</f>
        <v>Uncle Sams Cider (11/12/2021) 02</v>
      </c>
      <c r="H603" s="19"/>
    </row>
    <row r="604">
      <c r="A604" s="9"/>
      <c r="B604" s="15"/>
      <c r="C604" s="9">
        <f>IFERROR(__xludf.DUMMYFUNCTION("""COMPUTED_VALUE"""),44599.2619885532)</f>
        <v>44599.26199</v>
      </c>
      <c r="D604" s="15">
        <f>IFERROR(__xludf.DUMMYFUNCTION("""COMPUTED_VALUE"""),1.004)</f>
        <v>1.004</v>
      </c>
      <c r="E604" s="16">
        <f>IFERROR(__xludf.DUMMYFUNCTION("""COMPUTED_VALUE"""),65.0)</f>
        <v>65</v>
      </c>
      <c r="F604" s="19" t="str">
        <f>IFERROR(__xludf.DUMMYFUNCTION("""COMPUTED_VALUE"""),"BLACK")</f>
        <v>BLACK</v>
      </c>
      <c r="G604" s="20" t="str">
        <f>IFERROR(__xludf.DUMMYFUNCTION("""COMPUTED_VALUE"""),"Uncle Sams Cider (11/12/2021) 02")</f>
        <v>Uncle Sams Cider (11/12/2021) 02</v>
      </c>
      <c r="H604" s="19"/>
    </row>
    <row r="605">
      <c r="A605" s="9"/>
      <c r="B605" s="15"/>
      <c r="C605" s="9">
        <f>IFERROR(__xludf.DUMMYFUNCTION("""COMPUTED_VALUE"""),44599.2515667708)</f>
        <v>44599.25157</v>
      </c>
      <c r="D605" s="15">
        <f>IFERROR(__xludf.DUMMYFUNCTION("""COMPUTED_VALUE"""),1.004)</f>
        <v>1.004</v>
      </c>
      <c r="E605" s="16">
        <f>IFERROR(__xludf.DUMMYFUNCTION("""COMPUTED_VALUE"""),65.0)</f>
        <v>65</v>
      </c>
      <c r="F605" s="19" t="str">
        <f>IFERROR(__xludf.DUMMYFUNCTION("""COMPUTED_VALUE"""),"BLACK")</f>
        <v>BLACK</v>
      </c>
      <c r="G605" s="20" t="str">
        <f>IFERROR(__xludf.DUMMYFUNCTION("""COMPUTED_VALUE"""),"Uncle Sams Cider (11/12/2021) 02")</f>
        <v>Uncle Sams Cider (11/12/2021) 02</v>
      </c>
      <c r="H605" s="19"/>
    </row>
    <row r="606">
      <c r="A606" s="9"/>
      <c r="B606" s="15"/>
      <c r="C606" s="9">
        <f>IFERROR(__xludf.DUMMYFUNCTION("""COMPUTED_VALUE"""),44599.2411461111)</f>
        <v>44599.24115</v>
      </c>
      <c r="D606" s="15">
        <f>IFERROR(__xludf.DUMMYFUNCTION("""COMPUTED_VALUE"""),1.004)</f>
        <v>1.004</v>
      </c>
      <c r="E606" s="16">
        <f>IFERROR(__xludf.DUMMYFUNCTION("""COMPUTED_VALUE"""),65.0)</f>
        <v>65</v>
      </c>
      <c r="F606" s="19" t="str">
        <f>IFERROR(__xludf.DUMMYFUNCTION("""COMPUTED_VALUE"""),"BLACK")</f>
        <v>BLACK</v>
      </c>
      <c r="G606" s="20" t="str">
        <f>IFERROR(__xludf.DUMMYFUNCTION("""COMPUTED_VALUE"""),"Uncle Sams Cider (11/12/2021) 02")</f>
        <v>Uncle Sams Cider (11/12/2021) 02</v>
      </c>
      <c r="H606" s="19"/>
    </row>
    <row r="607">
      <c r="A607" s="9"/>
      <c r="B607" s="15"/>
      <c r="C607" s="9">
        <f>IFERROR(__xludf.DUMMYFUNCTION("""COMPUTED_VALUE"""),44599.2307123842)</f>
        <v>44599.23071</v>
      </c>
      <c r="D607" s="15">
        <f>IFERROR(__xludf.DUMMYFUNCTION("""COMPUTED_VALUE"""),1.004)</f>
        <v>1.004</v>
      </c>
      <c r="E607" s="16">
        <f>IFERROR(__xludf.DUMMYFUNCTION("""COMPUTED_VALUE"""),65.0)</f>
        <v>65</v>
      </c>
      <c r="F607" s="19" t="str">
        <f>IFERROR(__xludf.DUMMYFUNCTION("""COMPUTED_VALUE"""),"BLACK")</f>
        <v>BLACK</v>
      </c>
      <c r="G607" s="20" t="str">
        <f>IFERROR(__xludf.DUMMYFUNCTION("""COMPUTED_VALUE"""),"Uncle Sams Cider (11/12/2021) 02")</f>
        <v>Uncle Sams Cider (11/12/2021) 02</v>
      </c>
      <c r="H607" s="19"/>
    </row>
    <row r="608">
      <c r="A608" s="9"/>
      <c r="B608" s="15"/>
      <c r="C608" s="9">
        <f>IFERROR(__xludf.DUMMYFUNCTION("""COMPUTED_VALUE"""),44599.2202909953)</f>
        <v>44599.22029</v>
      </c>
      <c r="D608" s="15">
        <f>IFERROR(__xludf.DUMMYFUNCTION("""COMPUTED_VALUE"""),1.004)</f>
        <v>1.004</v>
      </c>
      <c r="E608" s="16">
        <f>IFERROR(__xludf.DUMMYFUNCTION("""COMPUTED_VALUE"""),65.0)</f>
        <v>65</v>
      </c>
      <c r="F608" s="19" t="str">
        <f>IFERROR(__xludf.DUMMYFUNCTION("""COMPUTED_VALUE"""),"BLACK")</f>
        <v>BLACK</v>
      </c>
      <c r="G608" s="20" t="str">
        <f>IFERROR(__xludf.DUMMYFUNCTION("""COMPUTED_VALUE"""),"Uncle Sams Cider (11/12/2021) 02")</f>
        <v>Uncle Sams Cider (11/12/2021) 02</v>
      </c>
      <c r="H608" s="19"/>
    </row>
    <row r="609">
      <c r="A609" s="9"/>
      <c r="B609" s="15"/>
      <c r="C609" s="9">
        <f>IFERROR(__xludf.DUMMYFUNCTION("""COMPUTED_VALUE"""),44599.2098587847)</f>
        <v>44599.20986</v>
      </c>
      <c r="D609" s="15">
        <f>IFERROR(__xludf.DUMMYFUNCTION("""COMPUTED_VALUE"""),1.004)</f>
        <v>1.004</v>
      </c>
      <c r="E609" s="16">
        <f>IFERROR(__xludf.DUMMYFUNCTION("""COMPUTED_VALUE"""),65.0)</f>
        <v>65</v>
      </c>
      <c r="F609" s="19" t="str">
        <f>IFERROR(__xludf.DUMMYFUNCTION("""COMPUTED_VALUE"""),"BLACK")</f>
        <v>BLACK</v>
      </c>
      <c r="G609" s="20" t="str">
        <f>IFERROR(__xludf.DUMMYFUNCTION("""COMPUTED_VALUE"""),"Uncle Sams Cider (11/12/2021) 02")</f>
        <v>Uncle Sams Cider (11/12/2021) 02</v>
      </c>
      <c r="H609" s="19"/>
    </row>
    <row r="610">
      <c r="A610" s="9"/>
      <c r="B610" s="15"/>
      <c r="C610" s="9">
        <f>IFERROR(__xludf.DUMMYFUNCTION("""COMPUTED_VALUE"""),44599.1994359837)</f>
        <v>44599.19944</v>
      </c>
      <c r="D610" s="15">
        <f>IFERROR(__xludf.DUMMYFUNCTION("""COMPUTED_VALUE"""),1.004)</f>
        <v>1.004</v>
      </c>
      <c r="E610" s="16">
        <f>IFERROR(__xludf.DUMMYFUNCTION("""COMPUTED_VALUE"""),65.0)</f>
        <v>65</v>
      </c>
      <c r="F610" s="19" t="str">
        <f>IFERROR(__xludf.DUMMYFUNCTION("""COMPUTED_VALUE"""),"BLACK")</f>
        <v>BLACK</v>
      </c>
      <c r="G610" s="20" t="str">
        <f>IFERROR(__xludf.DUMMYFUNCTION("""COMPUTED_VALUE"""),"Uncle Sams Cider (11/12/2021) 02")</f>
        <v>Uncle Sams Cider (11/12/2021) 02</v>
      </c>
      <c r="H610" s="19"/>
    </row>
    <row r="611">
      <c r="A611" s="9"/>
      <c r="B611" s="15"/>
      <c r="C611" s="9">
        <f>IFERROR(__xludf.DUMMYFUNCTION("""COMPUTED_VALUE"""),44599.1890128935)</f>
        <v>44599.18901</v>
      </c>
      <c r="D611" s="15">
        <f>IFERROR(__xludf.DUMMYFUNCTION("""COMPUTED_VALUE"""),1.004)</f>
        <v>1.004</v>
      </c>
      <c r="E611" s="16">
        <f>IFERROR(__xludf.DUMMYFUNCTION("""COMPUTED_VALUE"""),65.0)</f>
        <v>65</v>
      </c>
      <c r="F611" s="19" t="str">
        <f>IFERROR(__xludf.DUMMYFUNCTION("""COMPUTED_VALUE"""),"BLACK")</f>
        <v>BLACK</v>
      </c>
      <c r="G611" s="20" t="str">
        <f>IFERROR(__xludf.DUMMYFUNCTION("""COMPUTED_VALUE"""),"Uncle Sams Cider (11/12/2021) 02")</f>
        <v>Uncle Sams Cider (11/12/2021) 02</v>
      </c>
      <c r="H611" s="19"/>
    </row>
    <row r="612">
      <c r="A612" s="9"/>
      <c r="B612" s="15"/>
      <c r="C612" s="9">
        <f>IFERROR(__xludf.DUMMYFUNCTION("""COMPUTED_VALUE"""),44599.1785921296)</f>
        <v>44599.17859</v>
      </c>
      <c r="D612" s="15">
        <f>IFERROR(__xludf.DUMMYFUNCTION("""COMPUTED_VALUE"""),1.004)</f>
        <v>1.004</v>
      </c>
      <c r="E612" s="16">
        <f>IFERROR(__xludf.DUMMYFUNCTION("""COMPUTED_VALUE"""),65.0)</f>
        <v>65</v>
      </c>
      <c r="F612" s="19" t="str">
        <f>IFERROR(__xludf.DUMMYFUNCTION("""COMPUTED_VALUE"""),"BLACK")</f>
        <v>BLACK</v>
      </c>
      <c r="G612" s="20" t="str">
        <f>IFERROR(__xludf.DUMMYFUNCTION("""COMPUTED_VALUE"""),"Uncle Sams Cider (11/12/2021) 02")</f>
        <v>Uncle Sams Cider (11/12/2021) 02</v>
      </c>
      <c r="H612" s="19"/>
    </row>
    <row r="613">
      <c r="A613" s="9"/>
      <c r="B613" s="15"/>
      <c r="C613" s="9">
        <f>IFERROR(__xludf.DUMMYFUNCTION("""COMPUTED_VALUE"""),44599.16817103)</f>
        <v>44599.16817</v>
      </c>
      <c r="D613" s="15">
        <f>IFERROR(__xludf.DUMMYFUNCTION("""COMPUTED_VALUE"""),1.004)</f>
        <v>1.004</v>
      </c>
      <c r="E613" s="16">
        <f>IFERROR(__xludf.DUMMYFUNCTION("""COMPUTED_VALUE"""),65.0)</f>
        <v>65</v>
      </c>
      <c r="F613" s="19" t="str">
        <f>IFERROR(__xludf.DUMMYFUNCTION("""COMPUTED_VALUE"""),"BLACK")</f>
        <v>BLACK</v>
      </c>
      <c r="G613" s="20" t="str">
        <f>IFERROR(__xludf.DUMMYFUNCTION("""COMPUTED_VALUE"""),"Uncle Sams Cider (11/12/2021) 02")</f>
        <v>Uncle Sams Cider (11/12/2021) 02</v>
      </c>
      <c r="H613" s="19"/>
    </row>
    <row r="614">
      <c r="A614" s="9"/>
      <c r="B614" s="15"/>
      <c r="C614" s="9">
        <f>IFERROR(__xludf.DUMMYFUNCTION("""COMPUTED_VALUE"""),44599.157750324)</f>
        <v>44599.15775</v>
      </c>
      <c r="D614" s="15">
        <f>IFERROR(__xludf.DUMMYFUNCTION("""COMPUTED_VALUE"""),1.004)</f>
        <v>1.004</v>
      </c>
      <c r="E614" s="16">
        <f>IFERROR(__xludf.DUMMYFUNCTION("""COMPUTED_VALUE"""),65.0)</f>
        <v>65</v>
      </c>
      <c r="F614" s="19" t="str">
        <f>IFERROR(__xludf.DUMMYFUNCTION("""COMPUTED_VALUE"""),"BLACK")</f>
        <v>BLACK</v>
      </c>
      <c r="G614" s="20" t="str">
        <f>IFERROR(__xludf.DUMMYFUNCTION("""COMPUTED_VALUE"""),"Uncle Sams Cider (11/12/2021) 02")</f>
        <v>Uncle Sams Cider (11/12/2021) 02</v>
      </c>
      <c r="H614" s="19"/>
    </row>
    <row r="615">
      <c r="A615" s="9"/>
      <c r="B615" s="15"/>
      <c r="C615" s="9">
        <f>IFERROR(__xludf.DUMMYFUNCTION("""COMPUTED_VALUE"""),44599.1473284259)</f>
        <v>44599.14733</v>
      </c>
      <c r="D615" s="15">
        <f>IFERROR(__xludf.DUMMYFUNCTION("""COMPUTED_VALUE"""),1.004)</f>
        <v>1.004</v>
      </c>
      <c r="E615" s="16">
        <f>IFERROR(__xludf.DUMMYFUNCTION("""COMPUTED_VALUE"""),65.0)</f>
        <v>65</v>
      </c>
      <c r="F615" s="19" t="str">
        <f>IFERROR(__xludf.DUMMYFUNCTION("""COMPUTED_VALUE"""),"BLACK")</f>
        <v>BLACK</v>
      </c>
      <c r="G615" s="20" t="str">
        <f>IFERROR(__xludf.DUMMYFUNCTION("""COMPUTED_VALUE"""),"Uncle Sams Cider (11/12/2021) 02")</f>
        <v>Uncle Sams Cider (11/12/2021) 02</v>
      </c>
      <c r="H615" s="19"/>
    </row>
    <row r="616">
      <c r="A616" s="9"/>
      <c r="B616" s="15"/>
      <c r="C616" s="9">
        <f>IFERROR(__xludf.DUMMYFUNCTION("""COMPUTED_VALUE"""),44599.1368966898)</f>
        <v>44599.1369</v>
      </c>
      <c r="D616" s="15">
        <f>IFERROR(__xludf.DUMMYFUNCTION("""COMPUTED_VALUE"""),1.004)</f>
        <v>1.004</v>
      </c>
      <c r="E616" s="16">
        <f>IFERROR(__xludf.DUMMYFUNCTION("""COMPUTED_VALUE"""),65.0)</f>
        <v>65</v>
      </c>
      <c r="F616" s="19" t="str">
        <f>IFERROR(__xludf.DUMMYFUNCTION("""COMPUTED_VALUE"""),"BLACK")</f>
        <v>BLACK</v>
      </c>
      <c r="G616" s="20" t="str">
        <f>IFERROR(__xludf.DUMMYFUNCTION("""COMPUTED_VALUE"""),"Uncle Sams Cider (11/12/2021) 02")</f>
        <v>Uncle Sams Cider (11/12/2021) 02</v>
      </c>
      <c r="H616" s="19"/>
    </row>
    <row r="617">
      <c r="A617" s="9"/>
      <c r="B617" s="15"/>
      <c r="C617" s="9">
        <f>IFERROR(__xludf.DUMMYFUNCTION("""COMPUTED_VALUE"""),44599.1264742708)</f>
        <v>44599.12647</v>
      </c>
      <c r="D617" s="15">
        <f>IFERROR(__xludf.DUMMYFUNCTION("""COMPUTED_VALUE"""),1.004)</f>
        <v>1.004</v>
      </c>
      <c r="E617" s="16">
        <f>IFERROR(__xludf.DUMMYFUNCTION("""COMPUTED_VALUE"""),65.0)</f>
        <v>65</v>
      </c>
      <c r="F617" s="19" t="str">
        <f>IFERROR(__xludf.DUMMYFUNCTION("""COMPUTED_VALUE"""),"BLACK")</f>
        <v>BLACK</v>
      </c>
      <c r="G617" s="20" t="str">
        <f>IFERROR(__xludf.DUMMYFUNCTION("""COMPUTED_VALUE"""),"Uncle Sams Cider (11/12/2021) 02")</f>
        <v>Uncle Sams Cider (11/12/2021) 02</v>
      </c>
      <c r="H617" s="19"/>
    </row>
    <row r="618">
      <c r="A618" s="9"/>
      <c r="B618" s="15"/>
      <c r="C618" s="9">
        <f>IFERROR(__xludf.DUMMYFUNCTION("""COMPUTED_VALUE"""),44599.1160518171)</f>
        <v>44599.11605</v>
      </c>
      <c r="D618" s="15">
        <f>IFERROR(__xludf.DUMMYFUNCTION("""COMPUTED_VALUE"""),1.004)</f>
        <v>1.004</v>
      </c>
      <c r="E618" s="16">
        <f>IFERROR(__xludf.DUMMYFUNCTION("""COMPUTED_VALUE"""),65.0)</f>
        <v>65</v>
      </c>
      <c r="F618" s="19" t="str">
        <f>IFERROR(__xludf.DUMMYFUNCTION("""COMPUTED_VALUE"""),"BLACK")</f>
        <v>BLACK</v>
      </c>
      <c r="G618" s="20" t="str">
        <f>IFERROR(__xludf.DUMMYFUNCTION("""COMPUTED_VALUE"""),"Uncle Sams Cider (11/12/2021) 02")</f>
        <v>Uncle Sams Cider (11/12/2021) 02</v>
      </c>
      <c r="H618" s="19"/>
    </row>
    <row r="619">
      <c r="A619" s="9"/>
      <c r="B619" s="15"/>
      <c r="C619" s="9">
        <f>IFERROR(__xludf.DUMMYFUNCTION("""COMPUTED_VALUE"""),44599.1056181713)</f>
        <v>44599.10562</v>
      </c>
      <c r="D619" s="15">
        <f>IFERROR(__xludf.DUMMYFUNCTION("""COMPUTED_VALUE"""),1.004)</f>
        <v>1.004</v>
      </c>
      <c r="E619" s="16">
        <f>IFERROR(__xludf.DUMMYFUNCTION("""COMPUTED_VALUE"""),65.0)</f>
        <v>65</v>
      </c>
      <c r="F619" s="19" t="str">
        <f>IFERROR(__xludf.DUMMYFUNCTION("""COMPUTED_VALUE"""),"BLACK")</f>
        <v>BLACK</v>
      </c>
      <c r="G619" s="20" t="str">
        <f>IFERROR(__xludf.DUMMYFUNCTION("""COMPUTED_VALUE"""),"Uncle Sams Cider (11/12/2021) 02")</f>
        <v>Uncle Sams Cider (11/12/2021) 02</v>
      </c>
      <c r="H619" s="19"/>
    </row>
    <row r="620">
      <c r="A620" s="9"/>
      <c r="B620" s="15"/>
      <c r="C620" s="9">
        <f>IFERROR(__xludf.DUMMYFUNCTION("""COMPUTED_VALUE"""),44599.0951737731)</f>
        <v>44599.09517</v>
      </c>
      <c r="D620" s="15">
        <f>IFERROR(__xludf.DUMMYFUNCTION("""COMPUTED_VALUE"""),1.004)</f>
        <v>1.004</v>
      </c>
      <c r="E620" s="16">
        <f>IFERROR(__xludf.DUMMYFUNCTION("""COMPUTED_VALUE"""),65.0)</f>
        <v>65</v>
      </c>
      <c r="F620" s="19" t="str">
        <f>IFERROR(__xludf.DUMMYFUNCTION("""COMPUTED_VALUE"""),"BLACK")</f>
        <v>BLACK</v>
      </c>
      <c r="G620" s="20" t="str">
        <f>IFERROR(__xludf.DUMMYFUNCTION("""COMPUTED_VALUE"""),"Uncle Sams Cider (11/12/2021) 02")</f>
        <v>Uncle Sams Cider (11/12/2021) 02</v>
      </c>
      <c r="H620" s="19"/>
    </row>
    <row r="621">
      <c r="A621" s="9"/>
      <c r="B621" s="15"/>
      <c r="C621" s="9">
        <f>IFERROR(__xludf.DUMMYFUNCTION("""COMPUTED_VALUE"""),44599.0847510648)</f>
        <v>44599.08475</v>
      </c>
      <c r="D621" s="15">
        <f>IFERROR(__xludf.DUMMYFUNCTION("""COMPUTED_VALUE"""),1.004)</f>
        <v>1.004</v>
      </c>
      <c r="E621" s="16">
        <f>IFERROR(__xludf.DUMMYFUNCTION("""COMPUTED_VALUE"""),65.0)</f>
        <v>65</v>
      </c>
      <c r="F621" s="19" t="str">
        <f>IFERROR(__xludf.DUMMYFUNCTION("""COMPUTED_VALUE"""),"BLACK")</f>
        <v>BLACK</v>
      </c>
      <c r="G621" s="20" t="str">
        <f>IFERROR(__xludf.DUMMYFUNCTION("""COMPUTED_VALUE"""),"Uncle Sams Cider (11/12/2021) 02")</f>
        <v>Uncle Sams Cider (11/12/2021) 02</v>
      </c>
      <c r="H621" s="19"/>
    </row>
    <row r="622">
      <c r="A622" s="9"/>
      <c r="B622" s="15"/>
      <c r="C622" s="9">
        <f>IFERROR(__xludf.DUMMYFUNCTION("""COMPUTED_VALUE"""),44599.0743286805)</f>
        <v>44599.07433</v>
      </c>
      <c r="D622" s="15">
        <f>IFERROR(__xludf.DUMMYFUNCTION("""COMPUTED_VALUE"""),1.004)</f>
        <v>1.004</v>
      </c>
      <c r="E622" s="16">
        <f>IFERROR(__xludf.DUMMYFUNCTION("""COMPUTED_VALUE"""),65.0)</f>
        <v>65</v>
      </c>
      <c r="F622" s="19" t="str">
        <f>IFERROR(__xludf.DUMMYFUNCTION("""COMPUTED_VALUE"""),"BLACK")</f>
        <v>BLACK</v>
      </c>
      <c r="G622" s="20" t="str">
        <f>IFERROR(__xludf.DUMMYFUNCTION("""COMPUTED_VALUE"""),"Uncle Sams Cider (11/12/2021) 02")</f>
        <v>Uncle Sams Cider (11/12/2021) 02</v>
      </c>
      <c r="H622" s="19"/>
    </row>
    <row r="623">
      <c r="A623" s="9"/>
      <c r="B623" s="15"/>
      <c r="C623" s="9">
        <f>IFERROR(__xludf.DUMMYFUNCTION("""COMPUTED_VALUE"""),44599.0639094675)</f>
        <v>44599.06391</v>
      </c>
      <c r="D623" s="15">
        <f>IFERROR(__xludf.DUMMYFUNCTION("""COMPUTED_VALUE"""),1.004)</f>
        <v>1.004</v>
      </c>
      <c r="E623" s="16">
        <f>IFERROR(__xludf.DUMMYFUNCTION("""COMPUTED_VALUE"""),65.0)</f>
        <v>65</v>
      </c>
      <c r="F623" s="19" t="str">
        <f>IFERROR(__xludf.DUMMYFUNCTION("""COMPUTED_VALUE"""),"BLACK")</f>
        <v>BLACK</v>
      </c>
      <c r="G623" s="20" t="str">
        <f>IFERROR(__xludf.DUMMYFUNCTION("""COMPUTED_VALUE"""),"Uncle Sams Cider (11/12/2021) 02")</f>
        <v>Uncle Sams Cider (11/12/2021) 02</v>
      </c>
      <c r="H623" s="19"/>
    </row>
    <row r="624">
      <c r="A624" s="9"/>
      <c r="B624" s="15"/>
      <c r="C624" s="9">
        <f>IFERROR(__xludf.DUMMYFUNCTION("""COMPUTED_VALUE"""),44599.0534773148)</f>
        <v>44599.05348</v>
      </c>
      <c r="D624" s="15">
        <f>IFERROR(__xludf.DUMMYFUNCTION("""COMPUTED_VALUE"""),1.004)</f>
        <v>1.004</v>
      </c>
      <c r="E624" s="16">
        <f>IFERROR(__xludf.DUMMYFUNCTION("""COMPUTED_VALUE"""),65.0)</f>
        <v>65</v>
      </c>
      <c r="F624" s="19" t="str">
        <f>IFERROR(__xludf.DUMMYFUNCTION("""COMPUTED_VALUE"""),"BLACK")</f>
        <v>BLACK</v>
      </c>
      <c r="G624" s="20" t="str">
        <f>IFERROR(__xludf.DUMMYFUNCTION("""COMPUTED_VALUE"""),"Uncle Sams Cider (11/12/2021) 02")</f>
        <v>Uncle Sams Cider (11/12/2021) 02</v>
      </c>
      <c r="H624" s="19"/>
    </row>
    <row r="625">
      <c r="A625" s="9"/>
      <c r="B625" s="15"/>
      <c r="C625" s="9">
        <f>IFERROR(__xludf.DUMMYFUNCTION("""COMPUTED_VALUE"""),44599.0430562152)</f>
        <v>44599.04306</v>
      </c>
      <c r="D625" s="15">
        <f>IFERROR(__xludf.DUMMYFUNCTION("""COMPUTED_VALUE"""),1.004)</f>
        <v>1.004</v>
      </c>
      <c r="E625" s="16">
        <f>IFERROR(__xludf.DUMMYFUNCTION("""COMPUTED_VALUE"""),66.0)</f>
        <v>66</v>
      </c>
      <c r="F625" s="19" t="str">
        <f>IFERROR(__xludf.DUMMYFUNCTION("""COMPUTED_VALUE"""),"BLACK")</f>
        <v>BLACK</v>
      </c>
      <c r="G625" s="20" t="str">
        <f>IFERROR(__xludf.DUMMYFUNCTION("""COMPUTED_VALUE"""),"Uncle Sams Cider (11/12/2021) 02")</f>
        <v>Uncle Sams Cider (11/12/2021) 02</v>
      </c>
      <c r="H625" s="19"/>
    </row>
    <row r="626">
      <c r="A626" s="9"/>
      <c r="B626" s="15"/>
      <c r="C626" s="9">
        <f>IFERROR(__xludf.DUMMYFUNCTION("""COMPUTED_VALUE"""),44599.0326361574)</f>
        <v>44599.03264</v>
      </c>
      <c r="D626" s="15">
        <f>IFERROR(__xludf.DUMMYFUNCTION("""COMPUTED_VALUE"""),1.004)</f>
        <v>1.004</v>
      </c>
      <c r="E626" s="16">
        <f>IFERROR(__xludf.DUMMYFUNCTION("""COMPUTED_VALUE"""),66.0)</f>
        <v>66</v>
      </c>
      <c r="F626" s="19" t="str">
        <f>IFERROR(__xludf.DUMMYFUNCTION("""COMPUTED_VALUE"""),"BLACK")</f>
        <v>BLACK</v>
      </c>
      <c r="G626" s="20" t="str">
        <f>IFERROR(__xludf.DUMMYFUNCTION("""COMPUTED_VALUE"""),"Uncle Sams Cider (11/12/2021) 02")</f>
        <v>Uncle Sams Cider (11/12/2021) 02</v>
      </c>
      <c r="H626" s="19"/>
    </row>
    <row r="627">
      <c r="A627" s="9"/>
      <c r="B627" s="15"/>
      <c r="C627" s="9">
        <f>IFERROR(__xludf.DUMMYFUNCTION("""COMPUTED_VALUE"""),44599.0222048032)</f>
        <v>44599.0222</v>
      </c>
      <c r="D627" s="15">
        <f>IFERROR(__xludf.DUMMYFUNCTION("""COMPUTED_VALUE"""),1.004)</f>
        <v>1.004</v>
      </c>
      <c r="E627" s="16">
        <f>IFERROR(__xludf.DUMMYFUNCTION("""COMPUTED_VALUE"""),66.0)</f>
        <v>66</v>
      </c>
      <c r="F627" s="19" t="str">
        <f>IFERROR(__xludf.DUMMYFUNCTION("""COMPUTED_VALUE"""),"BLACK")</f>
        <v>BLACK</v>
      </c>
      <c r="G627" s="20" t="str">
        <f>IFERROR(__xludf.DUMMYFUNCTION("""COMPUTED_VALUE"""),"Uncle Sams Cider (11/12/2021) 02")</f>
        <v>Uncle Sams Cider (11/12/2021) 02</v>
      </c>
      <c r="H627" s="19"/>
    </row>
    <row r="628">
      <c r="A628" s="9"/>
      <c r="B628" s="15"/>
      <c r="C628" s="9">
        <f>IFERROR(__xludf.DUMMYFUNCTION("""COMPUTED_VALUE"""),44599.0117487268)</f>
        <v>44599.01175</v>
      </c>
      <c r="D628" s="15">
        <f>IFERROR(__xludf.DUMMYFUNCTION("""COMPUTED_VALUE"""),1.004)</f>
        <v>1.004</v>
      </c>
      <c r="E628" s="16">
        <f>IFERROR(__xludf.DUMMYFUNCTION("""COMPUTED_VALUE"""),66.0)</f>
        <v>66</v>
      </c>
      <c r="F628" s="19" t="str">
        <f>IFERROR(__xludf.DUMMYFUNCTION("""COMPUTED_VALUE"""),"BLACK")</f>
        <v>BLACK</v>
      </c>
      <c r="G628" s="20" t="str">
        <f>IFERROR(__xludf.DUMMYFUNCTION("""COMPUTED_VALUE"""),"Uncle Sams Cider (11/12/2021) 02")</f>
        <v>Uncle Sams Cider (11/12/2021) 02</v>
      </c>
      <c r="H628" s="19"/>
    </row>
    <row r="629">
      <c r="A629" s="9"/>
      <c r="B629" s="15"/>
      <c r="C629" s="9">
        <f>IFERROR(__xludf.DUMMYFUNCTION("""COMPUTED_VALUE"""),44599.0013281365)</f>
        <v>44599.00133</v>
      </c>
      <c r="D629" s="15">
        <f>IFERROR(__xludf.DUMMYFUNCTION("""COMPUTED_VALUE"""),1.004)</f>
        <v>1.004</v>
      </c>
      <c r="E629" s="16">
        <f>IFERROR(__xludf.DUMMYFUNCTION("""COMPUTED_VALUE"""),66.0)</f>
        <v>66</v>
      </c>
      <c r="F629" s="19" t="str">
        <f>IFERROR(__xludf.DUMMYFUNCTION("""COMPUTED_VALUE"""),"BLACK")</f>
        <v>BLACK</v>
      </c>
      <c r="G629" s="20" t="str">
        <f>IFERROR(__xludf.DUMMYFUNCTION("""COMPUTED_VALUE"""),"Uncle Sams Cider (11/12/2021) 02")</f>
        <v>Uncle Sams Cider (11/12/2021) 02</v>
      </c>
      <c r="H629" s="19"/>
    </row>
    <row r="630">
      <c r="A630" s="9"/>
      <c r="B630" s="15"/>
      <c r="C630" s="9">
        <f>IFERROR(__xludf.DUMMYFUNCTION("""COMPUTED_VALUE"""),44598.9909068055)</f>
        <v>44598.99091</v>
      </c>
      <c r="D630" s="15">
        <f>IFERROR(__xludf.DUMMYFUNCTION("""COMPUTED_VALUE"""),1.004)</f>
        <v>1.004</v>
      </c>
      <c r="E630" s="16">
        <f>IFERROR(__xludf.DUMMYFUNCTION("""COMPUTED_VALUE"""),66.0)</f>
        <v>66</v>
      </c>
      <c r="F630" s="19" t="str">
        <f>IFERROR(__xludf.DUMMYFUNCTION("""COMPUTED_VALUE"""),"BLACK")</f>
        <v>BLACK</v>
      </c>
      <c r="G630" s="20" t="str">
        <f>IFERROR(__xludf.DUMMYFUNCTION("""COMPUTED_VALUE"""),"Uncle Sams Cider (11/12/2021) 02")</f>
        <v>Uncle Sams Cider (11/12/2021) 02</v>
      </c>
      <c r="H630" s="19"/>
    </row>
    <row r="631">
      <c r="A631" s="9"/>
      <c r="B631" s="15"/>
      <c r="C631" s="9">
        <f>IFERROR(__xludf.DUMMYFUNCTION("""COMPUTED_VALUE"""),44598.9804855439)</f>
        <v>44598.98049</v>
      </c>
      <c r="D631" s="15">
        <f>IFERROR(__xludf.DUMMYFUNCTION("""COMPUTED_VALUE"""),1.004)</f>
        <v>1.004</v>
      </c>
      <c r="E631" s="16">
        <f>IFERROR(__xludf.DUMMYFUNCTION("""COMPUTED_VALUE"""),66.0)</f>
        <v>66</v>
      </c>
      <c r="F631" s="19" t="str">
        <f>IFERROR(__xludf.DUMMYFUNCTION("""COMPUTED_VALUE"""),"BLACK")</f>
        <v>BLACK</v>
      </c>
      <c r="G631" s="20" t="str">
        <f>IFERROR(__xludf.DUMMYFUNCTION("""COMPUTED_VALUE"""),"Uncle Sams Cider (11/12/2021) 02")</f>
        <v>Uncle Sams Cider (11/12/2021) 02</v>
      </c>
      <c r="H631" s="19"/>
    </row>
    <row r="632">
      <c r="A632" s="9"/>
      <c r="B632" s="15"/>
      <c r="C632" s="9">
        <f>IFERROR(__xludf.DUMMYFUNCTION("""COMPUTED_VALUE"""),44598.970041412)</f>
        <v>44598.97004</v>
      </c>
      <c r="D632" s="15">
        <f>IFERROR(__xludf.DUMMYFUNCTION("""COMPUTED_VALUE"""),1.004)</f>
        <v>1.004</v>
      </c>
      <c r="E632" s="16">
        <f>IFERROR(__xludf.DUMMYFUNCTION("""COMPUTED_VALUE"""),66.0)</f>
        <v>66</v>
      </c>
      <c r="F632" s="19" t="str">
        <f>IFERROR(__xludf.DUMMYFUNCTION("""COMPUTED_VALUE"""),"BLACK")</f>
        <v>BLACK</v>
      </c>
      <c r="G632" s="20" t="str">
        <f>IFERROR(__xludf.DUMMYFUNCTION("""COMPUTED_VALUE"""),"Uncle Sams Cider (11/12/2021) 02")</f>
        <v>Uncle Sams Cider (11/12/2021) 02</v>
      </c>
      <c r="H632" s="19"/>
    </row>
    <row r="633">
      <c r="A633" s="9"/>
      <c r="B633" s="15"/>
      <c r="C633" s="9">
        <f>IFERROR(__xludf.DUMMYFUNCTION("""COMPUTED_VALUE"""),44598.9596201273)</f>
        <v>44598.95962</v>
      </c>
      <c r="D633" s="15">
        <f>IFERROR(__xludf.DUMMYFUNCTION("""COMPUTED_VALUE"""),1.004)</f>
        <v>1.004</v>
      </c>
      <c r="E633" s="16">
        <f>IFERROR(__xludf.DUMMYFUNCTION("""COMPUTED_VALUE"""),66.0)</f>
        <v>66</v>
      </c>
      <c r="F633" s="19" t="str">
        <f>IFERROR(__xludf.DUMMYFUNCTION("""COMPUTED_VALUE"""),"BLACK")</f>
        <v>BLACK</v>
      </c>
      <c r="G633" s="20" t="str">
        <f>IFERROR(__xludf.DUMMYFUNCTION("""COMPUTED_VALUE"""),"Uncle Sams Cider (11/12/2021) 02")</f>
        <v>Uncle Sams Cider (11/12/2021) 02</v>
      </c>
      <c r="H633" s="19"/>
    </row>
    <row r="634">
      <c r="A634" s="9"/>
      <c r="B634" s="15"/>
      <c r="C634" s="9">
        <f>IFERROR(__xludf.DUMMYFUNCTION("""COMPUTED_VALUE"""),44598.9491280671)</f>
        <v>44598.94913</v>
      </c>
      <c r="D634" s="15">
        <f>IFERROR(__xludf.DUMMYFUNCTION("""COMPUTED_VALUE"""),1.004)</f>
        <v>1.004</v>
      </c>
      <c r="E634" s="16">
        <f>IFERROR(__xludf.DUMMYFUNCTION("""COMPUTED_VALUE"""),66.0)</f>
        <v>66</v>
      </c>
      <c r="F634" s="19" t="str">
        <f>IFERROR(__xludf.DUMMYFUNCTION("""COMPUTED_VALUE"""),"BLACK")</f>
        <v>BLACK</v>
      </c>
      <c r="G634" s="20" t="str">
        <f>IFERROR(__xludf.DUMMYFUNCTION("""COMPUTED_VALUE"""),"Uncle Sams Cider (11/12/2021) 02")</f>
        <v>Uncle Sams Cider (11/12/2021) 02</v>
      </c>
      <c r="H634" s="19"/>
    </row>
    <row r="635">
      <c r="A635" s="9"/>
      <c r="B635" s="15"/>
      <c r="C635" s="9">
        <f>IFERROR(__xludf.DUMMYFUNCTION("""COMPUTED_VALUE"""),44598.9387083333)</f>
        <v>44598.93871</v>
      </c>
      <c r="D635" s="15">
        <f>IFERROR(__xludf.DUMMYFUNCTION("""COMPUTED_VALUE"""),1.004)</f>
        <v>1.004</v>
      </c>
      <c r="E635" s="16">
        <f>IFERROR(__xludf.DUMMYFUNCTION("""COMPUTED_VALUE"""),66.0)</f>
        <v>66</v>
      </c>
      <c r="F635" s="19" t="str">
        <f>IFERROR(__xludf.DUMMYFUNCTION("""COMPUTED_VALUE"""),"BLACK")</f>
        <v>BLACK</v>
      </c>
      <c r="G635" s="20" t="str">
        <f>IFERROR(__xludf.DUMMYFUNCTION("""COMPUTED_VALUE"""),"Uncle Sams Cider (11/12/2021) 02")</f>
        <v>Uncle Sams Cider (11/12/2021) 02</v>
      </c>
      <c r="H635" s="19"/>
    </row>
    <row r="636">
      <c r="A636" s="9"/>
      <c r="B636" s="15"/>
      <c r="C636" s="9">
        <f>IFERROR(__xludf.DUMMYFUNCTION("""COMPUTED_VALUE"""),44598.9282756944)</f>
        <v>44598.92828</v>
      </c>
      <c r="D636" s="15">
        <f>IFERROR(__xludf.DUMMYFUNCTION("""COMPUTED_VALUE"""),1.004)</f>
        <v>1.004</v>
      </c>
      <c r="E636" s="16">
        <f>IFERROR(__xludf.DUMMYFUNCTION("""COMPUTED_VALUE"""),66.0)</f>
        <v>66</v>
      </c>
      <c r="F636" s="19" t="str">
        <f>IFERROR(__xludf.DUMMYFUNCTION("""COMPUTED_VALUE"""),"BLACK")</f>
        <v>BLACK</v>
      </c>
      <c r="G636" s="20" t="str">
        <f>IFERROR(__xludf.DUMMYFUNCTION("""COMPUTED_VALUE"""),"Uncle Sams Cider (11/12/2021) 02")</f>
        <v>Uncle Sams Cider (11/12/2021) 02</v>
      </c>
      <c r="H636" s="19"/>
    </row>
    <row r="637">
      <c r="A637" s="9"/>
      <c r="B637" s="15"/>
      <c r="C637" s="9">
        <f>IFERROR(__xludf.DUMMYFUNCTION("""COMPUTED_VALUE"""),44598.9178316319)</f>
        <v>44598.91783</v>
      </c>
      <c r="D637" s="15">
        <f>IFERROR(__xludf.DUMMYFUNCTION("""COMPUTED_VALUE"""),1.004)</f>
        <v>1.004</v>
      </c>
      <c r="E637" s="16">
        <f>IFERROR(__xludf.DUMMYFUNCTION("""COMPUTED_VALUE"""),66.0)</f>
        <v>66</v>
      </c>
      <c r="F637" s="19" t="str">
        <f>IFERROR(__xludf.DUMMYFUNCTION("""COMPUTED_VALUE"""),"BLACK")</f>
        <v>BLACK</v>
      </c>
      <c r="G637" s="20" t="str">
        <f>IFERROR(__xludf.DUMMYFUNCTION("""COMPUTED_VALUE"""),"Uncle Sams Cider (11/12/2021) 02")</f>
        <v>Uncle Sams Cider (11/12/2021) 02</v>
      </c>
      <c r="H637" s="19"/>
    </row>
    <row r="638">
      <c r="A638" s="9"/>
      <c r="B638" s="15"/>
      <c r="C638" s="9">
        <f>IFERROR(__xludf.DUMMYFUNCTION("""COMPUTED_VALUE"""),44598.9073881481)</f>
        <v>44598.90739</v>
      </c>
      <c r="D638" s="15">
        <f>IFERROR(__xludf.DUMMYFUNCTION("""COMPUTED_VALUE"""),1.004)</f>
        <v>1.004</v>
      </c>
      <c r="E638" s="16">
        <f>IFERROR(__xludf.DUMMYFUNCTION("""COMPUTED_VALUE"""),66.0)</f>
        <v>66</v>
      </c>
      <c r="F638" s="19" t="str">
        <f>IFERROR(__xludf.DUMMYFUNCTION("""COMPUTED_VALUE"""),"BLACK")</f>
        <v>BLACK</v>
      </c>
      <c r="G638" s="20" t="str">
        <f>IFERROR(__xludf.DUMMYFUNCTION("""COMPUTED_VALUE"""),"Uncle Sams Cider (11/12/2021) 02")</f>
        <v>Uncle Sams Cider (11/12/2021) 02</v>
      </c>
      <c r="H638" s="19"/>
    </row>
    <row r="639">
      <c r="A639" s="9"/>
      <c r="B639" s="15"/>
      <c r="C639" s="9">
        <f>IFERROR(__xludf.DUMMYFUNCTION("""COMPUTED_VALUE"""),44598.8969666203)</f>
        <v>44598.89697</v>
      </c>
      <c r="D639" s="15">
        <f>IFERROR(__xludf.DUMMYFUNCTION("""COMPUTED_VALUE"""),1.004)</f>
        <v>1.004</v>
      </c>
      <c r="E639" s="16">
        <f>IFERROR(__xludf.DUMMYFUNCTION("""COMPUTED_VALUE"""),66.0)</f>
        <v>66</v>
      </c>
      <c r="F639" s="19" t="str">
        <f>IFERROR(__xludf.DUMMYFUNCTION("""COMPUTED_VALUE"""),"BLACK")</f>
        <v>BLACK</v>
      </c>
      <c r="G639" s="20" t="str">
        <f>IFERROR(__xludf.DUMMYFUNCTION("""COMPUTED_VALUE"""),"Uncle Sams Cider (11/12/2021) 02")</f>
        <v>Uncle Sams Cider (11/12/2021) 02</v>
      </c>
      <c r="H639" s="19"/>
    </row>
    <row r="640">
      <c r="A640" s="9"/>
      <c r="B640" s="15"/>
      <c r="C640" s="9">
        <f>IFERROR(__xludf.DUMMYFUNCTION("""COMPUTED_VALUE"""),44598.8865350347)</f>
        <v>44598.88654</v>
      </c>
      <c r="D640" s="15">
        <f>IFERROR(__xludf.DUMMYFUNCTION("""COMPUTED_VALUE"""),1.004)</f>
        <v>1.004</v>
      </c>
      <c r="E640" s="16">
        <f>IFERROR(__xludf.DUMMYFUNCTION("""COMPUTED_VALUE"""),66.0)</f>
        <v>66</v>
      </c>
      <c r="F640" s="19" t="str">
        <f>IFERROR(__xludf.DUMMYFUNCTION("""COMPUTED_VALUE"""),"BLACK")</f>
        <v>BLACK</v>
      </c>
      <c r="G640" s="20" t="str">
        <f>IFERROR(__xludf.DUMMYFUNCTION("""COMPUTED_VALUE"""),"Uncle Sams Cider (11/12/2021) 02")</f>
        <v>Uncle Sams Cider (11/12/2021) 02</v>
      </c>
      <c r="H640" s="19"/>
    </row>
    <row r="641">
      <c r="A641" s="9"/>
      <c r="B641" s="15"/>
      <c r="C641" s="9">
        <f>IFERROR(__xludf.DUMMYFUNCTION("""COMPUTED_VALUE"""),44598.8761022453)</f>
        <v>44598.8761</v>
      </c>
      <c r="D641" s="15">
        <f>IFERROR(__xludf.DUMMYFUNCTION("""COMPUTED_VALUE"""),1.004)</f>
        <v>1.004</v>
      </c>
      <c r="E641" s="16">
        <f>IFERROR(__xludf.DUMMYFUNCTION("""COMPUTED_VALUE"""),66.0)</f>
        <v>66</v>
      </c>
      <c r="F641" s="19" t="str">
        <f>IFERROR(__xludf.DUMMYFUNCTION("""COMPUTED_VALUE"""),"BLACK")</f>
        <v>BLACK</v>
      </c>
      <c r="G641" s="20" t="str">
        <f>IFERROR(__xludf.DUMMYFUNCTION("""COMPUTED_VALUE"""),"Uncle Sams Cider (11/12/2021) 02")</f>
        <v>Uncle Sams Cider (11/12/2021) 02</v>
      </c>
      <c r="H641" s="19"/>
    </row>
    <row r="642">
      <c r="A642" s="9"/>
      <c r="B642" s="15"/>
      <c r="C642" s="9">
        <f>IFERROR(__xludf.DUMMYFUNCTION("""COMPUTED_VALUE"""),44598.8656696064)</f>
        <v>44598.86567</v>
      </c>
      <c r="D642" s="15">
        <f>IFERROR(__xludf.DUMMYFUNCTION("""COMPUTED_VALUE"""),1.004)</f>
        <v>1.004</v>
      </c>
      <c r="E642" s="16">
        <f>IFERROR(__xludf.DUMMYFUNCTION("""COMPUTED_VALUE"""),66.0)</f>
        <v>66</v>
      </c>
      <c r="F642" s="19" t="str">
        <f>IFERROR(__xludf.DUMMYFUNCTION("""COMPUTED_VALUE"""),"BLACK")</f>
        <v>BLACK</v>
      </c>
      <c r="G642" s="20" t="str">
        <f>IFERROR(__xludf.DUMMYFUNCTION("""COMPUTED_VALUE"""),"Uncle Sams Cider (11/12/2021) 02")</f>
        <v>Uncle Sams Cider (11/12/2021) 02</v>
      </c>
      <c r="H642" s="19"/>
    </row>
    <row r="643">
      <c r="A643" s="9"/>
      <c r="B643" s="15"/>
      <c r="C643" s="9">
        <f>IFERROR(__xludf.DUMMYFUNCTION("""COMPUTED_VALUE"""),44598.8552493749)</f>
        <v>44598.85525</v>
      </c>
      <c r="D643" s="15">
        <f>IFERROR(__xludf.DUMMYFUNCTION("""COMPUTED_VALUE"""),1.004)</f>
        <v>1.004</v>
      </c>
      <c r="E643" s="16">
        <f>IFERROR(__xludf.DUMMYFUNCTION("""COMPUTED_VALUE"""),66.0)</f>
        <v>66</v>
      </c>
      <c r="F643" s="19" t="str">
        <f>IFERROR(__xludf.DUMMYFUNCTION("""COMPUTED_VALUE"""),"BLACK")</f>
        <v>BLACK</v>
      </c>
      <c r="G643" s="20" t="str">
        <f>IFERROR(__xludf.DUMMYFUNCTION("""COMPUTED_VALUE"""),"Uncle Sams Cider (11/12/2021) 02")</f>
        <v>Uncle Sams Cider (11/12/2021) 02</v>
      </c>
      <c r="H643" s="19"/>
    </row>
    <row r="644">
      <c r="A644" s="9"/>
      <c r="B644" s="15"/>
      <c r="C644" s="9">
        <f>IFERROR(__xludf.DUMMYFUNCTION("""COMPUTED_VALUE"""),44598.8448302777)</f>
        <v>44598.84483</v>
      </c>
      <c r="D644" s="15">
        <f>IFERROR(__xludf.DUMMYFUNCTION("""COMPUTED_VALUE"""),1.004)</f>
        <v>1.004</v>
      </c>
      <c r="E644" s="16">
        <f>IFERROR(__xludf.DUMMYFUNCTION("""COMPUTED_VALUE"""),66.0)</f>
        <v>66</v>
      </c>
      <c r="F644" s="19" t="str">
        <f>IFERROR(__xludf.DUMMYFUNCTION("""COMPUTED_VALUE"""),"BLACK")</f>
        <v>BLACK</v>
      </c>
      <c r="G644" s="20" t="str">
        <f>IFERROR(__xludf.DUMMYFUNCTION("""COMPUTED_VALUE"""),"Uncle Sams Cider (11/12/2021) 02")</f>
        <v>Uncle Sams Cider (11/12/2021) 02</v>
      </c>
      <c r="H644" s="19"/>
    </row>
    <row r="645">
      <c r="A645" s="9"/>
      <c r="B645" s="15"/>
      <c r="C645" s="9">
        <f>IFERROR(__xludf.DUMMYFUNCTION("""COMPUTED_VALUE"""),44598.834409074)</f>
        <v>44598.83441</v>
      </c>
      <c r="D645" s="15">
        <f>IFERROR(__xludf.DUMMYFUNCTION("""COMPUTED_VALUE"""),1.004)</f>
        <v>1.004</v>
      </c>
      <c r="E645" s="16">
        <f>IFERROR(__xludf.DUMMYFUNCTION("""COMPUTED_VALUE"""),66.0)</f>
        <v>66</v>
      </c>
      <c r="F645" s="19" t="str">
        <f>IFERROR(__xludf.DUMMYFUNCTION("""COMPUTED_VALUE"""),"BLACK")</f>
        <v>BLACK</v>
      </c>
      <c r="G645" s="20" t="str">
        <f>IFERROR(__xludf.DUMMYFUNCTION("""COMPUTED_VALUE"""),"Uncle Sams Cider (11/12/2021) 02")</f>
        <v>Uncle Sams Cider (11/12/2021) 02</v>
      </c>
      <c r="H645" s="19"/>
    </row>
    <row r="646">
      <c r="A646" s="9"/>
      <c r="B646" s="15"/>
      <c r="C646" s="9">
        <f>IFERROR(__xludf.DUMMYFUNCTION("""COMPUTED_VALUE"""),44598.8239527546)</f>
        <v>44598.82395</v>
      </c>
      <c r="D646" s="15">
        <f>IFERROR(__xludf.DUMMYFUNCTION("""COMPUTED_VALUE"""),1.004)</f>
        <v>1.004</v>
      </c>
      <c r="E646" s="16">
        <f>IFERROR(__xludf.DUMMYFUNCTION("""COMPUTED_VALUE"""),66.0)</f>
        <v>66</v>
      </c>
      <c r="F646" s="19" t="str">
        <f>IFERROR(__xludf.DUMMYFUNCTION("""COMPUTED_VALUE"""),"BLACK")</f>
        <v>BLACK</v>
      </c>
      <c r="G646" s="20" t="str">
        <f>IFERROR(__xludf.DUMMYFUNCTION("""COMPUTED_VALUE"""),"Uncle Sams Cider (11/12/2021) 02")</f>
        <v>Uncle Sams Cider (11/12/2021) 02</v>
      </c>
      <c r="H646" s="19"/>
    </row>
    <row r="647">
      <c r="A647" s="9"/>
      <c r="B647" s="15"/>
      <c r="C647" s="9">
        <f>IFERROR(__xludf.DUMMYFUNCTION("""COMPUTED_VALUE"""),44598.8135196064)</f>
        <v>44598.81352</v>
      </c>
      <c r="D647" s="15">
        <f>IFERROR(__xludf.DUMMYFUNCTION("""COMPUTED_VALUE"""),1.004)</f>
        <v>1.004</v>
      </c>
      <c r="E647" s="16">
        <f>IFERROR(__xludf.DUMMYFUNCTION("""COMPUTED_VALUE"""),66.0)</f>
        <v>66</v>
      </c>
      <c r="F647" s="19" t="str">
        <f>IFERROR(__xludf.DUMMYFUNCTION("""COMPUTED_VALUE"""),"BLACK")</f>
        <v>BLACK</v>
      </c>
      <c r="G647" s="20" t="str">
        <f>IFERROR(__xludf.DUMMYFUNCTION("""COMPUTED_VALUE"""),"Uncle Sams Cider (11/12/2021) 02")</f>
        <v>Uncle Sams Cider (11/12/2021) 02</v>
      </c>
      <c r="H647" s="19"/>
    </row>
    <row r="648">
      <c r="A648" s="9"/>
      <c r="B648" s="15"/>
      <c r="C648" s="9">
        <f>IFERROR(__xludf.DUMMYFUNCTION("""COMPUTED_VALUE"""),44598.8030865393)</f>
        <v>44598.80309</v>
      </c>
      <c r="D648" s="15">
        <f>IFERROR(__xludf.DUMMYFUNCTION("""COMPUTED_VALUE"""),1.004)</f>
        <v>1.004</v>
      </c>
      <c r="E648" s="16">
        <f>IFERROR(__xludf.DUMMYFUNCTION("""COMPUTED_VALUE"""),66.0)</f>
        <v>66</v>
      </c>
      <c r="F648" s="19" t="str">
        <f>IFERROR(__xludf.DUMMYFUNCTION("""COMPUTED_VALUE"""),"BLACK")</f>
        <v>BLACK</v>
      </c>
      <c r="G648" s="20" t="str">
        <f>IFERROR(__xludf.DUMMYFUNCTION("""COMPUTED_VALUE"""),"Uncle Sams Cider (11/12/2021) 02")</f>
        <v>Uncle Sams Cider (11/12/2021) 02</v>
      </c>
      <c r="H648" s="19"/>
    </row>
    <row r="649">
      <c r="A649" s="9"/>
      <c r="B649" s="15"/>
      <c r="C649" s="9">
        <f>IFERROR(__xludf.DUMMYFUNCTION("""COMPUTED_VALUE"""),44598.792653831)</f>
        <v>44598.79265</v>
      </c>
      <c r="D649" s="15">
        <f>IFERROR(__xludf.DUMMYFUNCTION("""COMPUTED_VALUE"""),1.004)</f>
        <v>1.004</v>
      </c>
      <c r="E649" s="16">
        <f>IFERROR(__xludf.DUMMYFUNCTION("""COMPUTED_VALUE"""),66.0)</f>
        <v>66</v>
      </c>
      <c r="F649" s="19" t="str">
        <f>IFERROR(__xludf.DUMMYFUNCTION("""COMPUTED_VALUE"""),"BLACK")</f>
        <v>BLACK</v>
      </c>
      <c r="G649" s="20" t="str">
        <f>IFERROR(__xludf.DUMMYFUNCTION("""COMPUTED_VALUE"""),"Uncle Sams Cider (11/12/2021) 02")</f>
        <v>Uncle Sams Cider (11/12/2021) 02</v>
      </c>
      <c r="H649" s="19"/>
    </row>
    <row r="650">
      <c r="A650" s="9"/>
      <c r="B650" s="15"/>
      <c r="C650" s="9">
        <f>IFERROR(__xludf.DUMMYFUNCTION("""COMPUTED_VALUE"""),44598.7822326157)</f>
        <v>44598.78223</v>
      </c>
      <c r="D650" s="15">
        <f>IFERROR(__xludf.DUMMYFUNCTION("""COMPUTED_VALUE"""),1.004)</f>
        <v>1.004</v>
      </c>
      <c r="E650" s="16">
        <f>IFERROR(__xludf.DUMMYFUNCTION("""COMPUTED_VALUE"""),66.0)</f>
        <v>66</v>
      </c>
      <c r="F650" s="19" t="str">
        <f>IFERROR(__xludf.DUMMYFUNCTION("""COMPUTED_VALUE"""),"BLACK")</f>
        <v>BLACK</v>
      </c>
      <c r="G650" s="20" t="str">
        <f>IFERROR(__xludf.DUMMYFUNCTION("""COMPUTED_VALUE"""),"Uncle Sams Cider (11/12/2021) 02")</f>
        <v>Uncle Sams Cider (11/12/2021) 02</v>
      </c>
      <c r="H650" s="19"/>
    </row>
    <row r="651">
      <c r="A651" s="9"/>
      <c r="B651" s="15"/>
      <c r="C651" s="9">
        <f>IFERROR(__xludf.DUMMYFUNCTION("""COMPUTED_VALUE"""),44598.7718122685)</f>
        <v>44598.77181</v>
      </c>
      <c r="D651" s="15">
        <f>IFERROR(__xludf.DUMMYFUNCTION("""COMPUTED_VALUE"""),1.004)</f>
        <v>1.004</v>
      </c>
      <c r="E651" s="16">
        <f>IFERROR(__xludf.DUMMYFUNCTION("""COMPUTED_VALUE"""),66.0)</f>
        <v>66</v>
      </c>
      <c r="F651" s="19" t="str">
        <f>IFERROR(__xludf.DUMMYFUNCTION("""COMPUTED_VALUE"""),"BLACK")</f>
        <v>BLACK</v>
      </c>
      <c r="G651" s="20" t="str">
        <f>IFERROR(__xludf.DUMMYFUNCTION("""COMPUTED_VALUE"""),"Uncle Sams Cider (11/12/2021) 02")</f>
        <v>Uncle Sams Cider (11/12/2021) 02</v>
      </c>
      <c r="H651" s="19"/>
    </row>
    <row r="652">
      <c r="A652" s="9"/>
      <c r="B652" s="15"/>
      <c r="C652" s="9">
        <f>IFERROR(__xludf.DUMMYFUNCTION("""COMPUTED_VALUE"""),44598.7613331597)</f>
        <v>44598.76133</v>
      </c>
      <c r="D652" s="15">
        <f>IFERROR(__xludf.DUMMYFUNCTION("""COMPUTED_VALUE"""),1.004)</f>
        <v>1.004</v>
      </c>
      <c r="E652" s="16">
        <f>IFERROR(__xludf.DUMMYFUNCTION("""COMPUTED_VALUE"""),66.0)</f>
        <v>66</v>
      </c>
      <c r="F652" s="19" t="str">
        <f>IFERROR(__xludf.DUMMYFUNCTION("""COMPUTED_VALUE"""),"BLACK")</f>
        <v>BLACK</v>
      </c>
      <c r="G652" s="20" t="str">
        <f>IFERROR(__xludf.DUMMYFUNCTION("""COMPUTED_VALUE"""),"Uncle Sams Cider (11/12/2021) 02")</f>
        <v>Uncle Sams Cider (11/12/2021) 02</v>
      </c>
      <c r="H652" s="19"/>
    </row>
    <row r="653">
      <c r="A653" s="9"/>
      <c r="B653" s="15"/>
      <c r="C653" s="9">
        <f>IFERROR(__xludf.DUMMYFUNCTION("""COMPUTED_VALUE"""),44598.7509109722)</f>
        <v>44598.75091</v>
      </c>
      <c r="D653" s="15">
        <f>IFERROR(__xludf.DUMMYFUNCTION("""COMPUTED_VALUE"""),1.004)</f>
        <v>1.004</v>
      </c>
      <c r="E653" s="16">
        <f>IFERROR(__xludf.DUMMYFUNCTION("""COMPUTED_VALUE"""),66.0)</f>
        <v>66</v>
      </c>
      <c r="F653" s="19" t="str">
        <f>IFERROR(__xludf.DUMMYFUNCTION("""COMPUTED_VALUE"""),"BLACK")</f>
        <v>BLACK</v>
      </c>
      <c r="G653" s="20" t="str">
        <f>IFERROR(__xludf.DUMMYFUNCTION("""COMPUTED_VALUE"""),"Uncle Sams Cider (11/12/2021) 02")</f>
        <v>Uncle Sams Cider (11/12/2021) 02</v>
      </c>
      <c r="H653" s="19"/>
    </row>
    <row r="654">
      <c r="A654" s="9"/>
      <c r="B654" s="15"/>
      <c r="C654" s="9">
        <f>IFERROR(__xludf.DUMMYFUNCTION("""COMPUTED_VALUE"""),44598.7404876851)</f>
        <v>44598.74049</v>
      </c>
      <c r="D654" s="15">
        <f>IFERROR(__xludf.DUMMYFUNCTION("""COMPUTED_VALUE"""),1.004)</f>
        <v>1.004</v>
      </c>
      <c r="E654" s="16">
        <f>IFERROR(__xludf.DUMMYFUNCTION("""COMPUTED_VALUE"""),66.0)</f>
        <v>66</v>
      </c>
      <c r="F654" s="19" t="str">
        <f>IFERROR(__xludf.DUMMYFUNCTION("""COMPUTED_VALUE"""),"BLACK")</f>
        <v>BLACK</v>
      </c>
      <c r="G654" s="20" t="str">
        <f>IFERROR(__xludf.DUMMYFUNCTION("""COMPUTED_VALUE"""),"Uncle Sams Cider (11/12/2021) 02")</f>
        <v>Uncle Sams Cider (11/12/2021) 02</v>
      </c>
      <c r="H654" s="19"/>
    </row>
    <row r="655">
      <c r="A655" s="9"/>
      <c r="B655" s="15"/>
      <c r="C655" s="9">
        <f>IFERROR(__xludf.DUMMYFUNCTION("""COMPUTED_VALUE"""),44598.7300660532)</f>
        <v>44598.73007</v>
      </c>
      <c r="D655" s="15">
        <f>IFERROR(__xludf.DUMMYFUNCTION("""COMPUTED_VALUE"""),1.004)</f>
        <v>1.004</v>
      </c>
      <c r="E655" s="16">
        <f>IFERROR(__xludf.DUMMYFUNCTION("""COMPUTED_VALUE"""),66.0)</f>
        <v>66</v>
      </c>
      <c r="F655" s="19" t="str">
        <f>IFERROR(__xludf.DUMMYFUNCTION("""COMPUTED_VALUE"""),"BLACK")</f>
        <v>BLACK</v>
      </c>
      <c r="G655" s="20" t="str">
        <f>IFERROR(__xludf.DUMMYFUNCTION("""COMPUTED_VALUE"""),"Uncle Sams Cider (11/12/2021) 02")</f>
        <v>Uncle Sams Cider (11/12/2021) 02</v>
      </c>
      <c r="H655" s="19"/>
    </row>
    <row r="656">
      <c r="A656" s="9"/>
      <c r="B656" s="15"/>
      <c r="C656" s="9">
        <f>IFERROR(__xludf.DUMMYFUNCTION("""COMPUTED_VALUE"""),44598.719633287)</f>
        <v>44598.71963</v>
      </c>
      <c r="D656" s="15">
        <f>IFERROR(__xludf.DUMMYFUNCTION("""COMPUTED_VALUE"""),1.004)</f>
        <v>1.004</v>
      </c>
      <c r="E656" s="16">
        <f>IFERROR(__xludf.DUMMYFUNCTION("""COMPUTED_VALUE"""),67.0)</f>
        <v>67</v>
      </c>
      <c r="F656" s="19" t="str">
        <f>IFERROR(__xludf.DUMMYFUNCTION("""COMPUTED_VALUE"""),"BLACK")</f>
        <v>BLACK</v>
      </c>
      <c r="G656" s="20" t="str">
        <f>IFERROR(__xludf.DUMMYFUNCTION("""COMPUTED_VALUE"""),"Uncle Sams Cider (11/12/2021) 02")</f>
        <v>Uncle Sams Cider (11/12/2021) 02</v>
      </c>
      <c r="H656" s="19"/>
    </row>
    <row r="657">
      <c r="A657" s="9"/>
      <c r="B657" s="15"/>
      <c r="C657" s="9">
        <f>IFERROR(__xludf.DUMMYFUNCTION("""COMPUTED_VALUE"""),44598.7091892592)</f>
        <v>44598.70919</v>
      </c>
      <c r="D657" s="15">
        <f>IFERROR(__xludf.DUMMYFUNCTION("""COMPUTED_VALUE"""),1.004)</f>
        <v>1.004</v>
      </c>
      <c r="E657" s="16">
        <f>IFERROR(__xludf.DUMMYFUNCTION("""COMPUTED_VALUE"""),67.0)</f>
        <v>67</v>
      </c>
      <c r="F657" s="19" t="str">
        <f>IFERROR(__xludf.DUMMYFUNCTION("""COMPUTED_VALUE"""),"BLACK")</f>
        <v>BLACK</v>
      </c>
      <c r="G657" s="20" t="str">
        <f>IFERROR(__xludf.DUMMYFUNCTION("""COMPUTED_VALUE"""),"Uncle Sams Cider (11/12/2021) 02")</f>
        <v>Uncle Sams Cider (11/12/2021) 02</v>
      </c>
      <c r="H657" s="19"/>
    </row>
    <row r="658">
      <c r="A658" s="9"/>
      <c r="B658" s="15"/>
      <c r="C658" s="9">
        <f>IFERROR(__xludf.DUMMYFUNCTION("""COMPUTED_VALUE"""),44598.6987686342)</f>
        <v>44598.69877</v>
      </c>
      <c r="D658" s="15">
        <f>IFERROR(__xludf.DUMMYFUNCTION("""COMPUTED_VALUE"""),1.004)</f>
        <v>1.004</v>
      </c>
      <c r="E658" s="16">
        <f>IFERROR(__xludf.DUMMYFUNCTION("""COMPUTED_VALUE"""),67.0)</f>
        <v>67</v>
      </c>
      <c r="F658" s="19" t="str">
        <f>IFERROR(__xludf.DUMMYFUNCTION("""COMPUTED_VALUE"""),"BLACK")</f>
        <v>BLACK</v>
      </c>
      <c r="G658" s="20" t="str">
        <f>IFERROR(__xludf.DUMMYFUNCTION("""COMPUTED_VALUE"""),"Uncle Sams Cider (11/12/2021) 02")</f>
        <v>Uncle Sams Cider (11/12/2021) 02</v>
      </c>
      <c r="H658" s="19"/>
    </row>
    <row r="659">
      <c r="A659" s="9"/>
      <c r="B659" s="15"/>
      <c r="C659" s="9">
        <f>IFERROR(__xludf.DUMMYFUNCTION("""COMPUTED_VALUE"""),44598.6883466203)</f>
        <v>44598.68835</v>
      </c>
      <c r="D659" s="15">
        <f>IFERROR(__xludf.DUMMYFUNCTION("""COMPUTED_VALUE"""),1.004)</f>
        <v>1.004</v>
      </c>
      <c r="E659" s="16">
        <f>IFERROR(__xludf.DUMMYFUNCTION("""COMPUTED_VALUE"""),67.0)</f>
        <v>67</v>
      </c>
      <c r="F659" s="19" t="str">
        <f>IFERROR(__xludf.DUMMYFUNCTION("""COMPUTED_VALUE"""),"BLACK")</f>
        <v>BLACK</v>
      </c>
      <c r="G659" s="20" t="str">
        <f>IFERROR(__xludf.DUMMYFUNCTION("""COMPUTED_VALUE"""),"Uncle Sams Cider (11/12/2021) 02")</f>
        <v>Uncle Sams Cider (11/12/2021) 02</v>
      </c>
      <c r="H659" s="19"/>
    </row>
    <row r="660">
      <c r="A660" s="9"/>
      <c r="B660" s="15"/>
      <c r="C660" s="9">
        <f>IFERROR(__xludf.DUMMYFUNCTION("""COMPUTED_VALUE"""),44598.6779259606)</f>
        <v>44598.67793</v>
      </c>
      <c r="D660" s="15">
        <f>IFERROR(__xludf.DUMMYFUNCTION("""COMPUTED_VALUE"""),1.004)</f>
        <v>1.004</v>
      </c>
      <c r="E660" s="16">
        <f>IFERROR(__xludf.DUMMYFUNCTION("""COMPUTED_VALUE"""),67.0)</f>
        <v>67</v>
      </c>
      <c r="F660" s="19" t="str">
        <f>IFERROR(__xludf.DUMMYFUNCTION("""COMPUTED_VALUE"""),"BLACK")</f>
        <v>BLACK</v>
      </c>
      <c r="G660" s="20" t="str">
        <f>IFERROR(__xludf.DUMMYFUNCTION("""COMPUTED_VALUE"""),"Uncle Sams Cider (11/12/2021) 02")</f>
        <v>Uncle Sams Cider (11/12/2021) 02</v>
      </c>
      <c r="H660" s="19"/>
    </row>
    <row r="661">
      <c r="A661" s="9"/>
      <c r="B661" s="15"/>
      <c r="C661" s="9">
        <f>IFERROR(__xludf.DUMMYFUNCTION("""COMPUTED_VALUE"""),44598.6674806712)</f>
        <v>44598.66748</v>
      </c>
      <c r="D661" s="15">
        <f>IFERROR(__xludf.DUMMYFUNCTION("""COMPUTED_VALUE"""),1.004)</f>
        <v>1.004</v>
      </c>
      <c r="E661" s="16">
        <f>IFERROR(__xludf.DUMMYFUNCTION("""COMPUTED_VALUE"""),67.0)</f>
        <v>67</v>
      </c>
      <c r="F661" s="19" t="str">
        <f>IFERROR(__xludf.DUMMYFUNCTION("""COMPUTED_VALUE"""),"BLACK")</f>
        <v>BLACK</v>
      </c>
      <c r="G661" s="20" t="str">
        <f>IFERROR(__xludf.DUMMYFUNCTION("""COMPUTED_VALUE"""),"Uncle Sams Cider (11/12/2021) 02")</f>
        <v>Uncle Sams Cider (11/12/2021) 02</v>
      </c>
      <c r="H661" s="19"/>
    </row>
    <row r="662">
      <c r="A662" s="9"/>
      <c r="B662" s="15"/>
      <c r="C662" s="9">
        <f>IFERROR(__xludf.DUMMYFUNCTION("""COMPUTED_VALUE"""),44598.6570612268)</f>
        <v>44598.65706</v>
      </c>
      <c r="D662" s="15">
        <f>IFERROR(__xludf.DUMMYFUNCTION("""COMPUTED_VALUE"""),1.004)</f>
        <v>1.004</v>
      </c>
      <c r="E662" s="16">
        <f>IFERROR(__xludf.DUMMYFUNCTION("""COMPUTED_VALUE"""),67.0)</f>
        <v>67</v>
      </c>
      <c r="F662" s="19" t="str">
        <f>IFERROR(__xludf.DUMMYFUNCTION("""COMPUTED_VALUE"""),"BLACK")</f>
        <v>BLACK</v>
      </c>
      <c r="G662" s="20" t="str">
        <f>IFERROR(__xludf.DUMMYFUNCTION("""COMPUTED_VALUE"""),"Uncle Sams Cider (11/12/2021) 02")</f>
        <v>Uncle Sams Cider (11/12/2021) 02</v>
      </c>
      <c r="H662" s="19"/>
    </row>
    <row r="663">
      <c r="A663" s="9"/>
      <c r="B663" s="15"/>
      <c r="C663" s="9">
        <f>IFERROR(__xludf.DUMMYFUNCTION("""COMPUTED_VALUE"""),44598.6466374999)</f>
        <v>44598.64664</v>
      </c>
      <c r="D663" s="15">
        <f>IFERROR(__xludf.DUMMYFUNCTION("""COMPUTED_VALUE"""),1.004)</f>
        <v>1.004</v>
      </c>
      <c r="E663" s="16">
        <f>IFERROR(__xludf.DUMMYFUNCTION("""COMPUTED_VALUE"""),67.0)</f>
        <v>67</v>
      </c>
      <c r="F663" s="19" t="str">
        <f>IFERROR(__xludf.DUMMYFUNCTION("""COMPUTED_VALUE"""),"BLACK")</f>
        <v>BLACK</v>
      </c>
      <c r="G663" s="20" t="str">
        <f>IFERROR(__xludf.DUMMYFUNCTION("""COMPUTED_VALUE"""),"Uncle Sams Cider (11/12/2021) 02")</f>
        <v>Uncle Sams Cider (11/12/2021) 02</v>
      </c>
      <c r="H663" s="19"/>
    </row>
    <row r="664">
      <c r="A664" s="9"/>
      <c r="B664" s="15"/>
      <c r="C664" s="9">
        <f>IFERROR(__xludf.DUMMYFUNCTION("""COMPUTED_VALUE"""),44598.6362155208)</f>
        <v>44598.63622</v>
      </c>
      <c r="D664" s="15">
        <f>IFERROR(__xludf.DUMMYFUNCTION("""COMPUTED_VALUE"""),1.004)</f>
        <v>1.004</v>
      </c>
      <c r="E664" s="16">
        <f>IFERROR(__xludf.DUMMYFUNCTION("""COMPUTED_VALUE"""),67.0)</f>
        <v>67</v>
      </c>
      <c r="F664" s="19" t="str">
        <f>IFERROR(__xludf.DUMMYFUNCTION("""COMPUTED_VALUE"""),"BLACK")</f>
        <v>BLACK</v>
      </c>
      <c r="G664" s="20" t="str">
        <f>IFERROR(__xludf.DUMMYFUNCTION("""COMPUTED_VALUE"""),"Uncle Sams Cider (11/12/2021) 02")</f>
        <v>Uncle Sams Cider (11/12/2021) 02</v>
      </c>
      <c r="H664" s="19"/>
    </row>
    <row r="665">
      <c r="A665" s="9"/>
      <c r="B665" s="15"/>
      <c r="C665" s="9">
        <f>IFERROR(__xludf.DUMMYFUNCTION("""COMPUTED_VALUE"""),44598.6257941898)</f>
        <v>44598.62579</v>
      </c>
      <c r="D665" s="15">
        <f>IFERROR(__xludf.DUMMYFUNCTION("""COMPUTED_VALUE"""),1.004)</f>
        <v>1.004</v>
      </c>
      <c r="E665" s="16">
        <f>IFERROR(__xludf.DUMMYFUNCTION("""COMPUTED_VALUE"""),67.0)</f>
        <v>67</v>
      </c>
      <c r="F665" s="19" t="str">
        <f>IFERROR(__xludf.DUMMYFUNCTION("""COMPUTED_VALUE"""),"BLACK")</f>
        <v>BLACK</v>
      </c>
      <c r="G665" s="20" t="str">
        <f>IFERROR(__xludf.DUMMYFUNCTION("""COMPUTED_VALUE"""),"Uncle Sams Cider (11/12/2021) 02")</f>
        <v>Uncle Sams Cider (11/12/2021) 02</v>
      </c>
      <c r="H665" s="19"/>
    </row>
    <row r="666">
      <c r="A666" s="9"/>
      <c r="B666" s="15"/>
      <c r="C666" s="9">
        <f>IFERROR(__xludf.DUMMYFUNCTION("""COMPUTED_VALUE"""),44598.6153632638)</f>
        <v>44598.61536</v>
      </c>
      <c r="D666" s="15">
        <f>IFERROR(__xludf.DUMMYFUNCTION("""COMPUTED_VALUE"""),1.004)</f>
        <v>1.004</v>
      </c>
      <c r="E666" s="16">
        <f>IFERROR(__xludf.DUMMYFUNCTION("""COMPUTED_VALUE"""),67.0)</f>
        <v>67</v>
      </c>
      <c r="F666" s="19" t="str">
        <f>IFERROR(__xludf.DUMMYFUNCTION("""COMPUTED_VALUE"""),"BLACK")</f>
        <v>BLACK</v>
      </c>
      <c r="G666" s="20" t="str">
        <f>IFERROR(__xludf.DUMMYFUNCTION("""COMPUTED_VALUE"""),"Uncle Sams Cider (11/12/2021) 02")</f>
        <v>Uncle Sams Cider (11/12/2021) 02</v>
      </c>
      <c r="H666" s="19"/>
    </row>
    <row r="667">
      <c r="A667" s="9"/>
      <c r="B667" s="15"/>
      <c r="C667" s="9">
        <f>IFERROR(__xludf.DUMMYFUNCTION("""COMPUTED_VALUE"""),44598.6049442708)</f>
        <v>44598.60494</v>
      </c>
      <c r="D667" s="15">
        <f>IFERROR(__xludf.DUMMYFUNCTION("""COMPUTED_VALUE"""),1.004)</f>
        <v>1.004</v>
      </c>
      <c r="E667" s="16">
        <f>IFERROR(__xludf.DUMMYFUNCTION("""COMPUTED_VALUE"""),67.0)</f>
        <v>67</v>
      </c>
      <c r="F667" s="19" t="str">
        <f>IFERROR(__xludf.DUMMYFUNCTION("""COMPUTED_VALUE"""),"BLACK")</f>
        <v>BLACK</v>
      </c>
      <c r="G667" s="20" t="str">
        <f>IFERROR(__xludf.DUMMYFUNCTION("""COMPUTED_VALUE"""),"Uncle Sams Cider (11/12/2021) 02")</f>
        <v>Uncle Sams Cider (11/12/2021) 02</v>
      </c>
      <c r="H667" s="19"/>
    </row>
    <row r="668">
      <c r="A668" s="9"/>
      <c r="B668" s="15"/>
      <c r="C668" s="9">
        <f>IFERROR(__xludf.DUMMYFUNCTION("""COMPUTED_VALUE"""),44598.5945226736)</f>
        <v>44598.59452</v>
      </c>
      <c r="D668" s="15">
        <f>IFERROR(__xludf.DUMMYFUNCTION("""COMPUTED_VALUE"""),1.004)</f>
        <v>1.004</v>
      </c>
      <c r="E668" s="16">
        <f>IFERROR(__xludf.DUMMYFUNCTION("""COMPUTED_VALUE"""),67.0)</f>
        <v>67</v>
      </c>
      <c r="F668" s="19" t="str">
        <f>IFERROR(__xludf.DUMMYFUNCTION("""COMPUTED_VALUE"""),"BLACK")</f>
        <v>BLACK</v>
      </c>
      <c r="G668" s="20" t="str">
        <f>IFERROR(__xludf.DUMMYFUNCTION("""COMPUTED_VALUE"""),"Uncle Sams Cider (11/12/2021) 02")</f>
        <v>Uncle Sams Cider (11/12/2021) 02</v>
      </c>
      <c r="H668" s="19"/>
    </row>
    <row r="669">
      <c r="A669" s="9"/>
      <c r="B669" s="15"/>
      <c r="C669" s="9">
        <f>IFERROR(__xludf.DUMMYFUNCTION("""COMPUTED_VALUE"""),44598.584090162)</f>
        <v>44598.58409</v>
      </c>
      <c r="D669" s="15">
        <f>IFERROR(__xludf.DUMMYFUNCTION("""COMPUTED_VALUE"""),1.004)</f>
        <v>1.004</v>
      </c>
      <c r="E669" s="16">
        <f>IFERROR(__xludf.DUMMYFUNCTION("""COMPUTED_VALUE"""),67.0)</f>
        <v>67</v>
      </c>
      <c r="F669" s="19" t="str">
        <f>IFERROR(__xludf.DUMMYFUNCTION("""COMPUTED_VALUE"""),"BLACK")</f>
        <v>BLACK</v>
      </c>
      <c r="G669" s="20" t="str">
        <f>IFERROR(__xludf.DUMMYFUNCTION("""COMPUTED_VALUE"""),"Uncle Sams Cider (11/12/2021) 02")</f>
        <v>Uncle Sams Cider (11/12/2021) 02</v>
      </c>
      <c r="H669" s="19"/>
    </row>
    <row r="670">
      <c r="A670" s="9"/>
      <c r="B670" s="15"/>
      <c r="C670" s="9">
        <f>IFERROR(__xludf.DUMMYFUNCTION("""COMPUTED_VALUE"""),44598.5736680324)</f>
        <v>44598.57367</v>
      </c>
      <c r="D670" s="15">
        <f>IFERROR(__xludf.DUMMYFUNCTION("""COMPUTED_VALUE"""),1.004)</f>
        <v>1.004</v>
      </c>
      <c r="E670" s="16">
        <f>IFERROR(__xludf.DUMMYFUNCTION("""COMPUTED_VALUE"""),67.0)</f>
        <v>67</v>
      </c>
      <c r="F670" s="19" t="str">
        <f>IFERROR(__xludf.DUMMYFUNCTION("""COMPUTED_VALUE"""),"BLACK")</f>
        <v>BLACK</v>
      </c>
      <c r="G670" s="20" t="str">
        <f>IFERROR(__xludf.DUMMYFUNCTION("""COMPUTED_VALUE"""),"Uncle Sams Cider (11/12/2021) 02")</f>
        <v>Uncle Sams Cider (11/12/2021) 02</v>
      </c>
      <c r="H670" s="19"/>
    </row>
    <row r="671">
      <c r="A671" s="9"/>
      <c r="B671" s="15"/>
      <c r="C671" s="9">
        <f>IFERROR(__xludf.DUMMYFUNCTION("""COMPUTED_VALUE"""),44598.5632480092)</f>
        <v>44598.56325</v>
      </c>
      <c r="D671" s="15">
        <f>IFERROR(__xludf.DUMMYFUNCTION("""COMPUTED_VALUE"""),1.004)</f>
        <v>1.004</v>
      </c>
      <c r="E671" s="16">
        <f>IFERROR(__xludf.DUMMYFUNCTION("""COMPUTED_VALUE"""),67.0)</f>
        <v>67</v>
      </c>
      <c r="F671" s="19" t="str">
        <f>IFERROR(__xludf.DUMMYFUNCTION("""COMPUTED_VALUE"""),"BLACK")</f>
        <v>BLACK</v>
      </c>
      <c r="G671" s="20" t="str">
        <f>IFERROR(__xludf.DUMMYFUNCTION("""COMPUTED_VALUE"""),"Uncle Sams Cider (11/12/2021) 02")</f>
        <v>Uncle Sams Cider (11/12/2021) 02</v>
      </c>
      <c r="H671" s="19"/>
    </row>
    <row r="672">
      <c r="A672" s="9"/>
      <c r="B672" s="15"/>
      <c r="C672" s="9">
        <f>IFERROR(__xludf.DUMMYFUNCTION("""COMPUTED_VALUE"""),44598.5528268981)</f>
        <v>44598.55283</v>
      </c>
      <c r="D672" s="15">
        <f>IFERROR(__xludf.DUMMYFUNCTION("""COMPUTED_VALUE"""),1.004)</f>
        <v>1.004</v>
      </c>
      <c r="E672" s="16">
        <f>IFERROR(__xludf.DUMMYFUNCTION("""COMPUTED_VALUE"""),67.0)</f>
        <v>67</v>
      </c>
      <c r="F672" s="19" t="str">
        <f>IFERROR(__xludf.DUMMYFUNCTION("""COMPUTED_VALUE"""),"BLACK")</f>
        <v>BLACK</v>
      </c>
      <c r="G672" s="20" t="str">
        <f>IFERROR(__xludf.DUMMYFUNCTION("""COMPUTED_VALUE"""),"Uncle Sams Cider (11/12/2021) 02")</f>
        <v>Uncle Sams Cider (11/12/2021) 02</v>
      </c>
      <c r="H672" s="19"/>
    </row>
    <row r="673">
      <c r="A673" s="9"/>
      <c r="B673" s="15"/>
      <c r="C673" s="9">
        <f>IFERROR(__xludf.DUMMYFUNCTION("""COMPUTED_VALUE"""),44598.5423958564)</f>
        <v>44598.5424</v>
      </c>
      <c r="D673" s="15">
        <f>IFERROR(__xludf.DUMMYFUNCTION("""COMPUTED_VALUE"""),1.004)</f>
        <v>1.004</v>
      </c>
      <c r="E673" s="16">
        <f>IFERROR(__xludf.DUMMYFUNCTION("""COMPUTED_VALUE"""),67.0)</f>
        <v>67</v>
      </c>
      <c r="F673" s="19" t="str">
        <f>IFERROR(__xludf.DUMMYFUNCTION("""COMPUTED_VALUE"""),"BLACK")</f>
        <v>BLACK</v>
      </c>
      <c r="G673" s="20" t="str">
        <f>IFERROR(__xludf.DUMMYFUNCTION("""COMPUTED_VALUE"""),"Uncle Sams Cider (11/12/2021) 02")</f>
        <v>Uncle Sams Cider (11/12/2021) 02</v>
      </c>
      <c r="H673" s="19"/>
    </row>
    <row r="674">
      <c r="A674" s="9"/>
      <c r="B674" s="15"/>
      <c r="C674" s="9">
        <f>IFERROR(__xludf.DUMMYFUNCTION("""COMPUTED_VALUE"""),44598.531975405)</f>
        <v>44598.53198</v>
      </c>
      <c r="D674" s="15">
        <f>IFERROR(__xludf.DUMMYFUNCTION("""COMPUTED_VALUE"""),1.004)</f>
        <v>1.004</v>
      </c>
      <c r="E674" s="16">
        <f>IFERROR(__xludf.DUMMYFUNCTION("""COMPUTED_VALUE"""),67.0)</f>
        <v>67</v>
      </c>
      <c r="F674" s="19" t="str">
        <f>IFERROR(__xludf.DUMMYFUNCTION("""COMPUTED_VALUE"""),"BLACK")</f>
        <v>BLACK</v>
      </c>
      <c r="G674" s="20" t="str">
        <f>IFERROR(__xludf.DUMMYFUNCTION("""COMPUTED_VALUE"""),"Uncle Sams Cider (11/12/2021) 02")</f>
        <v>Uncle Sams Cider (11/12/2021) 02</v>
      </c>
      <c r="H674" s="19"/>
    </row>
    <row r="675">
      <c r="A675" s="9"/>
      <c r="B675" s="15"/>
      <c r="C675" s="9">
        <f>IFERROR(__xludf.DUMMYFUNCTION("""COMPUTED_VALUE"""),44598.5215548148)</f>
        <v>44598.52155</v>
      </c>
      <c r="D675" s="15">
        <f>IFERROR(__xludf.DUMMYFUNCTION("""COMPUTED_VALUE"""),1.004)</f>
        <v>1.004</v>
      </c>
      <c r="E675" s="16">
        <f>IFERROR(__xludf.DUMMYFUNCTION("""COMPUTED_VALUE"""),67.0)</f>
        <v>67</v>
      </c>
      <c r="F675" s="19" t="str">
        <f>IFERROR(__xludf.DUMMYFUNCTION("""COMPUTED_VALUE"""),"BLACK")</f>
        <v>BLACK</v>
      </c>
      <c r="G675" s="20" t="str">
        <f>IFERROR(__xludf.DUMMYFUNCTION("""COMPUTED_VALUE"""),"Uncle Sams Cider (11/12/2021) 02")</f>
        <v>Uncle Sams Cider (11/12/2021) 02</v>
      </c>
      <c r="H675" s="19"/>
    </row>
    <row r="676">
      <c r="A676" s="9"/>
      <c r="B676" s="15"/>
      <c r="C676" s="9">
        <f>IFERROR(__xludf.DUMMYFUNCTION("""COMPUTED_VALUE"""),44598.5111336805)</f>
        <v>44598.51113</v>
      </c>
      <c r="D676" s="15">
        <f>IFERROR(__xludf.DUMMYFUNCTION("""COMPUTED_VALUE"""),1.004)</f>
        <v>1.004</v>
      </c>
      <c r="E676" s="16">
        <f>IFERROR(__xludf.DUMMYFUNCTION("""COMPUTED_VALUE"""),67.0)</f>
        <v>67</v>
      </c>
      <c r="F676" s="19" t="str">
        <f>IFERROR(__xludf.DUMMYFUNCTION("""COMPUTED_VALUE"""),"BLACK")</f>
        <v>BLACK</v>
      </c>
      <c r="G676" s="20" t="str">
        <f>IFERROR(__xludf.DUMMYFUNCTION("""COMPUTED_VALUE"""),"Uncle Sams Cider (11/12/2021) 02")</f>
        <v>Uncle Sams Cider (11/12/2021) 02</v>
      </c>
      <c r="H676" s="19"/>
    </row>
    <row r="677">
      <c r="A677" s="9"/>
      <c r="B677" s="15"/>
      <c r="C677" s="9">
        <f>IFERROR(__xludf.DUMMYFUNCTION("""COMPUTED_VALUE"""),44598.50071103)</f>
        <v>44598.50071</v>
      </c>
      <c r="D677" s="15">
        <f>IFERROR(__xludf.DUMMYFUNCTION("""COMPUTED_VALUE"""),1.004)</f>
        <v>1.004</v>
      </c>
      <c r="E677" s="16">
        <f>IFERROR(__xludf.DUMMYFUNCTION("""COMPUTED_VALUE"""),67.0)</f>
        <v>67</v>
      </c>
      <c r="F677" s="19" t="str">
        <f>IFERROR(__xludf.DUMMYFUNCTION("""COMPUTED_VALUE"""),"BLACK")</f>
        <v>BLACK</v>
      </c>
      <c r="G677" s="20" t="str">
        <f>IFERROR(__xludf.DUMMYFUNCTION("""COMPUTED_VALUE"""),"Uncle Sams Cider (11/12/2021) 02")</f>
        <v>Uncle Sams Cider (11/12/2021) 02</v>
      </c>
      <c r="H677" s="19"/>
    </row>
    <row r="678">
      <c r="A678" s="9"/>
      <c r="B678" s="15"/>
      <c r="C678" s="9">
        <f>IFERROR(__xludf.DUMMYFUNCTION("""COMPUTED_VALUE"""),44598.4902904282)</f>
        <v>44598.49029</v>
      </c>
      <c r="D678" s="15">
        <f>IFERROR(__xludf.DUMMYFUNCTION("""COMPUTED_VALUE"""),1.004)</f>
        <v>1.004</v>
      </c>
      <c r="E678" s="16">
        <f>IFERROR(__xludf.DUMMYFUNCTION("""COMPUTED_VALUE"""),67.0)</f>
        <v>67</v>
      </c>
      <c r="F678" s="19" t="str">
        <f>IFERROR(__xludf.DUMMYFUNCTION("""COMPUTED_VALUE"""),"BLACK")</f>
        <v>BLACK</v>
      </c>
      <c r="G678" s="20" t="str">
        <f>IFERROR(__xludf.DUMMYFUNCTION("""COMPUTED_VALUE"""),"Uncle Sams Cider (11/12/2021) 02")</f>
        <v>Uncle Sams Cider (11/12/2021) 02</v>
      </c>
      <c r="H678" s="19"/>
    </row>
    <row r="679">
      <c r="A679" s="9"/>
      <c r="B679" s="15"/>
      <c r="C679" s="9">
        <f>IFERROR(__xludf.DUMMYFUNCTION("""COMPUTED_VALUE"""),44598.4798441782)</f>
        <v>44598.47984</v>
      </c>
      <c r="D679" s="15">
        <f>IFERROR(__xludf.DUMMYFUNCTION("""COMPUTED_VALUE"""),1.004)</f>
        <v>1.004</v>
      </c>
      <c r="E679" s="16">
        <f>IFERROR(__xludf.DUMMYFUNCTION("""COMPUTED_VALUE"""),67.0)</f>
        <v>67</v>
      </c>
      <c r="F679" s="19" t="str">
        <f>IFERROR(__xludf.DUMMYFUNCTION("""COMPUTED_VALUE"""),"BLACK")</f>
        <v>BLACK</v>
      </c>
      <c r="G679" s="20" t="str">
        <f>IFERROR(__xludf.DUMMYFUNCTION("""COMPUTED_VALUE"""),"Uncle Sams Cider (11/12/2021) 02")</f>
        <v>Uncle Sams Cider (11/12/2021) 02</v>
      </c>
      <c r="H679" s="19"/>
    </row>
    <row r="680">
      <c r="A680" s="9"/>
      <c r="B680" s="15"/>
      <c r="C680" s="9">
        <f>IFERROR(__xludf.DUMMYFUNCTION("""COMPUTED_VALUE"""),44598.4694227314)</f>
        <v>44598.46942</v>
      </c>
      <c r="D680" s="15">
        <f>IFERROR(__xludf.DUMMYFUNCTION("""COMPUTED_VALUE"""),1.004)</f>
        <v>1.004</v>
      </c>
      <c r="E680" s="16">
        <f>IFERROR(__xludf.DUMMYFUNCTION("""COMPUTED_VALUE"""),67.0)</f>
        <v>67</v>
      </c>
      <c r="F680" s="19" t="str">
        <f>IFERROR(__xludf.DUMMYFUNCTION("""COMPUTED_VALUE"""),"BLACK")</f>
        <v>BLACK</v>
      </c>
      <c r="G680" s="20" t="str">
        <f>IFERROR(__xludf.DUMMYFUNCTION("""COMPUTED_VALUE"""),"Uncle Sams Cider (11/12/2021) 02")</f>
        <v>Uncle Sams Cider (11/12/2021) 02</v>
      </c>
      <c r="H680" s="19"/>
    </row>
    <row r="681">
      <c r="A681" s="9"/>
      <c r="B681" s="15"/>
      <c r="C681" s="9">
        <f>IFERROR(__xludf.DUMMYFUNCTION("""COMPUTED_VALUE"""),44598.4589658101)</f>
        <v>44598.45897</v>
      </c>
      <c r="D681" s="15">
        <f>IFERROR(__xludf.DUMMYFUNCTION("""COMPUTED_VALUE"""),1.004)</f>
        <v>1.004</v>
      </c>
      <c r="E681" s="16">
        <f>IFERROR(__xludf.DUMMYFUNCTION("""COMPUTED_VALUE"""),67.0)</f>
        <v>67</v>
      </c>
      <c r="F681" s="19" t="str">
        <f>IFERROR(__xludf.DUMMYFUNCTION("""COMPUTED_VALUE"""),"BLACK")</f>
        <v>BLACK</v>
      </c>
      <c r="G681" s="20" t="str">
        <f>IFERROR(__xludf.DUMMYFUNCTION("""COMPUTED_VALUE"""),"Uncle Sams Cider (11/12/2021) 02")</f>
        <v>Uncle Sams Cider (11/12/2021) 02</v>
      </c>
      <c r="H681" s="19"/>
    </row>
    <row r="682">
      <c r="A682" s="9"/>
      <c r="B682" s="15"/>
      <c r="C682" s="9">
        <f>IFERROR(__xludf.DUMMYFUNCTION("""COMPUTED_VALUE"""),44598.4485454513)</f>
        <v>44598.44855</v>
      </c>
      <c r="D682" s="15">
        <f>IFERROR(__xludf.DUMMYFUNCTION("""COMPUTED_VALUE"""),1.004)</f>
        <v>1.004</v>
      </c>
      <c r="E682" s="16">
        <f>IFERROR(__xludf.DUMMYFUNCTION("""COMPUTED_VALUE"""),67.0)</f>
        <v>67</v>
      </c>
      <c r="F682" s="19" t="str">
        <f>IFERROR(__xludf.DUMMYFUNCTION("""COMPUTED_VALUE"""),"BLACK")</f>
        <v>BLACK</v>
      </c>
      <c r="G682" s="20" t="str">
        <f>IFERROR(__xludf.DUMMYFUNCTION("""COMPUTED_VALUE"""),"Uncle Sams Cider (11/12/2021) 02")</f>
        <v>Uncle Sams Cider (11/12/2021) 02</v>
      </c>
      <c r="H682" s="19"/>
    </row>
    <row r="683">
      <c r="A683" s="9"/>
      <c r="B683" s="15"/>
      <c r="C683" s="9">
        <f>IFERROR(__xludf.DUMMYFUNCTION("""COMPUTED_VALUE"""),44598.4381135069)</f>
        <v>44598.43811</v>
      </c>
      <c r="D683" s="15">
        <f>IFERROR(__xludf.DUMMYFUNCTION("""COMPUTED_VALUE"""),1.004)</f>
        <v>1.004</v>
      </c>
      <c r="E683" s="16">
        <f>IFERROR(__xludf.DUMMYFUNCTION("""COMPUTED_VALUE"""),67.0)</f>
        <v>67</v>
      </c>
      <c r="F683" s="19" t="str">
        <f>IFERROR(__xludf.DUMMYFUNCTION("""COMPUTED_VALUE"""),"BLACK")</f>
        <v>BLACK</v>
      </c>
      <c r="G683" s="20" t="str">
        <f>IFERROR(__xludf.DUMMYFUNCTION("""COMPUTED_VALUE"""),"Uncle Sams Cider (11/12/2021) 02")</f>
        <v>Uncle Sams Cider (11/12/2021) 02</v>
      </c>
      <c r="H683" s="19"/>
    </row>
    <row r="684">
      <c r="A684" s="9"/>
      <c r="B684" s="15"/>
      <c r="C684" s="9">
        <f>IFERROR(__xludf.DUMMYFUNCTION("""COMPUTED_VALUE"""),44598.4276947338)</f>
        <v>44598.42769</v>
      </c>
      <c r="D684" s="15">
        <f>IFERROR(__xludf.DUMMYFUNCTION("""COMPUTED_VALUE"""),1.004)</f>
        <v>1.004</v>
      </c>
      <c r="E684" s="16">
        <f>IFERROR(__xludf.DUMMYFUNCTION("""COMPUTED_VALUE"""),68.0)</f>
        <v>68</v>
      </c>
      <c r="F684" s="19" t="str">
        <f>IFERROR(__xludf.DUMMYFUNCTION("""COMPUTED_VALUE"""),"BLACK")</f>
        <v>BLACK</v>
      </c>
      <c r="G684" s="20" t="str">
        <f>IFERROR(__xludf.DUMMYFUNCTION("""COMPUTED_VALUE"""),"Uncle Sams Cider (11/12/2021) 02")</f>
        <v>Uncle Sams Cider (11/12/2021) 02</v>
      </c>
      <c r="H684" s="19"/>
    </row>
    <row r="685">
      <c r="A685" s="9"/>
      <c r="B685" s="15"/>
      <c r="C685" s="9">
        <f>IFERROR(__xludf.DUMMYFUNCTION("""COMPUTED_VALUE"""),44598.417261331)</f>
        <v>44598.41726</v>
      </c>
      <c r="D685" s="15">
        <f>IFERROR(__xludf.DUMMYFUNCTION("""COMPUTED_VALUE"""),1.004)</f>
        <v>1.004</v>
      </c>
      <c r="E685" s="16">
        <f>IFERROR(__xludf.DUMMYFUNCTION("""COMPUTED_VALUE"""),68.0)</f>
        <v>68</v>
      </c>
      <c r="F685" s="19" t="str">
        <f>IFERROR(__xludf.DUMMYFUNCTION("""COMPUTED_VALUE"""),"BLACK")</f>
        <v>BLACK</v>
      </c>
      <c r="G685" s="20" t="str">
        <f>IFERROR(__xludf.DUMMYFUNCTION("""COMPUTED_VALUE"""),"Uncle Sams Cider (11/12/2021) 02")</f>
        <v>Uncle Sams Cider (11/12/2021) 02</v>
      </c>
      <c r="H685" s="19"/>
    </row>
    <row r="686">
      <c r="A686" s="9"/>
      <c r="B686" s="15"/>
      <c r="C686" s="9">
        <f>IFERROR(__xludf.DUMMYFUNCTION("""COMPUTED_VALUE"""),44598.4068395138)</f>
        <v>44598.40684</v>
      </c>
      <c r="D686" s="15">
        <f>IFERROR(__xludf.DUMMYFUNCTION("""COMPUTED_VALUE"""),1.004)</f>
        <v>1.004</v>
      </c>
      <c r="E686" s="16">
        <f>IFERROR(__xludf.DUMMYFUNCTION("""COMPUTED_VALUE"""),68.0)</f>
        <v>68</v>
      </c>
      <c r="F686" s="19" t="str">
        <f>IFERROR(__xludf.DUMMYFUNCTION("""COMPUTED_VALUE"""),"BLACK")</f>
        <v>BLACK</v>
      </c>
      <c r="G686" s="20" t="str">
        <f>IFERROR(__xludf.DUMMYFUNCTION("""COMPUTED_VALUE"""),"Uncle Sams Cider (11/12/2021) 02")</f>
        <v>Uncle Sams Cider (11/12/2021) 02</v>
      </c>
      <c r="H686" s="19"/>
    </row>
    <row r="687">
      <c r="A687" s="9"/>
      <c r="B687" s="15"/>
      <c r="C687" s="9">
        <f>IFERROR(__xludf.DUMMYFUNCTION("""COMPUTED_VALUE"""),44598.3964193865)</f>
        <v>44598.39642</v>
      </c>
      <c r="D687" s="15">
        <f>IFERROR(__xludf.DUMMYFUNCTION("""COMPUTED_VALUE"""),1.004)</f>
        <v>1.004</v>
      </c>
      <c r="E687" s="16">
        <f>IFERROR(__xludf.DUMMYFUNCTION("""COMPUTED_VALUE"""),68.0)</f>
        <v>68</v>
      </c>
      <c r="F687" s="19" t="str">
        <f>IFERROR(__xludf.DUMMYFUNCTION("""COMPUTED_VALUE"""),"BLACK")</f>
        <v>BLACK</v>
      </c>
      <c r="G687" s="20" t="str">
        <f>IFERROR(__xludf.DUMMYFUNCTION("""COMPUTED_VALUE"""),"Uncle Sams Cider (11/12/2021) 02")</f>
        <v>Uncle Sams Cider (11/12/2021) 02</v>
      </c>
      <c r="H687" s="19"/>
    </row>
    <row r="688">
      <c r="A688" s="9"/>
      <c r="B688" s="15"/>
      <c r="C688" s="9">
        <f>IFERROR(__xludf.DUMMYFUNCTION("""COMPUTED_VALUE"""),44598.3859878703)</f>
        <v>44598.38599</v>
      </c>
      <c r="D688" s="15">
        <f>IFERROR(__xludf.DUMMYFUNCTION("""COMPUTED_VALUE"""),1.004)</f>
        <v>1.004</v>
      </c>
      <c r="E688" s="16">
        <f>IFERROR(__xludf.DUMMYFUNCTION("""COMPUTED_VALUE"""),68.0)</f>
        <v>68</v>
      </c>
      <c r="F688" s="19" t="str">
        <f>IFERROR(__xludf.DUMMYFUNCTION("""COMPUTED_VALUE"""),"BLACK")</f>
        <v>BLACK</v>
      </c>
      <c r="G688" s="20" t="str">
        <f>IFERROR(__xludf.DUMMYFUNCTION("""COMPUTED_VALUE"""),"Uncle Sams Cider (11/12/2021) 02")</f>
        <v>Uncle Sams Cider (11/12/2021) 02</v>
      </c>
      <c r="H688" s="19"/>
    </row>
    <row r="689">
      <c r="A689" s="9"/>
      <c r="B689" s="15"/>
      <c r="C689" s="9">
        <f>IFERROR(__xludf.DUMMYFUNCTION("""COMPUTED_VALUE"""),44598.3755423958)</f>
        <v>44598.37554</v>
      </c>
      <c r="D689" s="15">
        <f>IFERROR(__xludf.DUMMYFUNCTION("""COMPUTED_VALUE"""),1.004)</f>
        <v>1.004</v>
      </c>
      <c r="E689" s="16">
        <f>IFERROR(__xludf.DUMMYFUNCTION("""COMPUTED_VALUE"""),68.0)</f>
        <v>68</v>
      </c>
      <c r="F689" s="19" t="str">
        <f>IFERROR(__xludf.DUMMYFUNCTION("""COMPUTED_VALUE"""),"BLACK")</f>
        <v>BLACK</v>
      </c>
      <c r="G689" s="20" t="str">
        <f>IFERROR(__xludf.DUMMYFUNCTION("""COMPUTED_VALUE"""),"Uncle Sams Cider (11/12/2021) 02")</f>
        <v>Uncle Sams Cider (11/12/2021) 02</v>
      </c>
      <c r="H689" s="19"/>
    </row>
    <row r="690">
      <c r="A690" s="9"/>
      <c r="B690" s="15"/>
      <c r="C690" s="9">
        <f>IFERROR(__xludf.DUMMYFUNCTION("""COMPUTED_VALUE"""),44598.3651217129)</f>
        <v>44598.36512</v>
      </c>
      <c r="D690" s="15">
        <f>IFERROR(__xludf.DUMMYFUNCTION("""COMPUTED_VALUE"""),1.004)</f>
        <v>1.004</v>
      </c>
      <c r="E690" s="16">
        <f>IFERROR(__xludf.DUMMYFUNCTION("""COMPUTED_VALUE"""),68.0)</f>
        <v>68</v>
      </c>
      <c r="F690" s="19" t="str">
        <f>IFERROR(__xludf.DUMMYFUNCTION("""COMPUTED_VALUE"""),"BLACK")</f>
        <v>BLACK</v>
      </c>
      <c r="G690" s="20" t="str">
        <f>IFERROR(__xludf.DUMMYFUNCTION("""COMPUTED_VALUE"""),"Uncle Sams Cider (11/12/2021) 02")</f>
        <v>Uncle Sams Cider (11/12/2021) 02</v>
      </c>
      <c r="H690" s="19"/>
    </row>
    <row r="691">
      <c r="A691" s="9"/>
      <c r="B691" s="15"/>
      <c r="C691" s="9">
        <f>IFERROR(__xludf.DUMMYFUNCTION("""COMPUTED_VALUE"""),44598.35468853)</f>
        <v>44598.35469</v>
      </c>
      <c r="D691" s="15">
        <f>IFERROR(__xludf.DUMMYFUNCTION("""COMPUTED_VALUE"""),1.004)</f>
        <v>1.004</v>
      </c>
      <c r="E691" s="16">
        <f>IFERROR(__xludf.DUMMYFUNCTION("""COMPUTED_VALUE"""),68.0)</f>
        <v>68</v>
      </c>
      <c r="F691" s="19" t="str">
        <f>IFERROR(__xludf.DUMMYFUNCTION("""COMPUTED_VALUE"""),"BLACK")</f>
        <v>BLACK</v>
      </c>
      <c r="G691" s="20" t="str">
        <f>IFERROR(__xludf.DUMMYFUNCTION("""COMPUTED_VALUE"""),"Uncle Sams Cider (11/12/2021) 02")</f>
        <v>Uncle Sams Cider (11/12/2021) 02</v>
      </c>
      <c r="H691" s="19"/>
    </row>
    <row r="692">
      <c r="A692" s="9"/>
      <c r="B692" s="15"/>
      <c r="C692" s="9">
        <f>IFERROR(__xludf.DUMMYFUNCTION("""COMPUTED_VALUE"""),44598.344267905)</f>
        <v>44598.34427</v>
      </c>
      <c r="D692" s="15">
        <f>IFERROR(__xludf.DUMMYFUNCTION("""COMPUTED_VALUE"""),1.004)</f>
        <v>1.004</v>
      </c>
      <c r="E692" s="16">
        <f>IFERROR(__xludf.DUMMYFUNCTION("""COMPUTED_VALUE"""),68.0)</f>
        <v>68</v>
      </c>
      <c r="F692" s="19" t="str">
        <f>IFERROR(__xludf.DUMMYFUNCTION("""COMPUTED_VALUE"""),"BLACK")</f>
        <v>BLACK</v>
      </c>
      <c r="G692" s="20" t="str">
        <f>IFERROR(__xludf.DUMMYFUNCTION("""COMPUTED_VALUE"""),"Uncle Sams Cider (11/12/2021) 02")</f>
        <v>Uncle Sams Cider (11/12/2021) 02</v>
      </c>
      <c r="H692" s="19"/>
    </row>
    <row r="693">
      <c r="A693" s="9"/>
      <c r="B693" s="15"/>
      <c r="C693" s="9">
        <f>IFERROR(__xludf.DUMMYFUNCTION("""COMPUTED_VALUE"""),44598.3338329282)</f>
        <v>44598.33383</v>
      </c>
      <c r="D693" s="15">
        <f>IFERROR(__xludf.DUMMYFUNCTION("""COMPUTED_VALUE"""),1.004)</f>
        <v>1.004</v>
      </c>
      <c r="E693" s="16">
        <f>IFERROR(__xludf.DUMMYFUNCTION("""COMPUTED_VALUE"""),68.0)</f>
        <v>68</v>
      </c>
      <c r="F693" s="19" t="str">
        <f>IFERROR(__xludf.DUMMYFUNCTION("""COMPUTED_VALUE"""),"BLACK")</f>
        <v>BLACK</v>
      </c>
      <c r="G693" s="20" t="str">
        <f>IFERROR(__xludf.DUMMYFUNCTION("""COMPUTED_VALUE"""),"Uncle Sams Cider (11/12/2021) 02")</f>
        <v>Uncle Sams Cider (11/12/2021) 02</v>
      </c>
      <c r="H693" s="19"/>
    </row>
    <row r="694">
      <c r="A694" s="9"/>
      <c r="B694" s="15"/>
      <c r="C694" s="9">
        <f>IFERROR(__xludf.DUMMYFUNCTION("""COMPUTED_VALUE"""),44598.3234113657)</f>
        <v>44598.32341</v>
      </c>
      <c r="D694" s="15">
        <f>IFERROR(__xludf.DUMMYFUNCTION("""COMPUTED_VALUE"""),1.004)</f>
        <v>1.004</v>
      </c>
      <c r="E694" s="16">
        <f>IFERROR(__xludf.DUMMYFUNCTION("""COMPUTED_VALUE"""),68.0)</f>
        <v>68</v>
      </c>
      <c r="F694" s="19" t="str">
        <f>IFERROR(__xludf.DUMMYFUNCTION("""COMPUTED_VALUE"""),"BLACK")</f>
        <v>BLACK</v>
      </c>
      <c r="G694" s="20" t="str">
        <f>IFERROR(__xludf.DUMMYFUNCTION("""COMPUTED_VALUE"""),"Uncle Sams Cider (11/12/2021) 02")</f>
        <v>Uncle Sams Cider (11/12/2021) 02</v>
      </c>
      <c r="H694" s="19"/>
    </row>
    <row r="695">
      <c r="A695" s="9"/>
      <c r="B695" s="15"/>
      <c r="C695" s="9">
        <f>IFERROR(__xludf.DUMMYFUNCTION("""COMPUTED_VALUE"""),44598.3129907986)</f>
        <v>44598.31299</v>
      </c>
      <c r="D695" s="15">
        <f>IFERROR(__xludf.DUMMYFUNCTION("""COMPUTED_VALUE"""),1.003)</f>
        <v>1.003</v>
      </c>
      <c r="E695" s="16">
        <f>IFERROR(__xludf.DUMMYFUNCTION("""COMPUTED_VALUE"""),68.0)</f>
        <v>68</v>
      </c>
      <c r="F695" s="19" t="str">
        <f>IFERROR(__xludf.DUMMYFUNCTION("""COMPUTED_VALUE"""),"BLACK")</f>
        <v>BLACK</v>
      </c>
      <c r="G695" s="20" t="str">
        <f>IFERROR(__xludf.DUMMYFUNCTION("""COMPUTED_VALUE"""),"Uncle Sams Cider (11/12/2021) 02")</f>
        <v>Uncle Sams Cider (11/12/2021) 02</v>
      </c>
      <c r="H695" s="19"/>
    </row>
    <row r="696">
      <c r="A696" s="9"/>
      <c r="B696" s="15"/>
      <c r="C696" s="9">
        <f>IFERROR(__xludf.DUMMYFUNCTION("""COMPUTED_VALUE"""),44598.3025695601)</f>
        <v>44598.30257</v>
      </c>
      <c r="D696" s="15">
        <f>IFERROR(__xludf.DUMMYFUNCTION("""COMPUTED_VALUE"""),1.004)</f>
        <v>1.004</v>
      </c>
      <c r="E696" s="16">
        <f>IFERROR(__xludf.DUMMYFUNCTION("""COMPUTED_VALUE"""),68.0)</f>
        <v>68</v>
      </c>
      <c r="F696" s="19" t="str">
        <f>IFERROR(__xludf.DUMMYFUNCTION("""COMPUTED_VALUE"""),"BLACK")</f>
        <v>BLACK</v>
      </c>
      <c r="G696" s="20" t="str">
        <f>IFERROR(__xludf.DUMMYFUNCTION("""COMPUTED_VALUE"""),"Uncle Sams Cider (11/12/2021) 02")</f>
        <v>Uncle Sams Cider (11/12/2021) 02</v>
      </c>
      <c r="H696" s="19"/>
    </row>
    <row r="697">
      <c r="A697" s="9"/>
      <c r="B697" s="15"/>
      <c r="C697" s="9">
        <f>IFERROR(__xludf.DUMMYFUNCTION("""COMPUTED_VALUE"""),44598.2921468518)</f>
        <v>44598.29215</v>
      </c>
      <c r="D697" s="15">
        <f>IFERROR(__xludf.DUMMYFUNCTION("""COMPUTED_VALUE"""),1.003)</f>
        <v>1.003</v>
      </c>
      <c r="E697" s="16">
        <f>IFERROR(__xludf.DUMMYFUNCTION("""COMPUTED_VALUE"""),68.0)</f>
        <v>68</v>
      </c>
      <c r="F697" s="19" t="str">
        <f>IFERROR(__xludf.DUMMYFUNCTION("""COMPUTED_VALUE"""),"BLACK")</f>
        <v>BLACK</v>
      </c>
      <c r="G697" s="20" t="str">
        <f>IFERROR(__xludf.DUMMYFUNCTION("""COMPUTED_VALUE"""),"Uncle Sams Cider (11/12/2021) 02")</f>
        <v>Uncle Sams Cider (11/12/2021) 02</v>
      </c>
      <c r="H697" s="19"/>
    </row>
    <row r="698">
      <c r="A698" s="9"/>
      <c r="B698" s="15"/>
      <c r="C698" s="9">
        <f>IFERROR(__xludf.DUMMYFUNCTION("""COMPUTED_VALUE"""),44598.2817253703)</f>
        <v>44598.28173</v>
      </c>
      <c r="D698" s="15">
        <f>IFERROR(__xludf.DUMMYFUNCTION("""COMPUTED_VALUE"""),1.004)</f>
        <v>1.004</v>
      </c>
      <c r="E698" s="16">
        <f>IFERROR(__xludf.DUMMYFUNCTION("""COMPUTED_VALUE"""),67.0)</f>
        <v>67</v>
      </c>
      <c r="F698" s="19" t="str">
        <f>IFERROR(__xludf.DUMMYFUNCTION("""COMPUTED_VALUE"""),"BLACK")</f>
        <v>BLACK</v>
      </c>
      <c r="G698" s="20" t="str">
        <f>IFERROR(__xludf.DUMMYFUNCTION("""COMPUTED_VALUE"""),"Uncle Sams Cider (11/12/2021) 02")</f>
        <v>Uncle Sams Cider (11/12/2021) 02</v>
      </c>
      <c r="H698" s="19"/>
    </row>
    <row r="699">
      <c r="A699" s="9"/>
      <c r="B699" s="15"/>
      <c r="C699" s="9">
        <f>IFERROR(__xludf.DUMMYFUNCTION("""COMPUTED_VALUE"""),44598.2712820138)</f>
        <v>44598.27128</v>
      </c>
      <c r="D699" s="15">
        <f>IFERROR(__xludf.DUMMYFUNCTION("""COMPUTED_VALUE"""),1.004)</f>
        <v>1.004</v>
      </c>
      <c r="E699" s="16">
        <f>IFERROR(__xludf.DUMMYFUNCTION("""COMPUTED_VALUE"""),67.0)</f>
        <v>67</v>
      </c>
      <c r="F699" s="19" t="str">
        <f>IFERROR(__xludf.DUMMYFUNCTION("""COMPUTED_VALUE"""),"BLACK")</f>
        <v>BLACK</v>
      </c>
      <c r="G699" s="20" t="str">
        <f>IFERROR(__xludf.DUMMYFUNCTION("""COMPUTED_VALUE"""),"Uncle Sams Cider (11/12/2021) 02")</f>
        <v>Uncle Sams Cider (11/12/2021) 02</v>
      </c>
      <c r="H699" s="19"/>
    </row>
    <row r="700">
      <c r="A700" s="9"/>
      <c r="B700" s="15"/>
      <c r="C700" s="9">
        <f>IFERROR(__xludf.DUMMYFUNCTION("""COMPUTED_VALUE"""),44598.2608604745)</f>
        <v>44598.26086</v>
      </c>
      <c r="D700" s="15">
        <f>IFERROR(__xludf.DUMMYFUNCTION("""COMPUTED_VALUE"""),1.004)</f>
        <v>1.004</v>
      </c>
      <c r="E700" s="16">
        <f>IFERROR(__xludf.DUMMYFUNCTION("""COMPUTED_VALUE"""),66.0)</f>
        <v>66</v>
      </c>
      <c r="F700" s="19" t="str">
        <f>IFERROR(__xludf.DUMMYFUNCTION("""COMPUTED_VALUE"""),"BLACK")</f>
        <v>BLACK</v>
      </c>
      <c r="G700" s="20" t="str">
        <f>IFERROR(__xludf.DUMMYFUNCTION("""COMPUTED_VALUE"""),"Uncle Sams Cider (11/12/2021) 02")</f>
        <v>Uncle Sams Cider (11/12/2021) 02</v>
      </c>
      <c r="H700" s="19"/>
    </row>
    <row r="701">
      <c r="A701" s="9"/>
      <c r="B701" s="15"/>
      <c r="C701" s="9">
        <f>IFERROR(__xludf.DUMMYFUNCTION("""COMPUTED_VALUE"""),44598.2504399652)</f>
        <v>44598.25044</v>
      </c>
      <c r="D701" s="15">
        <f>IFERROR(__xludf.DUMMYFUNCTION("""COMPUTED_VALUE"""),1.004)</f>
        <v>1.004</v>
      </c>
      <c r="E701" s="16">
        <f>IFERROR(__xludf.DUMMYFUNCTION("""COMPUTED_VALUE"""),66.0)</f>
        <v>66</v>
      </c>
      <c r="F701" s="19" t="str">
        <f>IFERROR(__xludf.DUMMYFUNCTION("""COMPUTED_VALUE"""),"BLACK")</f>
        <v>BLACK</v>
      </c>
      <c r="G701" s="20" t="str">
        <f>IFERROR(__xludf.DUMMYFUNCTION("""COMPUTED_VALUE"""),"Uncle Sams Cider (11/12/2021) 02")</f>
        <v>Uncle Sams Cider (11/12/2021) 02</v>
      </c>
      <c r="H701" s="19"/>
    </row>
    <row r="702">
      <c r="A702" s="9"/>
      <c r="B702" s="15"/>
      <c r="C702" s="9">
        <f>IFERROR(__xludf.DUMMYFUNCTION("""COMPUTED_VALUE"""),44598.2400214699)</f>
        <v>44598.24002</v>
      </c>
      <c r="D702" s="15">
        <f>IFERROR(__xludf.DUMMYFUNCTION("""COMPUTED_VALUE"""),1.004)</f>
        <v>1.004</v>
      </c>
      <c r="E702" s="16">
        <f>IFERROR(__xludf.DUMMYFUNCTION("""COMPUTED_VALUE"""),66.0)</f>
        <v>66</v>
      </c>
      <c r="F702" s="19" t="str">
        <f>IFERROR(__xludf.DUMMYFUNCTION("""COMPUTED_VALUE"""),"BLACK")</f>
        <v>BLACK</v>
      </c>
      <c r="G702" s="20" t="str">
        <f>IFERROR(__xludf.DUMMYFUNCTION("""COMPUTED_VALUE"""),"Uncle Sams Cider (11/12/2021) 02")</f>
        <v>Uncle Sams Cider (11/12/2021) 02</v>
      </c>
      <c r="H702" s="19"/>
    </row>
    <row r="703">
      <c r="A703" s="9"/>
      <c r="B703" s="15"/>
      <c r="C703" s="9">
        <f>IFERROR(__xludf.DUMMYFUNCTION("""COMPUTED_VALUE"""),44598.2296008101)</f>
        <v>44598.2296</v>
      </c>
      <c r="D703" s="15">
        <f>IFERROR(__xludf.DUMMYFUNCTION("""COMPUTED_VALUE"""),1.004)</f>
        <v>1.004</v>
      </c>
      <c r="E703" s="16">
        <f>IFERROR(__xludf.DUMMYFUNCTION("""COMPUTED_VALUE"""),65.0)</f>
        <v>65</v>
      </c>
      <c r="F703" s="19" t="str">
        <f>IFERROR(__xludf.DUMMYFUNCTION("""COMPUTED_VALUE"""),"BLACK")</f>
        <v>BLACK</v>
      </c>
      <c r="G703" s="20" t="str">
        <f>IFERROR(__xludf.DUMMYFUNCTION("""COMPUTED_VALUE"""),"Uncle Sams Cider (11/12/2021) 02")</f>
        <v>Uncle Sams Cider (11/12/2021) 02</v>
      </c>
      <c r="H703" s="19"/>
    </row>
    <row r="704">
      <c r="A704" s="9"/>
      <c r="B704" s="15"/>
      <c r="C704" s="9">
        <f>IFERROR(__xludf.DUMMYFUNCTION("""COMPUTED_VALUE"""),44598.2191796875)</f>
        <v>44598.21918</v>
      </c>
      <c r="D704" s="15">
        <f>IFERROR(__xludf.DUMMYFUNCTION("""COMPUTED_VALUE"""),1.004)</f>
        <v>1.004</v>
      </c>
      <c r="E704" s="16">
        <f>IFERROR(__xludf.DUMMYFUNCTION("""COMPUTED_VALUE"""),65.0)</f>
        <v>65</v>
      </c>
      <c r="F704" s="19" t="str">
        <f>IFERROR(__xludf.DUMMYFUNCTION("""COMPUTED_VALUE"""),"BLACK")</f>
        <v>BLACK</v>
      </c>
      <c r="G704" s="20" t="str">
        <f>IFERROR(__xludf.DUMMYFUNCTION("""COMPUTED_VALUE"""),"Uncle Sams Cider (11/12/2021) 02")</f>
        <v>Uncle Sams Cider (11/12/2021) 02</v>
      </c>
      <c r="H704" s="19"/>
    </row>
    <row r="705">
      <c r="A705" s="9"/>
      <c r="B705" s="15"/>
      <c r="C705" s="9">
        <f>IFERROR(__xludf.DUMMYFUNCTION("""COMPUTED_VALUE"""),44598.2087462615)</f>
        <v>44598.20875</v>
      </c>
      <c r="D705" s="15">
        <f>IFERROR(__xludf.DUMMYFUNCTION("""COMPUTED_VALUE"""),1.004)</f>
        <v>1.004</v>
      </c>
      <c r="E705" s="16">
        <f>IFERROR(__xludf.DUMMYFUNCTION("""COMPUTED_VALUE"""),64.0)</f>
        <v>64</v>
      </c>
      <c r="F705" s="19" t="str">
        <f>IFERROR(__xludf.DUMMYFUNCTION("""COMPUTED_VALUE"""),"BLACK")</f>
        <v>BLACK</v>
      </c>
      <c r="G705" s="20" t="str">
        <f>IFERROR(__xludf.DUMMYFUNCTION("""COMPUTED_VALUE"""),"Uncle Sams Cider (11/12/2021) 02")</f>
        <v>Uncle Sams Cider (11/12/2021) 02</v>
      </c>
      <c r="H705" s="19"/>
    </row>
    <row r="706">
      <c r="A706" s="9"/>
      <c r="B706" s="15"/>
      <c r="C706" s="9">
        <f>IFERROR(__xludf.DUMMYFUNCTION("""COMPUTED_VALUE"""),44598.1983242824)</f>
        <v>44598.19832</v>
      </c>
      <c r="D706" s="15">
        <f>IFERROR(__xludf.DUMMYFUNCTION("""COMPUTED_VALUE"""),1.004)</f>
        <v>1.004</v>
      </c>
      <c r="E706" s="16">
        <f>IFERROR(__xludf.DUMMYFUNCTION("""COMPUTED_VALUE"""),64.0)</f>
        <v>64</v>
      </c>
      <c r="F706" s="19" t="str">
        <f>IFERROR(__xludf.DUMMYFUNCTION("""COMPUTED_VALUE"""),"BLACK")</f>
        <v>BLACK</v>
      </c>
      <c r="G706" s="20" t="str">
        <f>IFERROR(__xludf.DUMMYFUNCTION("""COMPUTED_VALUE"""),"Uncle Sams Cider (11/12/2021) 02")</f>
        <v>Uncle Sams Cider (11/12/2021) 02</v>
      </c>
      <c r="H706" s="19"/>
    </row>
    <row r="707">
      <c r="A707" s="9"/>
      <c r="B707" s="15"/>
      <c r="C707" s="9">
        <f>IFERROR(__xludf.DUMMYFUNCTION("""COMPUTED_VALUE"""),44598.1879031018)</f>
        <v>44598.1879</v>
      </c>
      <c r="D707" s="15">
        <f>IFERROR(__xludf.DUMMYFUNCTION("""COMPUTED_VALUE"""),1.004)</f>
        <v>1.004</v>
      </c>
      <c r="E707" s="16">
        <f>IFERROR(__xludf.DUMMYFUNCTION("""COMPUTED_VALUE"""),63.0)</f>
        <v>63</v>
      </c>
      <c r="F707" s="19" t="str">
        <f>IFERROR(__xludf.DUMMYFUNCTION("""COMPUTED_VALUE"""),"BLACK")</f>
        <v>BLACK</v>
      </c>
      <c r="G707" s="20" t="str">
        <f>IFERROR(__xludf.DUMMYFUNCTION("""COMPUTED_VALUE"""),"Uncle Sams Cider (11/12/2021) 02")</f>
        <v>Uncle Sams Cider (11/12/2021) 02</v>
      </c>
      <c r="H707" s="19"/>
    </row>
    <row r="708">
      <c r="A708" s="9"/>
      <c r="B708" s="15"/>
      <c r="C708" s="9">
        <f>IFERROR(__xludf.DUMMYFUNCTION("""COMPUTED_VALUE"""),44598.1774717476)</f>
        <v>44598.17747</v>
      </c>
      <c r="D708" s="15">
        <f>IFERROR(__xludf.DUMMYFUNCTION("""COMPUTED_VALUE"""),1.004)</f>
        <v>1.004</v>
      </c>
      <c r="E708" s="16">
        <f>IFERROR(__xludf.DUMMYFUNCTION("""COMPUTED_VALUE"""),63.0)</f>
        <v>63</v>
      </c>
      <c r="F708" s="19" t="str">
        <f>IFERROR(__xludf.DUMMYFUNCTION("""COMPUTED_VALUE"""),"BLACK")</f>
        <v>BLACK</v>
      </c>
      <c r="G708" s="20" t="str">
        <f>IFERROR(__xludf.DUMMYFUNCTION("""COMPUTED_VALUE"""),"Uncle Sams Cider (11/12/2021) 02")</f>
        <v>Uncle Sams Cider (11/12/2021) 02</v>
      </c>
      <c r="H708" s="19"/>
    </row>
    <row r="709">
      <c r="A709" s="9"/>
      <c r="B709" s="15"/>
      <c r="C709" s="9">
        <f>IFERROR(__xludf.DUMMYFUNCTION("""COMPUTED_VALUE"""),44598.167049456)</f>
        <v>44598.16705</v>
      </c>
      <c r="D709" s="15">
        <f>IFERROR(__xludf.DUMMYFUNCTION("""COMPUTED_VALUE"""),1.004)</f>
        <v>1.004</v>
      </c>
      <c r="E709" s="16">
        <f>IFERROR(__xludf.DUMMYFUNCTION("""COMPUTED_VALUE"""),63.0)</f>
        <v>63</v>
      </c>
      <c r="F709" s="19" t="str">
        <f>IFERROR(__xludf.DUMMYFUNCTION("""COMPUTED_VALUE"""),"BLACK")</f>
        <v>BLACK</v>
      </c>
      <c r="G709" s="20" t="str">
        <f>IFERROR(__xludf.DUMMYFUNCTION("""COMPUTED_VALUE"""),"Uncle Sams Cider (11/12/2021) 02")</f>
        <v>Uncle Sams Cider (11/12/2021) 02</v>
      </c>
      <c r="H709" s="19"/>
    </row>
    <row r="710">
      <c r="A710" s="9"/>
      <c r="B710" s="15"/>
      <c r="C710" s="9">
        <f>IFERROR(__xludf.DUMMYFUNCTION("""COMPUTED_VALUE"""),44598.1566163541)</f>
        <v>44598.15662</v>
      </c>
      <c r="D710" s="15">
        <f>IFERROR(__xludf.DUMMYFUNCTION("""COMPUTED_VALUE"""),1.004)</f>
        <v>1.004</v>
      </c>
      <c r="E710" s="16">
        <f>IFERROR(__xludf.DUMMYFUNCTION("""COMPUTED_VALUE"""),63.0)</f>
        <v>63</v>
      </c>
      <c r="F710" s="19" t="str">
        <f>IFERROR(__xludf.DUMMYFUNCTION("""COMPUTED_VALUE"""),"BLACK")</f>
        <v>BLACK</v>
      </c>
      <c r="G710" s="20" t="str">
        <f>IFERROR(__xludf.DUMMYFUNCTION("""COMPUTED_VALUE"""),"Uncle Sams Cider (11/12/2021) 02")</f>
        <v>Uncle Sams Cider (11/12/2021) 02</v>
      </c>
      <c r="H710" s="19"/>
    </row>
    <row r="711">
      <c r="A711" s="9"/>
      <c r="B711" s="15"/>
      <c r="C711" s="9">
        <f>IFERROR(__xludf.DUMMYFUNCTION("""COMPUTED_VALUE"""),44598.1461838541)</f>
        <v>44598.14618</v>
      </c>
      <c r="D711" s="15">
        <f>IFERROR(__xludf.DUMMYFUNCTION("""COMPUTED_VALUE"""),1.004)</f>
        <v>1.004</v>
      </c>
      <c r="E711" s="16">
        <f>IFERROR(__xludf.DUMMYFUNCTION("""COMPUTED_VALUE"""),63.0)</f>
        <v>63</v>
      </c>
      <c r="F711" s="19" t="str">
        <f>IFERROR(__xludf.DUMMYFUNCTION("""COMPUTED_VALUE"""),"BLACK")</f>
        <v>BLACK</v>
      </c>
      <c r="G711" s="20" t="str">
        <f>IFERROR(__xludf.DUMMYFUNCTION("""COMPUTED_VALUE"""),"Uncle Sams Cider (11/12/2021) 02")</f>
        <v>Uncle Sams Cider (11/12/2021) 02</v>
      </c>
      <c r="H711" s="19"/>
    </row>
    <row r="712">
      <c r="A712" s="9"/>
      <c r="B712" s="15"/>
      <c r="C712" s="9">
        <f>IFERROR(__xludf.DUMMYFUNCTION("""COMPUTED_VALUE"""),44598.1357397337)</f>
        <v>44598.13574</v>
      </c>
      <c r="D712" s="15">
        <f>IFERROR(__xludf.DUMMYFUNCTION("""COMPUTED_VALUE"""),1.004)</f>
        <v>1.004</v>
      </c>
      <c r="E712" s="16">
        <f>IFERROR(__xludf.DUMMYFUNCTION("""COMPUTED_VALUE"""),63.0)</f>
        <v>63</v>
      </c>
      <c r="F712" s="19" t="str">
        <f>IFERROR(__xludf.DUMMYFUNCTION("""COMPUTED_VALUE"""),"BLACK")</f>
        <v>BLACK</v>
      </c>
      <c r="G712" s="20" t="str">
        <f>IFERROR(__xludf.DUMMYFUNCTION("""COMPUTED_VALUE"""),"Uncle Sams Cider (11/12/2021) 02")</f>
        <v>Uncle Sams Cider (11/12/2021) 02</v>
      </c>
      <c r="H712" s="19"/>
    </row>
    <row r="713">
      <c r="A713" s="9"/>
      <c r="B713" s="15"/>
      <c r="C713" s="9">
        <f>IFERROR(__xludf.DUMMYFUNCTION("""COMPUTED_VALUE"""),44598.1253059953)</f>
        <v>44598.12531</v>
      </c>
      <c r="D713" s="15">
        <f>IFERROR(__xludf.DUMMYFUNCTION("""COMPUTED_VALUE"""),1.004)</f>
        <v>1.004</v>
      </c>
      <c r="E713" s="16">
        <f>IFERROR(__xludf.DUMMYFUNCTION("""COMPUTED_VALUE"""),63.0)</f>
        <v>63</v>
      </c>
      <c r="F713" s="19" t="str">
        <f>IFERROR(__xludf.DUMMYFUNCTION("""COMPUTED_VALUE"""),"BLACK")</f>
        <v>BLACK</v>
      </c>
      <c r="G713" s="20" t="str">
        <f>IFERROR(__xludf.DUMMYFUNCTION("""COMPUTED_VALUE"""),"Uncle Sams Cider (11/12/2021) 02")</f>
        <v>Uncle Sams Cider (11/12/2021) 02</v>
      </c>
      <c r="H713" s="19"/>
    </row>
    <row r="714">
      <c r="A714" s="9"/>
      <c r="B714" s="15"/>
      <c r="C714" s="9">
        <f>IFERROR(__xludf.DUMMYFUNCTION("""COMPUTED_VALUE"""),44598.114861412)</f>
        <v>44598.11486</v>
      </c>
      <c r="D714" s="15">
        <f>IFERROR(__xludf.DUMMYFUNCTION("""COMPUTED_VALUE"""),1.004)</f>
        <v>1.004</v>
      </c>
      <c r="E714" s="16">
        <f>IFERROR(__xludf.DUMMYFUNCTION("""COMPUTED_VALUE"""),63.0)</f>
        <v>63</v>
      </c>
      <c r="F714" s="19" t="str">
        <f>IFERROR(__xludf.DUMMYFUNCTION("""COMPUTED_VALUE"""),"BLACK")</f>
        <v>BLACK</v>
      </c>
      <c r="G714" s="20" t="str">
        <f>IFERROR(__xludf.DUMMYFUNCTION("""COMPUTED_VALUE"""),"Uncle Sams Cider (11/12/2021) 02")</f>
        <v>Uncle Sams Cider (11/12/2021) 02</v>
      </c>
      <c r="H714" s="19"/>
    </row>
    <row r="715">
      <c r="A715" s="9"/>
      <c r="B715" s="15"/>
      <c r="C715" s="9">
        <f>IFERROR(__xludf.DUMMYFUNCTION("""COMPUTED_VALUE"""),44598.1044399768)</f>
        <v>44598.10444</v>
      </c>
      <c r="D715" s="15">
        <f>IFERROR(__xludf.DUMMYFUNCTION("""COMPUTED_VALUE"""),1.004)</f>
        <v>1.004</v>
      </c>
      <c r="E715" s="16">
        <f>IFERROR(__xludf.DUMMYFUNCTION("""COMPUTED_VALUE"""),63.0)</f>
        <v>63</v>
      </c>
      <c r="F715" s="19" t="str">
        <f>IFERROR(__xludf.DUMMYFUNCTION("""COMPUTED_VALUE"""),"BLACK")</f>
        <v>BLACK</v>
      </c>
      <c r="G715" s="20" t="str">
        <f>IFERROR(__xludf.DUMMYFUNCTION("""COMPUTED_VALUE"""),"Uncle Sams Cider (11/12/2021) 02")</f>
        <v>Uncle Sams Cider (11/12/2021) 02</v>
      </c>
      <c r="H715" s="19"/>
    </row>
    <row r="716">
      <c r="A716" s="9"/>
      <c r="B716" s="15"/>
      <c r="C716" s="9">
        <f>IFERROR(__xludf.DUMMYFUNCTION("""COMPUTED_VALUE"""),44598.0940194675)</f>
        <v>44598.09402</v>
      </c>
      <c r="D716" s="15">
        <f>IFERROR(__xludf.DUMMYFUNCTION("""COMPUTED_VALUE"""),1.004)</f>
        <v>1.004</v>
      </c>
      <c r="E716" s="16">
        <f>IFERROR(__xludf.DUMMYFUNCTION("""COMPUTED_VALUE"""),63.0)</f>
        <v>63</v>
      </c>
      <c r="F716" s="19" t="str">
        <f>IFERROR(__xludf.DUMMYFUNCTION("""COMPUTED_VALUE"""),"BLACK")</f>
        <v>BLACK</v>
      </c>
      <c r="G716" s="20" t="str">
        <f>IFERROR(__xludf.DUMMYFUNCTION("""COMPUTED_VALUE"""),"Uncle Sams Cider (11/12/2021) 02")</f>
        <v>Uncle Sams Cider (11/12/2021) 02</v>
      </c>
      <c r="H716" s="19"/>
    </row>
    <row r="717">
      <c r="A717" s="9"/>
      <c r="B717" s="15"/>
      <c r="C717" s="9">
        <f>IFERROR(__xludf.DUMMYFUNCTION("""COMPUTED_VALUE"""),44598.0835760185)</f>
        <v>44598.08358</v>
      </c>
      <c r="D717" s="15">
        <f>IFERROR(__xludf.DUMMYFUNCTION("""COMPUTED_VALUE"""),1.004)</f>
        <v>1.004</v>
      </c>
      <c r="E717" s="16">
        <f>IFERROR(__xludf.DUMMYFUNCTION("""COMPUTED_VALUE"""),63.0)</f>
        <v>63</v>
      </c>
      <c r="F717" s="19" t="str">
        <f>IFERROR(__xludf.DUMMYFUNCTION("""COMPUTED_VALUE"""),"BLACK")</f>
        <v>BLACK</v>
      </c>
      <c r="G717" s="20" t="str">
        <f>IFERROR(__xludf.DUMMYFUNCTION("""COMPUTED_VALUE"""),"Uncle Sams Cider (11/12/2021) 02")</f>
        <v>Uncle Sams Cider (11/12/2021) 02</v>
      </c>
      <c r="H717" s="19"/>
    </row>
    <row r="718">
      <c r="A718" s="9"/>
      <c r="B718" s="15"/>
      <c r="C718" s="9">
        <f>IFERROR(__xludf.DUMMYFUNCTION("""COMPUTED_VALUE"""),44598.0731442245)</f>
        <v>44598.07314</v>
      </c>
      <c r="D718" s="15">
        <f>IFERROR(__xludf.DUMMYFUNCTION("""COMPUTED_VALUE"""),1.004)</f>
        <v>1.004</v>
      </c>
      <c r="E718" s="16">
        <f>IFERROR(__xludf.DUMMYFUNCTION("""COMPUTED_VALUE"""),63.0)</f>
        <v>63</v>
      </c>
      <c r="F718" s="19" t="str">
        <f>IFERROR(__xludf.DUMMYFUNCTION("""COMPUTED_VALUE"""),"BLACK")</f>
        <v>BLACK</v>
      </c>
      <c r="G718" s="20" t="str">
        <f>IFERROR(__xludf.DUMMYFUNCTION("""COMPUTED_VALUE"""),"Uncle Sams Cider (11/12/2021) 02")</f>
        <v>Uncle Sams Cider (11/12/2021) 02</v>
      </c>
      <c r="H718" s="19"/>
    </row>
    <row r="719">
      <c r="A719" s="9"/>
      <c r="B719" s="15"/>
      <c r="C719" s="9">
        <f>IFERROR(__xludf.DUMMYFUNCTION("""COMPUTED_VALUE"""),44598.0627228819)</f>
        <v>44598.06272</v>
      </c>
      <c r="D719" s="15">
        <f>IFERROR(__xludf.DUMMYFUNCTION("""COMPUTED_VALUE"""),1.004)</f>
        <v>1.004</v>
      </c>
      <c r="E719" s="16">
        <f>IFERROR(__xludf.DUMMYFUNCTION("""COMPUTED_VALUE"""),63.0)</f>
        <v>63</v>
      </c>
      <c r="F719" s="19" t="str">
        <f>IFERROR(__xludf.DUMMYFUNCTION("""COMPUTED_VALUE"""),"BLACK")</f>
        <v>BLACK</v>
      </c>
      <c r="G719" s="20" t="str">
        <f>IFERROR(__xludf.DUMMYFUNCTION("""COMPUTED_VALUE"""),"Uncle Sams Cider (11/12/2021) 02")</f>
        <v>Uncle Sams Cider (11/12/2021) 02</v>
      </c>
      <c r="H719" s="19"/>
    </row>
    <row r="720">
      <c r="A720" s="9"/>
      <c r="B720" s="15"/>
      <c r="C720" s="9">
        <f>IFERROR(__xludf.DUMMYFUNCTION("""COMPUTED_VALUE"""),44598.0522921527)</f>
        <v>44598.05229</v>
      </c>
      <c r="D720" s="15">
        <f>IFERROR(__xludf.DUMMYFUNCTION("""COMPUTED_VALUE"""),1.004)</f>
        <v>1.004</v>
      </c>
      <c r="E720" s="16">
        <f>IFERROR(__xludf.DUMMYFUNCTION("""COMPUTED_VALUE"""),63.0)</f>
        <v>63</v>
      </c>
      <c r="F720" s="19" t="str">
        <f>IFERROR(__xludf.DUMMYFUNCTION("""COMPUTED_VALUE"""),"BLACK")</f>
        <v>BLACK</v>
      </c>
      <c r="G720" s="20" t="str">
        <f>IFERROR(__xludf.DUMMYFUNCTION("""COMPUTED_VALUE"""),"Uncle Sams Cider (11/12/2021) 02")</f>
        <v>Uncle Sams Cider (11/12/2021) 02</v>
      </c>
      <c r="H720" s="19"/>
    </row>
    <row r="721">
      <c r="A721" s="9"/>
      <c r="B721" s="15"/>
      <c r="C721" s="9">
        <f>IFERROR(__xludf.DUMMYFUNCTION("""COMPUTED_VALUE"""),44598.0418470949)</f>
        <v>44598.04185</v>
      </c>
      <c r="D721" s="15">
        <f>IFERROR(__xludf.DUMMYFUNCTION("""COMPUTED_VALUE"""),1.004)</f>
        <v>1.004</v>
      </c>
      <c r="E721" s="16">
        <f>IFERROR(__xludf.DUMMYFUNCTION("""COMPUTED_VALUE"""),63.0)</f>
        <v>63</v>
      </c>
      <c r="F721" s="19" t="str">
        <f>IFERROR(__xludf.DUMMYFUNCTION("""COMPUTED_VALUE"""),"BLACK")</f>
        <v>BLACK</v>
      </c>
      <c r="G721" s="20" t="str">
        <f>IFERROR(__xludf.DUMMYFUNCTION("""COMPUTED_VALUE"""),"Uncle Sams Cider (11/12/2021) 02")</f>
        <v>Uncle Sams Cider (11/12/2021) 02</v>
      </c>
      <c r="H721" s="19"/>
    </row>
    <row r="722">
      <c r="A722" s="9"/>
      <c r="B722" s="15"/>
      <c r="C722" s="9">
        <f>IFERROR(__xludf.DUMMYFUNCTION("""COMPUTED_VALUE"""),44598.0314144791)</f>
        <v>44598.03141</v>
      </c>
      <c r="D722" s="15">
        <f>IFERROR(__xludf.DUMMYFUNCTION("""COMPUTED_VALUE"""),1.004)</f>
        <v>1.004</v>
      </c>
      <c r="E722" s="16">
        <f>IFERROR(__xludf.DUMMYFUNCTION("""COMPUTED_VALUE"""),63.0)</f>
        <v>63</v>
      </c>
      <c r="F722" s="19" t="str">
        <f>IFERROR(__xludf.DUMMYFUNCTION("""COMPUTED_VALUE"""),"BLACK")</f>
        <v>BLACK</v>
      </c>
      <c r="G722" s="20" t="str">
        <f>IFERROR(__xludf.DUMMYFUNCTION("""COMPUTED_VALUE"""),"Uncle Sams Cider (11/12/2021) 02")</f>
        <v>Uncle Sams Cider (11/12/2021) 02</v>
      </c>
      <c r="H722" s="19"/>
    </row>
    <row r="723">
      <c r="A723" s="9"/>
      <c r="B723" s="15"/>
      <c r="C723" s="9">
        <f>IFERROR(__xludf.DUMMYFUNCTION("""COMPUTED_VALUE"""),44598.0209933101)</f>
        <v>44598.02099</v>
      </c>
      <c r="D723" s="15">
        <f>IFERROR(__xludf.DUMMYFUNCTION("""COMPUTED_VALUE"""),1.004)</f>
        <v>1.004</v>
      </c>
      <c r="E723" s="16">
        <f>IFERROR(__xludf.DUMMYFUNCTION("""COMPUTED_VALUE"""),63.0)</f>
        <v>63</v>
      </c>
      <c r="F723" s="19" t="str">
        <f>IFERROR(__xludf.DUMMYFUNCTION("""COMPUTED_VALUE"""),"BLACK")</f>
        <v>BLACK</v>
      </c>
      <c r="G723" s="20" t="str">
        <f>IFERROR(__xludf.DUMMYFUNCTION("""COMPUTED_VALUE"""),"Uncle Sams Cider (11/12/2021) 02")</f>
        <v>Uncle Sams Cider (11/12/2021) 02</v>
      </c>
      <c r="H723" s="19"/>
    </row>
    <row r="724">
      <c r="A724" s="9"/>
      <c r="B724" s="15"/>
      <c r="C724" s="9">
        <f>IFERROR(__xludf.DUMMYFUNCTION("""COMPUTED_VALUE"""),44598.0105724652)</f>
        <v>44598.01057</v>
      </c>
      <c r="D724" s="15">
        <f>IFERROR(__xludf.DUMMYFUNCTION("""COMPUTED_VALUE"""),1.004)</f>
        <v>1.004</v>
      </c>
      <c r="E724" s="16">
        <f>IFERROR(__xludf.DUMMYFUNCTION("""COMPUTED_VALUE"""),63.0)</f>
        <v>63</v>
      </c>
      <c r="F724" s="19" t="str">
        <f>IFERROR(__xludf.DUMMYFUNCTION("""COMPUTED_VALUE"""),"BLACK")</f>
        <v>BLACK</v>
      </c>
      <c r="G724" s="20" t="str">
        <f>IFERROR(__xludf.DUMMYFUNCTION("""COMPUTED_VALUE"""),"Uncle Sams Cider (11/12/2021) 02")</f>
        <v>Uncle Sams Cider (11/12/2021) 02</v>
      </c>
      <c r="H724" s="19"/>
    </row>
    <row r="725">
      <c r="A725" s="9"/>
      <c r="B725" s="15"/>
      <c r="C725" s="9">
        <f>IFERROR(__xludf.DUMMYFUNCTION("""COMPUTED_VALUE"""),44598.000152199)</f>
        <v>44598.00015</v>
      </c>
      <c r="D725" s="15">
        <f>IFERROR(__xludf.DUMMYFUNCTION("""COMPUTED_VALUE"""),1.004)</f>
        <v>1.004</v>
      </c>
      <c r="E725" s="16">
        <f>IFERROR(__xludf.DUMMYFUNCTION("""COMPUTED_VALUE"""),63.0)</f>
        <v>63</v>
      </c>
      <c r="F725" s="19" t="str">
        <f>IFERROR(__xludf.DUMMYFUNCTION("""COMPUTED_VALUE"""),"BLACK")</f>
        <v>BLACK</v>
      </c>
      <c r="G725" s="20" t="str">
        <f>IFERROR(__xludf.DUMMYFUNCTION("""COMPUTED_VALUE"""),"Uncle Sams Cider (11/12/2021) 02")</f>
        <v>Uncle Sams Cider (11/12/2021) 02</v>
      </c>
      <c r="H725" s="19"/>
    </row>
    <row r="726">
      <c r="A726" s="9"/>
      <c r="B726" s="15"/>
      <c r="C726" s="9">
        <f>IFERROR(__xludf.DUMMYFUNCTION("""COMPUTED_VALUE"""),44597.9897311342)</f>
        <v>44597.98973</v>
      </c>
      <c r="D726" s="15">
        <f>IFERROR(__xludf.DUMMYFUNCTION("""COMPUTED_VALUE"""),1.004)</f>
        <v>1.004</v>
      </c>
      <c r="E726" s="16">
        <f>IFERROR(__xludf.DUMMYFUNCTION("""COMPUTED_VALUE"""),63.0)</f>
        <v>63</v>
      </c>
      <c r="F726" s="19" t="str">
        <f>IFERROR(__xludf.DUMMYFUNCTION("""COMPUTED_VALUE"""),"BLACK")</f>
        <v>BLACK</v>
      </c>
      <c r="G726" s="20" t="str">
        <f>IFERROR(__xludf.DUMMYFUNCTION("""COMPUTED_VALUE"""),"Uncle Sams Cider (11/12/2021) 02")</f>
        <v>Uncle Sams Cider (11/12/2021) 02</v>
      </c>
      <c r="H726" s="19"/>
    </row>
    <row r="727">
      <c r="A727" s="9"/>
      <c r="B727" s="15"/>
      <c r="C727" s="9">
        <f>IFERROR(__xludf.DUMMYFUNCTION("""COMPUTED_VALUE"""),44597.9792985416)</f>
        <v>44597.9793</v>
      </c>
      <c r="D727" s="15">
        <f>IFERROR(__xludf.DUMMYFUNCTION("""COMPUTED_VALUE"""),1.004)</f>
        <v>1.004</v>
      </c>
      <c r="E727" s="16">
        <f>IFERROR(__xludf.DUMMYFUNCTION("""COMPUTED_VALUE"""),63.0)</f>
        <v>63</v>
      </c>
      <c r="F727" s="19" t="str">
        <f>IFERROR(__xludf.DUMMYFUNCTION("""COMPUTED_VALUE"""),"BLACK")</f>
        <v>BLACK</v>
      </c>
      <c r="G727" s="20" t="str">
        <f>IFERROR(__xludf.DUMMYFUNCTION("""COMPUTED_VALUE"""),"Uncle Sams Cider (11/12/2021) 02")</f>
        <v>Uncle Sams Cider (11/12/2021) 02</v>
      </c>
      <c r="H727" s="19"/>
    </row>
    <row r="728">
      <c r="A728" s="9"/>
      <c r="B728" s="15"/>
      <c r="C728" s="9">
        <f>IFERROR(__xludf.DUMMYFUNCTION("""COMPUTED_VALUE"""),44597.9688646527)</f>
        <v>44597.96886</v>
      </c>
      <c r="D728" s="15">
        <f>IFERROR(__xludf.DUMMYFUNCTION("""COMPUTED_VALUE"""),1.004)</f>
        <v>1.004</v>
      </c>
      <c r="E728" s="16">
        <f>IFERROR(__xludf.DUMMYFUNCTION("""COMPUTED_VALUE"""),63.0)</f>
        <v>63</v>
      </c>
      <c r="F728" s="19" t="str">
        <f>IFERROR(__xludf.DUMMYFUNCTION("""COMPUTED_VALUE"""),"BLACK")</f>
        <v>BLACK</v>
      </c>
      <c r="G728" s="20" t="str">
        <f>IFERROR(__xludf.DUMMYFUNCTION("""COMPUTED_VALUE"""),"Uncle Sams Cider (11/12/2021) 02")</f>
        <v>Uncle Sams Cider (11/12/2021) 02</v>
      </c>
      <c r="H728" s="19"/>
    </row>
    <row r="729">
      <c r="A729" s="9"/>
      <c r="B729" s="15"/>
      <c r="C729" s="9">
        <f>IFERROR(__xludf.DUMMYFUNCTION("""COMPUTED_VALUE"""),44597.9584436342)</f>
        <v>44597.95844</v>
      </c>
      <c r="D729" s="15">
        <f>IFERROR(__xludf.DUMMYFUNCTION("""COMPUTED_VALUE"""),1.004)</f>
        <v>1.004</v>
      </c>
      <c r="E729" s="16">
        <f>IFERROR(__xludf.DUMMYFUNCTION("""COMPUTED_VALUE"""),63.0)</f>
        <v>63</v>
      </c>
      <c r="F729" s="19" t="str">
        <f>IFERROR(__xludf.DUMMYFUNCTION("""COMPUTED_VALUE"""),"BLACK")</f>
        <v>BLACK</v>
      </c>
      <c r="G729" s="20" t="str">
        <f>IFERROR(__xludf.DUMMYFUNCTION("""COMPUTED_VALUE"""),"Uncle Sams Cider (11/12/2021) 02")</f>
        <v>Uncle Sams Cider (11/12/2021) 02</v>
      </c>
      <c r="H729" s="19"/>
    </row>
    <row r="730">
      <c r="A730" s="9"/>
      <c r="B730" s="15"/>
      <c r="C730" s="9">
        <f>IFERROR(__xludf.DUMMYFUNCTION("""COMPUTED_VALUE"""),44597.9480216666)</f>
        <v>44597.94802</v>
      </c>
      <c r="D730" s="15">
        <f>IFERROR(__xludf.DUMMYFUNCTION("""COMPUTED_VALUE"""),1.004)</f>
        <v>1.004</v>
      </c>
      <c r="E730" s="16">
        <f>IFERROR(__xludf.DUMMYFUNCTION("""COMPUTED_VALUE"""),63.0)</f>
        <v>63</v>
      </c>
      <c r="F730" s="19" t="str">
        <f>IFERROR(__xludf.DUMMYFUNCTION("""COMPUTED_VALUE"""),"BLACK")</f>
        <v>BLACK</v>
      </c>
      <c r="G730" s="20" t="str">
        <f>IFERROR(__xludf.DUMMYFUNCTION("""COMPUTED_VALUE"""),"Uncle Sams Cider (11/12/2021) 02")</f>
        <v>Uncle Sams Cider (11/12/2021) 02</v>
      </c>
      <c r="H730" s="19"/>
    </row>
    <row r="731">
      <c r="A731" s="9"/>
      <c r="B731" s="15"/>
      <c r="C731" s="9">
        <f>IFERROR(__xludf.DUMMYFUNCTION("""COMPUTED_VALUE"""),44597.9375991666)</f>
        <v>44597.9376</v>
      </c>
      <c r="D731" s="15">
        <f>IFERROR(__xludf.DUMMYFUNCTION("""COMPUTED_VALUE"""),1.004)</f>
        <v>1.004</v>
      </c>
      <c r="E731" s="16">
        <f>IFERROR(__xludf.DUMMYFUNCTION("""COMPUTED_VALUE"""),63.0)</f>
        <v>63</v>
      </c>
      <c r="F731" s="19" t="str">
        <f>IFERROR(__xludf.DUMMYFUNCTION("""COMPUTED_VALUE"""),"BLACK")</f>
        <v>BLACK</v>
      </c>
      <c r="G731" s="20" t="str">
        <f>IFERROR(__xludf.DUMMYFUNCTION("""COMPUTED_VALUE"""),"Uncle Sams Cider (11/12/2021) 02")</f>
        <v>Uncle Sams Cider (11/12/2021) 02</v>
      </c>
      <c r="H731" s="19"/>
    </row>
    <row r="732">
      <c r="A732" s="9"/>
      <c r="B732" s="15"/>
      <c r="C732" s="9">
        <f>IFERROR(__xludf.DUMMYFUNCTION("""COMPUTED_VALUE"""),44597.9271792361)</f>
        <v>44597.92718</v>
      </c>
      <c r="D732" s="15">
        <f>IFERROR(__xludf.DUMMYFUNCTION("""COMPUTED_VALUE"""),1.004)</f>
        <v>1.004</v>
      </c>
      <c r="E732" s="16">
        <f>IFERROR(__xludf.DUMMYFUNCTION("""COMPUTED_VALUE"""),63.0)</f>
        <v>63</v>
      </c>
      <c r="F732" s="19" t="str">
        <f>IFERROR(__xludf.DUMMYFUNCTION("""COMPUTED_VALUE"""),"BLACK")</f>
        <v>BLACK</v>
      </c>
      <c r="G732" s="20" t="str">
        <f>IFERROR(__xludf.DUMMYFUNCTION("""COMPUTED_VALUE"""),"Uncle Sams Cider (11/12/2021) 02")</f>
        <v>Uncle Sams Cider (11/12/2021) 02</v>
      </c>
      <c r="H732" s="19"/>
    </row>
    <row r="733">
      <c r="A733" s="9"/>
      <c r="B733" s="15"/>
      <c r="C733" s="9">
        <f>IFERROR(__xludf.DUMMYFUNCTION("""COMPUTED_VALUE"""),44597.916760081)</f>
        <v>44597.91676</v>
      </c>
      <c r="D733" s="15">
        <f>IFERROR(__xludf.DUMMYFUNCTION("""COMPUTED_VALUE"""),1.004)</f>
        <v>1.004</v>
      </c>
      <c r="E733" s="16">
        <f>IFERROR(__xludf.DUMMYFUNCTION("""COMPUTED_VALUE"""),63.0)</f>
        <v>63</v>
      </c>
      <c r="F733" s="19" t="str">
        <f>IFERROR(__xludf.DUMMYFUNCTION("""COMPUTED_VALUE"""),"BLACK")</f>
        <v>BLACK</v>
      </c>
      <c r="G733" s="20" t="str">
        <f>IFERROR(__xludf.DUMMYFUNCTION("""COMPUTED_VALUE"""),"Uncle Sams Cider (11/12/2021) 02")</f>
        <v>Uncle Sams Cider (11/12/2021) 02</v>
      </c>
      <c r="H733" s="19"/>
    </row>
    <row r="734">
      <c r="A734" s="9"/>
      <c r="B734" s="15"/>
      <c r="C734" s="9">
        <f>IFERROR(__xludf.DUMMYFUNCTION("""COMPUTED_VALUE"""),44597.9063382407)</f>
        <v>44597.90634</v>
      </c>
      <c r="D734" s="15">
        <f>IFERROR(__xludf.DUMMYFUNCTION("""COMPUTED_VALUE"""),1.004)</f>
        <v>1.004</v>
      </c>
      <c r="E734" s="16">
        <f>IFERROR(__xludf.DUMMYFUNCTION("""COMPUTED_VALUE"""),63.0)</f>
        <v>63</v>
      </c>
      <c r="F734" s="19" t="str">
        <f>IFERROR(__xludf.DUMMYFUNCTION("""COMPUTED_VALUE"""),"BLACK")</f>
        <v>BLACK</v>
      </c>
      <c r="G734" s="20" t="str">
        <f>IFERROR(__xludf.DUMMYFUNCTION("""COMPUTED_VALUE"""),"Uncle Sams Cider (11/12/2021) 02")</f>
        <v>Uncle Sams Cider (11/12/2021) 02</v>
      </c>
      <c r="H734" s="19"/>
    </row>
    <row r="735">
      <c r="A735" s="9"/>
      <c r="B735" s="15"/>
      <c r="C735" s="9">
        <f>IFERROR(__xludf.DUMMYFUNCTION("""COMPUTED_VALUE"""),44597.895918368)</f>
        <v>44597.89592</v>
      </c>
      <c r="D735" s="15">
        <f>IFERROR(__xludf.DUMMYFUNCTION("""COMPUTED_VALUE"""),1.004)</f>
        <v>1.004</v>
      </c>
      <c r="E735" s="16">
        <f>IFERROR(__xludf.DUMMYFUNCTION("""COMPUTED_VALUE"""),63.0)</f>
        <v>63</v>
      </c>
      <c r="F735" s="19" t="str">
        <f>IFERROR(__xludf.DUMMYFUNCTION("""COMPUTED_VALUE"""),"BLACK")</f>
        <v>BLACK</v>
      </c>
      <c r="G735" s="20" t="str">
        <f>IFERROR(__xludf.DUMMYFUNCTION("""COMPUTED_VALUE"""),"Uncle Sams Cider (11/12/2021) 02")</f>
        <v>Uncle Sams Cider (11/12/2021) 02</v>
      </c>
      <c r="H735" s="19"/>
    </row>
    <row r="736">
      <c r="A736" s="9"/>
      <c r="B736" s="15"/>
      <c r="C736" s="9">
        <f>IFERROR(__xludf.DUMMYFUNCTION("""COMPUTED_VALUE"""),44597.8854867708)</f>
        <v>44597.88549</v>
      </c>
      <c r="D736" s="15">
        <f>IFERROR(__xludf.DUMMYFUNCTION("""COMPUTED_VALUE"""),1.004)</f>
        <v>1.004</v>
      </c>
      <c r="E736" s="16">
        <f>IFERROR(__xludf.DUMMYFUNCTION("""COMPUTED_VALUE"""),63.0)</f>
        <v>63</v>
      </c>
      <c r="F736" s="19" t="str">
        <f>IFERROR(__xludf.DUMMYFUNCTION("""COMPUTED_VALUE"""),"BLACK")</f>
        <v>BLACK</v>
      </c>
      <c r="G736" s="20" t="str">
        <f>IFERROR(__xludf.DUMMYFUNCTION("""COMPUTED_VALUE"""),"Uncle Sams Cider (11/12/2021) 02")</f>
        <v>Uncle Sams Cider (11/12/2021) 02</v>
      </c>
      <c r="H736" s="19"/>
    </row>
    <row r="737">
      <c r="A737" s="9"/>
      <c r="B737" s="15"/>
      <c r="C737" s="9">
        <f>IFERROR(__xludf.DUMMYFUNCTION("""COMPUTED_VALUE"""),44597.8750414699)</f>
        <v>44597.87504</v>
      </c>
      <c r="D737" s="15">
        <f>IFERROR(__xludf.DUMMYFUNCTION("""COMPUTED_VALUE"""),1.004)</f>
        <v>1.004</v>
      </c>
      <c r="E737" s="16">
        <f>IFERROR(__xludf.DUMMYFUNCTION("""COMPUTED_VALUE"""),63.0)</f>
        <v>63</v>
      </c>
      <c r="F737" s="19" t="str">
        <f>IFERROR(__xludf.DUMMYFUNCTION("""COMPUTED_VALUE"""),"BLACK")</f>
        <v>BLACK</v>
      </c>
      <c r="G737" s="20" t="str">
        <f>IFERROR(__xludf.DUMMYFUNCTION("""COMPUTED_VALUE"""),"Uncle Sams Cider (11/12/2021) 02")</f>
        <v>Uncle Sams Cider (11/12/2021) 02</v>
      </c>
      <c r="H737" s="19"/>
    </row>
    <row r="738">
      <c r="A738" s="9"/>
      <c r="B738" s="15"/>
      <c r="C738" s="9">
        <f>IFERROR(__xludf.DUMMYFUNCTION("""COMPUTED_VALUE"""),44597.8646069675)</f>
        <v>44597.86461</v>
      </c>
      <c r="D738" s="15">
        <f>IFERROR(__xludf.DUMMYFUNCTION("""COMPUTED_VALUE"""),1.004)</f>
        <v>1.004</v>
      </c>
      <c r="E738" s="16">
        <f>IFERROR(__xludf.DUMMYFUNCTION("""COMPUTED_VALUE"""),63.0)</f>
        <v>63</v>
      </c>
      <c r="F738" s="19" t="str">
        <f>IFERROR(__xludf.DUMMYFUNCTION("""COMPUTED_VALUE"""),"BLACK")</f>
        <v>BLACK</v>
      </c>
      <c r="G738" s="20" t="str">
        <f>IFERROR(__xludf.DUMMYFUNCTION("""COMPUTED_VALUE"""),"Uncle Sams Cider (11/12/2021) 02")</f>
        <v>Uncle Sams Cider (11/12/2021) 02</v>
      </c>
      <c r="H738" s="19"/>
    </row>
    <row r="739">
      <c r="A739" s="9"/>
      <c r="B739" s="15"/>
      <c r="C739" s="9">
        <f>IFERROR(__xludf.DUMMYFUNCTION("""COMPUTED_VALUE"""),44597.8541834143)</f>
        <v>44597.85418</v>
      </c>
      <c r="D739" s="15">
        <f>IFERROR(__xludf.DUMMYFUNCTION("""COMPUTED_VALUE"""),1.004)</f>
        <v>1.004</v>
      </c>
      <c r="E739" s="16">
        <f>IFERROR(__xludf.DUMMYFUNCTION("""COMPUTED_VALUE"""),63.0)</f>
        <v>63</v>
      </c>
      <c r="F739" s="19" t="str">
        <f>IFERROR(__xludf.DUMMYFUNCTION("""COMPUTED_VALUE"""),"BLACK")</f>
        <v>BLACK</v>
      </c>
      <c r="G739" s="20" t="str">
        <f>IFERROR(__xludf.DUMMYFUNCTION("""COMPUTED_VALUE"""),"Uncle Sams Cider (11/12/2021) 02")</f>
        <v>Uncle Sams Cider (11/12/2021) 02</v>
      </c>
      <c r="H739" s="19"/>
    </row>
    <row r="740">
      <c r="A740" s="9"/>
      <c r="B740" s="15"/>
      <c r="C740" s="9">
        <f>IFERROR(__xludf.DUMMYFUNCTION("""COMPUTED_VALUE"""),44597.843727581)</f>
        <v>44597.84373</v>
      </c>
      <c r="D740" s="15">
        <f>IFERROR(__xludf.DUMMYFUNCTION("""COMPUTED_VALUE"""),1.004)</f>
        <v>1.004</v>
      </c>
      <c r="E740" s="16">
        <f>IFERROR(__xludf.DUMMYFUNCTION("""COMPUTED_VALUE"""),63.0)</f>
        <v>63</v>
      </c>
      <c r="F740" s="19" t="str">
        <f>IFERROR(__xludf.DUMMYFUNCTION("""COMPUTED_VALUE"""),"BLACK")</f>
        <v>BLACK</v>
      </c>
      <c r="G740" s="20" t="str">
        <f>IFERROR(__xludf.DUMMYFUNCTION("""COMPUTED_VALUE"""),"Uncle Sams Cider (11/12/2021) 02")</f>
        <v>Uncle Sams Cider (11/12/2021) 02</v>
      </c>
      <c r="H740" s="19"/>
    </row>
    <row r="741">
      <c r="A741" s="9"/>
      <c r="B741" s="15"/>
      <c r="C741" s="9">
        <f>IFERROR(__xludf.DUMMYFUNCTION("""COMPUTED_VALUE"""),44597.8332950115)</f>
        <v>44597.8333</v>
      </c>
      <c r="D741" s="15">
        <f>IFERROR(__xludf.DUMMYFUNCTION("""COMPUTED_VALUE"""),1.004)</f>
        <v>1.004</v>
      </c>
      <c r="E741" s="16">
        <f>IFERROR(__xludf.DUMMYFUNCTION("""COMPUTED_VALUE"""),63.0)</f>
        <v>63</v>
      </c>
      <c r="F741" s="19" t="str">
        <f>IFERROR(__xludf.DUMMYFUNCTION("""COMPUTED_VALUE"""),"BLACK")</f>
        <v>BLACK</v>
      </c>
      <c r="G741" s="20" t="str">
        <f>IFERROR(__xludf.DUMMYFUNCTION("""COMPUTED_VALUE"""),"Uncle Sams Cider (11/12/2021) 02")</f>
        <v>Uncle Sams Cider (11/12/2021) 02</v>
      </c>
      <c r="H741" s="19"/>
    </row>
    <row r="742">
      <c r="A742" s="9"/>
      <c r="B742" s="15"/>
      <c r="C742" s="9">
        <f>IFERROR(__xludf.DUMMYFUNCTION("""COMPUTED_VALUE"""),44597.8228721643)</f>
        <v>44597.82287</v>
      </c>
      <c r="D742" s="15">
        <f>IFERROR(__xludf.DUMMYFUNCTION("""COMPUTED_VALUE"""),1.004)</f>
        <v>1.004</v>
      </c>
      <c r="E742" s="16">
        <f>IFERROR(__xludf.DUMMYFUNCTION("""COMPUTED_VALUE"""),63.0)</f>
        <v>63</v>
      </c>
      <c r="F742" s="19" t="str">
        <f>IFERROR(__xludf.DUMMYFUNCTION("""COMPUTED_VALUE"""),"BLACK")</f>
        <v>BLACK</v>
      </c>
      <c r="G742" s="20" t="str">
        <f>IFERROR(__xludf.DUMMYFUNCTION("""COMPUTED_VALUE"""),"Uncle Sams Cider (11/12/2021) 02")</f>
        <v>Uncle Sams Cider (11/12/2021) 02</v>
      </c>
      <c r="H742" s="19"/>
    </row>
    <row r="743">
      <c r="A743" s="9"/>
      <c r="B743" s="15"/>
      <c r="C743" s="9">
        <f>IFERROR(__xludf.DUMMYFUNCTION("""COMPUTED_VALUE"""),44597.8124173379)</f>
        <v>44597.81242</v>
      </c>
      <c r="D743" s="15">
        <f>IFERROR(__xludf.DUMMYFUNCTION("""COMPUTED_VALUE"""),1.004)</f>
        <v>1.004</v>
      </c>
      <c r="E743" s="16">
        <f>IFERROR(__xludf.DUMMYFUNCTION("""COMPUTED_VALUE"""),63.0)</f>
        <v>63</v>
      </c>
      <c r="F743" s="19" t="str">
        <f>IFERROR(__xludf.DUMMYFUNCTION("""COMPUTED_VALUE"""),"BLACK")</f>
        <v>BLACK</v>
      </c>
      <c r="G743" s="20" t="str">
        <f>IFERROR(__xludf.DUMMYFUNCTION("""COMPUTED_VALUE"""),"Uncle Sams Cider (11/12/2021) 02")</f>
        <v>Uncle Sams Cider (11/12/2021) 02</v>
      </c>
      <c r="H743" s="19"/>
    </row>
    <row r="744">
      <c r="A744" s="9"/>
      <c r="B744" s="15"/>
      <c r="C744" s="9">
        <f>IFERROR(__xludf.DUMMYFUNCTION("""COMPUTED_VALUE"""),44597.8019957986)</f>
        <v>44597.802</v>
      </c>
      <c r="D744" s="15">
        <f>IFERROR(__xludf.DUMMYFUNCTION("""COMPUTED_VALUE"""),1.004)</f>
        <v>1.004</v>
      </c>
      <c r="E744" s="16">
        <f>IFERROR(__xludf.DUMMYFUNCTION("""COMPUTED_VALUE"""),63.0)</f>
        <v>63</v>
      </c>
      <c r="F744" s="19" t="str">
        <f>IFERROR(__xludf.DUMMYFUNCTION("""COMPUTED_VALUE"""),"BLACK")</f>
        <v>BLACK</v>
      </c>
      <c r="G744" s="20" t="str">
        <f>IFERROR(__xludf.DUMMYFUNCTION("""COMPUTED_VALUE"""),"Uncle Sams Cider (11/12/2021) 02")</f>
        <v>Uncle Sams Cider (11/12/2021) 02</v>
      </c>
      <c r="H744" s="19"/>
    </row>
    <row r="745">
      <c r="A745" s="9"/>
      <c r="B745" s="15"/>
      <c r="C745" s="9">
        <f>IFERROR(__xludf.DUMMYFUNCTION("""COMPUTED_VALUE"""),44597.7915734259)</f>
        <v>44597.79157</v>
      </c>
      <c r="D745" s="15">
        <f>IFERROR(__xludf.DUMMYFUNCTION("""COMPUTED_VALUE"""),1.004)</f>
        <v>1.004</v>
      </c>
      <c r="E745" s="16">
        <f>IFERROR(__xludf.DUMMYFUNCTION("""COMPUTED_VALUE"""),63.0)</f>
        <v>63</v>
      </c>
      <c r="F745" s="19" t="str">
        <f>IFERROR(__xludf.DUMMYFUNCTION("""COMPUTED_VALUE"""),"BLACK")</f>
        <v>BLACK</v>
      </c>
      <c r="G745" s="20" t="str">
        <f>IFERROR(__xludf.DUMMYFUNCTION("""COMPUTED_VALUE"""),"Uncle Sams Cider (11/12/2021) 02")</f>
        <v>Uncle Sams Cider (11/12/2021) 02</v>
      </c>
      <c r="H745" s="19"/>
    </row>
    <row r="746">
      <c r="A746" s="9"/>
      <c r="B746" s="15"/>
      <c r="C746" s="9">
        <f>IFERROR(__xludf.DUMMYFUNCTION("""COMPUTED_VALUE"""),44597.7811286342)</f>
        <v>44597.78113</v>
      </c>
      <c r="D746" s="15">
        <f>IFERROR(__xludf.DUMMYFUNCTION("""COMPUTED_VALUE"""),1.004)</f>
        <v>1.004</v>
      </c>
      <c r="E746" s="16">
        <f>IFERROR(__xludf.DUMMYFUNCTION("""COMPUTED_VALUE"""),63.0)</f>
        <v>63</v>
      </c>
      <c r="F746" s="19" t="str">
        <f>IFERROR(__xludf.DUMMYFUNCTION("""COMPUTED_VALUE"""),"BLACK")</f>
        <v>BLACK</v>
      </c>
      <c r="G746" s="20" t="str">
        <f>IFERROR(__xludf.DUMMYFUNCTION("""COMPUTED_VALUE"""),"Uncle Sams Cider (11/12/2021) 02")</f>
        <v>Uncle Sams Cider (11/12/2021) 02</v>
      </c>
      <c r="H746" s="19"/>
    </row>
    <row r="747">
      <c r="A747" s="9"/>
      <c r="B747" s="15"/>
      <c r="C747" s="9">
        <f>IFERROR(__xludf.DUMMYFUNCTION("""COMPUTED_VALUE"""),44597.7707077777)</f>
        <v>44597.77071</v>
      </c>
      <c r="D747" s="15">
        <f>IFERROR(__xludf.DUMMYFUNCTION("""COMPUTED_VALUE"""),1.004)</f>
        <v>1.004</v>
      </c>
      <c r="E747" s="16">
        <f>IFERROR(__xludf.DUMMYFUNCTION("""COMPUTED_VALUE"""),63.0)</f>
        <v>63</v>
      </c>
      <c r="F747" s="19" t="str">
        <f>IFERROR(__xludf.DUMMYFUNCTION("""COMPUTED_VALUE"""),"BLACK")</f>
        <v>BLACK</v>
      </c>
      <c r="G747" s="20" t="str">
        <f>IFERROR(__xludf.DUMMYFUNCTION("""COMPUTED_VALUE"""),"Uncle Sams Cider (11/12/2021) 02")</f>
        <v>Uncle Sams Cider (11/12/2021) 02</v>
      </c>
      <c r="H747" s="19"/>
    </row>
    <row r="748">
      <c r="A748" s="9"/>
      <c r="B748" s="15"/>
      <c r="C748" s="9">
        <f>IFERROR(__xludf.DUMMYFUNCTION("""COMPUTED_VALUE"""),44597.7602874768)</f>
        <v>44597.76029</v>
      </c>
      <c r="D748" s="15">
        <f>IFERROR(__xludf.DUMMYFUNCTION("""COMPUTED_VALUE"""),1.004)</f>
        <v>1.004</v>
      </c>
      <c r="E748" s="16">
        <f>IFERROR(__xludf.DUMMYFUNCTION("""COMPUTED_VALUE"""),63.0)</f>
        <v>63</v>
      </c>
      <c r="F748" s="19" t="str">
        <f>IFERROR(__xludf.DUMMYFUNCTION("""COMPUTED_VALUE"""),"BLACK")</f>
        <v>BLACK</v>
      </c>
      <c r="G748" s="20" t="str">
        <f>IFERROR(__xludf.DUMMYFUNCTION("""COMPUTED_VALUE"""),"Uncle Sams Cider (11/12/2021) 02")</f>
        <v>Uncle Sams Cider (11/12/2021) 02</v>
      </c>
      <c r="H748" s="19"/>
    </row>
    <row r="749">
      <c r="A749" s="9"/>
      <c r="B749" s="15"/>
      <c r="C749" s="9">
        <f>IFERROR(__xludf.DUMMYFUNCTION("""COMPUTED_VALUE"""),44597.7498553703)</f>
        <v>44597.74986</v>
      </c>
      <c r="D749" s="15">
        <f>IFERROR(__xludf.DUMMYFUNCTION("""COMPUTED_VALUE"""),1.004)</f>
        <v>1.004</v>
      </c>
      <c r="E749" s="16">
        <f>IFERROR(__xludf.DUMMYFUNCTION("""COMPUTED_VALUE"""),63.0)</f>
        <v>63</v>
      </c>
      <c r="F749" s="19" t="str">
        <f>IFERROR(__xludf.DUMMYFUNCTION("""COMPUTED_VALUE"""),"BLACK")</f>
        <v>BLACK</v>
      </c>
      <c r="G749" s="20" t="str">
        <f>IFERROR(__xludf.DUMMYFUNCTION("""COMPUTED_VALUE"""),"Uncle Sams Cider (11/12/2021) 02")</f>
        <v>Uncle Sams Cider (11/12/2021) 02</v>
      </c>
      <c r="H749" s="19"/>
    </row>
    <row r="750">
      <c r="A750" s="9"/>
      <c r="B750" s="15"/>
      <c r="C750" s="9">
        <f>IFERROR(__xludf.DUMMYFUNCTION("""COMPUTED_VALUE"""),44597.7394341088)</f>
        <v>44597.73943</v>
      </c>
      <c r="D750" s="15">
        <f>IFERROR(__xludf.DUMMYFUNCTION("""COMPUTED_VALUE"""),1.004)</f>
        <v>1.004</v>
      </c>
      <c r="E750" s="16">
        <f>IFERROR(__xludf.DUMMYFUNCTION("""COMPUTED_VALUE"""),63.0)</f>
        <v>63</v>
      </c>
      <c r="F750" s="19" t="str">
        <f>IFERROR(__xludf.DUMMYFUNCTION("""COMPUTED_VALUE"""),"BLACK")</f>
        <v>BLACK</v>
      </c>
      <c r="G750" s="20" t="str">
        <f>IFERROR(__xludf.DUMMYFUNCTION("""COMPUTED_VALUE"""),"Uncle Sams Cider (11/12/2021) 02")</f>
        <v>Uncle Sams Cider (11/12/2021) 02</v>
      </c>
      <c r="H750" s="19"/>
    </row>
    <row r="751">
      <c r="A751" s="9"/>
      <c r="B751" s="15"/>
      <c r="C751" s="9">
        <f>IFERROR(__xludf.DUMMYFUNCTION("""COMPUTED_VALUE"""),44597.7290136805)</f>
        <v>44597.72901</v>
      </c>
      <c r="D751" s="15">
        <f>IFERROR(__xludf.DUMMYFUNCTION("""COMPUTED_VALUE"""),1.004)</f>
        <v>1.004</v>
      </c>
      <c r="E751" s="16">
        <f>IFERROR(__xludf.DUMMYFUNCTION("""COMPUTED_VALUE"""),63.0)</f>
        <v>63</v>
      </c>
      <c r="F751" s="19" t="str">
        <f>IFERROR(__xludf.DUMMYFUNCTION("""COMPUTED_VALUE"""),"BLACK")</f>
        <v>BLACK</v>
      </c>
      <c r="G751" s="20" t="str">
        <f>IFERROR(__xludf.DUMMYFUNCTION("""COMPUTED_VALUE"""),"Uncle Sams Cider (11/12/2021) 02")</f>
        <v>Uncle Sams Cider (11/12/2021) 02</v>
      </c>
      <c r="H751" s="19"/>
    </row>
    <row r="752">
      <c r="A752" s="9"/>
      <c r="B752" s="15"/>
      <c r="C752" s="9">
        <f>IFERROR(__xludf.DUMMYFUNCTION("""COMPUTED_VALUE"""),44597.7185125115)</f>
        <v>44597.71851</v>
      </c>
      <c r="D752" s="15">
        <f>IFERROR(__xludf.DUMMYFUNCTION("""COMPUTED_VALUE"""),1.004)</f>
        <v>1.004</v>
      </c>
      <c r="E752" s="16">
        <f>IFERROR(__xludf.DUMMYFUNCTION("""COMPUTED_VALUE"""),63.0)</f>
        <v>63</v>
      </c>
      <c r="F752" s="19" t="str">
        <f>IFERROR(__xludf.DUMMYFUNCTION("""COMPUTED_VALUE"""),"BLACK")</f>
        <v>BLACK</v>
      </c>
      <c r="G752" s="20" t="str">
        <f>IFERROR(__xludf.DUMMYFUNCTION("""COMPUTED_VALUE"""),"Uncle Sams Cider (11/12/2021) 02")</f>
        <v>Uncle Sams Cider (11/12/2021) 02</v>
      </c>
      <c r="H752" s="19"/>
    </row>
    <row r="753">
      <c r="A753" s="9"/>
      <c r="B753" s="15"/>
      <c r="C753" s="9">
        <f>IFERROR(__xludf.DUMMYFUNCTION("""COMPUTED_VALUE"""),44597.7080786574)</f>
        <v>44597.70808</v>
      </c>
      <c r="D753" s="15">
        <f>IFERROR(__xludf.DUMMYFUNCTION("""COMPUTED_VALUE"""),1.004)</f>
        <v>1.004</v>
      </c>
      <c r="E753" s="16">
        <f>IFERROR(__xludf.DUMMYFUNCTION("""COMPUTED_VALUE"""),63.0)</f>
        <v>63</v>
      </c>
      <c r="F753" s="19" t="str">
        <f>IFERROR(__xludf.DUMMYFUNCTION("""COMPUTED_VALUE"""),"BLACK")</f>
        <v>BLACK</v>
      </c>
      <c r="G753" s="20" t="str">
        <f>IFERROR(__xludf.DUMMYFUNCTION("""COMPUTED_VALUE"""),"Uncle Sams Cider (11/12/2021) 02")</f>
        <v>Uncle Sams Cider (11/12/2021) 02</v>
      </c>
      <c r="H753" s="19"/>
    </row>
    <row r="754">
      <c r="A754" s="9"/>
      <c r="B754" s="15"/>
      <c r="C754" s="9">
        <f>IFERROR(__xludf.DUMMYFUNCTION("""COMPUTED_VALUE"""),44597.697646574)</f>
        <v>44597.69765</v>
      </c>
      <c r="D754" s="15">
        <f>IFERROR(__xludf.DUMMYFUNCTION("""COMPUTED_VALUE"""),1.004)</f>
        <v>1.004</v>
      </c>
      <c r="E754" s="16">
        <f>IFERROR(__xludf.DUMMYFUNCTION("""COMPUTED_VALUE"""),63.0)</f>
        <v>63</v>
      </c>
      <c r="F754" s="19" t="str">
        <f>IFERROR(__xludf.DUMMYFUNCTION("""COMPUTED_VALUE"""),"BLACK")</f>
        <v>BLACK</v>
      </c>
      <c r="G754" s="20" t="str">
        <f>IFERROR(__xludf.DUMMYFUNCTION("""COMPUTED_VALUE"""),"Uncle Sams Cider (11/12/2021) 02")</f>
        <v>Uncle Sams Cider (11/12/2021) 02</v>
      </c>
      <c r="H754" s="19"/>
    </row>
    <row r="755">
      <c r="A755" s="9"/>
      <c r="B755" s="15"/>
      <c r="C755" s="9">
        <f>IFERROR(__xludf.DUMMYFUNCTION("""COMPUTED_VALUE"""),44597.6872251851)</f>
        <v>44597.68723</v>
      </c>
      <c r="D755" s="15">
        <f>IFERROR(__xludf.DUMMYFUNCTION("""COMPUTED_VALUE"""),1.004)</f>
        <v>1.004</v>
      </c>
      <c r="E755" s="16">
        <f>IFERROR(__xludf.DUMMYFUNCTION("""COMPUTED_VALUE"""),63.0)</f>
        <v>63</v>
      </c>
      <c r="F755" s="19" t="str">
        <f>IFERROR(__xludf.DUMMYFUNCTION("""COMPUTED_VALUE"""),"BLACK")</f>
        <v>BLACK</v>
      </c>
      <c r="G755" s="20" t="str">
        <f>IFERROR(__xludf.DUMMYFUNCTION("""COMPUTED_VALUE"""),"Uncle Sams Cider (11/12/2021) 02")</f>
        <v>Uncle Sams Cider (11/12/2021) 02</v>
      </c>
      <c r="H755" s="19"/>
    </row>
    <row r="756">
      <c r="A756" s="9"/>
      <c r="B756" s="15"/>
      <c r="C756" s="9">
        <f>IFERROR(__xludf.DUMMYFUNCTION("""COMPUTED_VALUE"""),44597.6767914699)</f>
        <v>44597.67679</v>
      </c>
      <c r="D756" s="15">
        <f>IFERROR(__xludf.DUMMYFUNCTION("""COMPUTED_VALUE"""),1.004)</f>
        <v>1.004</v>
      </c>
      <c r="E756" s="16">
        <f>IFERROR(__xludf.DUMMYFUNCTION("""COMPUTED_VALUE"""),63.0)</f>
        <v>63</v>
      </c>
      <c r="F756" s="19" t="str">
        <f>IFERROR(__xludf.DUMMYFUNCTION("""COMPUTED_VALUE"""),"BLACK")</f>
        <v>BLACK</v>
      </c>
      <c r="G756" s="20" t="str">
        <f>IFERROR(__xludf.DUMMYFUNCTION("""COMPUTED_VALUE"""),"Uncle Sams Cider (11/12/2021) 02")</f>
        <v>Uncle Sams Cider (11/12/2021) 02</v>
      </c>
      <c r="H756" s="19"/>
    </row>
    <row r="757">
      <c r="A757" s="9"/>
      <c r="B757" s="15"/>
      <c r="C757" s="9">
        <f>IFERROR(__xludf.DUMMYFUNCTION("""COMPUTED_VALUE"""),44597.6663702893)</f>
        <v>44597.66637</v>
      </c>
      <c r="D757" s="15">
        <f>IFERROR(__xludf.DUMMYFUNCTION("""COMPUTED_VALUE"""),1.004)</f>
        <v>1.004</v>
      </c>
      <c r="E757" s="16">
        <f>IFERROR(__xludf.DUMMYFUNCTION("""COMPUTED_VALUE"""),63.0)</f>
        <v>63</v>
      </c>
      <c r="F757" s="19" t="str">
        <f>IFERROR(__xludf.DUMMYFUNCTION("""COMPUTED_VALUE"""),"BLACK")</f>
        <v>BLACK</v>
      </c>
      <c r="G757" s="20" t="str">
        <f>IFERROR(__xludf.DUMMYFUNCTION("""COMPUTED_VALUE"""),"Uncle Sams Cider (11/12/2021) 02")</f>
        <v>Uncle Sams Cider (11/12/2021) 02</v>
      </c>
      <c r="H757" s="19"/>
    </row>
    <row r="758">
      <c r="A758" s="9"/>
      <c r="B758" s="15"/>
      <c r="C758" s="9">
        <f>IFERROR(__xludf.DUMMYFUNCTION("""COMPUTED_VALUE"""),44597.6559152314)</f>
        <v>44597.65592</v>
      </c>
      <c r="D758" s="15">
        <f>IFERROR(__xludf.DUMMYFUNCTION("""COMPUTED_VALUE"""),1.004)</f>
        <v>1.004</v>
      </c>
      <c r="E758" s="16">
        <f>IFERROR(__xludf.DUMMYFUNCTION("""COMPUTED_VALUE"""),64.0)</f>
        <v>64</v>
      </c>
      <c r="F758" s="19" t="str">
        <f>IFERROR(__xludf.DUMMYFUNCTION("""COMPUTED_VALUE"""),"BLACK")</f>
        <v>BLACK</v>
      </c>
      <c r="G758" s="20" t="str">
        <f>IFERROR(__xludf.DUMMYFUNCTION("""COMPUTED_VALUE"""),"Uncle Sams Cider (11/12/2021) 02")</f>
        <v>Uncle Sams Cider (11/12/2021) 02</v>
      </c>
      <c r="H758" s="19"/>
    </row>
    <row r="759">
      <c r="A759" s="9"/>
      <c r="B759" s="15"/>
      <c r="C759" s="9">
        <f>IFERROR(__xludf.DUMMYFUNCTION("""COMPUTED_VALUE"""),44597.6454933564)</f>
        <v>44597.64549</v>
      </c>
      <c r="D759" s="15">
        <f>IFERROR(__xludf.DUMMYFUNCTION("""COMPUTED_VALUE"""),1.004)</f>
        <v>1.004</v>
      </c>
      <c r="E759" s="16">
        <f>IFERROR(__xludf.DUMMYFUNCTION("""COMPUTED_VALUE"""),64.0)</f>
        <v>64</v>
      </c>
      <c r="F759" s="19" t="str">
        <f>IFERROR(__xludf.DUMMYFUNCTION("""COMPUTED_VALUE"""),"BLACK")</f>
        <v>BLACK</v>
      </c>
      <c r="G759" s="20" t="str">
        <f>IFERROR(__xludf.DUMMYFUNCTION("""COMPUTED_VALUE"""),"Uncle Sams Cider (11/12/2021) 02")</f>
        <v>Uncle Sams Cider (11/12/2021) 02</v>
      </c>
      <c r="H759" s="19"/>
    </row>
    <row r="760">
      <c r="A760" s="9"/>
      <c r="B760" s="15"/>
      <c r="C760" s="9">
        <f>IFERROR(__xludf.DUMMYFUNCTION("""COMPUTED_VALUE"""),44597.635073287)</f>
        <v>44597.63507</v>
      </c>
      <c r="D760" s="15">
        <f>IFERROR(__xludf.DUMMYFUNCTION("""COMPUTED_VALUE"""),1.004)</f>
        <v>1.004</v>
      </c>
      <c r="E760" s="16">
        <f>IFERROR(__xludf.DUMMYFUNCTION("""COMPUTED_VALUE"""),64.0)</f>
        <v>64</v>
      </c>
      <c r="F760" s="19" t="str">
        <f>IFERROR(__xludf.DUMMYFUNCTION("""COMPUTED_VALUE"""),"BLACK")</f>
        <v>BLACK</v>
      </c>
      <c r="G760" s="20" t="str">
        <f>IFERROR(__xludf.DUMMYFUNCTION("""COMPUTED_VALUE"""),"Uncle Sams Cider (11/12/2021) 02")</f>
        <v>Uncle Sams Cider (11/12/2021) 02</v>
      </c>
      <c r="H760" s="19"/>
    </row>
    <row r="761">
      <c r="A761" s="9"/>
      <c r="B761" s="15"/>
      <c r="C761" s="9">
        <f>IFERROR(__xludf.DUMMYFUNCTION("""COMPUTED_VALUE"""),44597.6246519675)</f>
        <v>44597.62465</v>
      </c>
      <c r="D761" s="15">
        <f>IFERROR(__xludf.DUMMYFUNCTION("""COMPUTED_VALUE"""),1.004)</f>
        <v>1.004</v>
      </c>
      <c r="E761" s="16">
        <f>IFERROR(__xludf.DUMMYFUNCTION("""COMPUTED_VALUE"""),64.0)</f>
        <v>64</v>
      </c>
      <c r="F761" s="19" t="str">
        <f>IFERROR(__xludf.DUMMYFUNCTION("""COMPUTED_VALUE"""),"BLACK")</f>
        <v>BLACK</v>
      </c>
      <c r="G761" s="20" t="str">
        <f>IFERROR(__xludf.DUMMYFUNCTION("""COMPUTED_VALUE"""),"Uncle Sams Cider (11/12/2021) 02")</f>
        <v>Uncle Sams Cider (11/12/2021) 02</v>
      </c>
      <c r="H761" s="19"/>
    </row>
    <row r="762">
      <c r="A762" s="9"/>
      <c r="B762" s="15"/>
      <c r="C762" s="9">
        <f>IFERROR(__xludf.DUMMYFUNCTION("""COMPUTED_VALUE"""),44597.6142193287)</f>
        <v>44597.61422</v>
      </c>
      <c r="D762" s="15">
        <f>IFERROR(__xludf.DUMMYFUNCTION("""COMPUTED_VALUE"""),1.004)</f>
        <v>1.004</v>
      </c>
      <c r="E762" s="16">
        <f>IFERROR(__xludf.DUMMYFUNCTION("""COMPUTED_VALUE"""),64.0)</f>
        <v>64</v>
      </c>
      <c r="F762" s="19" t="str">
        <f>IFERROR(__xludf.DUMMYFUNCTION("""COMPUTED_VALUE"""),"BLACK")</f>
        <v>BLACK</v>
      </c>
      <c r="G762" s="20" t="str">
        <f>IFERROR(__xludf.DUMMYFUNCTION("""COMPUTED_VALUE"""),"Uncle Sams Cider (11/12/2021) 02")</f>
        <v>Uncle Sams Cider (11/12/2021) 02</v>
      </c>
      <c r="H762" s="19"/>
    </row>
    <row r="763">
      <c r="A763" s="9"/>
      <c r="B763" s="15"/>
      <c r="C763" s="9">
        <f>IFERROR(__xludf.DUMMYFUNCTION("""COMPUTED_VALUE"""),44597.6037996527)</f>
        <v>44597.6038</v>
      </c>
      <c r="D763" s="15">
        <f>IFERROR(__xludf.DUMMYFUNCTION("""COMPUTED_VALUE"""),1.004)</f>
        <v>1.004</v>
      </c>
      <c r="E763" s="16">
        <f>IFERROR(__xludf.DUMMYFUNCTION("""COMPUTED_VALUE"""),64.0)</f>
        <v>64</v>
      </c>
      <c r="F763" s="19" t="str">
        <f>IFERROR(__xludf.DUMMYFUNCTION("""COMPUTED_VALUE"""),"BLACK")</f>
        <v>BLACK</v>
      </c>
      <c r="G763" s="20" t="str">
        <f>IFERROR(__xludf.DUMMYFUNCTION("""COMPUTED_VALUE"""),"Uncle Sams Cider (11/12/2021) 02")</f>
        <v>Uncle Sams Cider (11/12/2021) 02</v>
      </c>
      <c r="H763" s="19"/>
    </row>
    <row r="764">
      <c r="A764" s="9"/>
      <c r="B764" s="15"/>
      <c r="C764" s="9">
        <f>IFERROR(__xludf.DUMMYFUNCTION("""COMPUTED_VALUE"""),44597.5933192013)</f>
        <v>44597.59332</v>
      </c>
      <c r="D764" s="15">
        <f>IFERROR(__xludf.DUMMYFUNCTION("""COMPUTED_VALUE"""),1.004)</f>
        <v>1.004</v>
      </c>
      <c r="E764" s="16">
        <f>IFERROR(__xludf.DUMMYFUNCTION("""COMPUTED_VALUE"""),64.0)</f>
        <v>64</v>
      </c>
      <c r="F764" s="19" t="str">
        <f>IFERROR(__xludf.DUMMYFUNCTION("""COMPUTED_VALUE"""),"BLACK")</f>
        <v>BLACK</v>
      </c>
      <c r="G764" s="20" t="str">
        <f>IFERROR(__xludf.DUMMYFUNCTION("""COMPUTED_VALUE"""),"Uncle Sams Cider (11/12/2021) 02")</f>
        <v>Uncle Sams Cider (11/12/2021) 02</v>
      </c>
      <c r="H764" s="19"/>
    </row>
    <row r="765">
      <c r="A765" s="9"/>
      <c r="B765" s="15"/>
      <c r="C765" s="9">
        <f>IFERROR(__xludf.DUMMYFUNCTION("""COMPUTED_VALUE"""),44597.5828983449)</f>
        <v>44597.5829</v>
      </c>
      <c r="D765" s="15">
        <f>IFERROR(__xludf.DUMMYFUNCTION("""COMPUTED_VALUE"""),1.004)</f>
        <v>1.004</v>
      </c>
      <c r="E765" s="16">
        <f>IFERROR(__xludf.DUMMYFUNCTION("""COMPUTED_VALUE"""),64.0)</f>
        <v>64</v>
      </c>
      <c r="F765" s="19" t="str">
        <f>IFERROR(__xludf.DUMMYFUNCTION("""COMPUTED_VALUE"""),"BLACK")</f>
        <v>BLACK</v>
      </c>
      <c r="G765" s="20" t="str">
        <f>IFERROR(__xludf.DUMMYFUNCTION("""COMPUTED_VALUE"""),"Uncle Sams Cider (11/12/2021) 02")</f>
        <v>Uncle Sams Cider (11/12/2021) 02</v>
      </c>
      <c r="H765" s="19"/>
    </row>
    <row r="766">
      <c r="A766" s="9"/>
      <c r="B766" s="15"/>
      <c r="C766" s="9">
        <f>IFERROR(__xludf.DUMMYFUNCTION("""COMPUTED_VALUE"""),44597.5724666203)</f>
        <v>44597.57247</v>
      </c>
      <c r="D766" s="15">
        <f>IFERROR(__xludf.DUMMYFUNCTION("""COMPUTED_VALUE"""),1.004)</f>
        <v>1.004</v>
      </c>
      <c r="E766" s="16">
        <f>IFERROR(__xludf.DUMMYFUNCTION("""COMPUTED_VALUE"""),64.0)</f>
        <v>64</v>
      </c>
      <c r="F766" s="19" t="str">
        <f>IFERROR(__xludf.DUMMYFUNCTION("""COMPUTED_VALUE"""),"BLACK")</f>
        <v>BLACK</v>
      </c>
      <c r="G766" s="20" t="str">
        <f>IFERROR(__xludf.DUMMYFUNCTION("""COMPUTED_VALUE"""),"Uncle Sams Cider (11/12/2021) 02")</f>
        <v>Uncle Sams Cider (11/12/2021) 02</v>
      </c>
      <c r="H766" s="19"/>
    </row>
    <row r="767">
      <c r="A767" s="9"/>
      <c r="B767" s="15"/>
      <c r="C767" s="9">
        <f>IFERROR(__xludf.DUMMYFUNCTION("""COMPUTED_VALUE"""),44597.5620349305)</f>
        <v>44597.56203</v>
      </c>
      <c r="D767" s="15">
        <f>IFERROR(__xludf.DUMMYFUNCTION("""COMPUTED_VALUE"""),1.004)</f>
        <v>1.004</v>
      </c>
      <c r="E767" s="16">
        <f>IFERROR(__xludf.DUMMYFUNCTION("""COMPUTED_VALUE"""),64.0)</f>
        <v>64</v>
      </c>
      <c r="F767" s="19" t="str">
        <f>IFERROR(__xludf.DUMMYFUNCTION("""COMPUTED_VALUE"""),"BLACK")</f>
        <v>BLACK</v>
      </c>
      <c r="G767" s="20" t="str">
        <f>IFERROR(__xludf.DUMMYFUNCTION("""COMPUTED_VALUE"""),"Uncle Sams Cider (11/12/2021) 02")</f>
        <v>Uncle Sams Cider (11/12/2021) 02</v>
      </c>
      <c r="H767" s="19"/>
    </row>
    <row r="768">
      <c r="A768" s="9"/>
      <c r="B768" s="15"/>
      <c r="C768" s="9">
        <f>IFERROR(__xludf.DUMMYFUNCTION("""COMPUTED_VALUE"""),44597.5516143518)</f>
        <v>44597.55161</v>
      </c>
      <c r="D768" s="15">
        <f>IFERROR(__xludf.DUMMYFUNCTION("""COMPUTED_VALUE"""),1.004)</f>
        <v>1.004</v>
      </c>
      <c r="E768" s="16">
        <f>IFERROR(__xludf.DUMMYFUNCTION("""COMPUTED_VALUE"""),64.0)</f>
        <v>64</v>
      </c>
      <c r="F768" s="19" t="str">
        <f>IFERROR(__xludf.DUMMYFUNCTION("""COMPUTED_VALUE"""),"BLACK")</f>
        <v>BLACK</v>
      </c>
      <c r="G768" s="20" t="str">
        <f>IFERROR(__xludf.DUMMYFUNCTION("""COMPUTED_VALUE"""),"Uncle Sams Cider (11/12/2021) 02")</f>
        <v>Uncle Sams Cider (11/12/2021) 02</v>
      </c>
      <c r="H768" s="19"/>
    </row>
    <row r="769">
      <c r="A769" s="9"/>
      <c r="B769" s="15"/>
      <c r="C769" s="9">
        <f>IFERROR(__xludf.DUMMYFUNCTION("""COMPUTED_VALUE"""),44597.5411818055)</f>
        <v>44597.54118</v>
      </c>
      <c r="D769" s="15">
        <f>IFERROR(__xludf.DUMMYFUNCTION("""COMPUTED_VALUE"""),1.004)</f>
        <v>1.004</v>
      </c>
      <c r="E769" s="16">
        <f>IFERROR(__xludf.DUMMYFUNCTION("""COMPUTED_VALUE"""),64.0)</f>
        <v>64</v>
      </c>
      <c r="F769" s="19" t="str">
        <f>IFERROR(__xludf.DUMMYFUNCTION("""COMPUTED_VALUE"""),"BLACK")</f>
        <v>BLACK</v>
      </c>
      <c r="G769" s="20" t="str">
        <f>IFERROR(__xludf.DUMMYFUNCTION("""COMPUTED_VALUE"""),"Uncle Sams Cider (11/12/2021) 02")</f>
        <v>Uncle Sams Cider (11/12/2021) 02</v>
      </c>
      <c r="H769" s="19"/>
    </row>
    <row r="770">
      <c r="A770" s="9"/>
      <c r="B770" s="15"/>
      <c r="C770" s="9">
        <f>IFERROR(__xludf.DUMMYFUNCTION("""COMPUTED_VALUE"""),44597.5307625578)</f>
        <v>44597.53076</v>
      </c>
      <c r="D770" s="15">
        <f>IFERROR(__xludf.DUMMYFUNCTION("""COMPUTED_VALUE"""),1.004)</f>
        <v>1.004</v>
      </c>
      <c r="E770" s="16">
        <f>IFERROR(__xludf.DUMMYFUNCTION("""COMPUTED_VALUE"""),64.0)</f>
        <v>64</v>
      </c>
      <c r="F770" s="19" t="str">
        <f>IFERROR(__xludf.DUMMYFUNCTION("""COMPUTED_VALUE"""),"BLACK")</f>
        <v>BLACK</v>
      </c>
      <c r="G770" s="20" t="str">
        <f>IFERROR(__xludf.DUMMYFUNCTION("""COMPUTED_VALUE"""),"Uncle Sams Cider (11/12/2021) 02")</f>
        <v>Uncle Sams Cider (11/12/2021) 02</v>
      </c>
      <c r="H770" s="19"/>
    </row>
    <row r="771">
      <c r="A771" s="9"/>
      <c r="B771" s="15"/>
      <c r="C771" s="9">
        <f>IFERROR(__xludf.DUMMYFUNCTION("""COMPUTED_VALUE"""),44597.5203417708)</f>
        <v>44597.52034</v>
      </c>
      <c r="D771" s="15">
        <f>IFERROR(__xludf.DUMMYFUNCTION("""COMPUTED_VALUE"""),1.004)</f>
        <v>1.004</v>
      </c>
      <c r="E771" s="16">
        <f>IFERROR(__xludf.DUMMYFUNCTION("""COMPUTED_VALUE"""),64.0)</f>
        <v>64</v>
      </c>
      <c r="F771" s="19" t="str">
        <f>IFERROR(__xludf.DUMMYFUNCTION("""COMPUTED_VALUE"""),"BLACK")</f>
        <v>BLACK</v>
      </c>
      <c r="G771" s="20" t="str">
        <f>IFERROR(__xludf.DUMMYFUNCTION("""COMPUTED_VALUE"""),"Uncle Sams Cider (11/12/2021) 02")</f>
        <v>Uncle Sams Cider (11/12/2021) 02</v>
      </c>
      <c r="H771" s="19"/>
    </row>
    <row r="772">
      <c r="A772" s="9"/>
      <c r="B772" s="15"/>
      <c r="C772" s="9">
        <f>IFERROR(__xludf.DUMMYFUNCTION("""COMPUTED_VALUE"""),44597.5099212037)</f>
        <v>44597.50992</v>
      </c>
      <c r="D772" s="15">
        <f>IFERROR(__xludf.DUMMYFUNCTION("""COMPUTED_VALUE"""),1.004)</f>
        <v>1.004</v>
      </c>
      <c r="E772" s="16">
        <f>IFERROR(__xludf.DUMMYFUNCTION("""COMPUTED_VALUE"""),64.0)</f>
        <v>64</v>
      </c>
      <c r="F772" s="19" t="str">
        <f>IFERROR(__xludf.DUMMYFUNCTION("""COMPUTED_VALUE"""),"BLACK")</f>
        <v>BLACK</v>
      </c>
      <c r="G772" s="20" t="str">
        <f>IFERROR(__xludf.DUMMYFUNCTION("""COMPUTED_VALUE"""),"Uncle Sams Cider (11/12/2021) 02")</f>
        <v>Uncle Sams Cider (11/12/2021) 02</v>
      </c>
      <c r="H772" s="19"/>
    </row>
    <row r="773">
      <c r="A773" s="9"/>
      <c r="B773" s="15"/>
      <c r="C773" s="9">
        <f>IFERROR(__xludf.DUMMYFUNCTION("""COMPUTED_VALUE"""),44597.4995007407)</f>
        <v>44597.4995</v>
      </c>
      <c r="D773" s="15">
        <f>IFERROR(__xludf.DUMMYFUNCTION("""COMPUTED_VALUE"""),1.004)</f>
        <v>1.004</v>
      </c>
      <c r="E773" s="16">
        <f>IFERROR(__xludf.DUMMYFUNCTION("""COMPUTED_VALUE"""),64.0)</f>
        <v>64</v>
      </c>
      <c r="F773" s="19" t="str">
        <f>IFERROR(__xludf.DUMMYFUNCTION("""COMPUTED_VALUE"""),"BLACK")</f>
        <v>BLACK</v>
      </c>
      <c r="G773" s="20" t="str">
        <f>IFERROR(__xludf.DUMMYFUNCTION("""COMPUTED_VALUE"""),"Uncle Sams Cider (11/12/2021) 02")</f>
        <v>Uncle Sams Cider (11/12/2021) 02</v>
      </c>
      <c r="H773" s="19"/>
    </row>
    <row r="774">
      <c r="A774" s="9"/>
      <c r="B774" s="15"/>
      <c r="C774" s="9">
        <f>IFERROR(__xludf.DUMMYFUNCTION("""COMPUTED_VALUE"""),44597.4890803703)</f>
        <v>44597.48908</v>
      </c>
      <c r="D774" s="15">
        <f>IFERROR(__xludf.DUMMYFUNCTION("""COMPUTED_VALUE"""),1.004)</f>
        <v>1.004</v>
      </c>
      <c r="E774" s="16">
        <f>IFERROR(__xludf.DUMMYFUNCTION("""COMPUTED_VALUE"""),64.0)</f>
        <v>64</v>
      </c>
      <c r="F774" s="19" t="str">
        <f>IFERROR(__xludf.DUMMYFUNCTION("""COMPUTED_VALUE"""),"BLACK")</f>
        <v>BLACK</v>
      </c>
      <c r="G774" s="20" t="str">
        <f>IFERROR(__xludf.DUMMYFUNCTION("""COMPUTED_VALUE"""),"Uncle Sams Cider (11/12/2021) 02")</f>
        <v>Uncle Sams Cider (11/12/2021) 02</v>
      </c>
      <c r="H774" s="19"/>
    </row>
    <row r="775">
      <c r="A775" s="9"/>
      <c r="B775" s="15"/>
      <c r="C775" s="9">
        <f>IFERROR(__xludf.DUMMYFUNCTION("""COMPUTED_VALUE"""),44597.4786486689)</f>
        <v>44597.47865</v>
      </c>
      <c r="D775" s="15">
        <f>IFERROR(__xludf.DUMMYFUNCTION("""COMPUTED_VALUE"""),1.004)</f>
        <v>1.004</v>
      </c>
      <c r="E775" s="16">
        <f>IFERROR(__xludf.DUMMYFUNCTION("""COMPUTED_VALUE"""),64.0)</f>
        <v>64</v>
      </c>
      <c r="F775" s="19" t="str">
        <f>IFERROR(__xludf.DUMMYFUNCTION("""COMPUTED_VALUE"""),"BLACK")</f>
        <v>BLACK</v>
      </c>
      <c r="G775" s="20" t="str">
        <f>IFERROR(__xludf.DUMMYFUNCTION("""COMPUTED_VALUE"""),"Uncle Sams Cider (11/12/2021) 02")</f>
        <v>Uncle Sams Cider (11/12/2021) 02</v>
      </c>
      <c r="H775" s="19"/>
    </row>
    <row r="776">
      <c r="A776" s="9"/>
      <c r="B776" s="15"/>
      <c r="C776" s="9">
        <f>IFERROR(__xludf.DUMMYFUNCTION("""COMPUTED_VALUE"""),44597.4682161921)</f>
        <v>44597.46822</v>
      </c>
      <c r="D776" s="15">
        <f>IFERROR(__xludf.DUMMYFUNCTION("""COMPUTED_VALUE"""),1.004)</f>
        <v>1.004</v>
      </c>
      <c r="E776" s="16">
        <f>IFERROR(__xludf.DUMMYFUNCTION("""COMPUTED_VALUE"""),64.0)</f>
        <v>64</v>
      </c>
      <c r="F776" s="19" t="str">
        <f>IFERROR(__xludf.DUMMYFUNCTION("""COMPUTED_VALUE"""),"BLACK")</f>
        <v>BLACK</v>
      </c>
      <c r="G776" s="20" t="str">
        <f>IFERROR(__xludf.DUMMYFUNCTION("""COMPUTED_VALUE"""),"Uncle Sams Cider (11/12/2021) 02")</f>
        <v>Uncle Sams Cider (11/12/2021) 02</v>
      </c>
      <c r="H776" s="19"/>
    </row>
    <row r="777">
      <c r="A777" s="9"/>
      <c r="B777" s="15"/>
      <c r="C777" s="9">
        <f>IFERROR(__xludf.DUMMYFUNCTION("""COMPUTED_VALUE"""),44597.4577833564)</f>
        <v>44597.45778</v>
      </c>
      <c r="D777" s="15">
        <f>IFERROR(__xludf.DUMMYFUNCTION("""COMPUTED_VALUE"""),1.004)</f>
        <v>1.004</v>
      </c>
      <c r="E777" s="16">
        <f>IFERROR(__xludf.DUMMYFUNCTION("""COMPUTED_VALUE"""),64.0)</f>
        <v>64</v>
      </c>
      <c r="F777" s="19" t="str">
        <f>IFERROR(__xludf.DUMMYFUNCTION("""COMPUTED_VALUE"""),"BLACK")</f>
        <v>BLACK</v>
      </c>
      <c r="G777" s="20" t="str">
        <f>IFERROR(__xludf.DUMMYFUNCTION("""COMPUTED_VALUE"""),"Uncle Sams Cider (11/12/2021) 02")</f>
        <v>Uncle Sams Cider (11/12/2021) 02</v>
      </c>
      <c r="H777" s="19"/>
    </row>
    <row r="778">
      <c r="A778" s="9"/>
      <c r="B778" s="15"/>
      <c r="C778" s="9">
        <f>IFERROR(__xludf.DUMMYFUNCTION("""COMPUTED_VALUE"""),44597.4473391203)</f>
        <v>44597.44734</v>
      </c>
      <c r="D778" s="15">
        <f>IFERROR(__xludf.DUMMYFUNCTION("""COMPUTED_VALUE"""),1.004)</f>
        <v>1.004</v>
      </c>
      <c r="E778" s="16">
        <f>IFERROR(__xludf.DUMMYFUNCTION("""COMPUTED_VALUE"""),64.0)</f>
        <v>64</v>
      </c>
      <c r="F778" s="19" t="str">
        <f>IFERROR(__xludf.DUMMYFUNCTION("""COMPUTED_VALUE"""),"BLACK")</f>
        <v>BLACK</v>
      </c>
      <c r="G778" s="20" t="str">
        <f>IFERROR(__xludf.DUMMYFUNCTION("""COMPUTED_VALUE"""),"Uncle Sams Cider (11/12/2021) 02")</f>
        <v>Uncle Sams Cider (11/12/2021) 02</v>
      </c>
      <c r="H778" s="19"/>
    </row>
    <row r="779">
      <c r="A779" s="9"/>
      <c r="B779" s="15"/>
      <c r="C779" s="9">
        <f>IFERROR(__xludf.DUMMYFUNCTION("""COMPUTED_VALUE"""),44597.4368371874)</f>
        <v>44597.43684</v>
      </c>
      <c r="D779" s="15">
        <f>IFERROR(__xludf.DUMMYFUNCTION("""COMPUTED_VALUE"""),1.004)</f>
        <v>1.004</v>
      </c>
      <c r="E779" s="16">
        <f>IFERROR(__xludf.DUMMYFUNCTION("""COMPUTED_VALUE"""),64.0)</f>
        <v>64</v>
      </c>
      <c r="F779" s="19" t="str">
        <f>IFERROR(__xludf.DUMMYFUNCTION("""COMPUTED_VALUE"""),"BLACK")</f>
        <v>BLACK</v>
      </c>
      <c r="G779" s="20" t="str">
        <f>IFERROR(__xludf.DUMMYFUNCTION("""COMPUTED_VALUE"""),"Uncle Sams Cider (11/12/2021) 02")</f>
        <v>Uncle Sams Cider (11/12/2021) 02</v>
      </c>
      <c r="H779" s="19"/>
    </row>
    <row r="780">
      <c r="A780" s="9"/>
      <c r="B780" s="15"/>
      <c r="C780" s="9">
        <f>IFERROR(__xludf.DUMMYFUNCTION("""COMPUTED_VALUE"""),44597.4264162847)</f>
        <v>44597.42642</v>
      </c>
      <c r="D780" s="15">
        <f>IFERROR(__xludf.DUMMYFUNCTION("""COMPUTED_VALUE"""),1.004)</f>
        <v>1.004</v>
      </c>
      <c r="E780" s="16">
        <f>IFERROR(__xludf.DUMMYFUNCTION("""COMPUTED_VALUE"""),64.0)</f>
        <v>64</v>
      </c>
      <c r="F780" s="19" t="str">
        <f>IFERROR(__xludf.DUMMYFUNCTION("""COMPUTED_VALUE"""),"BLACK")</f>
        <v>BLACK</v>
      </c>
      <c r="G780" s="20" t="str">
        <f>IFERROR(__xludf.DUMMYFUNCTION("""COMPUTED_VALUE"""),"Uncle Sams Cider (11/12/2021) 02")</f>
        <v>Uncle Sams Cider (11/12/2021) 02</v>
      </c>
      <c r="H780" s="19"/>
    </row>
    <row r="781">
      <c r="A781" s="9"/>
      <c r="B781" s="15"/>
      <c r="C781" s="9">
        <f>IFERROR(__xludf.DUMMYFUNCTION("""COMPUTED_VALUE"""),44597.4159492824)</f>
        <v>44597.41595</v>
      </c>
      <c r="D781" s="15">
        <f>IFERROR(__xludf.DUMMYFUNCTION("""COMPUTED_VALUE"""),1.004)</f>
        <v>1.004</v>
      </c>
      <c r="E781" s="16">
        <f>IFERROR(__xludf.DUMMYFUNCTION("""COMPUTED_VALUE"""),64.0)</f>
        <v>64</v>
      </c>
      <c r="F781" s="19" t="str">
        <f>IFERROR(__xludf.DUMMYFUNCTION("""COMPUTED_VALUE"""),"BLACK")</f>
        <v>BLACK</v>
      </c>
      <c r="G781" s="20" t="str">
        <f>IFERROR(__xludf.DUMMYFUNCTION("""COMPUTED_VALUE"""),"Uncle Sams Cider (11/12/2021) 02")</f>
        <v>Uncle Sams Cider (11/12/2021) 02</v>
      </c>
      <c r="H781" s="19"/>
    </row>
    <row r="782">
      <c r="A782" s="9"/>
      <c r="B782" s="15"/>
      <c r="C782" s="9">
        <f>IFERROR(__xludf.DUMMYFUNCTION("""COMPUTED_VALUE"""),44597.4054926388)</f>
        <v>44597.40549</v>
      </c>
      <c r="D782" s="15">
        <f>IFERROR(__xludf.DUMMYFUNCTION("""COMPUTED_VALUE"""),1.004)</f>
        <v>1.004</v>
      </c>
      <c r="E782" s="16">
        <f>IFERROR(__xludf.DUMMYFUNCTION("""COMPUTED_VALUE"""),64.0)</f>
        <v>64</v>
      </c>
      <c r="F782" s="19" t="str">
        <f>IFERROR(__xludf.DUMMYFUNCTION("""COMPUTED_VALUE"""),"BLACK")</f>
        <v>BLACK</v>
      </c>
      <c r="G782" s="20" t="str">
        <f>IFERROR(__xludf.DUMMYFUNCTION("""COMPUTED_VALUE"""),"Uncle Sams Cider (11/12/2021) 02")</f>
        <v>Uncle Sams Cider (11/12/2021) 02</v>
      </c>
      <c r="H782" s="19"/>
    </row>
    <row r="783">
      <c r="A783" s="9"/>
      <c r="B783" s="15"/>
      <c r="C783" s="9">
        <f>IFERROR(__xludf.DUMMYFUNCTION("""COMPUTED_VALUE"""),44597.3950592245)</f>
        <v>44597.39506</v>
      </c>
      <c r="D783" s="15">
        <f>IFERROR(__xludf.DUMMYFUNCTION("""COMPUTED_VALUE"""),1.004)</f>
        <v>1.004</v>
      </c>
      <c r="E783" s="16">
        <f>IFERROR(__xludf.DUMMYFUNCTION("""COMPUTED_VALUE"""),64.0)</f>
        <v>64</v>
      </c>
      <c r="F783" s="19" t="str">
        <f>IFERROR(__xludf.DUMMYFUNCTION("""COMPUTED_VALUE"""),"BLACK")</f>
        <v>BLACK</v>
      </c>
      <c r="G783" s="20" t="str">
        <f>IFERROR(__xludf.DUMMYFUNCTION("""COMPUTED_VALUE"""),"Uncle Sams Cider (11/12/2021) 02")</f>
        <v>Uncle Sams Cider (11/12/2021) 02</v>
      </c>
      <c r="H783" s="19"/>
    </row>
    <row r="784">
      <c r="A784" s="9"/>
      <c r="B784" s="15"/>
      <c r="C784" s="9">
        <f>IFERROR(__xludf.DUMMYFUNCTION("""COMPUTED_VALUE"""),44597.384640625)</f>
        <v>44597.38464</v>
      </c>
      <c r="D784" s="15">
        <f>IFERROR(__xludf.DUMMYFUNCTION("""COMPUTED_VALUE"""),1.004)</f>
        <v>1.004</v>
      </c>
      <c r="E784" s="16">
        <f>IFERROR(__xludf.DUMMYFUNCTION("""COMPUTED_VALUE"""),64.0)</f>
        <v>64</v>
      </c>
      <c r="F784" s="19" t="str">
        <f>IFERROR(__xludf.DUMMYFUNCTION("""COMPUTED_VALUE"""),"BLACK")</f>
        <v>BLACK</v>
      </c>
      <c r="G784" s="20" t="str">
        <f>IFERROR(__xludf.DUMMYFUNCTION("""COMPUTED_VALUE"""),"Uncle Sams Cider (11/12/2021) 02")</f>
        <v>Uncle Sams Cider (11/12/2021) 02</v>
      </c>
      <c r="H784" s="19"/>
    </row>
    <row r="785">
      <c r="A785" s="9"/>
      <c r="B785" s="15"/>
      <c r="C785" s="9">
        <f>IFERROR(__xludf.DUMMYFUNCTION("""COMPUTED_VALUE"""),44597.3742082291)</f>
        <v>44597.37421</v>
      </c>
      <c r="D785" s="15">
        <f>IFERROR(__xludf.DUMMYFUNCTION("""COMPUTED_VALUE"""),1.004)</f>
        <v>1.004</v>
      </c>
      <c r="E785" s="16">
        <f>IFERROR(__xludf.DUMMYFUNCTION("""COMPUTED_VALUE"""),64.0)</f>
        <v>64</v>
      </c>
      <c r="F785" s="19" t="str">
        <f>IFERROR(__xludf.DUMMYFUNCTION("""COMPUTED_VALUE"""),"BLACK")</f>
        <v>BLACK</v>
      </c>
      <c r="G785" s="20" t="str">
        <f>IFERROR(__xludf.DUMMYFUNCTION("""COMPUTED_VALUE"""),"Uncle Sams Cider (11/12/2021) 02")</f>
        <v>Uncle Sams Cider (11/12/2021) 02</v>
      </c>
      <c r="H785" s="19"/>
    </row>
    <row r="786">
      <c r="A786" s="9"/>
      <c r="B786" s="15"/>
      <c r="C786" s="9">
        <f>IFERROR(__xludf.DUMMYFUNCTION("""COMPUTED_VALUE"""),44597.3637765856)</f>
        <v>44597.36378</v>
      </c>
      <c r="D786" s="15">
        <f>IFERROR(__xludf.DUMMYFUNCTION("""COMPUTED_VALUE"""),1.004)</f>
        <v>1.004</v>
      </c>
      <c r="E786" s="16">
        <f>IFERROR(__xludf.DUMMYFUNCTION("""COMPUTED_VALUE"""),64.0)</f>
        <v>64</v>
      </c>
      <c r="F786" s="19" t="str">
        <f>IFERROR(__xludf.DUMMYFUNCTION("""COMPUTED_VALUE"""),"BLACK")</f>
        <v>BLACK</v>
      </c>
      <c r="G786" s="20" t="str">
        <f>IFERROR(__xludf.DUMMYFUNCTION("""COMPUTED_VALUE"""),"Uncle Sams Cider (11/12/2021) 02")</f>
        <v>Uncle Sams Cider (11/12/2021) 02</v>
      </c>
      <c r="H786" s="19"/>
    </row>
    <row r="787">
      <c r="A787" s="9"/>
      <c r="B787" s="15"/>
      <c r="C787" s="9">
        <f>IFERROR(__xludf.DUMMYFUNCTION("""COMPUTED_VALUE"""),44597.3533548726)</f>
        <v>44597.35335</v>
      </c>
      <c r="D787" s="15">
        <f>IFERROR(__xludf.DUMMYFUNCTION("""COMPUTED_VALUE"""),1.004)</f>
        <v>1.004</v>
      </c>
      <c r="E787" s="16">
        <f>IFERROR(__xludf.DUMMYFUNCTION("""COMPUTED_VALUE"""),64.0)</f>
        <v>64</v>
      </c>
      <c r="F787" s="19" t="str">
        <f>IFERROR(__xludf.DUMMYFUNCTION("""COMPUTED_VALUE"""),"BLACK")</f>
        <v>BLACK</v>
      </c>
      <c r="G787" s="20" t="str">
        <f>IFERROR(__xludf.DUMMYFUNCTION("""COMPUTED_VALUE"""),"Uncle Sams Cider (11/12/2021) 02")</f>
        <v>Uncle Sams Cider (11/12/2021) 02</v>
      </c>
      <c r="H787" s="19"/>
    </row>
    <row r="788">
      <c r="A788" s="9"/>
      <c r="B788" s="15"/>
      <c r="C788" s="9">
        <f>IFERROR(__xludf.DUMMYFUNCTION("""COMPUTED_VALUE"""),44597.3429227777)</f>
        <v>44597.34292</v>
      </c>
      <c r="D788" s="15">
        <f>IFERROR(__xludf.DUMMYFUNCTION("""COMPUTED_VALUE"""),1.004)</f>
        <v>1.004</v>
      </c>
      <c r="E788" s="16">
        <f>IFERROR(__xludf.DUMMYFUNCTION("""COMPUTED_VALUE"""),64.0)</f>
        <v>64</v>
      </c>
      <c r="F788" s="19" t="str">
        <f>IFERROR(__xludf.DUMMYFUNCTION("""COMPUTED_VALUE"""),"BLACK")</f>
        <v>BLACK</v>
      </c>
      <c r="G788" s="20" t="str">
        <f>IFERROR(__xludf.DUMMYFUNCTION("""COMPUTED_VALUE"""),"Uncle Sams Cider (11/12/2021) 02")</f>
        <v>Uncle Sams Cider (11/12/2021) 02</v>
      </c>
      <c r="H788" s="19"/>
    </row>
    <row r="789">
      <c r="A789" s="9"/>
      <c r="B789" s="15"/>
      <c r="C789" s="9">
        <f>IFERROR(__xludf.DUMMYFUNCTION("""COMPUTED_VALUE"""),44597.3325021759)</f>
        <v>44597.3325</v>
      </c>
      <c r="D789" s="15">
        <f>IFERROR(__xludf.DUMMYFUNCTION("""COMPUTED_VALUE"""),1.004)</f>
        <v>1.004</v>
      </c>
      <c r="E789" s="16">
        <f>IFERROR(__xludf.DUMMYFUNCTION("""COMPUTED_VALUE"""),64.0)</f>
        <v>64</v>
      </c>
      <c r="F789" s="19" t="str">
        <f>IFERROR(__xludf.DUMMYFUNCTION("""COMPUTED_VALUE"""),"BLACK")</f>
        <v>BLACK</v>
      </c>
      <c r="G789" s="20" t="str">
        <f>IFERROR(__xludf.DUMMYFUNCTION("""COMPUTED_VALUE"""),"Uncle Sams Cider (11/12/2021) 02")</f>
        <v>Uncle Sams Cider (11/12/2021) 02</v>
      </c>
      <c r="H789" s="19"/>
    </row>
    <row r="790">
      <c r="A790" s="9"/>
      <c r="B790" s="15"/>
      <c r="C790" s="9">
        <f>IFERROR(__xludf.DUMMYFUNCTION("""COMPUTED_VALUE"""),44597.3220808101)</f>
        <v>44597.32208</v>
      </c>
      <c r="D790" s="15">
        <f>IFERROR(__xludf.DUMMYFUNCTION("""COMPUTED_VALUE"""),1.004)</f>
        <v>1.004</v>
      </c>
      <c r="E790" s="16">
        <f>IFERROR(__xludf.DUMMYFUNCTION("""COMPUTED_VALUE"""),64.0)</f>
        <v>64</v>
      </c>
      <c r="F790" s="19" t="str">
        <f>IFERROR(__xludf.DUMMYFUNCTION("""COMPUTED_VALUE"""),"BLACK")</f>
        <v>BLACK</v>
      </c>
      <c r="G790" s="20" t="str">
        <f>IFERROR(__xludf.DUMMYFUNCTION("""COMPUTED_VALUE"""),"Uncle Sams Cider (11/12/2021) 02")</f>
        <v>Uncle Sams Cider (11/12/2021) 02</v>
      </c>
      <c r="H790" s="19"/>
    </row>
    <row r="791">
      <c r="A791" s="9"/>
      <c r="B791" s="15"/>
      <c r="C791" s="9">
        <f>IFERROR(__xludf.DUMMYFUNCTION("""COMPUTED_VALUE"""),44597.3116018749)</f>
        <v>44597.3116</v>
      </c>
      <c r="D791" s="15">
        <f>IFERROR(__xludf.DUMMYFUNCTION("""COMPUTED_VALUE"""),1.004)</f>
        <v>1.004</v>
      </c>
      <c r="E791" s="16">
        <f>IFERROR(__xludf.DUMMYFUNCTION("""COMPUTED_VALUE"""),64.0)</f>
        <v>64</v>
      </c>
      <c r="F791" s="19" t="str">
        <f>IFERROR(__xludf.DUMMYFUNCTION("""COMPUTED_VALUE"""),"BLACK")</f>
        <v>BLACK</v>
      </c>
      <c r="G791" s="20" t="str">
        <f>IFERROR(__xludf.DUMMYFUNCTION("""COMPUTED_VALUE"""),"Uncle Sams Cider (11/12/2021) 02")</f>
        <v>Uncle Sams Cider (11/12/2021) 02</v>
      </c>
      <c r="H791" s="19"/>
    </row>
    <row r="792">
      <c r="A792" s="9"/>
      <c r="B792" s="15"/>
      <c r="C792" s="9">
        <f>IFERROR(__xludf.DUMMYFUNCTION("""COMPUTED_VALUE"""),44597.3011814467)</f>
        <v>44597.30118</v>
      </c>
      <c r="D792" s="15">
        <f>IFERROR(__xludf.DUMMYFUNCTION("""COMPUTED_VALUE"""),1.004)</f>
        <v>1.004</v>
      </c>
      <c r="E792" s="16">
        <f>IFERROR(__xludf.DUMMYFUNCTION("""COMPUTED_VALUE"""),64.0)</f>
        <v>64</v>
      </c>
      <c r="F792" s="19" t="str">
        <f>IFERROR(__xludf.DUMMYFUNCTION("""COMPUTED_VALUE"""),"BLACK")</f>
        <v>BLACK</v>
      </c>
      <c r="G792" s="20" t="str">
        <f>IFERROR(__xludf.DUMMYFUNCTION("""COMPUTED_VALUE"""),"Uncle Sams Cider (11/12/2021) 02")</f>
        <v>Uncle Sams Cider (11/12/2021) 02</v>
      </c>
      <c r="H792" s="19"/>
    </row>
    <row r="793">
      <c r="A793" s="9"/>
      <c r="B793" s="15"/>
      <c r="C793" s="9">
        <f>IFERROR(__xludf.DUMMYFUNCTION("""COMPUTED_VALUE"""),44597.2907591782)</f>
        <v>44597.29076</v>
      </c>
      <c r="D793" s="15">
        <f>IFERROR(__xludf.DUMMYFUNCTION("""COMPUTED_VALUE"""),1.004)</f>
        <v>1.004</v>
      </c>
      <c r="E793" s="16">
        <f>IFERROR(__xludf.DUMMYFUNCTION("""COMPUTED_VALUE"""),64.0)</f>
        <v>64</v>
      </c>
      <c r="F793" s="19" t="str">
        <f>IFERROR(__xludf.DUMMYFUNCTION("""COMPUTED_VALUE"""),"BLACK")</f>
        <v>BLACK</v>
      </c>
      <c r="G793" s="20" t="str">
        <f>IFERROR(__xludf.DUMMYFUNCTION("""COMPUTED_VALUE"""),"Uncle Sams Cider (11/12/2021) 02")</f>
        <v>Uncle Sams Cider (11/12/2021) 02</v>
      </c>
      <c r="H793" s="19"/>
    </row>
    <row r="794">
      <c r="A794" s="9"/>
      <c r="B794" s="15"/>
      <c r="C794" s="9">
        <f>IFERROR(__xludf.DUMMYFUNCTION("""COMPUTED_VALUE"""),44597.2803379282)</f>
        <v>44597.28034</v>
      </c>
      <c r="D794" s="15">
        <f>IFERROR(__xludf.DUMMYFUNCTION("""COMPUTED_VALUE"""),1.004)</f>
        <v>1.004</v>
      </c>
      <c r="E794" s="16">
        <f>IFERROR(__xludf.DUMMYFUNCTION("""COMPUTED_VALUE"""),64.0)</f>
        <v>64</v>
      </c>
      <c r="F794" s="19" t="str">
        <f>IFERROR(__xludf.DUMMYFUNCTION("""COMPUTED_VALUE"""),"BLACK")</f>
        <v>BLACK</v>
      </c>
      <c r="G794" s="20" t="str">
        <f>IFERROR(__xludf.DUMMYFUNCTION("""COMPUTED_VALUE"""),"Uncle Sams Cider (11/12/2021) 02")</f>
        <v>Uncle Sams Cider (11/12/2021) 02</v>
      </c>
      <c r="H794" s="19"/>
    </row>
    <row r="795">
      <c r="A795" s="9"/>
      <c r="B795" s="15"/>
      <c r="C795" s="9">
        <f>IFERROR(__xludf.DUMMYFUNCTION("""COMPUTED_VALUE"""),44597.2699170717)</f>
        <v>44597.26992</v>
      </c>
      <c r="D795" s="15">
        <f>IFERROR(__xludf.DUMMYFUNCTION("""COMPUTED_VALUE"""),1.004)</f>
        <v>1.004</v>
      </c>
      <c r="E795" s="16">
        <f>IFERROR(__xludf.DUMMYFUNCTION("""COMPUTED_VALUE"""),64.0)</f>
        <v>64</v>
      </c>
      <c r="F795" s="19" t="str">
        <f>IFERROR(__xludf.DUMMYFUNCTION("""COMPUTED_VALUE"""),"BLACK")</f>
        <v>BLACK</v>
      </c>
      <c r="G795" s="20" t="str">
        <f>IFERROR(__xludf.DUMMYFUNCTION("""COMPUTED_VALUE"""),"Uncle Sams Cider (11/12/2021) 02")</f>
        <v>Uncle Sams Cider (11/12/2021) 02</v>
      </c>
      <c r="H795" s="19"/>
    </row>
    <row r="796">
      <c r="A796" s="9"/>
      <c r="B796" s="15"/>
      <c r="C796" s="9">
        <f>IFERROR(__xludf.DUMMYFUNCTION("""COMPUTED_VALUE"""),44597.2594960069)</f>
        <v>44597.2595</v>
      </c>
      <c r="D796" s="15">
        <f>IFERROR(__xludf.DUMMYFUNCTION("""COMPUTED_VALUE"""),1.004)</f>
        <v>1.004</v>
      </c>
      <c r="E796" s="16">
        <f>IFERROR(__xludf.DUMMYFUNCTION("""COMPUTED_VALUE"""),64.0)</f>
        <v>64</v>
      </c>
      <c r="F796" s="19" t="str">
        <f>IFERROR(__xludf.DUMMYFUNCTION("""COMPUTED_VALUE"""),"BLACK")</f>
        <v>BLACK</v>
      </c>
      <c r="G796" s="20" t="str">
        <f>IFERROR(__xludf.DUMMYFUNCTION("""COMPUTED_VALUE"""),"Uncle Sams Cider (11/12/2021) 02")</f>
        <v>Uncle Sams Cider (11/12/2021) 02</v>
      </c>
      <c r="H796" s="19"/>
    </row>
    <row r="797">
      <c r="A797" s="9"/>
      <c r="B797" s="15"/>
      <c r="C797" s="9">
        <f>IFERROR(__xludf.DUMMYFUNCTION("""COMPUTED_VALUE"""),44597.249074456)</f>
        <v>44597.24907</v>
      </c>
      <c r="D797" s="15">
        <f>IFERROR(__xludf.DUMMYFUNCTION("""COMPUTED_VALUE"""),1.004)</f>
        <v>1.004</v>
      </c>
      <c r="E797" s="16">
        <f>IFERROR(__xludf.DUMMYFUNCTION("""COMPUTED_VALUE"""),65.0)</f>
        <v>65</v>
      </c>
      <c r="F797" s="19" t="str">
        <f>IFERROR(__xludf.DUMMYFUNCTION("""COMPUTED_VALUE"""),"BLACK")</f>
        <v>BLACK</v>
      </c>
      <c r="G797" s="20" t="str">
        <f>IFERROR(__xludf.DUMMYFUNCTION("""COMPUTED_VALUE"""),"Uncle Sams Cider (11/12/2021) 02")</f>
        <v>Uncle Sams Cider (11/12/2021) 02</v>
      </c>
      <c r="H797" s="19"/>
    </row>
    <row r="798">
      <c r="A798" s="9"/>
      <c r="B798" s="15"/>
      <c r="C798" s="9">
        <f>IFERROR(__xludf.DUMMYFUNCTION("""COMPUTED_VALUE"""),44597.2386529745)</f>
        <v>44597.23865</v>
      </c>
      <c r="D798" s="15">
        <f>IFERROR(__xludf.DUMMYFUNCTION("""COMPUTED_VALUE"""),1.004)</f>
        <v>1.004</v>
      </c>
      <c r="E798" s="16">
        <f>IFERROR(__xludf.DUMMYFUNCTION("""COMPUTED_VALUE"""),65.0)</f>
        <v>65</v>
      </c>
      <c r="F798" s="19" t="str">
        <f>IFERROR(__xludf.DUMMYFUNCTION("""COMPUTED_VALUE"""),"BLACK")</f>
        <v>BLACK</v>
      </c>
      <c r="G798" s="20" t="str">
        <f>IFERROR(__xludf.DUMMYFUNCTION("""COMPUTED_VALUE"""),"Uncle Sams Cider (11/12/2021) 02")</f>
        <v>Uncle Sams Cider (11/12/2021) 02</v>
      </c>
      <c r="H798" s="19"/>
    </row>
    <row r="799">
      <c r="A799" s="9"/>
      <c r="B799" s="15"/>
      <c r="C799" s="9">
        <f>IFERROR(__xludf.DUMMYFUNCTION("""COMPUTED_VALUE"""),44597.2282313657)</f>
        <v>44597.22823</v>
      </c>
      <c r="D799" s="15">
        <f>IFERROR(__xludf.DUMMYFUNCTION("""COMPUTED_VALUE"""),1.004)</f>
        <v>1.004</v>
      </c>
      <c r="E799" s="16">
        <f>IFERROR(__xludf.DUMMYFUNCTION("""COMPUTED_VALUE"""),65.0)</f>
        <v>65</v>
      </c>
      <c r="F799" s="19" t="str">
        <f>IFERROR(__xludf.DUMMYFUNCTION("""COMPUTED_VALUE"""),"BLACK")</f>
        <v>BLACK</v>
      </c>
      <c r="G799" s="20" t="str">
        <f>IFERROR(__xludf.DUMMYFUNCTION("""COMPUTED_VALUE"""),"Uncle Sams Cider (11/12/2021) 02")</f>
        <v>Uncle Sams Cider (11/12/2021) 02</v>
      </c>
      <c r="H799" s="19"/>
    </row>
    <row r="800">
      <c r="A800" s="9"/>
      <c r="B800" s="15"/>
      <c r="C800" s="9">
        <f>IFERROR(__xludf.DUMMYFUNCTION("""COMPUTED_VALUE"""),44597.2177880787)</f>
        <v>44597.21779</v>
      </c>
      <c r="D800" s="15">
        <f>IFERROR(__xludf.DUMMYFUNCTION("""COMPUTED_VALUE"""),1.004)</f>
        <v>1.004</v>
      </c>
      <c r="E800" s="16">
        <f>IFERROR(__xludf.DUMMYFUNCTION("""COMPUTED_VALUE"""),65.0)</f>
        <v>65</v>
      </c>
      <c r="F800" s="19" t="str">
        <f>IFERROR(__xludf.DUMMYFUNCTION("""COMPUTED_VALUE"""),"BLACK")</f>
        <v>BLACK</v>
      </c>
      <c r="G800" s="20" t="str">
        <f>IFERROR(__xludf.DUMMYFUNCTION("""COMPUTED_VALUE"""),"Uncle Sams Cider (11/12/2021) 02")</f>
        <v>Uncle Sams Cider (11/12/2021) 02</v>
      </c>
      <c r="H800" s="19"/>
    </row>
    <row r="801">
      <c r="A801" s="9"/>
      <c r="B801" s="15"/>
      <c r="C801" s="9">
        <f>IFERROR(__xludf.DUMMYFUNCTION("""COMPUTED_VALUE"""),44597.2073670717)</f>
        <v>44597.20737</v>
      </c>
      <c r="D801" s="15">
        <f>IFERROR(__xludf.DUMMYFUNCTION("""COMPUTED_VALUE"""),1.004)</f>
        <v>1.004</v>
      </c>
      <c r="E801" s="16">
        <f>IFERROR(__xludf.DUMMYFUNCTION("""COMPUTED_VALUE"""),65.0)</f>
        <v>65</v>
      </c>
      <c r="F801" s="19" t="str">
        <f>IFERROR(__xludf.DUMMYFUNCTION("""COMPUTED_VALUE"""),"BLACK")</f>
        <v>BLACK</v>
      </c>
      <c r="G801" s="20" t="str">
        <f>IFERROR(__xludf.DUMMYFUNCTION("""COMPUTED_VALUE"""),"Uncle Sams Cider (11/12/2021) 02")</f>
        <v>Uncle Sams Cider (11/12/2021) 02</v>
      </c>
      <c r="H801" s="19"/>
    </row>
    <row r="802">
      <c r="A802" s="9"/>
      <c r="B802" s="15"/>
      <c r="C802" s="9">
        <f>IFERROR(__xludf.DUMMYFUNCTION("""COMPUTED_VALUE"""),44597.1969355439)</f>
        <v>44597.19694</v>
      </c>
      <c r="D802" s="15">
        <f>IFERROR(__xludf.DUMMYFUNCTION("""COMPUTED_VALUE"""),1.004)</f>
        <v>1.004</v>
      </c>
      <c r="E802" s="16">
        <f>IFERROR(__xludf.DUMMYFUNCTION("""COMPUTED_VALUE"""),65.0)</f>
        <v>65</v>
      </c>
      <c r="F802" s="19" t="str">
        <f>IFERROR(__xludf.DUMMYFUNCTION("""COMPUTED_VALUE"""),"BLACK")</f>
        <v>BLACK</v>
      </c>
      <c r="G802" s="20" t="str">
        <f>IFERROR(__xludf.DUMMYFUNCTION("""COMPUTED_VALUE"""),"Uncle Sams Cider (11/12/2021) 02")</f>
        <v>Uncle Sams Cider (11/12/2021) 02</v>
      </c>
      <c r="H802" s="19"/>
    </row>
    <row r="803">
      <c r="A803" s="9"/>
      <c r="B803" s="15"/>
      <c r="C803" s="9">
        <f>IFERROR(__xludf.DUMMYFUNCTION("""COMPUTED_VALUE"""),44597.186514618)</f>
        <v>44597.18651</v>
      </c>
      <c r="D803" s="15">
        <f>IFERROR(__xludf.DUMMYFUNCTION("""COMPUTED_VALUE"""),1.004)</f>
        <v>1.004</v>
      </c>
      <c r="E803" s="16">
        <f>IFERROR(__xludf.DUMMYFUNCTION("""COMPUTED_VALUE"""),65.0)</f>
        <v>65</v>
      </c>
      <c r="F803" s="19" t="str">
        <f>IFERROR(__xludf.DUMMYFUNCTION("""COMPUTED_VALUE"""),"BLACK")</f>
        <v>BLACK</v>
      </c>
      <c r="G803" s="20" t="str">
        <f>IFERROR(__xludf.DUMMYFUNCTION("""COMPUTED_VALUE"""),"Uncle Sams Cider (11/12/2021) 02")</f>
        <v>Uncle Sams Cider (11/12/2021) 02</v>
      </c>
      <c r="H803" s="19"/>
    </row>
    <row r="804">
      <c r="A804" s="9"/>
      <c r="B804" s="15"/>
      <c r="C804" s="9">
        <f>IFERROR(__xludf.DUMMYFUNCTION("""COMPUTED_VALUE"""),44597.1760707754)</f>
        <v>44597.17607</v>
      </c>
      <c r="D804" s="15">
        <f>IFERROR(__xludf.DUMMYFUNCTION("""COMPUTED_VALUE"""),1.004)</f>
        <v>1.004</v>
      </c>
      <c r="E804" s="16">
        <f>IFERROR(__xludf.DUMMYFUNCTION("""COMPUTED_VALUE"""),65.0)</f>
        <v>65</v>
      </c>
      <c r="F804" s="19" t="str">
        <f>IFERROR(__xludf.DUMMYFUNCTION("""COMPUTED_VALUE"""),"BLACK")</f>
        <v>BLACK</v>
      </c>
      <c r="G804" s="20" t="str">
        <f>IFERROR(__xludf.DUMMYFUNCTION("""COMPUTED_VALUE"""),"Uncle Sams Cider (11/12/2021) 02")</f>
        <v>Uncle Sams Cider (11/12/2021) 02</v>
      </c>
      <c r="H804" s="19"/>
    </row>
    <row r="805">
      <c r="A805" s="9"/>
      <c r="B805" s="15"/>
      <c r="C805" s="9">
        <f>IFERROR(__xludf.DUMMYFUNCTION("""COMPUTED_VALUE"""),44597.1656487731)</f>
        <v>44597.16565</v>
      </c>
      <c r="D805" s="15">
        <f>IFERROR(__xludf.DUMMYFUNCTION("""COMPUTED_VALUE"""),1.004)</f>
        <v>1.004</v>
      </c>
      <c r="E805" s="16">
        <f>IFERROR(__xludf.DUMMYFUNCTION("""COMPUTED_VALUE"""),65.0)</f>
        <v>65</v>
      </c>
      <c r="F805" s="19" t="str">
        <f>IFERROR(__xludf.DUMMYFUNCTION("""COMPUTED_VALUE"""),"BLACK")</f>
        <v>BLACK</v>
      </c>
      <c r="G805" s="20" t="str">
        <f>IFERROR(__xludf.DUMMYFUNCTION("""COMPUTED_VALUE"""),"Uncle Sams Cider (11/12/2021) 02")</f>
        <v>Uncle Sams Cider (11/12/2021) 02</v>
      </c>
      <c r="H805" s="19"/>
    </row>
    <row r="806">
      <c r="A806" s="9"/>
      <c r="B806" s="15"/>
      <c r="C806" s="9">
        <f>IFERROR(__xludf.DUMMYFUNCTION("""COMPUTED_VALUE"""),44597.1552282175)</f>
        <v>44597.15523</v>
      </c>
      <c r="D806" s="15">
        <f>IFERROR(__xludf.DUMMYFUNCTION("""COMPUTED_VALUE"""),1.004)</f>
        <v>1.004</v>
      </c>
      <c r="E806" s="16">
        <f>IFERROR(__xludf.DUMMYFUNCTION("""COMPUTED_VALUE"""),65.0)</f>
        <v>65</v>
      </c>
      <c r="F806" s="19" t="str">
        <f>IFERROR(__xludf.DUMMYFUNCTION("""COMPUTED_VALUE"""),"BLACK")</f>
        <v>BLACK</v>
      </c>
      <c r="G806" s="20" t="str">
        <f>IFERROR(__xludf.DUMMYFUNCTION("""COMPUTED_VALUE"""),"Uncle Sams Cider (11/12/2021) 02")</f>
        <v>Uncle Sams Cider (11/12/2021) 02</v>
      </c>
      <c r="H806" s="19"/>
    </row>
    <row r="807">
      <c r="A807" s="9"/>
      <c r="B807" s="15"/>
      <c r="C807" s="9">
        <f>IFERROR(__xludf.DUMMYFUNCTION("""COMPUTED_VALUE"""),44597.1448065393)</f>
        <v>44597.14481</v>
      </c>
      <c r="D807" s="15">
        <f>IFERROR(__xludf.DUMMYFUNCTION("""COMPUTED_VALUE"""),1.004)</f>
        <v>1.004</v>
      </c>
      <c r="E807" s="16">
        <f>IFERROR(__xludf.DUMMYFUNCTION("""COMPUTED_VALUE"""),65.0)</f>
        <v>65</v>
      </c>
      <c r="F807" s="19" t="str">
        <f>IFERROR(__xludf.DUMMYFUNCTION("""COMPUTED_VALUE"""),"BLACK")</f>
        <v>BLACK</v>
      </c>
      <c r="G807" s="20" t="str">
        <f>IFERROR(__xludf.DUMMYFUNCTION("""COMPUTED_VALUE"""),"Uncle Sams Cider (11/12/2021) 02")</f>
        <v>Uncle Sams Cider (11/12/2021) 02</v>
      </c>
      <c r="H807" s="19"/>
    </row>
    <row r="808">
      <c r="A808" s="9"/>
      <c r="B808" s="15"/>
      <c r="C808" s="9">
        <f>IFERROR(__xludf.DUMMYFUNCTION("""COMPUTED_VALUE"""),44597.1343876851)</f>
        <v>44597.13439</v>
      </c>
      <c r="D808" s="15">
        <f>IFERROR(__xludf.DUMMYFUNCTION("""COMPUTED_VALUE"""),1.004)</f>
        <v>1.004</v>
      </c>
      <c r="E808" s="16">
        <f>IFERROR(__xludf.DUMMYFUNCTION("""COMPUTED_VALUE"""),65.0)</f>
        <v>65</v>
      </c>
      <c r="F808" s="19" t="str">
        <f>IFERROR(__xludf.DUMMYFUNCTION("""COMPUTED_VALUE"""),"BLACK")</f>
        <v>BLACK</v>
      </c>
      <c r="G808" s="20" t="str">
        <f>IFERROR(__xludf.DUMMYFUNCTION("""COMPUTED_VALUE"""),"Uncle Sams Cider (11/12/2021) 02")</f>
        <v>Uncle Sams Cider (11/12/2021) 02</v>
      </c>
      <c r="H808" s="19"/>
    </row>
    <row r="809">
      <c r="A809" s="9"/>
      <c r="B809" s="15"/>
      <c r="C809" s="9">
        <f>IFERROR(__xludf.DUMMYFUNCTION("""COMPUTED_VALUE"""),44597.1239675462)</f>
        <v>44597.12397</v>
      </c>
      <c r="D809" s="15">
        <f>IFERROR(__xludf.DUMMYFUNCTION("""COMPUTED_VALUE"""),1.004)</f>
        <v>1.004</v>
      </c>
      <c r="E809" s="16">
        <f>IFERROR(__xludf.DUMMYFUNCTION("""COMPUTED_VALUE"""),65.0)</f>
        <v>65</v>
      </c>
      <c r="F809" s="19" t="str">
        <f>IFERROR(__xludf.DUMMYFUNCTION("""COMPUTED_VALUE"""),"BLACK")</f>
        <v>BLACK</v>
      </c>
      <c r="G809" s="20" t="str">
        <f>IFERROR(__xludf.DUMMYFUNCTION("""COMPUTED_VALUE"""),"Uncle Sams Cider (11/12/2021) 02")</f>
        <v>Uncle Sams Cider (11/12/2021) 02</v>
      </c>
      <c r="H809" s="19"/>
    </row>
    <row r="810">
      <c r="A810" s="9"/>
      <c r="B810" s="15"/>
      <c r="C810" s="9">
        <f>IFERROR(__xludf.DUMMYFUNCTION("""COMPUTED_VALUE"""),44597.1135342708)</f>
        <v>44597.11353</v>
      </c>
      <c r="D810" s="15">
        <f>IFERROR(__xludf.DUMMYFUNCTION("""COMPUTED_VALUE"""),1.004)</f>
        <v>1.004</v>
      </c>
      <c r="E810" s="16">
        <f>IFERROR(__xludf.DUMMYFUNCTION("""COMPUTED_VALUE"""),65.0)</f>
        <v>65</v>
      </c>
      <c r="F810" s="19" t="str">
        <f>IFERROR(__xludf.DUMMYFUNCTION("""COMPUTED_VALUE"""),"BLACK")</f>
        <v>BLACK</v>
      </c>
      <c r="G810" s="20" t="str">
        <f>IFERROR(__xludf.DUMMYFUNCTION("""COMPUTED_VALUE"""),"Uncle Sams Cider (11/12/2021) 02")</f>
        <v>Uncle Sams Cider (11/12/2021) 02</v>
      </c>
      <c r="H810" s="19"/>
    </row>
    <row r="811">
      <c r="A811" s="9"/>
      <c r="B811" s="15"/>
      <c r="C811" s="9">
        <f>IFERROR(__xludf.DUMMYFUNCTION("""COMPUTED_VALUE"""),44597.103112662)</f>
        <v>44597.10311</v>
      </c>
      <c r="D811" s="15">
        <f>IFERROR(__xludf.DUMMYFUNCTION("""COMPUTED_VALUE"""),1.004)</f>
        <v>1.004</v>
      </c>
      <c r="E811" s="16">
        <f>IFERROR(__xludf.DUMMYFUNCTION("""COMPUTED_VALUE"""),65.0)</f>
        <v>65</v>
      </c>
      <c r="F811" s="19" t="str">
        <f>IFERROR(__xludf.DUMMYFUNCTION("""COMPUTED_VALUE"""),"BLACK")</f>
        <v>BLACK</v>
      </c>
      <c r="G811" s="20" t="str">
        <f>IFERROR(__xludf.DUMMYFUNCTION("""COMPUTED_VALUE"""),"Uncle Sams Cider (11/12/2021) 02")</f>
        <v>Uncle Sams Cider (11/12/2021) 02</v>
      </c>
      <c r="H811" s="19"/>
    </row>
    <row r="812">
      <c r="A812" s="9"/>
      <c r="B812" s="15"/>
      <c r="C812" s="9">
        <f>IFERROR(__xludf.DUMMYFUNCTION("""COMPUTED_VALUE"""),44597.0926799768)</f>
        <v>44597.09268</v>
      </c>
      <c r="D812" s="15">
        <f>IFERROR(__xludf.DUMMYFUNCTION("""COMPUTED_VALUE"""),1.004)</f>
        <v>1.004</v>
      </c>
      <c r="E812" s="16">
        <f>IFERROR(__xludf.DUMMYFUNCTION("""COMPUTED_VALUE"""),65.0)</f>
        <v>65</v>
      </c>
      <c r="F812" s="19" t="str">
        <f>IFERROR(__xludf.DUMMYFUNCTION("""COMPUTED_VALUE"""),"BLACK")</f>
        <v>BLACK</v>
      </c>
      <c r="G812" s="20" t="str">
        <f>IFERROR(__xludf.DUMMYFUNCTION("""COMPUTED_VALUE"""),"Uncle Sams Cider (11/12/2021) 02")</f>
        <v>Uncle Sams Cider (11/12/2021) 02</v>
      </c>
      <c r="H812" s="19"/>
    </row>
    <row r="813">
      <c r="A813" s="9"/>
      <c r="B813" s="15"/>
      <c r="C813" s="9">
        <f>IFERROR(__xludf.DUMMYFUNCTION("""COMPUTED_VALUE"""),44597.0822585763)</f>
        <v>44597.08226</v>
      </c>
      <c r="D813" s="15">
        <f>IFERROR(__xludf.DUMMYFUNCTION("""COMPUTED_VALUE"""),1.004)</f>
        <v>1.004</v>
      </c>
      <c r="E813" s="16">
        <f>IFERROR(__xludf.DUMMYFUNCTION("""COMPUTED_VALUE"""),65.0)</f>
        <v>65</v>
      </c>
      <c r="F813" s="19" t="str">
        <f>IFERROR(__xludf.DUMMYFUNCTION("""COMPUTED_VALUE"""),"BLACK")</f>
        <v>BLACK</v>
      </c>
      <c r="G813" s="20" t="str">
        <f>IFERROR(__xludf.DUMMYFUNCTION("""COMPUTED_VALUE"""),"Uncle Sams Cider (11/12/2021) 02")</f>
        <v>Uncle Sams Cider (11/12/2021) 02</v>
      </c>
      <c r="H813" s="19"/>
    </row>
    <row r="814">
      <c r="A814" s="9"/>
      <c r="B814" s="15"/>
      <c r="C814" s="9">
        <f>IFERROR(__xludf.DUMMYFUNCTION("""COMPUTED_VALUE"""),44597.0718148842)</f>
        <v>44597.07181</v>
      </c>
      <c r="D814" s="15">
        <f>IFERROR(__xludf.DUMMYFUNCTION("""COMPUTED_VALUE"""),1.004)</f>
        <v>1.004</v>
      </c>
      <c r="E814" s="16">
        <f>IFERROR(__xludf.DUMMYFUNCTION("""COMPUTED_VALUE"""),65.0)</f>
        <v>65</v>
      </c>
      <c r="F814" s="19" t="str">
        <f>IFERROR(__xludf.DUMMYFUNCTION("""COMPUTED_VALUE"""),"BLACK")</f>
        <v>BLACK</v>
      </c>
      <c r="G814" s="20" t="str">
        <f>IFERROR(__xludf.DUMMYFUNCTION("""COMPUTED_VALUE"""),"Uncle Sams Cider (11/12/2021) 02")</f>
        <v>Uncle Sams Cider (11/12/2021) 02</v>
      </c>
      <c r="H814" s="19"/>
    </row>
    <row r="815">
      <c r="A815" s="9"/>
      <c r="B815" s="15"/>
      <c r="C815" s="9">
        <f>IFERROR(__xludf.DUMMYFUNCTION("""COMPUTED_VALUE"""),44597.0613959837)</f>
        <v>44597.0614</v>
      </c>
      <c r="D815" s="15">
        <f>IFERROR(__xludf.DUMMYFUNCTION("""COMPUTED_VALUE"""),1.004)</f>
        <v>1.004</v>
      </c>
      <c r="E815" s="16">
        <f>IFERROR(__xludf.DUMMYFUNCTION("""COMPUTED_VALUE"""),65.0)</f>
        <v>65</v>
      </c>
      <c r="F815" s="19" t="str">
        <f>IFERROR(__xludf.DUMMYFUNCTION("""COMPUTED_VALUE"""),"BLACK")</f>
        <v>BLACK</v>
      </c>
      <c r="G815" s="20" t="str">
        <f>IFERROR(__xludf.DUMMYFUNCTION("""COMPUTED_VALUE"""),"Uncle Sams Cider (11/12/2021) 02")</f>
        <v>Uncle Sams Cider (11/12/2021) 02</v>
      </c>
      <c r="H815" s="19"/>
    </row>
    <row r="816">
      <c r="A816" s="9"/>
      <c r="B816" s="15"/>
      <c r="C816" s="9">
        <f>IFERROR(__xludf.DUMMYFUNCTION("""COMPUTED_VALUE"""),44597.0509278935)</f>
        <v>44597.05093</v>
      </c>
      <c r="D816" s="15">
        <f>IFERROR(__xludf.DUMMYFUNCTION("""COMPUTED_VALUE"""),1.004)</f>
        <v>1.004</v>
      </c>
      <c r="E816" s="16">
        <f>IFERROR(__xludf.DUMMYFUNCTION("""COMPUTED_VALUE"""),65.0)</f>
        <v>65</v>
      </c>
      <c r="F816" s="19" t="str">
        <f>IFERROR(__xludf.DUMMYFUNCTION("""COMPUTED_VALUE"""),"BLACK")</f>
        <v>BLACK</v>
      </c>
      <c r="G816" s="20" t="str">
        <f>IFERROR(__xludf.DUMMYFUNCTION("""COMPUTED_VALUE"""),"Uncle Sams Cider (11/12/2021) 02")</f>
        <v>Uncle Sams Cider (11/12/2021) 02</v>
      </c>
      <c r="H816" s="19"/>
    </row>
    <row r="817">
      <c r="A817" s="9"/>
      <c r="B817" s="15"/>
      <c r="C817" s="9">
        <f>IFERROR(__xludf.DUMMYFUNCTION("""COMPUTED_VALUE"""),44597.0405066666)</f>
        <v>44597.04051</v>
      </c>
      <c r="D817" s="15">
        <f>IFERROR(__xludf.DUMMYFUNCTION("""COMPUTED_VALUE"""),1.004)</f>
        <v>1.004</v>
      </c>
      <c r="E817" s="16">
        <f>IFERROR(__xludf.DUMMYFUNCTION("""COMPUTED_VALUE"""),65.0)</f>
        <v>65</v>
      </c>
      <c r="F817" s="19" t="str">
        <f>IFERROR(__xludf.DUMMYFUNCTION("""COMPUTED_VALUE"""),"BLACK")</f>
        <v>BLACK</v>
      </c>
      <c r="G817" s="20" t="str">
        <f>IFERROR(__xludf.DUMMYFUNCTION("""COMPUTED_VALUE"""),"Uncle Sams Cider (11/12/2021) 02")</f>
        <v>Uncle Sams Cider (11/12/2021) 02</v>
      </c>
      <c r="H817" s="19"/>
    </row>
    <row r="818">
      <c r="A818" s="9"/>
      <c r="B818" s="15"/>
      <c r="C818" s="9">
        <f>IFERROR(__xludf.DUMMYFUNCTION("""COMPUTED_VALUE"""),44597.0300848495)</f>
        <v>44597.03008</v>
      </c>
      <c r="D818" s="15">
        <f>IFERROR(__xludf.DUMMYFUNCTION("""COMPUTED_VALUE"""),1.004)</f>
        <v>1.004</v>
      </c>
      <c r="E818" s="16">
        <f>IFERROR(__xludf.DUMMYFUNCTION("""COMPUTED_VALUE"""),65.0)</f>
        <v>65</v>
      </c>
      <c r="F818" s="19" t="str">
        <f>IFERROR(__xludf.DUMMYFUNCTION("""COMPUTED_VALUE"""),"BLACK")</f>
        <v>BLACK</v>
      </c>
      <c r="G818" s="20" t="str">
        <f>IFERROR(__xludf.DUMMYFUNCTION("""COMPUTED_VALUE"""),"Uncle Sams Cider (11/12/2021) 02")</f>
        <v>Uncle Sams Cider (11/12/2021) 02</v>
      </c>
      <c r="H818" s="19"/>
    </row>
    <row r="819">
      <c r="A819" s="9"/>
      <c r="B819" s="15"/>
      <c r="C819" s="9">
        <f>IFERROR(__xludf.DUMMYFUNCTION("""COMPUTED_VALUE"""),44597.0196413888)</f>
        <v>44597.01964</v>
      </c>
      <c r="D819" s="15">
        <f>IFERROR(__xludf.DUMMYFUNCTION("""COMPUTED_VALUE"""),1.004)</f>
        <v>1.004</v>
      </c>
      <c r="E819" s="16">
        <f>IFERROR(__xludf.DUMMYFUNCTION("""COMPUTED_VALUE"""),65.0)</f>
        <v>65</v>
      </c>
      <c r="F819" s="19" t="str">
        <f>IFERROR(__xludf.DUMMYFUNCTION("""COMPUTED_VALUE"""),"BLACK")</f>
        <v>BLACK</v>
      </c>
      <c r="G819" s="20" t="str">
        <f>IFERROR(__xludf.DUMMYFUNCTION("""COMPUTED_VALUE"""),"Uncle Sams Cider (11/12/2021) 02")</f>
        <v>Uncle Sams Cider (11/12/2021) 02</v>
      </c>
      <c r="H819" s="19"/>
    </row>
    <row r="820">
      <c r="A820" s="9"/>
      <c r="B820" s="15"/>
      <c r="C820" s="9">
        <f>IFERROR(__xludf.DUMMYFUNCTION("""COMPUTED_VALUE"""),44597.0091955671)</f>
        <v>44597.0092</v>
      </c>
      <c r="D820" s="15">
        <f>IFERROR(__xludf.DUMMYFUNCTION("""COMPUTED_VALUE"""),1.004)</f>
        <v>1.004</v>
      </c>
      <c r="E820" s="16">
        <f>IFERROR(__xludf.DUMMYFUNCTION("""COMPUTED_VALUE"""),65.0)</f>
        <v>65</v>
      </c>
      <c r="F820" s="19" t="str">
        <f>IFERROR(__xludf.DUMMYFUNCTION("""COMPUTED_VALUE"""),"BLACK")</f>
        <v>BLACK</v>
      </c>
      <c r="G820" s="20" t="str">
        <f>IFERROR(__xludf.DUMMYFUNCTION("""COMPUTED_VALUE"""),"Uncle Sams Cider (11/12/2021) 02")</f>
        <v>Uncle Sams Cider (11/12/2021) 02</v>
      </c>
      <c r="H820" s="19"/>
    </row>
    <row r="821">
      <c r="A821" s="9"/>
      <c r="B821" s="15"/>
      <c r="C821" s="9">
        <f>IFERROR(__xludf.DUMMYFUNCTION("""COMPUTED_VALUE"""),44596.9987754398)</f>
        <v>44596.99878</v>
      </c>
      <c r="D821" s="15">
        <f>IFERROR(__xludf.DUMMYFUNCTION("""COMPUTED_VALUE"""),1.004)</f>
        <v>1.004</v>
      </c>
      <c r="E821" s="16">
        <f>IFERROR(__xludf.DUMMYFUNCTION("""COMPUTED_VALUE"""),65.0)</f>
        <v>65</v>
      </c>
      <c r="F821" s="19" t="str">
        <f>IFERROR(__xludf.DUMMYFUNCTION("""COMPUTED_VALUE"""),"BLACK")</f>
        <v>BLACK</v>
      </c>
      <c r="G821" s="20" t="str">
        <f>IFERROR(__xludf.DUMMYFUNCTION("""COMPUTED_VALUE"""),"Uncle Sams Cider (11/12/2021) 02")</f>
        <v>Uncle Sams Cider (11/12/2021) 02</v>
      </c>
      <c r="H821" s="19"/>
    </row>
    <row r="822">
      <c r="A822" s="9"/>
      <c r="B822" s="15"/>
      <c r="C822" s="9">
        <f>IFERROR(__xludf.DUMMYFUNCTION("""COMPUTED_VALUE"""),44596.9883529861)</f>
        <v>44596.98835</v>
      </c>
      <c r="D822" s="15">
        <f>IFERROR(__xludf.DUMMYFUNCTION("""COMPUTED_VALUE"""),1.004)</f>
        <v>1.004</v>
      </c>
      <c r="E822" s="16">
        <f>IFERROR(__xludf.DUMMYFUNCTION("""COMPUTED_VALUE"""),65.0)</f>
        <v>65</v>
      </c>
      <c r="F822" s="19" t="str">
        <f>IFERROR(__xludf.DUMMYFUNCTION("""COMPUTED_VALUE"""),"BLACK")</f>
        <v>BLACK</v>
      </c>
      <c r="G822" s="20" t="str">
        <f>IFERROR(__xludf.DUMMYFUNCTION("""COMPUTED_VALUE"""),"Uncle Sams Cider (11/12/2021) 02")</f>
        <v>Uncle Sams Cider (11/12/2021) 02</v>
      </c>
      <c r="H822" s="19"/>
    </row>
    <row r="823">
      <c r="A823" s="9"/>
      <c r="B823" s="15"/>
      <c r="C823" s="9">
        <f>IFERROR(__xludf.DUMMYFUNCTION("""COMPUTED_VALUE"""),44596.9779309722)</f>
        <v>44596.97793</v>
      </c>
      <c r="D823" s="15">
        <f>IFERROR(__xludf.DUMMYFUNCTION("""COMPUTED_VALUE"""),1.004)</f>
        <v>1.004</v>
      </c>
      <c r="E823" s="16">
        <f>IFERROR(__xludf.DUMMYFUNCTION("""COMPUTED_VALUE"""),65.0)</f>
        <v>65</v>
      </c>
      <c r="F823" s="19" t="str">
        <f>IFERROR(__xludf.DUMMYFUNCTION("""COMPUTED_VALUE"""),"BLACK")</f>
        <v>BLACK</v>
      </c>
      <c r="G823" s="20" t="str">
        <f>IFERROR(__xludf.DUMMYFUNCTION("""COMPUTED_VALUE"""),"Uncle Sams Cider (11/12/2021) 02")</f>
        <v>Uncle Sams Cider (11/12/2021) 02</v>
      </c>
      <c r="H823" s="19"/>
    </row>
    <row r="824">
      <c r="A824" s="9"/>
      <c r="B824" s="15"/>
      <c r="C824" s="9">
        <f>IFERROR(__xludf.DUMMYFUNCTION("""COMPUTED_VALUE"""),44596.9675099768)</f>
        <v>44596.96751</v>
      </c>
      <c r="D824" s="15">
        <f>IFERROR(__xludf.DUMMYFUNCTION("""COMPUTED_VALUE"""),1.004)</f>
        <v>1.004</v>
      </c>
      <c r="E824" s="16">
        <f>IFERROR(__xludf.DUMMYFUNCTION("""COMPUTED_VALUE"""),65.0)</f>
        <v>65</v>
      </c>
      <c r="F824" s="19" t="str">
        <f>IFERROR(__xludf.DUMMYFUNCTION("""COMPUTED_VALUE"""),"BLACK")</f>
        <v>BLACK</v>
      </c>
      <c r="G824" s="20" t="str">
        <f>IFERROR(__xludf.DUMMYFUNCTION("""COMPUTED_VALUE"""),"Uncle Sams Cider (11/12/2021) 02")</f>
        <v>Uncle Sams Cider (11/12/2021) 02</v>
      </c>
      <c r="H824" s="19"/>
    </row>
    <row r="825">
      <c r="A825" s="9"/>
      <c r="B825" s="15"/>
      <c r="C825" s="9">
        <f>IFERROR(__xludf.DUMMYFUNCTION("""COMPUTED_VALUE"""),44596.9570896643)</f>
        <v>44596.95709</v>
      </c>
      <c r="D825" s="15">
        <f>IFERROR(__xludf.DUMMYFUNCTION("""COMPUTED_VALUE"""),1.004)</f>
        <v>1.004</v>
      </c>
      <c r="E825" s="16">
        <f>IFERROR(__xludf.DUMMYFUNCTION("""COMPUTED_VALUE"""),65.0)</f>
        <v>65</v>
      </c>
      <c r="F825" s="19" t="str">
        <f>IFERROR(__xludf.DUMMYFUNCTION("""COMPUTED_VALUE"""),"BLACK")</f>
        <v>BLACK</v>
      </c>
      <c r="G825" s="20" t="str">
        <f>IFERROR(__xludf.DUMMYFUNCTION("""COMPUTED_VALUE"""),"Uncle Sams Cider (11/12/2021) 02")</f>
        <v>Uncle Sams Cider (11/12/2021) 02</v>
      </c>
      <c r="H825" s="19"/>
    </row>
    <row r="826">
      <c r="A826" s="9"/>
      <c r="B826" s="15"/>
      <c r="C826" s="9">
        <f>IFERROR(__xludf.DUMMYFUNCTION("""COMPUTED_VALUE"""),44596.9465766319)</f>
        <v>44596.94658</v>
      </c>
      <c r="D826" s="15">
        <f>IFERROR(__xludf.DUMMYFUNCTION("""COMPUTED_VALUE"""),1.004)</f>
        <v>1.004</v>
      </c>
      <c r="E826" s="16">
        <f>IFERROR(__xludf.DUMMYFUNCTION("""COMPUTED_VALUE"""),65.0)</f>
        <v>65</v>
      </c>
      <c r="F826" s="19" t="str">
        <f>IFERROR(__xludf.DUMMYFUNCTION("""COMPUTED_VALUE"""),"BLACK")</f>
        <v>BLACK</v>
      </c>
      <c r="G826" s="20" t="str">
        <f>IFERROR(__xludf.DUMMYFUNCTION("""COMPUTED_VALUE"""),"Uncle Sams Cider (11/12/2021) 02")</f>
        <v>Uncle Sams Cider (11/12/2021) 02</v>
      </c>
      <c r="H826" s="19"/>
    </row>
    <row r="827">
      <c r="A827" s="9"/>
      <c r="B827" s="15"/>
      <c r="C827" s="9">
        <f>IFERROR(__xludf.DUMMYFUNCTION("""COMPUTED_VALUE"""),44596.9361438541)</f>
        <v>44596.93614</v>
      </c>
      <c r="D827" s="15">
        <f>IFERROR(__xludf.DUMMYFUNCTION("""COMPUTED_VALUE"""),1.004)</f>
        <v>1.004</v>
      </c>
      <c r="E827" s="16">
        <f>IFERROR(__xludf.DUMMYFUNCTION("""COMPUTED_VALUE"""),66.0)</f>
        <v>66</v>
      </c>
      <c r="F827" s="19" t="str">
        <f>IFERROR(__xludf.DUMMYFUNCTION("""COMPUTED_VALUE"""),"BLACK")</f>
        <v>BLACK</v>
      </c>
      <c r="G827" s="20" t="str">
        <f>IFERROR(__xludf.DUMMYFUNCTION("""COMPUTED_VALUE"""),"Uncle Sams Cider (11/12/2021) 02")</f>
        <v>Uncle Sams Cider (11/12/2021) 02</v>
      </c>
      <c r="H827" s="19"/>
    </row>
    <row r="828">
      <c r="A828" s="9"/>
      <c r="B828" s="15"/>
      <c r="C828" s="9">
        <f>IFERROR(__xludf.DUMMYFUNCTION("""COMPUTED_VALUE"""),44596.9257202662)</f>
        <v>44596.92572</v>
      </c>
      <c r="D828" s="15">
        <f>IFERROR(__xludf.DUMMYFUNCTION("""COMPUTED_VALUE"""),1.004)</f>
        <v>1.004</v>
      </c>
      <c r="E828" s="16">
        <f>IFERROR(__xludf.DUMMYFUNCTION("""COMPUTED_VALUE"""),66.0)</f>
        <v>66</v>
      </c>
      <c r="F828" s="19" t="str">
        <f>IFERROR(__xludf.DUMMYFUNCTION("""COMPUTED_VALUE"""),"BLACK")</f>
        <v>BLACK</v>
      </c>
      <c r="G828" s="20" t="str">
        <f>IFERROR(__xludf.DUMMYFUNCTION("""COMPUTED_VALUE"""),"Uncle Sams Cider (11/12/2021) 02")</f>
        <v>Uncle Sams Cider (11/12/2021) 02</v>
      </c>
      <c r="H828" s="19"/>
    </row>
    <row r="829">
      <c r="A829" s="9"/>
      <c r="B829" s="15"/>
      <c r="C829" s="9">
        <f>IFERROR(__xludf.DUMMYFUNCTION("""COMPUTED_VALUE"""),44596.915300324)</f>
        <v>44596.9153</v>
      </c>
      <c r="D829" s="15">
        <f>IFERROR(__xludf.DUMMYFUNCTION("""COMPUTED_VALUE"""),1.004)</f>
        <v>1.004</v>
      </c>
      <c r="E829" s="16">
        <f>IFERROR(__xludf.DUMMYFUNCTION("""COMPUTED_VALUE"""),66.0)</f>
        <v>66</v>
      </c>
      <c r="F829" s="19" t="str">
        <f>IFERROR(__xludf.DUMMYFUNCTION("""COMPUTED_VALUE"""),"BLACK")</f>
        <v>BLACK</v>
      </c>
      <c r="G829" s="20" t="str">
        <f>IFERROR(__xludf.DUMMYFUNCTION("""COMPUTED_VALUE"""),"Uncle Sams Cider (11/12/2021) 02")</f>
        <v>Uncle Sams Cider (11/12/2021) 02</v>
      </c>
      <c r="H829" s="19"/>
    </row>
    <row r="830">
      <c r="A830" s="9"/>
      <c r="B830" s="15"/>
      <c r="C830" s="9">
        <f>IFERROR(__xludf.DUMMYFUNCTION("""COMPUTED_VALUE"""),44596.9048448263)</f>
        <v>44596.90484</v>
      </c>
      <c r="D830" s="15">
        <f>IFERROR(__xludf.DUMMYFUNCTION("""COMPUTED_VALUE"""),1.004)</f>
        <v>1.004</v>
      </c>
      <c r="E830" s="16">
        <f>IFERROR(__xludf.DUMMYFUNCTION("""COMPUTED_VALUE"""),66.0)</f>
        <v>66</v>
      </c>
      <c r="F830" s="19" t="str">
        <f>IFERROR(__xludf.DUMMYFUNCTION("""COMPUTED_VALUE"""),"BLACK")</f>
        <v>BLACK</v>
      </c>
      <c r="G830" s="20" t="str">
        <f>IFERROR(__xludf.DUMMYFUNCTION("""COMPUTED_VALUE"""),"Uncle Sams Cider (11/12/2021) 02")</f>
        <v>Uncle Sams Cider (11/12/2021) 02</v>
      </c>
      <c r="H830" s="19"/>
    </row>
    <row r="831">
      <c r="A831" s="9"/>
      <c r="B831" s="15"/>
      <c r="C831" s="9">
        <f>IFERROR(__xludf.DUMMYFUNCTION("""COMPUTED_VALUE"""),44596.8944214351)</f>
        <v>44596.89442</v>
      </c>
      <c r="D831" s="15">
        <f>IFERROR(__xludf.DUMMYFUNCTION("""COMPUTED_VALUE"""),1.004)</f>
        <v>1.004</v>
      </c>
      <c r="E831" s="16">
        <f>IFERROR(__xludf.DUMMYFUNCTION("""COMPUTED_VALUE"""),66.0)</f>
        <v>66</v>
      </c>
      <c r="F831" s="19" t="str">
        <f>IFERROR(__xludf.DUMMYFUNCTION("""COMPUTED_VALUE"""),"BLACK")</f>
        <v>BLACK</v>
      </c>
      <c r="G831" s="20" t="str">
        <f>IFERROR(__xludf.DUMMYFUNCTION("""COMPUTED_VALUE"""),"Uncle Sams Cider (11/12/2021) 02")</f>
        <v>Uncle Sams Cider (11/12/2021) 02</v>
      </c>
      <c r="H831" s="19"/>
    </row>
    <row r="832">
      <c r="A832" s="9"/>
      <c r="B832" s="15"/>
      <c r="C832" s="9">
        <f>IFERROR(__xludf.DUMMYFUNCTION("""COMPUTED_VALUE"""),44596.8839779861)</f>
        <v>44596.88398</v>
      </c>
      <c r="D832" s="15">
        <f>IFERROR(__xludf.DUMMYFUNCTION("""COMPUTED_VALUE"""),1.004)</f>
        <v>1.004</v>
      </c>
      <c r="E832" s="16">
        <f>IFERROR(__xludf.DUMMYFUNCTION("""COMPUTED_VALUE"""),66.0)</f>
        <v>66</v>
      </c>
      <c r="F832" s="19" t="str">
        <f>IFERROR(__xludf.DUMMYFUNCTION("""COMPUTED_VALUE"""),"BLACK")</f>
        <v>BLACK</v>
      </c>
      <c r="G832" s="20" t="str">
        <f>IFERROR(__xludf.DUMMYFUNCTION("""COMPUTED_VALUE"""),"Uncle Sams Cider (11/12/2021) 02")</f>
        <v>Uncle Sams Cider (11/12/2021) 02</v>
      </c>
      <c r="H832" s="19"/>
    </row>
    <row r="833">
      <c r="A833" s="9"/>
      <c r="B833" s="15"/>
      <c r="C833" s="9">
        <f>IFERROR(__xludf.DUMMYFUNCTION("""COMPUTED_VALUE"""),44596.8735553935)</f>
        <v>44596.87356</v>
      </c>
      <c r="D833" s="15">
        <f>IFERROR(__xludf.DUMMYFUNCTION("""COMPUTED_VALUE"""),1.004)</f>
        <v>1.004</v>
      </c>
      <c r="E833" s="16">
        <f>IFERROR(__xludf.DUMMYFUNCTION("""COMPUTED_VALUE"""),66.0)</f>
        <v>66</v>
      </c>
      <c r="F833" s="19" t="str">
        <f>IFERROR(__xludf.DUMMYFUNCTION("""COMPUTED_VALUE"""),"BLACK")</f>
        <v>BLACK</v>
      </c>
      <c r="G833" s="20" t="str">
        <f>IFERROR(__xludf.DUMMYFUNCTION("""COMPUTED_VALUE"""),"Uncle Sams Cider (11/12/2021) 02")</f>
        <v>Uncle Sams Cider (11/12/2021) 02</v>
      </c>
      <c r="H833" s="19"/>
    </row>
    <row r="834">
      <c r="A834" s="9"/>
      <c r="B834" s="15"/>
      <c r="C834" s="9">
        <f>IFERROR(__xludf.DUMMYFUNCTION("""COMPUTED_VALUE"""),44596.863099375)</f>
        <v>44596.8631</v>
      </c>
      <c r="D834" s="15">
        <f>IFERROR(__xludf.DUMMYFUNCTION("""COMPUTED_VALUE"""),1.004)</f>
        <v>1.004</v>
      </c>
      <c r="E834" s="16">
        <f>IFERROR(__xludf.DUMMYFUNCTION("""COMPUTED_VALUE"""),66.0)</f>
        <v>66</v>
      </c>
      <c r="F834" s="19" t="str">
        <f>IFERROR(__xludf.DUMMYFUNCTION("""COMPUTED_VALUE"""),"BLACK")</f>
        <v>BLACK</v>
      </c>
      <c r="G834" s="20" t="str">
        <f>IFERROR(__xludf.DUMMYFUNCTION("""COMPUTED_VALUE"""),"Uncle Sams Cider (11/12/2021) 02")</f>
        <v>Uncle Sams Cider (11/12/2021) 02</v>
      </c>
      <c r="H834" s="19"/>
    </row>
    <row r="835">
      <c r="A835" s="9"/>
      <c r="B835" s="15"/>
      <c r="C835" s="9">
        <f>IFERROR(__xludf.DUMMYFUNCTION("""COMPUTED_VALUE"""),44596.8526658564)</f>
        <v>44596.85267</v>
      </c>
      <c r="D835" s="15">
        <f>IFERROR(__xludf.DUMMYFUNCTION("""COMPUTED_VALUE"""),1.004)</f>
        <v>1.004</v>
      </c>
      <c r="E835" s="16">
        <f>IFERROR(__xludf.DUMMYFUNCTION("""COMPUTED_VALUE"""),66.0)</f>
        <v>66</v>
      </c>
      <c r="F835" s="19" t="str">
        <f>IFERROR(__xludf.DUMMYFUNCTION("""COMPUTED_VALUE"""),"BLACK")</f>
        <v>BLACK</v>
      </c>
      <c r="G835" s="20" t="str">
        <f>IFERROR(__xludf.DUMMYFUNCTION("""COMPUTED_VALUE"""),"Uncle Sams Cider (11/12/2021) 02")</f>
        <v>Uncle Sams Cider (11/12/2021) 02</v>
      </c>
      <c r="H835" s="19"/>
    </row>
    <row r="836">
      <c r="A836" s="9"/>
      <c r="B836" s="15"/>
      <c r="C836" s="9">
        <f>IFERROR(__xludf.DUMMYFUNCTION("""COMPUTED_VALUE"""),44596.8422325115)</f>
        <v>44596.84223</v>
      </c>
      <c r="D836" s="15">
        <f>IFERROR(__xludf.DUMMYFUNCTION("""COMPUTED_VALUE"""),1.004)</f>
        <v>1.004</v>
      </c>
      <c r="E836" s="16">
        <f>IFERROR(__xludf.DUMMYFUNCTION("""COMPUTED_VALUE"""),66.0)</f>
        <v>66</v>
      </c>
      <c r="F836" s="19" t="str">
        <f>IFERROR(__xludf.DUMMYFUNCTION("""COMPUTED_VALUE"""),"BLACK")</f>
        <v>BLACK</v>
      </c>
      <c r="G836" s="20" t="str">
        <f>IFERROR(__xludf.DUMMYFUNCTION("""COMPUTED_VALUE"""),"Uncle Sams Cider (11/12/2021) 02")</f>
        <v>Uncle Sams Cider (11/12/2021) 02</v>
      </c>
      <c r="H836" s="19"/>
    </row>
    <row r="837">
      <c r="A837" s="9"/>
      <c r="B837" s="15"/>
      <c r="C837" s="9">
        <f>IFERROR(__xludf.DUMMYFUNCTION("""COMPUTED_VALUE"""),44596.8318107986)</f>
        <v>44596.83181</v>
      </c>
      <c r="D837" s="15">
        <f>IFERROR(__xludf.DUMMYFUNCTION("""COMPUTED_VALUE"""),1.004)</f>
        <v>1.004</v>
      </c>
      <c r="E837" s="16">
        <f>IFERROR(__xludf.DUMMYFUNCTION("""COMPUTED_VALUE"""),66.0)</f>
        <v>66</v>
      </c>
      <c r="F837" s="19" t="str">
        <f>IFERROR(__xludf.DUMMYFUNCTION("""COMPUTED_VALUE"""),"BLACK")</f>
        <v>BLACK</v>
      </c>
      <c r="G837" s="20" t="str">
        <f>IFERROR(__xludf.DUMMYFUNCTION("""COMPUTED_VALUE"""),"Uncle Sams Cider (11/12/2021) 02")</f>
        <v>Uncle Sams Cider (11/12/2021) 02</v>
      </c>
      <c r="H837" s="19"/>
    </row>
    <row r="838">
      <c r="A838" s="9"/>
      <c r="B838" s="15"/>
      <c r="C838" s="9">
        <f>IFERROR(__xludf.DUMMYFUNCTION("""COMPUTED_VALUE"""),44596.8213789814)</f>
        <v>44596.82138</v>
      </c>
      <c r="D838" s="15">
        <f>IFERROR(__xludf.DUMMYFUNCTION("""COMPUTED_VALUE"""),1.004)</f>
        <v>1.004</v>
      </c>
      <c r="E838" s="16">
        <f>IFERROR(__xludf.DUMMYFUNCTION("""COMPUTED_VALUE"""),66.0)</f>
        <v>66</v>
      </c>
      <c r="F838" s="19" t="str">
        <f>IFERROR(__xludf.DUMMYFUNCTION("""COMPUTED_VALUE"""),"BLACK")</f>
        <v>BLACK</v>
      </c>
      <c r="G838" s="20" t="str">
        <f>IFERROR(__xludf.DUMMYFUNCTION("""COMPUTED_VALUE"""),"Uncle Sams Cider (11/12/2021) 02")</f>
        <v>Uncle Sams Cider (11/12/2021) 02</v>
      </c>
      <c r="H838" s="19"/>
    </row>
    <row r="839">
      <c r="A839" s="9"/>
      <c r="B839" s="15"/>
      <c r="C839" s="9">
        <f>IFERROR(__xludf.DUMMYFUNCTION("""COMPUTED_VALUE"""),44596.8109580439)</f>
        <v>44596.81096</v>
      </c>
      <c r="D839" s="15">
        <f>IFERROR(__xludf.DUMMYFUNCTION("""COMPUTED_VALUE"""),1.004)</f>
        <v>1.004</v>
      </c>
      <c r="E839" s="16">
        <f>IFERROR(__xludf.DUMMYFUNCTION("""COMPUTED_VALUE"""),66.0)</f>
        <v>66</v>
      </c>
      <c r="F839" s="19" t="str">
        <f>IFERROR(__xludf.DUMMYFUNCTION("""COMPUTED_VALUE"""),"BLACK")</f>
        <v>BLACK</v>
      </c>
      <c r="G839" s="20" t="str">
        <f>IFERROR(__xludf.DUMMYFUNCTION("""COMPUTED_VALUE"""),"Uncle Sams Cider (11/12/2021) 02")</f>
        <v>Uncle Sams Cider (11/12/2021) 02</v>
      </c>
      <c r="H839" s="19"/>
    </row>
    <row r="840">
      <c r="A840" s="9"/>
      <c r="B840" s="15"/>
      <c r="C840" s="9">
        <f>IFERROR(__xludf.DUMMYFUNCTION("""COMPUTED_VALUE"""),44596.8005251967)</f>
        <v>44596.80053</v>
      </c>
      <c r="D840" s="15">
        <f>IFERROR(__xludf.DUMMYFUNCTION("""COMPUTED_VALUE"""),1.004)</f>
        <v>1.004</v>
      </c>
      <c r="E840" s="16">
        <f>IFERROR(__xludf.DUMMYFUNCTION("""COMPUTED_VALUE"""),66.0)</f>
        <v>66</v>
      </c>
      <c r="F840" s="19" t="str">
        <f>IFERROR(__xludf.DUMMYFUNCTION("""COMPUTED_VALUE"""),"BLACK")</f>
        <v>BLACK</v>
      </c>
      <c r="G840" s="20" t="str">
        <f>IFERROR(__xludf.DUMMYFUNCTION("""COMPUTED_VALUE"""),"Uncle Sams Cider (11/12/2021) 02")</f>
        <v>Uncle Sams Cider (11/12/2021) 02</v>
      </c>
      <c r="H840" s="19"/>
    </row>
    <row r="841">
      <c r="A841" s="9"/>
      <c r="B841" s="15"/>
      <c r="C841" s="9">
        <f>IFERROR(__xludf.DUMMYFUNCTION("""COMPUTED_VALUE"""),44596.7901035648)</f>
        <v>44596.7901</v>
      </c>
      <c r="D841" s="15">
        <f>IFERROR(__xludf.DUMMYFUNCTION("""COMPUTED_VALUE"""),1.004)</f>
        <v>1.004</v>
      </c>
      <c r="E841" s="16">
        <f>IFERROR(__xludf.DUMMYFUNCTION("""COMPUTED_VALUE"""),66.0)</f>
        <v>66</v>
      </c>
      <c r="F841" s="19" t="str">
        <f>IFERROR(__xludf.DUMMYFUNCTION("""COMPUTED_VALUE"""),"BLACK")</f>
        <v>BLACK</v>
      </c>
      <c r="G841" s="20" t="str">
        <f>IFERROR(__xludf.DUMMYFUNCTION("""COMPUTED_VALUE"""),"Uncle Sams Cider (11/12/2021) 02")</f>
        <v>Uncle Sams Cider (11/12/2021) 02</v>
      </c>
      <c r="H841" s="19"/>
    </row>
    <row r="842">
      <c r="A842" s="9"/>
      <c r="B842" s="15"/>
      <c r="C842" s="9">
        <f>IFERROR(__xludf.DUMMYFUNCTION("""COMPUTED_VALUE"""),44596.7796840162)</f>
        <v>44596.77968</v>
      </c>
      <c r="D842" s="15">
        <f>IFERROR(__xludf.DUMMYFUNCTION("""COMPUTED_VALUE"""),1.004)</f>
        <v>1.004</v>
      </c>
      <c r="E842" s="16">
        <f>IFERROR(__xludf.DUMMYFUNCTION("""COMPUTED_VALUE"""),66.0)</f>
        <v>66</v>
      </c>
      <c r="F842" s="19" t="str">
        <f>IFERROR(__xludf.DUMMYFUNCTION("""COMPUTED_VALUE"""),"BLACK")</f>
        <v>BLACK</v>
      </c>
      <c r="G842" s="20" t="str">
        <f>IFERROR(__xludf.DUMMYFUNCTION("""COMPUTED_VALUE"""),"Uncle Sams Cider (11/12/2021) 02")</f>
        <v>Uncle Sams Cider (11/12/2021) 02</v>
      </c>
      <c r="H842" s="19"/>
    </row>
    <row r="843">
      <c r="A843" s="9"/>
      <c r="B843" s="15"/>
      <c r="C843" s="9">
        <f>IFERROR(__xludf.DUMMYFUNCTION("""COMPUTED_VALUE"""),44596.7692615624)</f>
        <v>44596.76926</v>
      </c>
      <c r="D843" s="15">
        <f>IFERROR(__xludf.DUMMYFUNCTION("""COMPUTED_VALUE"""),1.004)</f>
        <v>1.004</v>
      </c>
      <c r="E843" s="16">
        <f>IFERROR(__xludf.DUMMYFUNCTION("""COMPUTED_VALUE"""),66.0)</f>
        <v>66</v>
      </c>
      <c r="F843" s="19" t="str">
        <f>IFERROR(__xludf.DUMMYFUNCTION("""COMPUTED_VALUE"""),"BLACK")</f>
        <v>BLACK</v>
      </c>
      <c r="G843" s="20" t="str">
        <f>IFERROR(__xludf.DUMMYFUNCTION("""COMPUTED_VALUE"""),"Uncle Sams Cider (11/12/2021) 02")</f>
        <v>Uncle Sams Cider (11/12/2021) 02</v>
      </c>
      <c r="H843" s="19"/>
    </row>
    <row r="844">
      <c r="A844" s="9"/>
      <c r="B844" s="15"/>
      <c r="C844" s="9">
        <f>IFERROR(__xludf.DUMMYFUNCTION("""COMPUTED_VALUE"""),44596.7588416666)</f>
        <v>44596.75884</v>
      </c>
      <c r="D844" s="15">
        <f>IFERROR(__xludf.DUMMYFUNCTION("""COMPUTED_VALUE"""),1.004)</f>
        <v>1.004</v>
      </c>
      <c r="E844" s="16">
        <f>IFERROR(__xludf.DUMMYFUNCTION("""COMPUTED_VALUE"""),66.0)</f>
        <v>66</v>
      </c>
      <c r="F844" s="19" t="str">
        <f>IFERROR(__xludf.DUMMYFUNCTION("""COMPUTED_VALUE"""),"BLACK")</f>
        <v>BLACK</v>
      </c>
      <c r="G844" s="20" t="str">
        <f>IFERROR(__xludf.DUMMYFUNCTION("""COMPUTED_VALUE"""),"Uncle Sams Cider (11/12/2021) 02")</f>
        <v>Uncle Sams Cider (11/12/2021) 02</v>
      </c>
      <c r="H844" s="19"/>
    </row>
    <row r="845">
      <c r="A845" s="9"/>
      <c r="B845" s="15"/>
      <c r="C845" s="9">
        <f>IFERROR(__xludf.DUMMYFUNCTION("""COMPUTED_VALUE"""),44596.748373912)</f>
        <v>44596.74837</v>
      </c>
      <c r="D845" s="15">
        <f>IFERROR(__xludf.DUMMYFUNCTION("""COMPUTED_VALUE"""),1.004)</f>
        <v>1.004</v>
      </c>
      <c r="E845" s="16">
        <f>IFERROR(__xludf.DUMMYFUNCTION("""COMPUTED_VALUE"""),66.0)</f>
        <v>66</v>
      </c>
      <c r="F845" s="19" t="str">
        <f>IFERROR(__xludf.DUMMYFUNCTION("""COMPUTED_VALUE"""),"BLACK")</f>
        <v>BLACK</v>
      </c>
      <c r="G845" s="20" t="str">
        <f>IFERROR(__xludf.DUMMYFUNCTION("""COMPUTED_VALUE"""),"Uncle Sams Cider (11/12/2021) 02")</f>
        <v>Uncle Sams Cider (11/12/2021) 02</v>
      </c>
      <c r="H845" s="19"/>
    </row>
    <row r="846">
      <c r="A846" s="9"/>
      <c r="B846" s="15"/>
      <c r="C846" s="9">
        <f>IFERROR(__xludf.DUMMYFUNCTION("""COMPUTED_VALUE"""),44596.7379418402)</f>
        <v>44596.73794</v>
      </c>
      <c r="D846" s="15">
        <f>IFERROR(__xludf.DUMMYFUNCTION("""COMPUTED_VALUE"""),1.004)</f>
        <v>1.004</v>
      </c>
      <c r="E846" s="16">
        <f>IFERROR(__xludf.DUMMYFUNCTION("""COMPUTED_VALUE"""),66.0)</f>
        <v>66</v>
      </c>
      <c r="F846" s="19" t="str">
        <f>IFERROR(__xludf.DUMMYFUNCTION("""COMPUTED_VALUE"""),"BLACK")</f>
        <v>BLACK</v>
      </c>
      <c r="G846" s="20" t="str">
        <f>IFERROR(__xludf.DUMMYFUNCTION("""COMPUTED_VALUE"""),"Uncle Sams Cider (11/12/2021) 02")</f>
        <v>Uncle Sams Cider (11/12/2021) 02</v>
      </c>
      <c r="H846" s="19"/>
    </row>
    <row r="847">
      <c r="A847" s="9"/>
      <c r="B847" s="15"/>
      <c r="C847" s="9">
        <f>IFERROR(__xludf.DUMMYFUNCTION("""COMPUTED_VALUE"""),44596.7275225115)</f>
        <v>44596.72752</v>
      </c>
      <c r="D847" s="15">
        <f>IFERROR(__xludf.DUMMYFUNCTION("""COMPUTED_VALUE"""),1.004)</f>
        <v>1.004</v>
      </c>
      <c r="E847" s="16">
        <f>IFERROR(__xludf.DUMMYFUNCTION("""COMPUTED_VALUE"""),66.0)</f>
        <v>66</v>
      </c>
      <c r="F847" s="19" t="str">
        <f>IFERROR(__xludf.DUMMYFUNCTION("""COMPUTED_VALUE"""),"BLACK")</f>
        <v>BLACK</v>
      </c>
      <c r="G847" s="20" t="str">
        <f>IFERROR(__xludf.DUMMYFUNCTION("""COMPUTED_VALUE"""),"Uncle Sams Cider (11/12/2021) 02")</f>
        <v>Uncle Sams Cider (11/12/2021) 02</v>
      </c>
      <c r="H847" s="19"/>
    </row>
    <row r="848">
      <c r="A848" s="9"/>
      <c r="B848" s="15"/>
      <c r="C848" s="9">
        <f>IFERROR(__xludf.DUMMYFUNCTION("""COMPUTED_VALUE"""),44596.7171007175)</f>
        <v>44596.7171</v>
      </c>
      <c r="D848" s="15">
        <f>IFERROR(__xludf.DUMMYFUNCTION("""COMPUTED_VALUE"""),1.004)</f>
        <v>1.004</v>
      </c>
      <c r="E848" s="16">
        <f>IFERROR(__xludf.DUMMYFUNCTION("""COMPUTED_VALUE"""),66.0)</f>
        <v>66</v>
      </c>
      <c r="F848" s="19" t="str">
        <f>IFERROR(__xludf.DUMMYFUNCTION("""COMPUTED_VALUE"""),"BLACK")</f>
        <v>BLACK</v>
      </c>
      <c r="G848" s="20" t="str">
        <f>IFERROR(__xludf.DUMMYFUNCTION("""COMPUTED_VALUE"""),"Uncle Sams Cider (11/12/2021) 02")</f>
        <v>Uncle Sams Cider (11/12/2021) 02</v>
      </c>
      <c r="H848" s="19"/>
    </row>
    <row r="849">
      <c r="A849" s="9"/>
      <c r="B849" s="15"/>
      <c r="C849" s="9">
        <f>IFERROR(__xludf.DUMMYFUNCTION("""COMPUTED_VALUE"""),44596.7066801273)</f>
        <v>44596.70668</v>
      </c>
      <c r="D849" s="15">
        <f>IFERROR(__xludf.DUMMYFUNCTION("""COMPUTED_VALUE"""),1.004)</f>
        <v>1.004</v>
      </c>
      <c r="E849" s="16">
        <f>IFERROR(__xludf.DUMMYFUNCTION("""COMPUTED_VALUE"""),66.0)</f>
        <v>66</v>
      </c>
      <c r="F849" s="19" t="str">
        <f>IFERROR(__xludf.DUMMYFUNCTION("""COMPUTED_VALUE"""),"BLACK")</f>
        <v>BLACK</v>
      </c>
      <c r="G849" s="20" t="str">
        <f>IFERROR(__xludf.DUMMYFUNCTION("""COMPUTED_VALUE"""),"Uncle Sams Cider (11/12/2021) 02")</f>
        <v>Uncle Sams Cider (11/12/2021) 02</v>
      </c>
      <c r="H849" s="19"/>
    </row>
    <row r="850">
      <c r="A850" s="9"/>
      <c r="B850" s="15"/>
      <c r="C850" s="9">
        <f>IFERROR(__xludf.DUMMYFUNCTION("""COMPUTED_VALUE"""),44596.6962578587)</f>
        <v>44596.69626</v>
      </c>
      <c r="D850" s="15">
        <f>IFERROR(__xludf.DUMMYFUNCTION("""COMPUTED_VALUE"""),1.004)</f>
        <v>1.004</v>
      </c>
      <c r="E850" s="16">
        <f>IFERROR(__xludf.DUMMYFUNCTION("""COMPUTED_VALUE"""),66.0)</f>
        <v>66</v>
      </c>
      <c r="F850" s="19" t="str">
        <f>IFERROR(__xludf.DUMMYFUNCTION("""COMPUTED_VALUE"""),"BLACK")</f>
        <v>BLACK</v>
      </c>
      <c r="G850" s="20" t="str">
        <f>IFERROR(__xludf.DUMMYFUNCTION("""COMPUTED_VALUE"""),"Uncle Sams Cider (11/12/2021) 02")</f>
        <v>Uncle Sams Cider (11/12/2021) 02</v>
      </c>
      <c r="H850" s="19"/>
    </row>
    <row r="851">
      <c r="A851" s="9"/>
      <c r="B851" s="15"/>
      <c r="C851" s="9">
        <f>IFERROR(__xludf.DUMMYFUNCTION("""COMPUTED_VALUE"""),44596.6858387268)</f>
        <v>44596.68584</v>
      </c>
      <c r="D851" s="15">
        <f>IFERROR(__xludf.DUMMYFUNCTION("""COMPUTED_VALUE"""),1.004)</f>
        <v>1.004</v>
      </c>
      <c r="E851" s="16">
        <f>IFERROR(__xludf.DUMMYFUNCTION("""COMPUTED_VALUE"""),66.0)</f>
        <v>66</v>
      </c>
      <c r="F851" s="19" t="str">
        <f>IFERROR(__xludf.DUMMYFUNCTION("""COMPUTED_VALUE"""),"BLACK")</f>
        <v>BLACK</v>
      </c>
      <c r="G851" s="20" t="str">
        <f>IFERROR(__xludf.DUMMYFUNCTION("""COMPUTED_VALUE"""),"Uncle Sams Cider (11/12/2021) 02")</f>
        <v>Uncle Sams Cider (11/12/2021) 02</v>
      </c>
      <c r="H851" s="19"/>
    </row>
    <row r="852">
      <c r="A852" s="9"/>
      <c r="B852" s="15"/>
      <c r="C852" s="9">
        <f>IFERROR(__xludf.DUMMYFUNCTION("""COMPUTED_VALUE"""),44596.6753925578)</f>
        <v>44596.67539</v>
      </c>
      <c r="D852" s="15">
        <f>IFERROR(__xludf.DUMMYFUNCTION("""COMPUTED_VALUE"""),1.004)</f>
        <v>1.004</v>
      </c>
      <c r="E852" s="16">
        <f>IFERROR(__xludf.DUMMYFUNCTION("""COMPUTED_VALUE"""),66.0)</f>
        <v>66</v>
      </c>
      <c r="F852" s="19" t="str">
        <f>IFERROR(__xludf.DUMMYFUNCTION("""COMPUTED_VALUE"""),"BLACK")</f>
        <v>BLACK</v>
      </c>
      <c r="G852" s="20" t="str">
        <f>IFERROR(__xludf.DUMMYFUNCTION("""COMPUTED_VALUE"""),"Uncle Sams Cider (11/12/2021) 02")</f>
        <v>Uncle Sams Cider (11/12/2021) 02</v>
      </c>
      <c r="H852" s="19"/>
    </row>
    <row r="853">
      <c r="A853" s="9"/>
      <c r="B853" s="15"/>
      <c r="C853" s="9">
        <f>IFERROR(__xludf.DUMMYFUNCTION("""COMPUTED_VALUE"""),44596.664972199)</f>
        <v>44596.66497</v>
      </c>
      <c r="D853" s="15">
        <f>IFERROR(__xludf.DUMMYFUNCTION("""COMPUTED_VALUE"""),1.004)</f>
        <v>1.004</v>
      </c>
      <c r="E853" s="16">
        <f>IFERROR(__xludf.DUMMYFUNCTION("""COMPUTED_VALUE"""),66.0)</f>
        <v>66</v>
      </c>
      <c r="F853" s="19" t="str">
        <f>IFERROR(__xludf.DUMMYFUNCTION("""COMPUTED_VALUE"""),"BLACK")</f>
        <v>BLACK</v>
      </c>
      <c r="G853" s="20" t="str">
        <f>IFERROR(__xludf.DUMMYFUNCTION("""COMPUTED_VALUE"""),"Uncle Sams Cider (11/12/2021) 02")</f>
        <v>Uncle Sams Cider (11/12/2021) 02</v>
      </c>
      <c r="H853" s="19"/>
    </row>
    <row r="854">
      <c r="A854" s="9"/>
      <c r="B854" s="15"/>
      <c r="C854" s="9">
        <f>IFERROR(__xludf.DUMMYFUNCTION("""COMPUTED_VALUE"""),44596.6545392013)</f>
        <v>44596.65454</v>
      </c>
      <c r="D854" s="15">
        <f>IFERROR(__xludf.DUMMYFUNCTION("""COMPUTED_VALUE"""),1.004)</f>
        <v>1.004</v>
      </c>
      <c r="E854" s="16">
        <f>IFERROR(__xludf.DUMMYFUNCTION("""COMPUTED_VALUE"""),66.0)</f>
        <v>66</v>
      </c>
      <c r="F854" s="19" t="str">
        <f>IFERROR(__xludf.DUMMYFUNCTION("""COMPUTED_VALUE"""),"BLACK")</f>
        <v>BLACK</v>
      </c>
      <c r="G854" s="20" t="str">
        <f>IFERROR(__xludf.DUMMYFUNCTION("""COMPUTED_VALUE"""),"Uncle Sams Cider (11/12/2021) 02")</f>
        <v>Uncle Sams Cider (11/12/2021) 02</v>
      </c>
      <c r="H854" s="19"/>
    </row>
    <row r="855">
      <c r="A855" s="9"/>
      <c r="B855" s="15"/>
      <c r="C855" s="9">
        <f>IFERROR(__xludf.DUMMYFUNCTION("""COMPUTED_VALUE"""),44596.6441170601)</f>
        <v>44596.64412</v>
      </c>
      <c r="D855" s="15">
        <f>IFERROR(__xludf.DUMMYFUNCTION("""COMPUTED_VALUE"""),1.004)</f>
        <v>1.004</v>
      </c>
      <c r="E855" s="16">
        <f>IFERROR(__xludf.DUMMYFUNCTION("""COMPUTED_VALUE"""),66.0)</f>
        <v>66</v>
      </c>
      <c r="F855" s="19" t="str">
        <f>IFERROR(__xludf.DUMMYFUNCTION("""COMPUTED_VALUE"""),"BLACK")</f>
        <v>BLACK</v>
      </c>
      <c r="G855" s="20" t="str">
        <f>IFERROR(__xludf.DUMMYFUNCTION("""COMPUTED_VALUE"""),"Uncle Sams Cider (11/12/2021) 02")</f>
        <v>Uncle Sams Cider (11/12/2021) 02</v>
      </c>
      <c r="H855" s="19"/>
    </row>
    <row r="856">
      <c r="A856" s="9"/>
      <c r="B856" s="15"/>
      <c r="C856" s="9">
        <f>IFERROR(__xludf.DUMMYFUNCTION("""COMPUTED_VALUE"""),44596.6336935185)</f>
        <v>44596.63369</v>
      </c>
      <c r="D856" s="15">
        <f>IFERROR(__xludf.DUMMYFUNCTION("""COMPUTED_VALUE"""),1.004)</f>
        <v>1.004</v>
      </c>
      <c r="E856" s="16">
        <f>IFERROR(__xludf.DUMMYFUNCTION("""COMPUTED_VALUE"""),66.0)</f>
        <v>66</v>
      </c>
      <c r="F856" s="19" t="str">
        <f>IFERROR(__xludf.DUMMYFUNCTION("""COMPUTED_VALUE"""),"BLACK")</f>
        <v>BLACK</v>
      </c>
      <c r="G856" s="20" t="str">
        <f>IFERROR(__xludf.DUMMYFUNCTION("""COMPUTED_VALUE"""),"Uncle Sams Cider (11/12/2021) 02")</f>
        <v>Uncle Sams Cider (11/12/2021) 02</v>
      </c>
      <c r="H856" s="19"/>
    </row>
    <row r="857">
      <c r="A857" s="9"/>
      <c r="B857" s="15"/>
      <c r="C857" s="9">
        <f>IFERROR(__xludf.DUMMYFUNCTION("""COMPUTED_VALUE"""),44596.6232484143)</f>
        <v>44596.62325</v>
      </c>
      <c r="D857" s="15">
        <f>IFERROR(__xludf.DUMMYFUNCTION("""COMPUTED_VALUE"""),1.004)</f>
        <v>1.004</v>
      </c>
      <c r="E857" s="16">
        <f>IFERROR(__xludf.DUMMYFUNCTION("""COMPUTED_VALUE"""),66.0)</f>
        <v>66</v>
      </c>
      <c r="F857" s="19" t="str">
        <f>IFERROR(__xludf.DUMMYFUNCTION("""COMPUTED_VALUE"""),"BLACK")</f>
        <v>BLACK</v>
      </c>
      <c r="G857" s="20" t="str">
        <f>IFERROR(__xludf.DUMMYFUNCTION("""COMPUTED_VALUE"""),"Uncle Sams Cider (11/12/2021) 02")</f>
        <v>Uncle Sams Cider (11/12/2021) 02</v>
      </c>
      <c r="H857" s="19"/>
    </row>
    <row r="858">
      <c r="A858" s="9"/>
      <c r="B858" s="15"/>
      <c r="C858" s="9">
        <f>IFERROR(__xludf.DUMMYFUNCTION("""COMPUTED_VALUE"""),44596.6128054282)</f>
        <v>44596.61281</v>
      </c>
      <c r="D858" s="15">
        <f>IFERROR(__xludf.DUMMYFUNCTION("""COMPUTED_VALUE"""),1.004)</f>
        <v>1.004</v>
      </c>
      <c r="E858" s="16">
        <f>IFERROR(__xludf.DUMMYFUNCTION("""COMPUTED_VALUE"""),66.0)</f>
        <v>66</v>
      </c>
      <c r="F858" s="19" t="str">
        <f>IFERROR(__xludf.DUMMYFUNCTION("""COMPUTED_VALUE"""),"BLACK")</f>
        <v>BLACK</v>
      </c>
      <c r="G858" s="20" t="str">
        <f>IFERROR(__xludf.DUMMYFUNCTION("""COMPUTED_VALUE"""),"Uncle Sams Cider (11/12/2021) 02")</f>
        <v>Uncle Sams Cider (11/12/2021) 02</v>
      </c>
      <c r="H858" s="19"/>
    </row>
    <row r="859">
      <c r="A859" s="9"/>
      <c r="B859" s="15"/>
      <c r="C859" s="9">
        <f>IFERROR(__xludf.DUMMYFUNCTION("""COMPUTED_VALUE"""),44596.6023822106)</f>
        <v>44596.60238</v>
      </c>
      <c r="D859" s="15">
        <f>IFERROR(__xludf.DUMMYFUNCTION("""COMPUTED_VALUE"""),1.004)</f>
        <v>1.004</v>
      </c>
      <c r="E859" s="16">
        <f>IFERROR(__xludf.DUMMYFUNCTION("""COMPUTED_VALUE"""),67.0)</f>
        <v>67</v>
      </c>
      <c r="F859" s="19" t="str">
        <f>IFERROR(__xludf.DUMMYFUNCTION("""COMPUTED_VALUE"""),"BLACK")</f>
        <v>BLACK</v>
      </c>
      <c r="G859" s="20" t="str">
        <f>IFERROR(__xludf.DUMMYFUNCTION("""COMPUTED_VALUE"""),"Uncle Sams Cider (11/12/2021) 02")</f>
        <v>Uncle Sams Cider (11/12/2021) 02</v>
      </c>
      <c r="H859" s="19"/>
    </row>
    <row r="860">
      <c r="A860" s="9"/>
      <c r="B860" s="15"/>
      <c r="C860" s="9">
        <f>IFERROR(__xludf.DUMMYFUNCTION("""COMPUTED_VALUE"""),44596.5919255786)</f>
        <v>44596.59193</v>
      </c>
      <c r="D860" s="15">
        <f>IFERROR(__xludf.DUMMYFUNCTION("""COMPUTED_VALUE"""),1.004)</f>
        <v>1.004</v>
      </c>
      <c r="E860" s="16">
        <f>IFERROR(__xludf.DUMMYFUNCTION("""COMPUTED_VALUE"""),67.0)</f>
        <v>67</v>
      </c>
      <c r="F860" s="19" t="str">
        <f>IFERROR(__xludf.DUMMYFUNCTION("""COMPUTED_VALUE"""),"BLACK")</f>
        <v>BLACK</v>
      </c>
      <c r="G860" s="20" t="str">
        <f>IFERROR(__xludf.DUMMYFUNCTION("""COMPUTED_VALUE"""),"Uncle Sams Cider (11/12/2021) 02")</f>
        <v>Uncle Sams Cider (11/12/2021) 02</v>
      </c>
      <c r="H860" s="19"/>
    </row>
    <row r="861">
      <c r="A861" s="9"/>
      <c r="B861" s="15"/>
      <c r="C861" s="9">
        <f>IFERROR(__xludf.DUMMYFUNCTION("""COMPUTED_VALUE"""),44596.5815034375)</f>
        <v>44596.5815</v>
      </c>
      <c r="D861" s="15">
        <f>IFERROR(__xludf.DUMMYFUNCTION("""COMPUTED_VALUE"""),1.004)</f>
        <v>1.004</v>
      </c>
      <c r="E861" s="16">
        <f>IFERROR(__xludf.DUMMYFUNCTION("""COMPUTED_VALUE"""),67.0)</f>
        <v>67</v>
      </c>
      <c r="F861" s="19" t="str">
        <f>IFERROR(__xludf.DUMMYFUNCTION("""COMPUTED_VALUE"""),"BLACK")</f>
        <v>BLACK</v>
      </c>
      <c r="G861" s="20" t="str">
        <f>IFERROR(__xludf.DUMMYFUNCTION("""COMPUTED_VALUE"""),"Uncle Sams Cider (11/12/2021) 02")</f>
        <v>Uncle Sams Cider (11/12/2021) 02</v>
      </c>
      <c r="H861" s="19"/>
    </row>
    <row r="862">
      <c r="A862" s="9"/>
      <c r="B862" s="15"/>
      <c r="C862" s="9">
        <f>IFERROR(__xludf.DUMMYFUNCTION("""COMPUTED_VALUE"""),44596.5710582175)</f>
        <v>44596.57106</v>
      </c>
      <c r="D862" s="15">
        <f>IFERROR(__xludf.DUMMYFUNCTION("""COMPUTED_VALUE"""),1.004)</f>
        <v>1.004</v>
      </c>
      <c r="E862" s="16">
        <f>IFERROR(__xludf.DUMMYFUNCTION("""COMPUTED_VALUE"""),67.0)</f>
        <v>67</v>
      </c>
      <c r="F862" s="19" t="str">
        <f>IFERROR(__xludf.DUMMYFUNCTION("""COMPUTED_VALUE"""),"BLACK")</f>
        <v>BLACK</v>
      </c>
      <c r="G862" s="20" t="str">
        <f>IFERROR(__xludf.DUMMYFUNCTION("""COMPUTED_VALUE"""),"Uncle Sams Cider (11/12/2021) 02")</f>
        <v>Uncle Sams Cider (11/12/2021) 02</v>
      </c>
      <c r="H862" s="19"/>
    </row>
    <row r="863">
      <c r="A863" s="9"/>
      <c r="B863" s="15"/>
      <c r="C863" s="9">
        <f>IFERROR(__xludf.DUMMYFUNCTION("""COMPUTED_VALUE"""),44596.5606256944)</f>
        <v>44596.56063</v>
      </c>
      <c r="D863" s="15">
        <f>IFERROR(__xludf.DUMMYFUNCTION("""COMPUTED_VALUE"""),1.004)</f>
        <v>1.004</v>
      </c>
      <c r="E863" s="16">
        <f>IFERROR(__xludf.DUMMYFUNCTION("""COMPUTED_VALUE"""),67.0)</f>
        <v>67</v>
      </c>
      <c r="F863" s="19" t="str">
        <f>IFERROR(__xludf.DUMMYFUNCTION("""COMPUTED_VALUE"""),"BLACK")</f>
        <v>BLACK</v>
      </c>
      <c r="G863" s="20" t="str">
        <f>IFERROR(__xludf.DUMMYFUNCTION("""COMPUTED_VALUE"""),"Uncle Sams Cider (11/12/2021) 02")</f>
        <v>Uncle Sams Cider (11/12/2021) 02</v>
      </c>
      <c r="H863" s="19"/>
    </row>
    <row r="864">
      <c r="A864" s="9"/>
      <c r="B864" s="15"/>
      <c r="C864" s="9">
        <f>IFERROR(__xludf.DUMMYFUNCTION("""COMPUTED_VALUE"""),44596.5502052777)</f>
        <v>44596.55021</v>
      </c>
      <c r="D864" s="15">
        <f>IFERROR(__xludf.DUMMYFUNCTION("""COMPUTED_VALUE"""),1.004)</f>
        <v>1.004</v>
      </c>
      <c r="E864" s="16">
        <f>IFERROR(__xludf.DUMMYFUNCTION("""COMPUTED_VALUE"""),67.0)</f>
        <v>67</v>
      </c>
      <c r="F864" s="19" t="str">
        <f>IFERROR(__xludf.DUMMYFUNCTION("""COMPUTED_VALUE"""),"BLACK")</f>
        <v>BLACK</v>
      </c>
      <c r="G864" s="20" t="str">
        <f>IFERROR(__xludf.DUMMYFUNCTION("""COMPUTED_VALUE"""),"Uncle Sams Cider (11/12/2021) 02")</f>
        <v>Uncle Sams Cider (11/12/2021) 02</v>
      </c>
      <c r="H864" s="19"/>
    </row>
    <row r="865">
      <c r="A865" s="9"/>
      <c r="B865" s="15"/>
      <c r="C865" s="9">
        <f>IFERROR(__xludf.DUMMYFUNCTION("""COMPUTED_VALUE"""),44596.5397510648)</f>
        <v>44596.53975</v>
      </c>
      <c r="D865" s="15">
        <f>IFERROR(__xludf.DUMMYFUNCTION("""COMPUTED_VALUE"""),1.004)</f>
        <v>1.004</v>
      </c>
      <c r="E865" s="16">
        <f>IFERROR(__xludf.DUMMYFUNCTION("""COMPUTED_VALUE"""),67.0)</f>
        <v>67</v>
      </c>
      <c r="F865" s="19" t="str">
        <f>IFERROR(__xludf.DUMMYFUNCTION("""COMPUTED_VALUE"""),"BLACK")</f>
        <v>BLACK</v>
      </c>
      <c r="G865" s="20" t="str">
        <f>IFERROR(__xludf.DUMMYFUNCTION("""COMPUTED_VALUE"""),"Uncle Sams Cider (11/12/2021) 02")</f>
        <v>Uncle Sams Cider (11/12/2021) 02</v>
      </c>
      <c r="H865" s="19"/>
    </row>
    <row r="866">
      <c r="A866" s="9"/>
      <c r="B866" s="15"/>
      <c r="C866" s="9">
        <f>IFERROR(__xludf.DUMMYFUNCTION("""COMPUTED_VALUE"""),44596.5292960995)</f>
        <v>44596.5293</v>
      </c>
      <c r="D866" s="15">
        <f>IFERROR(__xludf.DUMMYFUNCTION("""COMPUTED_VALUE"""),1.004)</f>
        <v>1.004</v>
      </c>
      <c r="E866" s="16">
        <f>IFERROR(__xludf.DUMMYFUNCTION("""COMPUTED_VALUE"""),67.0)</f>
        <v>67</v>
      </c>
      <c r="F866" s="19" t="str">
        <f>IFERROR(__xludf.DUMMYFUNCTION("""COMPUTED_VALUE"""),"BLACK")</f>
        <v>BLACK</v>
      </c>
      <c r="G866" s="20" t="str">
        <f>IFERROR(__xludf.DUMMYFUNCTION("""COMPUTED_VALUE"""),"Uncle Sams Cider (11/12/2021) 02")</f>
        <v>Uncle Sams Cider (11/12/2021) 02</v>
      </c>
      <c r="H866" s="19"/>
    </row>
    <row r="867">
      <c r="A867" s="9"/>
      <c r="B867" s="15"/>
      <c r="C867" s="9">
        <f>IFERROR(__xludf.DUMMYFUNCTION("""COMPUTED_VALUE"""),44596.5188765162)</f>
        <v>44596.51888</v>
      </c>
      <c r="D867" s="15">
        <f>IFERROR(__xludf.DUMMYFUNCTION("""COMPUTED_VALUE"""),1.004)</f>
        <v>1.004</v>
      </c>
      <c r="E867" s="16">
        <f>IFERROR(__xludf.DUMMYFUNCTION("""COMPUTED_VALUE"""),67.0)</f>
        <v>67</v>
      </c>
      <c r="F867" s="19" t="str">
        <f>IFERROR(__xludf.DUMMYFUNCTION("""COMPUTED_VALUE"""),"BLACK")</f>
        <v>BLACK</v>
      </c>
      <c r="G867" s="20" t="str">
        <f>IFERROR(__xludf.DUMMYFUNCTION("""COMPUTED_VALUE"""),"Uncle Sams Cider (11/12/2021) 02")</f>
        <v>Uncle Sams Cider (11/12/2021) 02</v>
      </c>
      <c r="H867" s="19"/>
    </row>
    <row r="868">
      <c r="A868" s="9"/>
      <c r="B868" s="15"/>
      <c r="C868" s="9">
        <f>IFERROR(__xludf.DUMMYFUNCTION("""COMPUTED_VALUE"""),44596.5084543287)</f>
        <v>44596.50845</v>
      </c>
      <c r="D868" s="15">
        <f>IFERROR(__xludf.DUMMYFUNCTION("""COMPUTED_VALUE"""),1.004)</f>
        <v>1.004</v>
      </c>
      <c r="E868" s="16">
        <f>IFERROR(__xludf.DUMMYFUNCTION("""COMPUTED_VALUE"""),67.0)</f>
        <v>67</v>
      </c>
      <c r="F868" s="19" t="str">
        <f>IFERROR(__xludf.DUMMYFUNCTION("""COMPUTED_VALUE"""),"BLACK")</f>
        <v>BLACK</v>
      </c>
      <c r="G868" s="20" t="str">
        <f>IFERROR(__xludf.DUMMYFUNCTION("""COMPUTED_VALUE"""),"Uncle Sams Cider (11/12/2021) 02")</f>
        <v>Uncle Sams Cider (11/12/2021) 02</v>
      </c>
      <c r="H868" s="19"/>
    </row>
    <row r="869">
      <c r="A869" s="9"/>
      <c r="B869" s="15"/>
      <c r="C869" s="9">
        <f>IFERROR(__xludf.DUMMYFUNCTION("""COMPUTED_VALUE"""),44596.4980223842)</f>
        <v>44596.49802</v>
      </c>
      <c r="D869" s="15">
        <f>IFERROR(__xludf.DUMMYFUNCTION("""COMPUTED_VALUE"""),1.004)</f>
        <v>1.004</v>
      </c>
      <c r="E869" s="16">
        <f>IFERROR(__xludf.DUMMYFUNCTION("""COMPUTED_VALUE"""),67.0)</f>
        <v>67</v>
      </c>
      <c r="F869" s="19" t="str">
        <f>IFERROR(__xludf.DUMMYFUNCTION("""COMPUTED_VALUE"""),"BLACK")</f>
        <v>BLACK</v>
      </c>
      <c r="G869" s="20" t="str">
        <f>IFERROR(__xludf.DUMMYFUNCTION("""COMPUTED_VALUE"""),"Uncle Sams Cider (11/12/2021) 02")</f>
        <v>Uncle Sams Cider (11/12/2021) 02</v>
      </c>
      <c r="H869" s="19"/>
    </row>
    <row r="870">
      <c r="A870" s="9"/>
      <c r="B870" s="15"/>
      <c r="C870" s="9">
        <f>IFERROR(__xludf.DUMMYFUNCTION("""COMPUTED_VALUE"""),44596.4875898958)</f>
        <v>44596.48759</v>
      </c>
      <c r="D870" s="15">
        <f>IFERROR(__xludf.DUMMYFUNCTION("""COMPUTED_VALUE"""),1.004)</f>
        <v>1.004</v>
      </c>
      <c r="E870" s="16">
        <f>IFERROR(__xludf.DUMMYFUNCTION("""COMPUTED_VALUE"""),67.0)</f>
        <v>67</v>
      </c>
      <c r="F870" s="19" t="str">
        <f>IFERROR(__xludf.DUMMYFUNCTION("""COMPUTED_VALUE"""),"BLACK")</f>
        <v>BLACK</v>
      </c>
      <c r="G870" s="20" t="str">
        <f>IFERROR(__xludf.DUMMYFUNCTION("""COMPUTED_VALUE"""),"Uncle Sams Cider (11/12/2021) 02")</f>
        <v>Uncle Sams Cider (11/12/2021) 02</v>
      </c>
      <c r="H870" s="19"/>
    </row>
    <row r="871">
      <c r="A871" s="9"/>
      <c r="B871" s="15"/>
      <c r="C871" s="9">
        <f>IFERROR(__xludf.DUMMYFUNCTION("""COMPUTED_VALUE"""),44596.4771588657)</f>
        <v>44596.47716</v>
      </c>
      <c r="D871" s="15">
        <f>IFERROR(__xludf.DUMMYFUNCTION("""COMPUTED_VALUE"""),1.004)</f>
        <v>1.004</v>
      </c>
      <c r="E871" s="16">
        <f>IFERROR(__xludf.DUMMYFUNCTION("""COMPUTED_VALUE"""),67.0)</f>
        <v>67</v>
      </c>
      <c r="F871" s="19" t="str">
        <f>IFERROR(__xludf.DUMMYFUNCTION("""COMPUTED_VALUE"""),"BLACK")</f>
        <v>BLACK</v>
      </c>
      <c r="G871" s="20" t="str">
        <f>IFERROR(__xludf.DUMMYFUNCTION("""COMPUTED_VALUE"""),"Uncle Sams Cider (11/12/2021) 02")</f>
        <v>Uncle Sams Cider (11/12/2021) 02</v>
      </c>
      <c r="H871" s="19"/>
    </row>
    <row r="872">
      <c r="A872" s="9"/>
      <c r="B872" s="15"/>
      <c r="C872" s="9">
        <f>IFERROR(__xludf.DUMMYFUNCTION("""COMPUTED_VALUE"""),44596.466690625)</f>
        <v>44596.46669</v>
      </c>
      <c r="D872" s="15">
        <f>IFERROR(__xludf.DUMMYFUNCTION("""COMPUTED_VALUE"""),1.004)</f>
        <v>1.004</v>
      </c>
      <c r="E872" s="16">
        <f>IFERROR(__xludf.DUMMYFUNCTION("""COMPUTED_VALUE"""),67.0)</f>
        <v>67</v>
      </c>
      <c r="F872" s="19" t="str">
        <f>IFERROR(__xludf.DUMMYFUNCTION("""COMPUTED_VALUE"""),"BLACK")</f>
        <v>BLACK</v>
      </c>
      <c r="G872" s="20" t="str">
        <f>IFERROR(__xludf.DUMMYFUNCTION("""COMPUTED_VALUE"""),"Uncle Sams Cider (11/12/2021) 02")</f>
        <v>Uncle Sams Cider (11/12/2021) 02</v>
      </c>
      <c r="H872" s="19"/>
    </row>
    <row r="873">
      <c r="A873" s="9"/>
      <c r="B873" s="15"/>
      <c r="C873" s="9">
        <f>IFERROR(__xludf.DUMMYFUNCTION("""COMPUTED_VALUE"""),44596.4562706713)</f>
        <v>44596.45627</v>
      </c>
      <c r="D873" s="15">
        <f>IFERROR(__xludf.DUMMYFUNCTION("""COMPUTED_VALUE"""),1.004)</f>
        <v>1.004</v>
      </c>
      <c r="E873" s="16">
        <f>IFERROR(__xludf.DUMMYFUNCTION("""COMPUTED_VALUE"""),67.0)</f>
        <v>67</v>
      </c>
      <c r="F873" s="19" t="str">
        <f>IFERROR(__xludf.DUMMYFUNCTION("""COMPUTED_VALUE"""),"BLACK")</f>
        <v>BLACK</v>
      </c>
      <c r="G873" s="20" t="str">
        <f>IFERROR(__xludf.DUMMYFUNCTION("""COMPUTED_VALUE"""),"Uncle Sams Cider (11/12/2021) 02")</f>
        <v>Uncle Sams Cider (11/12/2021) 02</v>
      </c>
      <c r="H873" s="19"/>
    </row>
    <row r="874">
      <c r="A874" s="9"/>
      <c r="B874" s="15"/>
      <c r="C874" s="9">
        <f>IFERROR(__xludf.DUMMYFUNCTION("""COMPUTED_VALUE"""),44596.4458132291)</f>
        <v>44596.44581</v>
      </c>
      <c r="D874" s="15">
        <f>IFERROR(__xludf.DUMMYFUNCTION("""COMPUTED_VALUE"""),1.004)</f>
        <v>1.004</v>
      </c>
      <c r="E874" s="16">
        <f>IFERROR(__xludf.DUMMYFUNCTION("""COMPUTED_VALUE"""),67.0)</f>
        <v>67</v>
      </c>
      <c r="F874" s="19" t="str">
        <f>IFERROR(__xludf.DUMMYFUNCTION("""COMPUTED_VALUE"""),"BLACK")</f>
        <v>BLACK</v>
      </c>
      <c r="G874" s="20" t="str">
        <f>IFERROR(__xludf.DUMMYFUNCTION("""COMPUTED_VALUE"""),"Uncle Sams Cider (11/12/2021) 02")</f>
        <v>Uncle Sams Cider (11/12/2021) 02</v>
      </c>
      <c r="H874" s="19"/>
    </row>
    <row r="875">
      <c r="A875" s="9"/>
      <c r="B875" s="15"/>
      <c r="C875" s="9">
        <f>IFERROR(__xludf.DUMMYFUNCTION("""COMPUTED_VALUE"""),44596.435391574)</f>
        <v>44596.43539</v>
      </c>
      <c r="D875" s="15">
        <f>IFERROR(__xludf.DUMMYFUNCTION("""COMPUTED_VALUE"""),1.004)</f>
        <v>1.004</v>
      </c>
      <c r="E875" s="16">
        <f>IFERROR(__xludf.DUMMYFUNCTION("""COMPUTED_VALUE"""),67.0)</f>
        <v>67</v>
      </c>
      <c r="F875" s="19" t="str">
        <f>IFERROR(__xludf.DUMMYFUNCTION("""COMPUTED_VALUE"""),"BLACK")</f>
        <v>BLACK</v>
      </c>
      <c r="G875" s="20" t="str">
        <f>IFERROR(__xludf.DUMMYFUNCTION("""COMPUTED_VALUE"""),"Uncle Sams Cider (11/12/2021) 02")</f>
        <v>Uncle Sams Cider (11/12/2021) 02</v>
      </c>
      <c r="H875" s="19"/>
    </row>
    <row r="876">
      <c r="A876" s="9"/>
      <c r="B876" s="15"/>
      <c r="C876" s="9">
        <f>IFERROR(__xludf.DUMMYFUNCTION("""COMPUTED_VALUE"""),44596.4249459027)</f>
        <v>44596.42495</v>
      </c>
      <c r="D876" s="15">
        <f>IFERROR(__xludf.DUMMYFUNCTION("""COMPUTED_VALUE"""),1.004)</f>
        <v>1.004</v>
      </c>
      <c r="E876" s="16">
        <f>IFERROR(__xludf.DUMMYFUNCTION("""COMPUTED_VALUE"""),67.0)</f>
        <v>67</v>
      </c>
      <c r="F876" s="19" t="str">
        <f>IFERROR(__xludf.DUMMYFUNCTION("""COMPUTED_VALUE"""),"BLACK")</f>
        <v>BLACK</v>
      </c>
      <c r="G876" s="20" t="str">
        <f>IFERROR(__xludf.DUMMYFUNCTION("""COMPUTED_VALUE"""),"Uncle Sams Cider (11/12/2021) 02")</f>
        <v>Uncle Sams Cider (11/12/2021) 02</v>
      </c>
      <c r="H876" s="19"/>
    </row>
    <row r="877">
      <c r="A877" s="9"/>
      <c r="B877" s="15"/>
      <c r="C877" s="9">
        <f>IFERROR(__xludf.DUMMYFUNCTION("""COMPUTED_VALUE"""),44596.4145236111)</f>
        <v>44596.41452</v>
      </c>
      <c r="D877" s="15">
        <f>IFERROR(__xludf.DUMMYFUNCTION("""COMPUTED_VALUE"""),1.004)</f>
        <v>1.004</v>
      </c>
      <c r="E877" s="16">
        <f>IFERROR(__xludf.DUMMYFUNCTION("""COMPUTED_VALUE"""),67.0)</f>
        <v>67</v>
      </c>
      <c r="F877" s="19" t="str">
        <f>IFERROR(__xludf.DUMMYFUNCTION("""COMPUTED_VALUE"""),"BLACK")</f>
        <v>BLACK</v>
      </c>
      <c r="G877" s="20" t="str">
        <f>IFERROR(__xludf.DUMMYFUNCTION("""COMPUTED_VALUE"""),"Uncle Sams Cider (11/12/2021) 02")</f>
        <v>Uncle Sams Cider (11/12/2021) 02</v>
      </c>
      <c r="H877" s="19"/>
    </row>
    <row r="878">
      <c r="A878" s="9"/>
      <c r="B878" s="15"/>
      <c r="C878" s="9">
        <f>IFERROR(__xludf.DUMMYFUNCTION("""COMPUTED_VALUE"""),44596.4041026273)</f>
        <v>44596.4041</v>
      </c>
      <c r="D878" s="15">
        <f>IFERROR(__xludf.DUMMYFUNCTION("""COMPUTED_VALUE"""),1.004)</f>
        <v>1.004</v>
      </c>
      <c r="E878" s="16">
        <f>IFERROR(__xludf.DUMMYFUNCTION("""COMPUTED_VALUE"""),67.0)</f>
        <v>67</v>
      </c>
      <c r="F878" s="19" t="str">
        <f>IFERROR(__xludf.DUMMYFUNCTION("""COMPUTED_VALUE"""),"BLACK")</f>
        <v>BLACK</v>
      </c>
      <c r="G878" s="20" t="str">
        <f>IFERROR(__xludf.DUMMYFUNCTION("""COMPUTED_VALUE"""),"Uncle Sams Cider (11/12/2021) 02")</f>
        <v>Uncle Sams Cider (11/12/2021) 02</v>
      </c>
      <c r="H878" s="19"/>
    </row>
    <row r="879">
      <c r="A879" s="9"/>
      <c r="B879" s="15"/>
      <c r="C879" s="9">
        <f>IFERROR(__xludf.DUMMYFUNCTION("""COMPUTED_VALUE"""),44596.3936820717)</f>
        <v>44596.39368</v>
      </c>
      <c r="D879" s="15">
        <f>IFERROR(__xludf.DUMMYFUNCTION("""COMPUTED_VALUE"""),1.004)</f>
        <v>1.004</v>
      </c>
      <c r="E879" s="16">
        <f>IFERROR(__xludf.DUMMYFUNCTION("""COMPUTED_VALUE"""),67.0)</f>
        <v>67</v>
      </c>
      <c r="F879" s="19" t="str">
        <f>IFERROR(__xludf.DUMMYFUNCTION("""COMPUTED_VALUE"""),"BLACK")</f>
        <v>BLACK</v>
      </c>
      <c r="G879" s="20" t="str">
        <f>IFERROR(__xludf.DUMMYFUNCTION("""COMPUTED_VALUE"""),"Uncle Sams Cider (11/12/2021) 02")</f>
        <v>Uncle Sams Cider (11/12/2021) 02</v>
      </c>
      <c r="H879" s="19"/>
    </row>
    <row r="880">
      <c r="A880" s="9"/>
      <c r="B880" s="15"/>
      <c r="C880" s="9">
        <f>IFERROR(__xludf.DUMMYFUNCTION("""COMPUTED_VALUE"""),44596.3832595833)</f>
        <v>44596.38326</v>
      </c>
      <c r="D880" s="15">
        <f>IFERROR(__xludf.DUMMYFUNCTION("""COMPUTED_VALUE"""),1.004)</f>
        <v>1.004</v>
      </c>
      <c r="E880" s="16">
        <f>IFERROR(__xludf.DUMMYFUNCTION("""COMPUTED_VALUE"""),67.0)</f>
        <v>67</v>
      </c>
      <c r="F880" s="19" t="str">
        <f>IFERROR(__xludf.DUMMYFUNCTION("""COMPUTED_VALUE"""),"BLACK")</f>
        <v>BLACK</v>
      </c>
      <c r="G880" s="20" t="str">
        <f>IFERROR(__xludf.DUMMYFUNCTION("""COMPUTED_VALUE"""),"Uncle Sams Cider (11/12/2021) 02")</f>
        <v>Uncle Sams Cider (11/12/2021) 02</v>
      </c>
      <c r="H880" s="19"/>
    </row>
    <row r="881">
      <c r="A881" s="9"/>
      <c r="B881" s="15"/>
      <c r="C881" s="9">
        <f>IFERROR(__xludf.DUMMYFUNCTION("""COMPUTED_VALUE"""),44596.3728383564)</f>
        <v>44596.37284</v>
      </c>
      <c r="D881" s="15">
        <f>IFERROR(__xludf.DUMMYFUNCTION("""COMPUTED_VALUE"""),1.004)</f>
        <v>1.004</v>
      </c>
      <c r="E881" s="16">
        <f>IFERROR(__xludf.DUMMYFUNCTION("""COMPUTED_VALUE"""),67.0)</f>
        <v>67</v>
      </c>
      <c r="F881" s="19" t="str">
        <f>IFERROR(__xludf.DUMMYFUNCTION("""COMPUTED_VALUE"""),"BLACK")</f>
        <v>BLACK</v>
      </c>
      <c r="G881" s="20" t="str">
        <f>IFERROR(__xludf.DUMMYFUNCTION("""COMPUTED_VALUE"""),"Uncle Sams Cider (11/12/2021) 02")</f>
        <v>Uncle Sams Cider (11/12/2021) 02</v>
      </c>
      <c r="H881" s="19"/>
    </row>
    <row r="882">
      <c r="A882" s="9"/>
      <c r="B882" s="15"/>
      <c r="C882" s="9">
        <f>IFERROR(__xludf.DUMMYFUNCTION("""COMPUTED_VALUE"""),44596.3624168981)</f>
        <v>44596.36242</v>
      </c>
      <c r="D882" s="15">
        <f>IFERROR(__xludf.DUMMYFUNCTION("""COMPUTED_VALUE"""),1.004)</f>
        <v>1.004</v>
      </c>
      <c r="E882" s="16">
        <f>IFERROR(__xludf.DUMMYFUNCTION("""COMPUTED_VALUE"""),67.0)</f>
        <v>67</v>
      </c>
      <c r="F882" s="19" t="str">
        <f>IFERROR(__xludf.DUMMYFUNCTION("""COMPUTED_VALUE"""),"BLACK")</f>
        <v>BLACK</v>
      </c>
      <c r="G882" s="20" t="str">
        <f>IFERROR(__xludf.DUMMYFUNCTION("""COMPUTED_VALUE"""),"Uncle Sams Cider (11/12/2021) 02")</f>
        <v>Uncle Sams Cider (11/12/2021) 02</v>
      </c>
      <c r="H882" s="19"/>
    </row>
    <row r="883">
      <c r="A883" s="9"/>
      <c r="B883" s="15"/>
      <c r="C883" s="9">
        <f>IFERROR(__xludf.DUMMYFUNCTION("""COMPUTED_VALUE"""),44596.3519943055)</f>
        <v>44596.35199</v>
      </c>
      <c r="D883" s="15">
        <f>IFERROR(__xludf.DUMMYFUNCTION("""COMPUTED_VALUE"""),1.004)</f>
        <v>1.004</v>
      </c>
      <c r="E883" s="16">
        <f>IFERROR(__xludf.DUMMYFUNCTION("""COMPUTED_VALUE"""),67.0)</f>
        <v>67</v>
      </c>
      <c r="F883" s="19" t="str">
        <f>IFERROR(__xludf.DUMMYFUNCTION("""COMPUTED_VALUE"""),"BLACK")</f>
        <v>BLACK</v>
      </c>
      <c r="G883" s="20" t="str">
        <f>IFERROR(__xludf.DUMMYFUNCTION("""COMPUTED_VALUE"""),"Uncle Sams Cider (11/12/2021) 02")</f>
        <v>Uncle Sams Cider (11/12/2021) 02</v>
      </c>
      <c r="H883" s="19"/>
    </row>
    <row r="884">
      <c r="A884" s="9"/>
      <c r="B884" s="15"/>
      <c r="C884" s="9">
        <f>IFERROR(__xludf.DUMMYFUNCTION("""COMPUTED_VALUE"""),44596.3415730208)</f>
        <v>44596.34157</v>
      </c>
      <c r="D884" s="15">
        <f>IFERROR(__xludf.DUMMYFUNCTION("""COMPUTED_VALUE"""),1.004)</f>
        <v>1.004</v>
      </c>
      <c r="E884" s="16">
        <f>IFERROR(__xludf.DUMMYFUNCTION("""COMPUTED_VALUE"""),67.0)</f>
        <v>67</v>
      </c>
      <c r="F884" s="19" t="str">
        <f>IFERROR(__xludf.DUMMYFUNCTION("""COMPUTED_VALUE"""),"BLACK")</f>
        <v>BLACK</v>
      </c>
      <c r="G884" s="20" t="str">
        <f>IFERROR(__xludf.DUMMYFUNCTION("""COMPUTED_VALUE"""),"Uncle Sams Cider (11/12/2021) 02")</f>
        <v>Uncle Sams Cider (11/12/2021) 02</v>
      </c>
      <c r="H884" s="19"/>
    </row>
    <row r="885">
      <c r="A885" s="9"/>
      <c r="B885" s="15"/>
      <c r="C885" s="9">
        <f>IFERROR(__xludf.DUMMYFUNCTION("""COMPUTED_VALUE"""),44596.3311517708)</f>
        <v>44596.33115</v>
      </c>
      <c r="D885" s="15">
        <f>IFERROR(__xludf.DUMMYFUNCTION("""COMPUTED_VALUE"""),1.004)</f>
        <v>1.004</v>
      </c>
      <c r="E885" s="16">
        <f>IFERROR(__xludf.DUMMYFUNCTION("""COMPUTED_VALUE"""),67.0)</f>
        <v>67</v>
      </c>
      <c r="F885" s="19" t="str">
        <f>IFERROR(__xludf.DUMMYFUNCTION("""COMPUTED_VALUE"""),"BLACK")</f>
        <v>BLACK</v>
      </c>
      <c r="G885" s="20" t="str">
        <f>IFERROR(__xludf.DUMMYFUNCTION("""COMPUTED_VALUE"""),"Uncle Sams Cider (11/12/2021) 02")</f>
        <v>Uncle Sams Cider (11/12/2021) 02</v>
      </c>
      <c r="H885" s="19"/>
    </row>
    <row r="886">
      <c r="A886" s="9"/>
      <c r="B886" s="15"/>
      <c r="C886" s="9">
        <f>IFERROR(__xludf.DUMMYFUNCTION("""COMPUTED_VALUE"""),44596.3207182291)</f>
        <v>44596.32072</v>
      </c>
      <c r="D886" s="15">
        <f>IFERROR(__xludf.DUMMYFUNCTION("""COMPUTED_VALUE"""),1.004)</f>
        <v>1.004</v>
      </c>
      <c r="E886" s="16">
        <f>IFERROR(__xludf.DUMMYFUNCTION("""COMPUTED_VALUE"""),67.0)</f>
        <v>67</v>
      </c>
      <c r="F886" s="19" t="str">
        <f>IFERROR(__xludf.DUMMYFUNCTION("""COMPUTED_VALUE"""),"BLACK")</f>
        <v>BLACK</v>
      </c>
      <c r="G886" s="20" t="str">
        <f>IFERROR(__xludf.DUMMYFUNCTION("""COMPUTED_VALUE"""),"Uncle Sams Cider (11/12/2021) 02")</f>
        <v>Uncle Sams Cider (11/12/2021) 02</v>
      </c>
      <c r="H886" s="19"/>
    </row>
    <row r="887">
      <c r="A887" s="9"/>
      <c r="B887" s="15"/>
      <c r="C887" s="9">
        <f>IFERROR(__xludf.DUMMYFUNCTION("""COMPUTED_VALUE"""),44596.3102981597)</f>
        <v>44596.3103</v>
      </c>
      <c r="D887" s="15">
        <f>IFERROR(__xludf.DUMMYFUNCTION("""COMPUTED_VALUE"""),1.004)</f>
        <v>1.004</v>
      </c>
      <c r="E887" s="16">
        <f>IFERROR(__xludf.DUMMYFUNCTION("""COMPUTED_VALUE"""),67.0)</f>
        <v>67</v>
      </c>
      <c r="F887" s="19" t="str">
        <f>IFERROR(__xludf.DUMMYFUNCTION("""COMPUTED_VALUE"""),"BLACK")</f>
        <v>BLACK</v>
      </c>
      <c r="G887" s="20" t="str">
        <f>IFERROR(__xludf.DUMMYFUNCTION("""COMPUTED_VALUE"""),"Uncle Sams Cider (11/12/2021) 02")</f>
        <v>Uncle Sams Cider (11/12/2021) 02</v>
      </c>
      <c r="H887" s="19"/>
    </row>
    <row r="888">
      <c r="A888" s="9"/>
      <c r="B888" s="15"/>
      <c r="C888" s="9">
        <f>IFERROR(__xludf.DUMMYFUNCTION("""COMPUTED_VALUE"""),44596.2998208449)</f>
        <v>44596.29982</v>
      </c>
      <c r="D888" s="15">
        <f>IFERROR(__xludf.DUMMYFUNCTION("""COMPUTED_VALUE"""),1.004)</f>
        <v>1.004</v>
      </c>
      <c r="E888" s="16">
        <f>IFERROR(__xludf.DUMMYFUNCTION("""COMPUTED_VALUE"""),67.0)</f>
        <v>67</v>
      </c>
      <c r="F888" s="19" t="str">
        <f>IFERROR(__xludf.DUMMYFUNCTION("""COMPUTED_VALUE"""),"BLACK")</f>
        <v>BLACK</v>
      </c>
      <c r="G888" s="20" t="str">
        <f>IFERROR(__xludf.DUMMYFUNCTION("""COMPUTED_VALUE"""),"Uncle Sams Cider (11/12/2021) 02")</f>
        <v>Uncle Sams Cider (11/12/2021) 02</v>
      </c>
      <c r="H888" s="19"/>
    </row>
    <row r="889">
      <c r="A889" s="9"/>
      <c r="B889" s="15"/>
      <c r="C889" s="9">
        <f>IFERROR(__xludf.DUMMYFUNCTION("""COMPUTED_VALUE"""),44596.2893989004)</f>
        <v>44596.2894</v>
      </c>
      <c r="D889" s="15">
        <f>IFERROR(__xludf.DUMMYFUNCTION("""COMPUTED_VALUE"""),1.004)</f>
        <v>1.004</v>
      </c>
      <c r="E889" s="16">
        <f>IFERROR(__xludf.DUMMYFUNCTION("""COMPUTED_VALUE"""),67.0)</f>
        <v>67</v>
      </c>
      <c r="F889" s="19" t="str">
        <f>IFERROR(__xludf.DUMMYFUNCTION("""COMPUTED_VALUE"""),"BLACK")</f>
        <v>BLACK</v>
      </c>
      <c r="G889" s="20" t="str">
        <f>IFERROR(__xludf.DUMMYFUNCTION("""COMPUTED_VALUE"""),"Uncle Sams Cider (11/12/2021) 02")</f>
        <v>Uncle Sams Cider (11/12/2021) 02</v>
      </c>
      <c r="H889" s="19"/>
    </row>
    <row r="890">
      <c r="A890" s="9"/>
      <c r="B890" s="15"/>
      <c r="C890" s="9">
        <f>IFERROR(__xludf.DUMMYFUNCTION("""COMPUTED_VALUE"""),44596.2789773495)</f>
        <v>44596.27898</v>
      </c>
      <c r="D890" s="15">
        <f>IFERROR(__xludf.DUMMYFUNCTION("""COMPUTED_VALUE"""),1.004)</f>
        <v>1.004</v>
      </c>
      <c r="E890" s="16">
        <f>IFERROR(__xludf.DUMMYFUNCTION("""COMPUTED_VALUE"""),67.0)</f>
        <v>67</v>
      </c>
      <c r="F890" s="19" t="str">
        <f>IFERROR(__xludf.DUMMYFUNCTION("""COMPUTED_VALUE"""),"BLACK")</f>
        <v>BLACK</v>
      </c>
      <c r="G890" s="20" t="str">
        <f>IFERROR(__xludf.DUMMYFUNCTION("""COMPUTED_VALUE"""),"Uncle Sams Cider (11/12/2021) 02")</f>
        <v>Uncle Sams Cider (11/12/2021) 02</v>
      </c>
      <c r="H890" s="19"/>
    </row>
    <row r="891">
      <c r="A891" s="9"/>
      <c r="B891" s="15"/>
      <c r="C891" s="9">
        <f>IFERROR(__xludf.DUMMYFUNCTION("""COMPUTED_VALUE"""),44596.2685440046)</f>
        <v>44596.26854</v>
      </c>
      <c r="D891" s="15">
        <f>IFERROR(__xludf.DUMMYFUNCTION("""COMPUTED_VALUE"""),1.004)</f>
        <v>1.004</v>
      </c>
      <c r="E891" s="16">
        <f>IFERROR(__xludf.DUMMYFUNCTION("""COMPUTED_VALUE"""),67.0)</f>
        <v>67</v>
      </c>
      <c r="F891" s="19" t="str">
        <f>IFERROR(__xludf.DUMMYFUNCTION("""COMPUTED_VALUE"""),"BLACK")</f>
        <v>BLACK</v>
      </c>
      <c r="G891" s="20" t="str">
        <f>IFERROR(__xludf.DUMMYFUNCTION("""COMPUTED_VALUE"""),"Uncle Sams Cider (11/12/2021) 02")</f>
        <v>Uncle Sams Cider (11/12/2021) 02</v>
      </c>
      <c r="H891" s="19"/>
    </row>
    <row r="892">
      <c r="A892" s="9"/>
      <c r="B892" s="15"/>
      <c r="C892" s="9">
        <f>IFERROR(__xludf.DUMMYFUNCTION("""COMPUTED_VALUE"""),44596.258110405)</f>
        <v>44596.25811</v>
      </c>
      <c r="D892" s="15">
        <f>IFERROR(__xludf.DUMMYFUNCTION("""COMPUTED_VALUE"""),1.004)</f>
        <v>1.004</v>
      </c>
      <c r="E892" s="16">
        <f>IFERROR(__xludf.DUMMYFUNCTION("""COMPUTED_VALUE"""),68.0)</f>
        <v>68</v>
      </c>
      <c r="F892" s="19" t="str">
        <f>IFERROR(__xludf.DUMMYFUNCTION("""COMPUTED_VALUE"""),"BLACK")</f>
        <v>BLACK</v>
      </c>
      <c r="G892" s="20" t="str">
        <f>IFERROR(__xludf.DUMMYFUNCTION("""COMPUTED_VALUE"""),"Uncle Sams Cider (11/12/2021) 02")</f>
        <v>Uncle Sams Cider (11/12/2021) 02</v>
      </c>
      <c r="H892" s="19"/>
    </row>
    <row r="893">
      <c r="A893" s="9"/>
      <c r="B893" s="15"/>
      <c r="C893" s="9">
        <f>IFERROR(__xludf.DUMMYFUNCTION("""COMPUTED_VALUE"""),44596.2476875925)</f>
        <v>44596.24769</v>
      </c>
      <c r="D893" s="15">
        <f>IFERROR(__xludf.DUMMYFUNCTION("""COMPUTED_VALUE"""),1.004)</f>
        <v>1.004</v>
      </c>
      <c r="E893" s="16">
        <f>IFERROR(__xludf.DUMMYFUNCTION("""COMPUTED_VALUE"""),68.0)</f>
        <v>68</v>
      </c>
      <c r="F893" s="19" t="str">
        <f>IFERROR(__xludf.DUMMYFUNCTION("""COMPUTED_VALUE"""),"BLACK")</f>
        <v>BLACK</v>
      </c>
      <c r="G893" s="20" t="str">
        <f>IFERROR(__xludf.DUMMYFUNCTION("""COMPUTED_VALUE"""),"Uncle Sams Cider (11/12/2021) 02")</f>
        <v>Uncle Sams Cider (11/12/2021) 02</v>
      </c>
      <c r="H893" s="19"/>
    </row>
    <row r="894">
      <c r="A894" s="9"/>
      <c r="B894" s="15"/>
      <c r="C894" s="9">
        <f>IFERROR(__xludf.DUMMYFUNCTION("""COMPUTED_VALUE"""),44596.2372663425)</f>
        <v>44596.23727</v>
      </c>
      <c r="D894" s="15">
        <f>IFERROR(__xludf.DUMMYFUNCTION("""COMPUTED_VALUE"""),1.004)</f>
        <v>1.004</v>
      </c>
      <c r="E894" s="16">
        <f>IFERROR(__xludf.DUMMYFUNCTION("""COMPUTED_VALUE"""),68.0)</f>
        <v>68</v>
      </c>
      <c r="F894" s="19" t="str">
        <f>IFERROR(__xludf.DUMMYFUNCTION("""COMPUTED_VALUE"""),"BLACK")</f>
        <v>BLACK</v>
      </c>
      <c r="G894" s="20" t="str">
        <f>IFERROR(__xludf.DUMMYFUNCTION("""COMPUTED_VALUE"""),"Uncle Sams Cider (11/12/2021) 02")</f>
        <v>Uncle Sams Cider (11/12/2021) 02</v>
      </c>
      <c r="H894" s="19"/>
    </row>
    <row r="895">
      <c r="A895" s="9"/>
      <c r="B895" s="15"/>
      <c r="C895" s="9">
        <f>IFERROR(__xludf.DUMMYFUNCTION("""COMPUTED_VALUE"""),44596.2268462731)</f>
        <v>44596.22685</v>
      </c>
      <c r="D895" s="15">
        <f>IFERROR(__xludf.DUMMYFUNCTION("""COMPUTED_VALUE"""),1.004)</f>
        <v>1.004</v>
      </c>
      <c r="E895" s="16">
        <f>IFERROR(__xludf.DUMMYFUNCTION("""COMPUTED_VALUE"""),68.0)</f>
        <v>68</v>
      </c>
      <c r="F895" s="19" t="str">
        <f>IFERROR(__xludf.DUMMYFUNCTION("""COMPUTED_VALUE"""),"BLACK")</f>
        <v>BLACK</v>
      </c>
      <c r="G895" s="20" t="str">
        <f>IFERROR(__xludf.DUMMYFUNCTION("""COMPUTED_VALUE"""),"Uncle Sams Cider (11/12/2021) 02")</f>
        <v>Uncle Sams Cider (11/12/2021) 02</v>
      </c>
      <c r="H895" s="19"/>
    </row>
    <row r="896">
      <c r="A896" s="9"/>
      <c r="B896" s="15"/>
      <c r="C896" s="9">
        <f>IFERROR(__xludf.DUMMYFUNCTION("""COMPUTED_VALUE"""),44596.2164257638)</f>
        <v>44596.21643</v>
      </c>
      <c r="D896" s="15">
        <f>IFERROR(__xludf.DUMMYFUNCTION("""COMPUTED_VALUE"""),1.004)</f>
        <v>1.004</v>
      </c>
      <c r="E896" s="16">
        <f>IFERROR(__xludf.DUMMYFUNCTION("""COMPUTED_VALUE"""),68.0)</f>
        <v>68</v>
      </c>
      <c r="F896" s="19" t="str">
        <f>IFERROR(__xludf.DUMMYFUNCTION("""COMPUTED_VALUE"""),"BLACK")</f>
        <v>BLACK</v>
      </c>
      <c r="G896" s="20" t="str">
        <f>IFERROR(__xludf.DUMMYFUNCTION("""COMPUTED_VALUE"""),"Uncle Sams Cider (11/12/2021) 02")</f>
        <v>Uncle Sams Cider (11/12/2021) 02</v>
      </c>
      <c r="H896" s="19"/>
    </row>
    <row r="897">
      <c r="A897" s="9"/>
      <c r="B897" s="15"/>
      <c r="C897" s="9">
        <f>IFERROR(__xludf.DUMMYFUNCTION("""COMPUTED_VALUE"""),44596.2059807407)</f>
        <v>44596.20598</v>
      </c>
      <c r="D897" s="15">
        <f>IFERROR(__xludf.DUMMYFUNCTION("""COMPUTED_VALUE"""),1.004)</f>
        <v>1.004</v>
      </c>
      <c r="E897" s="16">
        <f>IFERROR(__xludf.DUMMYFUNCTION("""COMPUTED_VALUE"""),68.0)</f>
        <v>68</v>
      </c>
      <c r="F897" s="19" t="str">
        <f>IFERROR(__xludf.DUMMYFUNCTION("""COMPUTED_VALUE"""),"BLACK")</f>
        <v>BLACK</v>
      </c>
      <c r="G897" s="20" t="str">
        <f>IFERROR(__xludf.DUMMYFUNCTION("""COMPUTED_VALUE"""),"Uncle Sams Cider (11/12/2021) 02")</f>
        <v>Uncle Sams Cider (11/12/2021) 02</v>
      </c>
      <c r="H897" s="19"/>
    </row>
    <row r="898">
      <c r="A898" s="9"/>
      <c r="B898" s="15"/>
      <c r="C898" s="9">
        <f>IFERROR(__xludf.DUMMYFUNCTION("""COMPUTED_VALUE"""),44596.1955004861)</f>
        <v>44596.1955</v>
      </c>
      <c r="D898" s="15">
        <f>IFERROR(__xludf.DUMMYFUNCTION("""COMPUTED_VALUE"""),1.004)</f>
        <v>1.004</v>
      </c>
      <c r="E898" s="16">
        <f>IFERROR(__xludf.DUMMYFUNCTION("""COMPUTED_VALUE"""),68.0)</f>
        <v>68</v>
      </c>
      <c r="F898" s="19" t="str">
        <f>IFERROR(__xludf.DUMMYFUNCTION("""COMPUTED_VALUE"""),"BLACK")</f>
        <v>BLACK</v>
      </c>
      <c r="G898" s="20" t="str">
        <f>IFERROR(__xludf.DUMMYFUNCTION("""COMPUTED_VALUE"""),"Uncle Sams Cider (11/12/2021) 02")</f>
        <v>Uncle Sams Cider (11/12/2021) 02</v>
      </c>
      <c r="H898" s="19"/>
    </row>
    <row r="899">
      <c r="A899" s="9"/>
      <c r="B899" s="15"/>
      <c r="C899" s="9">
        <f>IFERROR(__xludf.DUMMYFUNCTION("""COMPUTED_VALUE"""),44596.1850563657)</f>
        <v>44596.18506</v>
      </c>
      <c r="D899" s="15">
        <f>IFERROR(__xludf.DUMMYFUNCTION("""COMPUTED_VALUE"""),1.004)</f>
        <v>1.004</v>
      </c>
      <c r="E899" s="16">
        <f>IFERROR(__xludf.DUMMYFUNCTION("""COMPUTED_VALUE"""),67.0)</f>
        <v>67</v>
      </c>
      <c r="F899" s="19" t="str">
        <f>IFERROR(__xludf.DUMMYFUNCTION("""COMPUTED_VALUE"""),"BLACK")</f>
        <v>BLACK</v>
      </c>
      <c r="G899" s="20" t="str">
        <f>IFERROR(__xludf.DUMMYFUNCTION("""COMPUTED_VALUE"""),"Uncle Sams Cider (11/12/2021) 02")</f>
        <v>Uncle Sams Cider (11/12/2021) 02</v>
      </c>
      <c r="H899" s="19"/>
    </row>
    <row r="900">
      <c r="A900" s="9"/>
      <c r="B900" s="15"/>
      <c r="C900" s="9">
        <f>IFERROR(__xludf.DUMMYFUNCTION("""COMPUTED_VALUE"""),44596.1746235416)</f>
        <v>44596.17462</v>
      </c>
      <c r="D900" s="15">
        <f>IFERROR(__xludf.DUMMYFUNCTION("""COMPUTED_VALUE"""),1.004)</f>
        <v>1.004</v>
      </c>
      <c r="E900" s="16">
        <f>IFERROR(__xludf.DUMMYFUNCTION("""COMPUTED_VALUE"""),67.0)</f>
        <v>67</v>
      </c>
      <c r="F900" s="19" t="str">
        <f>IFERROR(__xludf.DUMMYFUNCTION("""COMPUTED_VALUE"""),"BLACK")</f>
        <v>BLACK</v>
      </c>
      <c r="G900" s="20" t="str">
        <f>IFERROR(__xludf.DUMMYFUNCTION("""COMPUTED_VALUE"""),"Uncle Sams Cider (11/12/2021) 02")</f>
        <v>Uncle Sams Cider (11/12/2021) 02</v>
      </c>
      <c r="H900" s="19"/>
    </row>
    <row r="901">
      <c r="A901" s="9"/>
      <c r="B901" s="15"/>
      <c r="C901" s="9">
        <f>IFERROR(__xludf.DUMMYFUNCTION("""COMPUTED_VALUE"""),44596.1641911574)</f>
        <v>44596.16419</v>
      </c>
      <c r="D901" s="15">
        <f>IFERROR(__xludf.DUMMYFUNCTION("""COMPUTED_VALUE"""),1.004)</f>
        <v>1.004</v>
      </c>
      <c r="E901" s="16">
        <f>IFERROR(__xludf.DUMMYFUNCTION("""COMPUTED_VALUE"""),67.0)</f>
        <v>67</v>
      </c>
      <c r="F901" s="19" t="str">
        <f>IFERROR(__xludf.DUMMYFUNCTION("""COMPUTED_VALUE"""),"BLACK")</f>
        <v>BLACK</v>
      </c>
      <c r="G901" s="20" t="str">
        <f>IFERROR(__xludf.DUMMYFUNCTION("""COMPUTED_VALUE"""),"Uncle Sams Cider (11/12/2021) 02")</f>
        <v>Uncle Sams Cider (11/12/2021) 02</v>
      </c>
      <c r="H901" s="19"/>
    </row>
    <row r="902">
      <c r="A902" s="9"/>
      <c r="B902" s="15"/>
      <c r="C902" s="9">
        <f>IFERROR(__xludf.DUMMYFUNCTION("""COMPUTED_VALUE"""),44596.1537594907)</f>
        <v>44596.15376</v>
      </c>
      <c r="D902" s="15">
        <f>IFERROR(__xludf.DUMMYFUNCTION("""COMPUTED_VALUE"""),1.004)</f>
        <v>1.004</v>
      </c>
      <c r="E902" s="16">
        <f>IFERROR(__xludf.DUMMYFUNCTION("""COMPUTED_VALUE"""),66.0)</f>
        <v>66</v>
      </c>
      <c r="F902" s="19" t="str">
        <f>IFERROR(__xludf.DUMMYFUNCTION("""COMPUTED_VALUE"""),"BLACK")</f>
        <v>BLACK</v>
      </c>
      <c r="G902" s="20" t="str">
        <f>IFERROR(__xludf.DUMMYFUNCTION("""COMPUTED_VALUE"""),"Uncle Sams Cider (11/12/2021) 02")</f>
        <v>Uncle Sams Cider (11/12/2021) 02</v>
      </c>
      <c r="H902" s="19"/>
    </row>
    <row r="903">
      <c r="A903" s="9"/>
      <c r="B903" s="15"/>
      <c r="C903" s="9">
        <f>IFERROR(__xludf.DUMMYFUNCTION("""COMPUTED_VALUE"""),44596.1433381481)</f>
        <v>44596.14334</v>
      </c>
      <c r="D903" s="15">
        <f>IFERROR(__xludf.DUMMYFUNCTION("""COMPUTED_VALUE"""),1.004)</f>
        <v>1.004</v>
      </c>
      <c r="E903" s="16">
        <f>IFERROR(__xludf.DUMMYFUNCTION("""COMPUTED_VALUE"""),66.0)</f>
        <v>66</v>
      </c>
      <c r="F903" s="19" t="str">
        <f>IFERROR(__xludf.DUMMYFUNCTION("""COMPUTED_VALUE"""),"BLACK")</f>
        <v>BLACK</v>
      </c>
      <c r="G903" s="20" t="str">
        <f>IFERROR(__xludf.DUMMYFUNCTION("""COMPUTED_VALUE"""),"Uncle Sams Cider (11/12/2021) 02")</f>
        <v>Uncle Sams Cider (11/12/2021) 02</v>
      </c>
      <c r="H903" s="19"/>
    </row>
    <row r="904">
      <c r="A904" s="9"/>
      <c r="B904" s="15"/>
      <c r="C904" s="9">
        <f>IFERROR(__xludf.DUMMYFUNCTION("""COMPUTED_VALUE"""),44596.132905405)</f>
        <v>44596.13291</v>
      </c>
      <c r="D904" s="15">
        <f>IFERROR(__xludf.DUMMYFUNCTION("""COMPUTED_VALUE"""),1.004)</f>
        <v>1.004</v>
      </c>
      <c r="E904" s="16">
        <f>IFERROR(__xludf.DUMMYFUNCTION("""COMPUTED_VALUE"""),65.0)</f>
        <v>65</v>
      </c>
      <c r="F904" s="19" t="str">
        <f>IFERROR(__xludf.DUMMYFUNCTION("""COMPUTED_VALUE"""),"BLACK")</f>
        <v>BLACK</v>
      </c>
      <c r="G904" s="20" t="str">
        <f>IFERROR(__xludf.DUMMYFUNCTION("""COMPUTED_VALUE"""),"Uncle Sams Cider (11/12/2021) 02")</f>
        <v>Uncle Sams Cider (11/12/2021) 02</v>
      </c>
      <c r="H904" s="19"/>
    </row>
    <row r="905">
      <c r="A905" s="9"/>
      <c r="B905" s="15"/>
      <c r="C905" s="9">
        <f>IFERROR(__xludf.DUMMYFUNCTION("""COMPUTED_VALUE"""),44596.1224838541)</f>
        <v>44596.12248</v>
      </c>
      <c r="D905" s="15">
        <f>IFERROR(__xludf.DUMMYFUNCTION("""COMPUTED_VALUE"""),1.004)</f>
        <v>1.004</v>
      </c>
      <c r="E905" s="16">
        <f>IFERROR(__xludf.DUMMYFUNCTION("""COMPUTED_VALUE"""),65.0)</f>
        <v>65</v>
      </c>
      <c r="F905" s="19" t="str">
        <f>IFERROR(__xludf.DUMMYFUNCTION("""COMPUTED_VALUE"""),"BLACK")</f>
        <v>BLACK</v>
      </c>
      <c r="G905" s="20" t="str">
        <f>IFERROR(__xludf.DUMMYFUNCTION("""COMPUTED_VALUE"""),"Uncle Sams Cider (11/12/2021) 02")</f>
        <v>Uncle Sams Cider (11/12/2021) 02</v>
      </c>
      <c r="H905" s="19"/>
    </row>
    <row r="906">
      <c r="A906" s="9"/>
      <c r="B906" s="15"/>
      <c r="C906" s="9">
        <f>IFERROR(__xludf.DUMMYFUNCTION("""COMPUTED_VALUE"""),44596.1120643171)</f>
        <v>44596.11206</v>
      </c>
      <c r="D906" s="15">
        <f>IFERROR(__xludf.DUMMYFUNCTION("""COMPUTED_VALUE"""),1.004)</f>
        <v>1.004</v>
      </c>
      <c r="E906" s="16">
        <f>IFERROR(__xludf.DUMMYFUNCTION("""COMPUTED_VALUE"""),64.0)</f>
        <v>64</v>
      </c>
      <c r="F906" s="19" t="str">
        <f>IFERROR(__xludf.DUMMYFUNCTION("""COMPUTED_VALUE"""),"BLACK")</f>
        <v>BLACK</v>
      </c>
      <c r="G906" s="20" t="str">
        <f>IFERROR(__xludf.DUMMYFUNCTION("""COMPUTED_VALUE"""),"Uncle Sams Cider (11/12/2021) 02")</f>
        <v>Uncle Sams Cider (11/12/2021) 02</v>
      </c>
      <c r="H906" s="19"/>
    </row>
    <row r="907">
      <c r="A907" s="9"/>
      <c r="B907" s="15"/>
      <c r="C907" s="9">
        <f>IFERROR(__xludf.DUMMYFUNCTION("""COMPUTED_VALUE"""),44596.1016446875)</f>
        <v>44596.10164</v>
      </c>
      <c r="D907" s="15">
        <f>IFERROR(__xludf.DUMMYFUNCTION("""COMPUTED_VALUE"""),1.004)</f>
        <v>1.004</v>
      </c>
      <c r="E907" s="16">
        <f>IFERROR(__xludf.DUMMYFUNCTION("""COMPUTED_VALUE"""),64.0)</f>
        <v>64</v>
      </c>
      <c r="F907" s="19" t="str">
        <f>IFERROR(__xludf.DUMMYFUNCTION("""COMPUTED_VALUE"""),"BLACK")</f>
        <v>BLACK</v>
      </c>
      <c r="G907" s="20" t="str">
        <f>IFERROR(__xludf.DUMMYFUNCTION("""COMPUTED_VALUE"""),"Uncle Sams Cider (11/12/2021) 02")</f>
        <v>Uncle Sams Cider (11/12/2021) 02</v>
      </c>
      <c r="H907" s="19"/>
    </row>
    <row r="908">
      <c r="A908" s="9"/>
      <c r="B908" s="15"/>
      <c r="C908" s="9">
        <f>IFERROR(__xludf.DUMMYFUNCTION("""COMPUTED_VALUE"""),44596.0912130671)</f>
        <v>44596.09121</v>
      </c>
      <c r="D908" s="15">
        <f>IFERROR(__xludf.DUMMYFUNCTION("""COMPUTED_VALUE"""),1.004)</f>
        <v>1.004</v>
      </c>
      <c r="E908" s="16">
        <f>IFERROR(__xludf.DUMMYFUNCTION("""COMPUTED_VALUE"""),64.0)</f>
        <v>64</v>
      </c>
      <c r="F908" s="19" t="str">
        <f>IFERROR(__xludf.DUMMYFUNCTION("""COMPUTED_VALUE"""),"BLACK")</f>
        <v>BLACK</v>
      </c>
      <c r="G908" s="20" t="str">
        <f>IFERROR(__xludf.DUMMYFUNCTION("""COMPUTED_VALUE"""),"Uncle Sams Cider (11/12/2021) 02")</f>
        <v>Uncle Sams Cider (11/12/2021) 02</v>
      </c>
      <c r="H908" s="19"/>
    </row>
    <row r="909">
      <c r="A909" s="9"/>
      <c r="B909" s="15"/>
      <c r="C909" s="9">
        <f>IFERROR(__xludf.DUMMYFUNCTION("""COMPUTED_VALUE"""),44596.0807917592)</f>
        <v>44596.08079</v>
      </c>
      <c r="D909" s="15">
        <f>IFERROR(__xludf.DUMMYFUNCTION("""COMPUTED_VALUE"""),1.004)</f>
        <v>1.004</v>
      </c>
      <c r="E909" s="16">
        <f>IFERROR(__xludf.DUMMYFUNCTION("""COMPUTED_VALUE"""),63.0)</f>
        <v>63</v>
      </c>
      <c r="F909" s="19" t="str">
        <f>IFERROR(__xludf.DUMMYFUNCTION("""COMPUTED_VALUE"""),"BLACK")</f>
        <v>BLACK</v>
      </c>
      <c r="G909" s="20" t="str">
        <f>IFERROR(__xludf.DUMMYFUNCTION("""COMPUTED_VALUE"""),"Uncle Sams Cider (11/12/2021) 02")</f>
        <v>Uncle Sams Cider (11/12/2021) 02</v>
      </c>
      <c r="H909" s="19"/>
    </row>
    <row r="910">
      <c r="A910" s="9"/>
      <c r="B910" s="15"/>
      <c r="C910" s="9">
        <f>IFERROR(__xludf.DUMMYFUNCTION("""COMPUTED_VALUE"""),44596.0703710763)</f>
        <v>44596.07037</v>
      </c>
      <c r="D910" s="15">
        <f>IFERROR(__xludf.DUMMYFUNCTION("""COMPUTED_VALUE"""),1.004)</f>
        <v>1.004</v>
      </c>
      <c r="E910" s="16">
        <f>IFERROR(__xludf.DUMMYFUNCTION("""COMPUTED_VALUE"""),63.0)</f>
        <v>63</v>
      </c>
      <c r="F910" s="19" t="str">
        <f>IFERROR(__xludf.DUMMYFUNCTION("""COMPUTED_VALUE"""),"BLACK")</f>
        <v>BLACK</v>
      </c>
      <c r="G910" s="20" t="str">
        <f>IFERROR(__xludf.DUMMYFUNCTION("""COMPUTED_VALUE"""),"Uncle Sams Cider (11/12/2021) 02")</f>
        <v>Uncle Sams Cider (11/12/2021) 02</v>
      </c>
      <c r="H910" s="19"/>
    </row>
    <row r="911">
      <c r="A911" s="9"/>
      <c r="B911" s="15"/>
      <c r="C911" s="9">
        <f>IFERROR(__xludf.DUMMYFUNCTION("""COMPUTED_VALUE"""),44596.0599012615)</f>
        <v>44596.0599</v>
      </c>
      <c r="D911" s="15">
        <f>IFERROR(__xludf.DUMMYFUNCTION("""COMPUTED_VALUE"""),1.004)</f>
        <v>1.004</v>
      </c>
      <c r="E911" s="16">
        <f>IFERROR(__xludf.DUMMYFUNCTION("""COMPUTED_VALUE"""),63.0)</f>
        <v>63</v>
      </c>
      <c r="F911" s="19" t="str">
        <f>IFERROR(__xludf.DUMMYFUNCTION("""COMPUTED_VALUE"""),"BLACK")</f>
        <v>BLACK</v>
      </c>
      <c r="G911" s="20" t="str">
        <f>IFERROR(__xludf.DUMMYFUNCTION("""COMPUTED_VALUE"""),"Uncle Sams Cider (11/12/2021) 02")</f>
        <v>Uncle Sams Cider (11/12/2021) 02</v>
      </c>
      <c r="H911" s="19"/>
    </row>
    <row r="912">
      <c r="A912" s="9"/>
      <c r="B912" s="15"/>
      <c r="C912" s="9">
        <f>IFERROR(__xludf.DUMMYFUNCTION("""COMPUTED_VALUE"""),44596.0494772106)</f>
        <v>44596.04948</v>
      </c>
      <c r="D912" s="15">
        <f>IFERROR(__xludf.DUMMYFUNCTION("""COMPUTED_VALUE"""),1.004)</f>
        <v>1.004</v>
      </c>
      <c r="E912" s="16">
        <f>IFERROR(__xludf.DUMMYFUNCTION("""COMPUTED_VALUE"""),63.0)</f>
        <v>63</v>
      </c>
      <c r="F912" s="19" t="str">
        <f>IFERROR(__xludf.DUMMYFUNCTION("""COMPUTED_VALUE"""),"BLACK")</f>
        <v>BLACK</v>
      </c>
      <c r="G912" s="20" t="str">
        <f>IFERROR(__xludf.DUMMYFUNCTION("""COMPUTED_VALUE"""),"Uncle Sams Cider (11/12/2021) 02")</f>
        <v>Uncle Sams Cider (11/12/2021) 02</v>
      </c>
      <c r="H912" s="19"/>
    </row>
    <row r="913">
      <c r="A913" s="9"/>
      <c r="B913" s="15"/>
      <c r="C913" s="9">
        <f>IFERROR(__xludf.DUMMYFUNCTION("""COMPUTED_VALUE"""),44596.0390448379)</f>
        <v>44596.03904</v>
      </c>
      <c r="D913" s="15">
        <f>IFERROR(__xludf.DUMMYFUNCTION("""COMPUTED_VALUE"""),1.004)</f>
        <v>1.004</v>
      </c>
      <c r="E913" s="16">
        <f>IFERROR(__xludf.DUMMYFUNCTION("""COMPUTED_VALUE"""),63.0)</f>
        <v>63</v>
      </c>
      <c r="F913" s="19" t="str">
        <f>IFERROR(__xludf.DUMMYFUNCTION("""COMPUTED_VALUE"""),"BLACK")</f>
        <v>BLACK</v>
      </c>
      <c r="G913" s="20" t="str">
        <f>IFERROR(__xludf.DUMMYFUNCTION("""COMPUTED_VALUE"""),"Uncle Sams Cider (11/12/2021) 02")</f>
        <v>Uncle Sams Cider (11/12/2021) 02</v>
      </c>
      <c r="H913" s="19"/>
    </row>
    <row r="914">
      <c r="A914" s="9"/>
      <c r="B914" s="15"/>
      <c r="C914" s="9">
        <f>IFERROR(__xludf.DUMMYFUNCTION("""COMPUTED_VALUE"""),44596.0286245486)</f>
        <v>44596.02862</v>
      </c>
      <c r="D914" s="15">
        <f>IFERROR(__xludf.DUMMYFUNCTION("""COMPUTED_VALUE"""),1.004)</f>
        <v>1.004</v>
      </c>
      <c r="E914" s="16">
        <f>IFERROR(__xludf.DUMMYFUNCTION("""COMPUTED_VALUE"""),63.0)</f>
        <v>63</v>
      </c>
      <c r="F914" s="19" t="str">
        <f>IFERROR(__xludf.DUMMYFUNCTION("""COMPUTED_VALUE"""),"BLACK")</f>
        <v>BLACK</v>
      </c>
      <c r="G914" s="20" t="str">
        <f>IFERROR(__xludf.DUMMYFUNCTION("""COMPUTED_VALUE"""),"Uncle Sams Cider (11/12/2021) 02")</f>
        <v>Uncle Sams Cider (11/12/2021) 02</v>
      </c>
      <c r="H914" s="19"/>
    </row>
    <row r="915">
      <c r="A915" s="9"/>
      <c r="B915" s="15"/>
      <c r="C915" s="9">
        <f>IFERROR(__xludf.DUMMYFUNCTION("""COMPUTED_VALUE"""),44596.0182029282)</f>
        <v>44596.0182</v>
      </c>
      <c r="D915" s="15">
        <f>IFERROR(__xludf.DUMMYFUNCTION("""COMPUTED_VALUE"""),1.004)</f>
        <v>1.004</v>
      </c>
      <c r="E915" s="16">
        <f>IFERROR(__xludf.DUMMYFUNCTION("""COMPUTED_VALUE"""),63.0)</f>
        <v>63</v>
      </c>
      <c r="F915" s="19" t="str">
        <f>IFERROR(__xludf.DUMMYFUNCTION("""COMPUTED_VALUE"""),"BLACK")</f>
        <v>BLACK</v>
      </c>
      <c r="G915" s="20" t="str">
        <f>IFERROR(__xludf.DUMMYFUNCTION("""COMPUTED_VALUE"""),"Uncle Sams Cider (11/12/2021) 02")</f>
        <v>Uncle Sams Cider (11/12/2021) 02</v>
      </c>
      <c r="H915" s="19"/>
    </row>
    <row r="916">
      <c r="A916" s="9"/>
      <c r="B916" s="15"/>
      <c r="C916" s="9">
        <f>IFERROR(__xludf.DUMMYFUNCTION("""COMPUTED_VALUE"""),44596.0077691666)</f>
        <v>44596.00777</v>
      </c>
      <c r="D916" s="15">
        <f>IFERROR(__xludf.DUMMYFUNCTION("""COMPUTED_VALUE"""),1.004)</f>
        <v>1.004</v>
      </c>
      <c r="E916" s="16">
        <f>IFERROR(__xludf.DUMMYFUNCTION("""COMPUTED_VALUE"""),63.0)</f>
        <v>63</v>
      </c>
      <c r="F916" s="19" t="str">
        <f>IFERROR(__xludf.DUMMYFUNCTION("""COMPUTED_VALUE"""),"BLACK")</f>
        <v>BLACK</v>
      </c>
      <c r="G916" s="20" t="str">
        <f>IFERROR(__xludf.DUMMYFUNCTION("""COMPUTED_VALUE"""),"Uncle Sams Cider (11/12/2021) 02")</f>
        <v>Uncle Sams Cider (11/12/2021) 02</v>
      </c>
      <c r="H916" s="19"/>
    </row>
    <row r="917">
      <c r="A917" s="9"/>
      <c r="B917" s="15"/>
      <c r="C917" s="9">
        <f>IFERROR(__xludf.DUMMYFUNCTION("""COMPUTED_VALUE"""),44595.9973477546)</f>
        <v>44595.99735</v>
      </c>
      <c r="D917" s="15">
        <f>IFERROR(__xludf.DUMMYFUNCTION("""COMPUTED_VALUE"""),1.004)</f>
        <v>1.004</v>
      </c>
      <c r="E917" s="16">
        <f>IFERROR(__xludf.DUMMYFUNCTION("""COMPUTED_VALUE"""),63.0)</f>
        <v>63</v>
      </c>
      <c r="F917" s="19" t="str">
        <f>IFERROR(__xludf.DUMMYFUNCTION("""COMPUTED_VALUE"""),"BLACK")</f>
        <v>BLACK</v>
      </c>
      <c r="G917" s="20" t="str">
        <f>IFERROR(__xludf.DUMMYFUNCTION("""COMPUTED_VALUE"""),"Uncle Sams Cider (11/12/2021) 02")</f>
        <v>Uncle Sams Cider (11/12/2021) 02</v>
      </c>
      <c r="H917" s="19"/>
    </row>
    <row r="918">
      <c r="A918" s="9"/>
      <c r="B918" s="15"/>
      <c r="C918" s="9">
        <f>IFERROR(__xludf.DUMMYFUNCTION("""COMPUTED_VALUE"""),44595.9869051273)</f>
        <v>44595.98691</v>
      </c>
      <c r="D918" s="15">
        <f>IFERROR(__xludf.DUMMYFUNCTION("""COMPUTED_VALUE"""),1.004)</f>
        <v>1.004</v>
      </c>
      <c r="E918" s="16">
        <f>IFERROR(__xludf.DUMMYFUNCTION("""COMPUTED_VALUE"""),63.0)</f>
        <v>63</v>
      </c>
      <c r="F918" s="19" t="str">
        <f>IFERROR(__xludf.DUMMYFUNCTION("""COMPUTED_VALUE"""),"BLACK")</f>
        <v>BLACK</v>
      </c>
      <c r="G918" s="20" t="str">
        <f>IFERROR(__xludf.DUMMYFUNCTION("""COMPUTED_VALUE"""),"Uncle Sams Cider (11/12/2021) 02")</f>
        <v>Uncle Sams Cider (11/12/2021) 02</v>
      </c>
      <c r="H918" s="19"/>
    </row>
    <row r="919">
      <c r="A919" s="9"/>
      <c r="B919" s="15"/>
      <c r="C919" s="9">
        <f>IFERROR(__xludf.DUMMYFUNCTION("""COMPUTED_VALUE"""),44595.9764716782)</f>
        <v>44595.97647</v>
      </c>
      <c r="D919" s="15">
        <f>IFERROR(__xludf.DUMMYFUNCTION("""COMPUTED_VALUE"""),1.004)</f>
        <v>1.004</v>
      </c>
      <c r="E919" s="16">
        <f>IFERROR(__xludf.DUMMYFUNCTION("""COMPUTED_VALUE"""),63.0)</f>
        <v>63</v>
      </c>
      <c r="F919" s="19" t="str">
        <f>IFERROR(__xludf.DUMMYFUNCTION("""COMPUTED_VALUE"""),"BLACK")</f>
        <v>BLACK</v>
      </c>
      <c r="G919" s="20" t="str">
        <f>IFERROR(__xludf.DUMMYFUNCTION("""COMPUTED_VALUE"""),"Uncle Sams Cider (11/12/2021) 02")</f>
        <v>Uncle Sams Cider (11/12/2021) 02</v>
      </c>
      <c r="H919" s="19"/>
    </row>
    <row r="920">
      <c r="A920" s="9"/>
      <c r="B920" s="15"/>
      <c r="C920" s="9">
        <f>IFERROR(__xludf.DUMMYFUNCTION("""COMPUTED_VALUE"""),44595.9660504513)</f>
        <v>44595.96605</v>
      </c>
      <c r="D920" s="15">
        <f>IFERROR(__xludf.DUMMYFUNCTION("""COMPUTED_VALUE"""),1.004)</f>
        <v>1.004</v>
      </c>
      <c r="E920" s="16">
        <f>IFERROR(__xludf.DUMMYFUNCTION("""COMPUTED_VALUE"""),63.0)</f>
        <v>63</v>
      </c>
      <c r="F920" s="19" t="str">
        <f>IFERROR(__xludf.DUMMYFUNCTION("""COMPUTED_VALUE"""),"BLACK")</f>
        <v>BLACK</v>
      </c>
      <c r="G920" s="20" t="str">
        <f>IFERROR(__xludf.DUMMYFUNCTION("""COMPUTED_VALUE"""),"Uncle Sams Cider (11/12/2021) 02")</f>
        <v>Uncle Sams Cider (11/12/2021) 02</v>
      </c>
      <c r="H920" s="19"/>
    </row>
    <row r="921">
      <c r="A921" s="9"/>
      <c r="B921" s="15"/>
      <c r="C921" s="9">
        <f>IFERROR(__xludf.DUMMYFUNCTION("""COMPUTED_VALUE"""),44595.9556294675)</f>
        <v>44595.95563</v>
      </c>
      <c r="D921" s="15">
        <f>IFERROR(__xludf.DUMMYFUNCTION("""COMPUTED_VALUE"""),1.004)</f>
        <v>1.004</v>
      </c>
      <c r="E921" s="16">
        <f>IFERROR(__xludf.DUMMYFUNCTION("""COMPUTED_VALUE"""),63.0)</f>
        <v>63</v>
      </c>
      <c r="F921" s="19" t="str">
        <f>IFERROR(__xludf.DUMMYFUNCTION("""COMPUTED_VALUE"""),"BLACK")</f>
        <v>BLACK</v>
      </c>
      <c r="G921" s="20" t="str">
        <f>IFERROR(__xludf.DUMMYFUNCTION("""COMPUTED_VALUE"""),"Uncle Sams Cider (11/12/2021) 02")</f>
        <v>Uncle Sams Cider (11/12/2021) 02</v>
      </c>
      <c r="H921" s="19"/>
    </row>
    <row r="922">
      <c r="A922" s="9"/>
      <c r="B922" s="15"/>
      <c r="C922" s="9">
        <f>IFERROR(__xludf.DUMMYFUNCTION("""COMPUTED_VALUE"""),44595.9452084722)</f>
        <v>44595.94521</v>
      </c>
      <c r="D922" s="15">
        <f>IFERROR(__xludf.DUMMYFUNCTION("""COMPUTED_VALUE"""),1.004)</f>
        <v>1.004</v>
      </c>
      <c r="E922" s="16">
        <f>IFERROR(__xludf.DUMMYFUNCTION("""COMPUTED_VALUE"""),63.0)</f>
        <v>63</v>
      </c>
      <c r="F922" s="19" t="str">
        <f>IFERROR(__xludf.DUMMYFUNCTION("""COMPUTED_VALUE"""),"BLACK")</f>
        <v>BLACK</v>
      </c>
      <c r="G922" s="20" t="str">
        <f>IFERROR(__xludf.DUMMYFUNCTION("""COMPUTED_VALUE"""),"Uncle Sams Cider (11/12/2021) 02")</f>
        <v>Uncle Sams Cider (11/12/2021) 02</v>
      </c>
      <c r="H922" s="19"/>
    </row>
    <row r="923">
      <c r="A923" s="9"/>
      <c r="B923" s="15"/>
      <c r="C923" s="9">
        <f>IFERROR(__xludf.DUMMYFUNCTION("""COMPUTED_VALUE"""),44595.9347758101)</f>
        <v>44595.93478</v>
      </c>
      <c r="D923" s="15">
        <f>IFERROR(__xludf.DUMMYFUNCTION("""COMPUTED_VALUE"""),1.004)</f>
        <v>1.004</v>
      </c>
      <c r="E923" s="16">
        <f>IFERROR(__xludf.DUMMYFUNCTION("""COMPUTED_VALUE"""),63.0)</f>
        <v>63</v>
      </c>
      <c r="F923" s="19" t="str">
        <f>IFERROR(__xludf.DUMMYFUNCTION("""COMPUTED_VALUE"""),"BLACK")</f>
        <v>BLACK</v>
      </c>
      <c r="G923" s="20" t="str">
        <f>IFERROR(__xludf.DUMMYFUNCTION("""COMPUTED_VALUE"""),"Uncle Sams Cider (11/12/2021) 02")</f>
        <v>Uncle Sams Cider (11/12/2021) 02</v>
      </c>
      <c r="H923" s="19"/>
    </row>
    <row r="924">
      <c r="A924" s="9"/>
      <c r="B924" s="15"/>
      <c r="C924" s="9">
        <f>IFERROR(__xludf.DUMMYFUNCTION("""COMPUTED_VALUE"""),44595.924353831)</f>
        <v>44595.92435</v>
      </c>
      <c r="D924" s="15">
        <f>IFERROR(__xludf.DUMMYFUNCTION("""COMPUTED_VALUE"""),1.004)</f>
        <v>1.004</v>
      </c>
      <c r="E924" s="16">
        <f>IFERROR(__xludf.DUMMYFUNCTION("""COMPUTED_VALUE"""),63.0)</f>
        <v>63</v>
      </c>
      <c r="F924" s="19" t="str">
        <f>IFERROR(__xludf.DUMMYFUNCTION("""COMPUTED_VALUE"""),"BLACK")</f>
        <v>BLACK</v>
      </c>
      <c r="G924" s="20" t="str">
        <f>IFERROR(__xludf.DUMMYFUNCTION("""COMPUTED_VALUE"""),"Uncle Sams Cider (11/12/2021) 02")</f>
        <v>Uncle Sams Cider (11/12/2021) 02</v>
      </c>
      <c r="H924" s="19"/>
    </row>
    <row r="925">
      <c r="A925" s="9"/>
      <c r="B925" s="15"/>
      <c r="C925" s="9">
        <f>IFERROR(__xludf.DUMMYFUNCTION("""COMPUTED_VALUE"""),44595.9139204513)</f>
        <v>44595.91392</v>
      </c>
      <c r="D925" s="15">
        <f>IFERROR(__xludf.DUMMYFUNCTION("""COMPUTED_VALUE"""),1.004)</f>
        <v>1.004</v>
      </c>
      <c r="E925" s="16">
        <f>IFERROR(__xludf.DUMMYFUNCTION("""COMPUTED_VALUE"""),63.0)</f>
        <v>63</v>
      </c>
      <c r="F925" s="19" t="str">
        <f>IFERROR(__xludf.DUMMYFUNCTION("""COMPUTED_VALUE"""),"BLACK")</f>
        <v>BLACK</v>
      </c>
      <c r="G925" s="20" t="str">
        <f>IFERROR(__xludf.DUMMYFUNCTION("""COMPUTED_VALUE"""),"Uncle Sams Cider (11/12/2021) 02")</f>
        <v>Uncle Sams Cider (11/12/2021) 02</v>
      </c>
      <c r="H925" s="19"/>
    </row>
    <row r="926">
      <c r="A926" s="9"/>
      <c r="B926" s="15"/>
      <c r="C926" s="9">
        <f>IFERROR(__xludf.DUMMYFUNCTION("""COMPUTED_VALUE"""),44595.9034861921)</f>
        <v>44595.90349</v>
      </c>
      <c r="D926" s="15">
        <f>IFERROR(__xludf.DUMMYFUNCTION("""COMPUTED_VALUE"""),1.004)</f>
        <v>1.004</v>
      </c>
      <c r="E926" s="16">
        <f>IFERROR(__xludf.DUMMYFUNCTION("""COMPUTED_VALUE"""),63.0)</f>
        <v>63</v>
      </c>
      <c r="F926" s="19" t="str">
        <f>IFERROR(__xludf.DUMMYFUNCTION("""COMPUTED_VALUE"""),"BLACK")</f>
        <v>BLACK</v>
      </c>
      <c r="G926" s="20" t="str">
        <f>IFERROR(__xludf.DUMMYFUNCTION("""COMPUTED_VALUE"""),"Uncle Sams Cider (11/12/2021) 02")</f>
        <v>Uncle Sams Cider (11/12/2021) 02</v>
      </c>
      <c r="H926" s="19"/>
    </row>
    <row r="927">
      <c r="A927" s="9"/>
      <c r="B927" s="15"/>
      <c r="C927" s="9">
        <f>IFERROR(__xludf.DUMMYFUNCTION("""COMPUTED_VALUE"""),44595.8930658333)</f>
        <v>44595.89307</v>
      </c>
      <c r="D927" s="15">
        <f>IFERROR(__xludf.DUMMYFUNCTION("""COMPUTED_VALUE"""),1.004)</f>
        <v>1.004</v>
      </c>
      <c r="E927" s="16">
        <f>IFERROR(__xludf.DUMMYFUNCTION("""COMPUTED_VALUE"""),63.0)</f>
        <v>63</v>
      </c>
      <c r="F927" s="19" t="str">
        <f>IFERROR(__xludf.DUMMYFUNCTION("""COMPUTED_VALUE"""),"BLACK")</f>
        <v>BLACK</v>
      </c>
      <c r="G927" s="20" t="str">
        <f>IFERROR(__xludf.DUMMYFUNCTION("""COMPUTED_VALUE"""),"Uncle Sams Cider (11/12/2021) 02")</f>
        <v>Uncle Sams Cider (11/12/2021) 02</v>
      </c>
      <c r="H927" s="19"/>
    </row>
    <row r="928">
      <c r="A928" s="9"/>
      <c r="B928" s="15"/>
      <c r="C928" s="9">
        <f>IFERROR(__xludf.DUMMYFUNCTION("""COMPUTED_VALUE"""),44595.8826323379)</f>
        <v>44595.88263</v>
      </c>
      <c r="D928" s="15">
        <f>IFERROR(__xludf.DUMMYFUNCTION("""COMPUTED_VALUE"""),1.004)</f>
        <v>1.004</v>
      </c>
      <c r="E928" s="16">
        <f>IFERROR(__xludf.DUMMYFUNCTION("""COMPUTED_VALUE"""),63.0)</f>
        <v>63</v>
      </c>
      <c r="F928" s="19" t="str">
        <f>IFERROR(__xludf.DUMMYFUNCTION("""COMPUTED_VALUE"""),"BLACK")</f>
        <v>BLACK</v>
      </c>
      <c r="G928" s="20" t="str">
        <f>IFERROR(__xludf.DUMMYFUNCTION("""COMPUTED_VALUE"""),"Uncle Sams Cider (11/12/2021) 02")</f>
        <v>Uncle Sams Cider (11/12/2021) 02</v>
      </c>
      <c r="H928" s="19"/>
    </row>
    <row r="929">
      <c r="A929" s="9"/>
      <c r="B929" s="15"/>
      <c r="C929" s="9">
        <f>IFERROR(__xludf.DUMMYFUNCTION("""COMPUTED_VALUE"""),44595.8722006249)</f>
        <v>44595.8722</v>
      </c>
      <c r="D929" s="15">
        <f>IFERROR(__xludf.DUMMYFUNCTION("""COMPUTED_VALUE"""),1.004)</f>
        <v>1.004</v>
      </c>
      <c r="E929" s="16">
        <f>IFERROR(__xludf.DUMMYFUNCTION("""COMPUTED_VALUE"""),63.0)</f>
        <v>63</v>
      </c>
      <c r="F929" s="19" t="str">
        <f>IFERROR(__xludf.DUMMYFUNCTION("""COMPUTED_VALUE"""),"BLACK")</f>
        <v>BLACK</v>
      </c>
      <c r="G929" s="20" t="str">
        <f>IFERROR(__xludf.DUMMYFUNCTION("""COMPUTED_VALUE"""),"Uncle Sams Cider (11/12/2021) 02")</f>
        <v>Uncle Sams Cider (11/12/2021) 02</v>
      </c>
      <c r="H929" s="19"/>
    </row>
    <row r="930">
      <c r="A930" s="9"/>
      <c r="B930" s="15"/>
      <c r="C930" s="9">
        <f>IFERROR(__xludf.DUMMYFUNCTION("""COMPUTED_VALUE"""),44595.8617794213)</f>
        <v>44595.86178</v>
      </c>
      <c r="D930" s="15">
        <f>IFERROR(__xludf.DUMMYFUNCTION("""COMPUTED_VALUE"""),1.004)</f>
        <v>1.004</v>
      </c>
      <c r="E930" s="16">
        <f>IFERROR(__xludf.DUMMYFUNCTION("""COMPUTED_VALUE"""),63.0)</f>
        <v>63</v>
      </c>
      <c r="F930" s="19" t="str">
        <f>IFERROR(__xludf.DUMMYFUNCTION("""COMPUTED_VALUE"""),"BLACK")</f>
        <v>BLACK</v>
      </c>
      <c r="G930" s="20" t="str">
        <f>IFERROR(__xludf.DUMMYFUNCTION("""COMPUTED_VALUE"""),"Uncle Sams Cider (11/12/2021) 02")</f>
        <v>Uncle Sams Cider (11/12/2021) 02</v>
      </c>
      <c r="H930" s="19"/>
    </row>
    <row r="931">
      <c r="A931" s="9"/>
      <c r="B931" s="15"/>
      <c r="C931" s="9">
        <f>IFERROR(__xludf.DUMMYFUNCTION("""COMPUTED_VALUE"""),44595.8513599884)</f>
        <v>44595.85136</v>
      </c>
      <c r="D931" s="15">
        <f>IFERROR(__xludf.DUMMYFUNCTION("""COMPUTED_VALUE"""),1.004)</f>
        <v>1.004</v>
      </c>
      <c r="E931" s="16">
        <f>IFERROR(__xludf.DUMMYFUNCTION("""COMPUTED_VALUE"""),63.0)</f>
        <v>63</v>
      </c>
      <c r="F931" s="19" t="str">
        <f>IFERROR(__xludf.DUMMYFUNCTION("""COMPUTED_VALUE"""),"BLACK")</f>
        <v>BLACK</v>
      </c>
      <c r="G931" s="20" t="str">
        <f>IFERROR(__xludf.DUMMYFUNCTION("""COMPUTED_VALUE"""),"Uncle Sams Cider (11/12/2021) 02")</f>
        <v>Uncle Sams Cider (11/12/2021) 02</v>
      </c>
      <c r="H931" s="19"/>
    </row>
    <row r="932">
      <c r="A932" s="9"/>
      <c r="B932" s="15"/>
      <c r="C932" s="9">
        <f>IFERROR(__xludf.DUMMYFUNCTION("""COMPUTED_VALUE"""),44595.840926331)</f>
        <v>44595.84093</v>
      </c>
      <c r="D932" s="15">
        <f>IFERROR(__xludf.DUMMYFUNCTION("""COMPUTED_VALUE"""),1.004)</f>
        <v>1.004</v>
      </c>
      <c r="E932" s="16">
        <f>IFERROR(__xludf.DUMMYFUNCTION("""COMPUTED_VALUE"""),63.0)</f>
        <v>63</v>
      </c>
      <c r="F932" s="19" t="str">
        <f>IFERROR(__xludf.DUMMYFUNCTION("""COMPUTED_VALUE"""),"BLACK")</f>
        <v>BLACK</v>
      </c>
      <c r="G932" s="20" t="str">
        <f>IFERROR(__xludf.DUMMYFUNCTION("""COMPUTED_VALUE"""),"Uncle Sams Cider (11/12/2021) 02")</f>
        <v>Uncle Sams Cider (11/12/2021) 02</v>
      </c>
      <c r="H932" s="19"/>
    </row>
    <row r="933">
      <c r="A933" s="9"/>
      <c r="B933" s="15"/>
      <c r="C933" s="9">
        <f>IFERROR(__xludf.DUMMYFUNCTION("""COMPUTED_VALUE"""),44595.8305037962)</f>
        <v>44595.8305</v>
      </c>
      <c r="D933" s="15">
        <f>IFERROR(__xludf.DUMMYFUNCTION("""COMPUTED_VALUE"""),1.004)</f>
        <v>1.004</v>
      </c>
      <c r="E933" s="16">
        <f>IFERROR(__xludf.DUMMYFUNCTION("""COMPUTED_VALUE"""),63.0)</f>
        <v>63</v>
      </c>
      <c r="F933" s="19" t="str">
        <f>IFERROR(__xludf.DUMMYFUNCTION("""COMPUTED_VALUE"""),"BLACK")</f>
        <v>BLACK</v>
      </c>
      <c r="G933" s="20" t="str">
        <f>IFERROR(__xludf.DUMMYFUNCTION("""COMPUTED_VALUE"""),"Uncle Sams Cider (11/12/2021) 02")</f>
        <v>Uncle Sams Cider (11/12/2021) 02</v>
      </c>
      <c r="H933" s="19"/>
    </row>
    <row r="934">
      <c r="A934" s="9"/>
      <c r="B934" s="15"/>
      <c r="C934" s="9">
        <f>IFERROR(__xludf.DUMMYFUNCTION("""COMPUTED_VALUE"""),44595.820082743)</f>
        <v>44595.82008</v>
      </c>
      <c r="D934" s="15">
        <f>IFERROR(__xludf.DUMMYFUNCTION("""COMPUTED_VALUE"""),1.004)</f>
        <v>1.004</v>
      </c>
      <c r="E934" s="16">
        <f>IFERROR(__xludf.DUMMYFUNCTION("""COMPUTED_VALUE"""),63.0)</f>
        <v>63</v>
      </c>
      <c r="F934" s="19" t="str">
        <f>IFERROR(__xludf.DUMMYFUNCTION("""COMPUTED_VALUE"""),"BLACK")</f>
        <v>BLACK</v>
      </c>
      <c r="G934" s="20" t="str">
        <f>IFERROR(__xludf.DUMMYFUNCTION("""COMPUTED_VALUE"""),"Uncle Sams Cider (11/12/2021) 02")</f>
        <v>Uncle Sams Cider (11/12/2021) 02</v>
      </c>
      <c r="H934" s="19"/>
    </row>
    <row r="935">
      <c r="A935" s="9"/>
      <c r="B935" s="15"/>
      <c r="C935" s="9">
        <f>IFERROR(__xludf.DUMMYFUNCTION("""COMPUTED_VALUE"""),44595.8096603356)</f>
        <v>44595.80966</v>
      </c>
      <c r="D935" s="15">
        <f>IFERROR(__xludf.DUMMYFUNCTION("""COMPUTED_VALUE"""),1.004)</f>
        <v>1.004</v>
      </c>
      <c r="E935" s="16">
        <f>IFERROR(__xludf.DUMMYFUNCTION("""COMPUTED_VALUE"""),63.0)</f>
        <v>63</v>
      </c>
      <c r="F935" s="19" t="str">
        <f>IFERROR(__xludf.DUMMYFUNCTION("""COMPUTED_VALUE"""),"BLACK")</f>
        <v>BLACK</v>
      </c>
      <c r="G935" s="20" t="str">
        <f>IFERROR(__xludf.DUMMYFUNCTION("""COMPUTED_VALUE"""),"Uncle Sams Cider (11/12/2021) 02")</f>
        <v>Uncle Sams Cider (11/12/2021) 02</v>
      </c>
      <c r="H935" s="19"/>
    </row>
    <row r="936">
      <c r="A936" s="9"/>
      <c r="B936" s="15"/>
      <c r="C936" s="9">
        <f>IFERROR(__xludf.DUMMYFUNCTION("""COMPUTED_VALUE"""),44595.7992391319)</f>
        <v>44595.79924</v>
      </c>
      <c r="D936" s="15">
        <f>IFERROR(__xludf.DUMMYFUNCTION("""COMPUTED_VALUE"""),1.004)</f>
        <v>1.004</v>
      </c>
      <c r="E936" s="16">
        <f>IFERROR(__xludf.DUMMYFUNCTION("""COMPUTED_VALUE"""),63.0)</f>
        <v>63</v>
      </c>
      <c r="F936" s="19" t="str">
        <f>IFERROR(__xludf.DUMMYFUNCTION("""COMPUTED_VALUE"""),"BLACK")</f>
        <v>BLACK</v>
      </c>
      <c r="G936" s="20" t="str">
        <f>IFERROR(__xludf.DUMMYFUNCTION("""COMPUTED_VALUE"""),"Uncle Sams Cider (11/12/2021) 02")</f>
        <v>Uncle Sams Cider (11/12/2021) 02</v>
      </c>
      <c r="H936" s="19"/>
    </row>
    <row r="937">
      <c r="A937" s="9"/>
      <c r="B937" s="15"/>
      <c r="C937" s="9">
        <f>IFERROR(__xludf.DUMMYFUNCTION("""COMPUTED_VALUE"""),44595.7888180555)</f>
        <v>44595.78882</v>
      </c>
      <c r="D937" s="15">
        <f>IFERROR(__xludf.DUMMYFUNCTION("""COMPUTED_VALUE"""),1.004)</f>
        <v>1.004</v>
      </c>
      <c r="E937" s="16">
        <f>IFERROR(__xludf.DUMMYFUNCTION("""COMPUTED_VALUE"""),63.0)</f>
        <v>63</v>
      </c>
      <c r="F937" s="19" t="str">
        <f>IFERROR(__xludf.DUMMYFUNCTION("""COMPUTED_VALUE"""),"BLACK")</f>
        <v>BLACK</v>
      </c>
      <c r="G937" s="20" t="str">
        <f>IFERROR(__xludf.DUMMYFUNCTION("""COMPUTED_VALUE"""),"Uncle Sams Cider (11/12/2021) 02")</f>
        <v>Uncle Sams Cider (11/12/2021) 02</v>
      </c>
      <c r="H937" s="19"/>
    </row>
    <row r="938">
      <c r="A938" s="9"/>
      <c r="B938" s="15"/>
      <c r="C938" s="9">
        <f>IFERROR(__xludf.DUMMYFUNCTION("""COMPUTED_VALUE"""),44595.7783973495)</f>
        <v>44595.7784</v>
      </c>
      <c r="D938" s="15">
        <f>IFERROR(__xludf.DUMMYFUNCTION("""COMPUTED_VALUE"""),1.004)</f>
        <v>1.004</v>
      </c>
      <c r="E938" s="16">
        <f>IFERROR(__xludf.DUMMYFUNCTION("""COMPUTED_VALUE"""),63.0)</f>
        <v>63</v>
      </c>
      <c r="F938" s="19" t="str">
        <f>IFERROR(__xludf.DUMMYFUNCTION("""COMPUTED_VALUE"""),"BLACK")</f>
        <v>BLACK</v>
      </c>
      <c r="G938" s="20" t="str">
        <f>IFERROR(__xludf.DUMMYFUNCTION("""COMPUTED_VALUE"""),"Uncle Sams Cider (11/12/2021) 02")</f>
        <v>Uncle Sams Cider (11/12/2021) 02</v>
      </c>
      <c r="H938" s="19"/>
    </row>
    <row r="939">
      <c r="A939" s="9"/>
      <c r="B939" s="15"/>
      <c r="C939" s="9">
        <f>IFERROR(__xludf.DUMMYFUNCTION("""COMPUTED_VALUE"""),44595.7679650347)</f>
        <v>44595.76797</v>
      </c>
      <c r="D939" s="15">
        <f>IFERROR(__xludf.DUMMYFUNCTION("""COMPUTED_VALUE"""),1.004)</f>
        <v>1.004</v>
      </c>
      <c r="E939" s="16">
        <f>IFERROR(__xludf.DUMMYFUNCTION("""COMPUTED_VALUE"""),63.0)</f>
        <v>63</v>
      </c>
      <c r="F939" s="19" t="str">
        <f>IFERROR(__xludf.DUMMYFUNCTION("""COMPUTED_VALUE"""),"BLACK")</f>
        <v>BLACK</v>
      </c>
      <c r="G939" s="20" t="str">
        <f>IFERROR(__xludf.DUMMYFUNCTION("""COMPUTED_VALUE"""),"Uncle Sams Cider (11/12/2021) 02")</f>
        <v>Uncle Sams Cider (11/12/2021) 02</v>
      </c>
      <c r="H939" s="19"/>
    </row>
    <row r="940">
      <c r="A940" s="9"/>
      <c r="B940" s="15"/>
      <c r="C940" s="9">
        <f>IFERROR(__xludf.DUMMYFUNCTION("""COMPUTED_VALUE"""),44595.7575459722)</f>
        <v>44595.75755</v>
      </c>
      <c r="D940" s="15">
        <f>IFERROR(__xludf.DUMMYFUNCTION("""COMPUTED_VALUE"""),1.004)</f>
        <v>1.004</v>
      </c>
      <c r="E940" s="16">
        <f>IFERROR(__xludf.DUMMYFUNCTION("""COMPUTED_VALUE"""),63.0)</f>
        <v>63</v>
      </c>
      <c r="F940" s="19" t="str">
        <f>IFERROR(__xludf.DUMMYFUNCTION("""COMPUTED_VALUE"""),"BLACK")</f>
        <v>BLACK</v>
      </c>
      <c r="G940" s="20" t="str">
        <f>IFERROR(__xludf.DUMMYFUNCTION("""COMPUTED_VALUE"""),"Uncle Sams Cider (11/12/2021) 02")</f>
        <v>Uncle Sams Cider (11/12/2021) 02</v>
      </c>
      <c r="H940" s="19"/>
    </row>
    <row r="941">
      <c r="A941" s="9"/>
      <c r="B941" s="15"/>
      <c r="C941" s="9">
        <f>IFERROR(__xludf.DUMMYFUNCTION("""COMPUTED_VALUE"""),44595.7471131481)</f>
        <v>44595.74711</v>
      </c>
      <c r="D941" s="15">
        <f>IFERROR(__xludf.DUMMYFUNCTION("""COMPUTED_VALUE"""),1.004)</f>
        <v>1.004</v>
      </c>
      <c r="E941" s="16">
        <f>IFERROR(__xludf.DUMMYFUNCTION("""COMPUTED_VALUE"""),63.0)</f>
        <v>63</v>
      </c>
      <c r="F941" s="19" t="str">
        <f>IFERROR(__xludf.DUMMYFUNCTION("""COMPUTED_VALUE"""),"BLACK")</f>
        <v>BLACK</v>
      </c>
      <c r="G941" s="20" t="str">
        <f>IFERROR(__xludf.DUMMYFUNCTION("""COMPUTED_VALUE"""),"Uncle Sams Cider (11/12/2021) 02")</f>
        <v>Uncle Sams Cider (11/12/2021) 02</v>
      </c>
      <c r="H941" s="19"/>
    </row>
    <row r="942">
      <c r="A942" s="9"/>
      <c r="B942" s="15"/>
      <c r="C942" s="9">
        <f>IFERROR(__xludf.DUMMYFUNCTION("""COMPUTED_VALUE"""),44595.7366811342)</f>
        <v>44595.73668</v>
      </c>
      <c r="D942" s="15">
        <f>IFERROR(__xludf.DUMMYFUNCTION("""COMPUTED_VALUE"""),1.004)</f>
        <v>1.004</v>
      </c>
      <c r="E942" s="16">
        <f>IFERROR(__xludf.DUMMYFUNCTION("""COMPUTED_VALUE"""),63.0)</f>
        <v>63</v>
      </c>
      <c r="F942" s="19" t="str">
        <f>IFERROR(__xludf.DUMMYFUNCTION("""COMPUTED_VALUE"""),"BLACK")</f>
        <v>BLACK</v>
      </c>
      <c r="G942" s="20" t="str">
        <f>IFERROR(__xludf.DUMMYFUNCTION("""COMPUTED_VALUE"""),"Uncle Sams Cider (11/12/2021) 02")</f>
        <v>Uncle Sams Cider (11/12/2021) 02</v>
      </c>
      <c r="H942" s="19"/>
    </row>
    <row r="943">
      <c r="A943" s="9"/>
      <c r="B943" s="15"/>
      <c r="C943" s="9">
        <f>IFERROR(__xludf.DUMMYFUNCTION("""COMPUTED_VALUE"""),44595.726249155)</f>
        <v>44595.72625</v>
      </c>
      <c r="D943" s="15">
        <f>IFERROR(__xludf.DUMMYFUNCTION("""COMPUTED_VALUE"""),1.004)</f>
        <v>1.004</v>
      </c>
      <c r="E943" s="16">
        <f>IFERROR(__xludf.DUMMYFUNCTION("""COMPUTED_VALUE"""),63.0)</f>
        <v>63</v>
      </c>
      <c r="F943" s="19" t="str">
        <f>IFERROR(__xludf.DUMMYFUNCTION("""COMPUTED_VALUE"""),"BLACK")</f>
        <v>BLACK</v>
      </c>
      <c r="G943" s="20" t="str">
        <f>IFERROR(__xludf.DUMMYFUNCTION("""COMPUTED_VALUE"""),"Uncle Sams Cider (11/12/2021) 02")</f>
        <v>Uncle Sams Cider (11/12/2021) 02</v>
      </c>
      <c r="H943" s="19"/>
    </row>
    <row r="944">
      <c r="A944" s="9"/>
      <c r="B944" s="15"/>
      <c r="C944" s="9">
        <f>IFERROR(__xludf.DUMMYFUNCTION("""COMPUTED_VALUE"""),44595.7157832638)</f>
        <v>44595.71578</v>
      </c>
      <c r="D944" s="15">
        <f>IFERROR(__xludf.DUMMYFUNCTION("""COMPUTED_VALUE"""),1.004)</f>
        <v>1.004</v>
      </c>
      <c r="E944" s="16">
        <f>IFERROR(__xludf.DUMMYFUNCTION("""COMPUTED_VALUE"""),63.0)</f>
        <v>63</v>
      </c>
      <c r="F944" s="19" t="str">
        <f>IFERROR(__xludf.DUMMYFUNCTION("""COMPUTED_VALUE"""),"BLACK")</f>
        <v>BLACK</v>
      </c>
      <c r="G944" s="20" t="str">
        <f>IFERROR(__xludf.DUMMYFUNCTION("""COMPUTED_VALUE"""),"Uncle Sams Cider (11/12/2021) 02")</f>
        <v>Uncle Sams Cider (11/12/2021) 02</v>
      </c>
      <c r="H944" s="19"/>
    </row>
    <row r="945">
      <c r="A945" s="9"/>
      <c r="B945" s="15"/>
      <c r="C945" s="9">
        <f>IFERROR(__xludf.DUMMYFUNCTION("""COMPUTED_VALUE"""),44595.7053615625)</f>
        <v>44595.70536</v>
      </c>
      <c r="D945" s="15">
        <f>IFERROR(__xludf.DUMMYFUNCTION("""COMPUTED_VALUE"""),1.004)</f>
        <v>1.004</v>
      </c>
      <c r="E945" s="16">
        <f>IFERROR(__xludf.DUMMYFUNCTION("""COMPUTED_VALUE"""),63.0)</f>
        <v>63</v>
      </c>
      <c r="F945" s="19" t="str">
        <f>IFERROR(__xludf.DUMMYFUNCTION("""COMPUTED_VALUE"""),"BLACK")</f>
        <v>BLACK</v>
      </c>
      <c r="G945" s="20" t="str">
        <f>IFERROR(__xludf.DUMMYFUNCTION("""COMPUTED_VALUE"""),"Uncle Sams Cider (11/12/2021) 02")</f>
        <v>Uncle Sams Cider (11/12/2021) 02</v>
      </c>
      <c r="H945" s="19"/>
    </row>
    <row r="946">
      <c r="A946" s="9"/>
      <c r="B946" s="15"/>
      <c r="C946" s="9">
        <f>IFERROR(__xludf.DUMMYFUNCTION("""COMPUTED_VALUE"""),44595.6949391782)</f>
        <v>44595.69494</v>
      </c>
      <c r="D946" s="15">
        <f>IFERROR(__xludf.DUMMYFUNCTION("""COMPUTED_VALUE"""),1.004)</f>
        <v>1.004</v>
      </c>
      <c r="E946" s="16">
        <f>IFERROR(__xludf.DUMMYFUNCTION("""COMPUTED_VALUE"""),63.0)</f>
        <v>63</v>
      </c>
      <c r="F946" s="19" t="str">
        <f>IFERROR(__xludf.DUMMYFUNCTION("""COMPUTED_VALUE"""),"BLACK")</f>
        <v>BLACK</v>
      </c>
      <c r="G946" s="20" t="str">
        <f>IFERROR(__xludf.DUMMYFUNCTION("""COMPUTED_VALUE"""),"Uncle Sams Cider (11/12/2021) 02")</f>
        <v>Uncle Sams Cider (11/12/2021) 02</v>
      </c>
      <c r="H946" s="19"/>
    </row>
    <row r="947">
      <c r="A947" s="9"/>
      <c r="B947" s="15"/>
      <c r="C947" s="9">
        <f>IFERROR(__xludf.DUMMYFUNCTION("""COMPUTED_VALUE"""),44595.6845186458)</f>
        <v>44595.68452</v>
      </c>
      <c r="D947" s="15">
        <f>IFERROR(__xludf.DUMMYFUNCTION("""COMPUTED_VALUE"""),1.004)</f>
        <v>1.004</v>
      </c>
      <c r="E947" s="16">
        <f>IFERROR(__xludf.DUMMYFUNCTION("""COMPUTED_VALUE"""),63.0)</f>
        <v>63</v>
      </c>
      <c r="F947" s="19" t="str">
        <f>IFERROR(__xludf.DUMMYFUNCTION("""COMPUTED_VALUE"""),"BLACK")</f>
        <v>BLACK</v>
      </c>
      <c r="G947" s="20" t="str">
        <f>IFERROR(__xludf.DUMMYFUNCTION("""COMPUTED_VALUE"""),"Uncle Sams Cider (11/12/2021) 02")</f>
        <v>Uncle Sams Cider (11/12/2021) 02</v>
      </c>
      <c r="H947" s="19"/>
    </row>
    <row r="948">
      <c r="A948" s="9"/>
      <c r="B948" s="15"/>
      <c r="C948" s="9">
        <f>IFERROR(__xludf.DUMMYFUNCTION("""COMPUTED_VALUE"""),44595.6740996412)</f>
        <v>44595.6741</v>
      </c>
      <c r="D948" s="15">
        <f>IFERROR(__xludf.DUMMYFUNCTION("""COMPUTED_VALUE"""),1.004)</f>
        <v>1.004</v>
      </c>
      <c r="E948" s="16">
        <f>IFERROR(__xludf.DUMMYFUNCTION("""COMPUTED_VALUE"""),63.0)</f>
        <v>63</v>
      </c>
      <c r="F948" s="19" t="str">
        <f>IFERROR(__xludf.DUMMYFUNCTION("""COMPUTED_VALUE"""),"BLACK")</f>
        <v>BLACK</v>
      </c>
      <c r="G948" s="20" t="str">
        <f>IFERROR(__xludf.DUMMYFUNCTION("""COMPUTED_VALUE"""),"Uncle Sams Cider (11/12/2021) 02")</f>
        <v>Uncle Sams Cider (11/12/2021) 02</v>
      </c>
      <c r="H948" s="19"/>
    </row>
    <row r="949">
      <c r="A949" s="9"/>
      <c r="B949" s="15"/>
      <c r="C949" s="9">
        <f>IFERROR(__xludf.DUMMYFUNCTION("""COMPUTED_VALUE"""),44595.6636784374)</f>
        <v>44595.66368</v>
      </c>
      <c r="D949" s="15">
        <f>IFERROR(__xludf.DUMMYFUNCTION("""COMPUTED_VALUE"""),1.004)</f>
        <v>1.004</v>
      </c>
      <c r="E949" s="16">
        <f>IFERROR(__xludf.DUMMYFUNCTION("""COMPUTED_VALUE"""),63.0)</f>
        <v>63</v>
      </c>
      <c r="F949" s="19" t="str">
        <f>IFERROR(__xludf.DUMMYFUNCTION("""COMPUTED_VALUE"""),"BLACK")</f>
        <v>BLACK</v>
      </c>
      <c r="G949" s="20" t="str">
        <f>IFERROR(__xludf.DUMMYFUNCTION("""COMPUTED_VALUE"""),"Uncle Sams Cider (11/12/2021) 02")</f>
        <v>Uncle Sams Cider (11/12/2021) 02</v>
      </c>
      <c r="H949" s="19"/>
    </row>
    <row r="950">
      <c r="A950" s="9"/>
      <c r="B950" s="15"/>
      <c r="C950" s="9">
        <f>IFERROR(__xludf.DUMMYFUNCTION("""COMPUTED_VALUE"""),44595.6532583217)</f>
        <v>44595.65326</v>
      </c>
      <c r="D950" s="15">
        <f>IFERROR(__xludf.DUMMYFUNCTION("""COMPUTED_VALUE"""),1.004)</f>
        <v>1.004</v>
      </c>
      <c r="E950" s="16">
        <f>IFERROR(__xludf.DUMMYFUNCTION("""COMPUTED_VALUE"""),63.0)</f>
        <v>63</v>
      </c>
      <c r="F950" s="19" t="str">
        <f>IFERROR(__xludf.DUMMYFUNCTION("""COMPUTED_VALUE"""),"BLACK")</f>
        <v>BLACK</v>
      </c>
      <c r="G950" s="20" t="str">
        <f>IFERROR(__xludf.DUMMYFUNCTION("""COMPUTED_VALUE"""),"Uncle Sams Cider (11/12/2021) 02")</f>
        <v>Uncle Sams Cider (11/12/2021) 02</v>
      </c>
      <c r="H950" s="19"/>
    </row>
    <row r="951">
      <c r="A951" s="9"/>
      <c r="B951" s="15"/>
      <c r="C951" s="9">
        <f>IFERROR(__xludf.DUMMYFUNCTION("""COMPUTED_VALUE"""),44595.6428367708)</f>
        <v>44595.64284</v>
      </c>
      <c r="D951" s="15">
        <f>IFERROR(__xludf.DUMMYFUNCTION("""COMPUTED_VALUE"""),1.004)</f>
        <v>1.004</v>
      </c>
      <c r="E951" s="16">
        <f>IFERROR(__xludf.DUMMYFUNCTION("""COMPUTED_VALUE"""),63.0)</f>
        <v>63</v>
      </c>
      <c r="F951" s="19" t="str">
        <f>IFERROR(__xludf.DUMMYFUNCTION("""COMPUTED_VALUE"""),"BLACK")</f>
        <v>BLACK</v>
      </c>
      <c r="G951" s="20" t="str">
        <f>IFERROR(__xludf.DUMMYFUNCTION("""COMPUTED_VALUE"""),"Uncle Sams Cider (11/12/2021) 02")</f>
        <v>Uncle Sams Cider (11/12/2021) 02</v>
      </c>
      <c r="H951" s="19"/>
    </row>
    <row r="952">
      <c r="A952" s="9"/>
      <c r="B952" s="15"/>
      <c r="C952" s="9">
        <f>IFERROR(__xludf.DUMMYFUNCTION("""COMPUTED_VALUE"""),44595.6324052083)</f>
        <v>44595.63241</v>
      </c>
      <c r="D952" s="15">
        <f>IFERROR(__xludf.DUMMYFUNCTION("""COMPUTED_VALUE"""),1.004)</f>
        <v>1.004</v>
      </c>
      <c r="E952" s="16">
        <f>IFERROR(__xludf.DUMMYFUNCTION("""COMPUTED_VALUE"""),63.0)</f>
        <v>63</v>
      </c>
      <c r="F952" s="19" t="str">
        <f>IFERROR(__xludf.DUMMYFUNCTION("""COMPUTED_VALUE"""),"BLACK")</f>
        <v>BLACK</v>
      </c>
      <c r="G952" s="20" t="str">
        <f>IFERROR(__xludf.DUMMYFUNCTION("""COMPUTED_VALUE"""),"Uncle Sams Cider (11/12/2021) 02")</f>
        <v>Uncle Sams Cider (11/12/2021) 02</v>
      </c>
      <c r="H952" s="19"/>
    </row>
    <row r="953">
      <c r="A953" s="9"/>
      <c r="B953" s="15"/>
      <c r="C953" s="9">
        <f>IFERROR(__xludf.DUMMYFUNCTION("""COMPUTED_VALUE"""),44595.6219834837)</f>
        <v>44595.62198</v>
      </c>
      <c r="D953" s="15">
        <f>IFERROR(__xludf.DUMMYFUNCTION("""COMPUTED_VALUE"""),1.004)</f>
        <v>1.004</v>
      </c>
      <c r="E953" s="16">
        <f>IFERROR(__xludf.DUMMYFUNCTION("""COMPUTED_VALUE"""),63.0)</f>
        <v>63</v>
      </c>
      <c r="F953" s="19" t="str">
        <f>IFERROR(__xludf.DUMMYFUNCTION("""COMPUTED_VALUE"""),"BLACK")</f>
        <v>BLACK</v>
      </c>
      <c r="G953" s="20" t="str">
        <f>IFERROR(__xludf.DUMMYFUNCTION("""COMPUTED_VALUE"""),"Uncle Sams Cider (11/12/2021) 02")</f>
        <v>Uncle Sams Cider (11/12/2021) 02</v>
      </c>
      <c r="H953" s="19"/>
    </row>
    <row r="954">
      <c r="A954" s="9"/>
      <c r="B954" s="15"/>
      <c r="C954" s="9">
        <f>IFERROR(__xludf.DUMMYFUNCTION("""COMPUTED_VALUE"""),44595.6115390972)</f>
        <v>44595.61154</v>
      </c>
      <c r="D954" s="15">
        <f>IFERROR(__xludf.DUMMYFUNCTION("""COMPUTED_VALUE"""),1.004)</f>
        <v>1.004</v>
      </c>
      <c r="E954" s="16">
        <f>IFERROR(__xludf.DUMMYFUNCTION("""COMPUTED_VALUE"""),63.0)</f>
        <v>63</v>
      </c>
      <c r="F954" s="19" t="str">
        <f>IFERROR(__xludf.DUMMYFUNCTION("""COMPUTED_VALUE"""),"BLACK")</f>
        <v>BLACK</v>
      </c>
      <c r="G954" s="20" t="str">
        <f>IFERROR(__xludf.DUMMYFUNCTION("""COMPUTED_VALUE"""),"Uncle Sams Cider (11/12/2021) 02")</f>
        <v>Uncle Sams Cider (11/12/2021) 02</v>
      </c>
      <c r="H954" s="19"/>
    </row>
    <row r="955">
      <c r="A955" s="9"/>
      <c r="B955" s="15"/>
      <c r="C955" s="9">
        <f>IFERROR(__xludf.DUMMYFUNCTION("""COMPUTED_VALUE"""),44595.6011176504)</f>
        <v>44595.60112</v>
      </c>
      <c r="D955" s="15">
        <f>IFERROR(__xludf.DUMMYFUNCTION("""COMPUTED_VALUE"""),1.004)</f>
        <v>1.004</v>
      </c>
      <c r="E955" s="16">
        <f>IFERROR(__xludf.DUMMYFUNCTION("""COMPUTED_VALUE"""),63.0)</f>
        <v>63</v>
      </c>
      <c r="F955" s="19" t="str">
        <f>IFERROR(__xludf.DUMMYFUNCTION("""COMPUTED_VALUE"""),"BLACK")</f>
        <v>BLACK</v>
      </c>
      <c r="G955" s="20" t="str">
        <f>IFERROR(__xludf.DUMMYFUNCTION("""COMPUTED_VALUE"""),"Uncle Sams Cider (11/12/2021) 02")</f>
        <v>Uncle Sams Cider (11/12/2021) 02</v>
      </c>
      <c r="H955" s="19"/>
    </row>
    <row r="956">
      <c r="A956" s="9"/>
      <c r="B956" s="15"/>
      <c r="C956" s="9">
        <f>IFERROR(__xludf.DUMMYFUNCTION("""COMPUTED_VALUE"""),44595.59065)</f>
        <v>44595.59065</v>
      </c>
      <c r="D956" s="15">
        <f>IFERROR(__xludf.DUMMYFUNCTION("""COMPUTED_VALUE"""),1.004)</f>
        <v>1.004</v>
      </c>
      <c r="E956" s="16">
        <f>IFERROR(__xludf.DUMMYFUNCTION("""COMPUTED_VALUE"""),63.0)</f>
        <v>63</v>
      </c>
      <c r="F956" s="19" t="str">
        <f>IFERROR(__xludf.DUMMYFUNCTION("""COMPUTED_VALUE"""),"BLACK")</f>
        <v>BLACK</v>
      </c>
      <c r="G956" s="20" t="str">
        <f>IFERROR(__xludf.DUMMYFUNCTION("""COMPUTED_VALUE"""),"Uncle Sams Cider (11/12/2021) 02")</f>
        <v>Uncle Sams Cider (11/12/2021) 02</v>
      </c>
      <c r="H956" s="19"/>
    </row>
    <row r="957">
      <c r="A957" s="9"/>
      <c r="B957" s="15"/>
      <c r="C957" s="9">
        <f>IFERROR(__xludf.DUMMYFUNCTION("""COMPUTED_VALUE"""),44595.580215706)</f>
        <v>44595.58022</v>
      </c>
      <c r="D957" s="15">
        <f>IFERROR(__xludf.DUMMYFUNCTION("""COMPUTED_VALUE"""),1.004)</f>
        <v>1.004</v>
      </c>
      <c r="E957" s="16">
        <f>IFERROR(__xludf.DUMMYFUNCTION("""COMPUTED_VALUE"""),63.0)</f>
        <v>63</v>
      </c>
      <c r="F957" s="19" t="str">
        <f>IFERROR(__xludf.DUMMYFUNCTION("""COMPUTED_VALUE"""),"BLACK")</f>
        <v>BLACK</v>
      </c>
      <c r="G957" s="20" t="str">
        <f>IFERROR(__xludf.DUMMYFUNCTION("""COMPUTED_VALUE"""),"Uncle Sams Cider (11/12/2021) 02")</f>
        <v>Uncle Sams Cider (11/12/2021) 02</v>
      </c>
      <c r="H957" s="19"/>
    </row>
    <row r="958">
      <c r="A958" s="9"/>
      <c r="B958" s="15"/>
      <c r="C958" s="9">
        <f>IFERROR(__xludf.DUMMYFUNCTION("""COMPUTED_VALUE"""),44595.5697952314)</f>
        <v>44595.5698</v>
      </c>
      <c r="D958" s="15">
        <f>IFERROR(__xludf.DUMMYFUNCTION("""COMPUTED_VALUE"""),1.004)</f>
        <v>1.004</v>
      </c>
      <c r="E958" s="16">
        <f>IFERROR(__xludf.DUMMYFUNCTION("""COMPUTED_VALUE"""),63.0)</f>
        <v>63</v>
      </c>
      <c r="F958" s="19" t="str">
        <f>IFERROR(__xludf.DUMMYFUNCTION("""COMPUTED_VALUE"""),"BLACK")</f>
        <v>BLACK</v>
      </c>
      <c r="G958" s="20" t="str">
        <f>IFERROR(__xludf.DUMMYFUNCTION("""COMPUTED_VALUE"""),"Uncle Sams Cider (11/12/2021) 02")</f>
        <v>Uncle Sams Cider (11/12/2021) 02</v>
      </c>
      <c r="H958" s="19"/>
    </row>
    <row r="959">
      <c r="A959" s="9"/>
      <c r="B959" s="15"/>
      <c r="C959" s="9">
        <f>IFERROR(__xludf.DUMMYFUNCTION("""COMPUTED_VALUE"""),44595.5593395833)</f>
        <v>44595.55934</v>
      </c>
      <c r="D959" s="15">
        <f>IFERROR(__xludf.DUMMYFUNCTION("""COMPUTED_VALUE"""),1.004)</f>
        <v>1.004</v>
      </c>
      <c r="E959" s="16">
        <f>IFERROR(__xludf.DUMMYFUNCTION("""COMPUTED_VALUE"""),63.0)</f>
        <v>63</v>
      </c>
      <c r="F959" s="19" t="str">
        <f>IFERROR(__xludf.DUMMYFUNCTION("""COMPUTED_VALUE"""),"BLACK")</f>
        <v>BLACK</v>
      </c>
      <c r="G959" s="20" t="str">
        <f>IFERROR(__xludf.DUMMYFUNCTION("""COMPUTED_VALUE"""),"Uncle Sams Cider (11/12/2021) 02")</f>
        <v>Uncle Sams Cider (11/12/2021) 02</v>
      </c>
      <c r="H959" s="19"/>
    </row>
    <row r="960">
      <c r="A960" s="9"/>
      <c r="B960" s="15"/>
      <c r="C960" s="9">
        <f>IFERROR(__xludf.DUMMYFUNCTION("""COMPUTED_VALUE"""),44595.5489185879)</f>
        <v>44595.54892</v>
      </c>
      <c r="D960" s="15">
        <f>IFERROR(__xludf.DUMMYFUNCTION("""COMPUTED_VALUE"""),1.004)</f>
        <v>1.004</v>
      </c>
      <c r="E960" s="16">
        <f>IFERROR(__xludf.DUMMYFUNCTION("""COMPUTED_VALUE"""),64.0)</f>
        <v>64</v>
      </c>
      <c r="F960" s="19" t="str">
        <f>IFERROR(__xludf.DUMMYFUNCTION("""COMPUTED_VALUE"""),"BLACK")</f>
        <v>BLACK</v>
      </c>
      <c r="G960" s="20" t="str">
        <f>IFERROR(__xludf.DUMMYFUNCTION("""COMPUTED_VALUE"""),"Uncle Sams Cider (11/12/2021) 02")</f>
        <v>Uncle Sams Cider (11/12/2021) 02</v>
      </c>
      <c r="H960" s="19"/>
    </row>
    <row r="961">
      <c r="A961" s="9"/>
      <c r="B961" s="15"/>
      <c r="C961" s="9">
        <f>IFERROR(__xludf.DUMMYFUNCTION("""COMPUTED_VALUE"""),44595.5384991666)</f>
        <v>44595.5385</v>
      </c>
      <c r="D961" s="15">
        <f>IFERROR(__xludf.DUMMYFUNCTION("""COMPUTED_VALUE"""),1.004)</f>
        <v>1.004</v>
      </c>
      <c r="E961" s="16">
        <f>IFERROR(__xludf.DUMMYFUNCTION("""COMPUTED_VALUE"""),64.0)</f>
        <v>64</v>
      </c>
      <c r="F961" s="19" t="str">
        <f>IFERROR(__xludf.DUMMYFUNCTION("""COMPUTED_VALUE"""),"BLACK")</f>
        <v>BLACK</v>
      </c>
      <c r="G961" s="20" t="str">
        <f>IFERROR(__xludf.DUMMYFUNCTION("""COMPUTED_VALUE"""),"Uncle Sams Cider (11/12/2021) 02")</f>
        <v>Uncle Sams Cider (11/12/2021) 02</v>
      </c>
      <c r="H961" s="19"/>
    </row>
    <row r="962">
      <c r="A962" s="9"/>
      <c r="B962" s="15"/>
      <c r="C962" s="9">
        <f>IFERROR(__xludf.DUMMYFUNCTION("""COMPUTED_VALUE"""),44595.5280671064)</f>
        <v>44595.52807</v>
      </c>
      <c r="D962" s="15">
        <f>IFERROR(__xludf.DUMMYFUNCTION("""COMPUTED_VALUE"""),1.004)</f>
        <v>1.004</v>
      </c>
      <c r="E962" s="16">
        <f>IFERROR(__xludf.DUMMYFUNCTION("""COMPUTED_VALUE"""),63.0)</f>
        <v>63</v>
      </c>
      <c r="F962" s="19" t="str">
        <f>IFERROR(__xludf.DUMMYFUNCTION("""COMPUTED_VALUE"""),"BLACK")</f>
        <v>BLACK</v>
      </c>
      <c r="G962" s="20" t="str">
        <f>IFERROR(__xludf.DUMMYFUNCTION("""COMPUTED_VALUE"""),"Uncle Sams Cider (11/12/2021) 02")</f>
        <v>Uncle Sams Cider (11/12/2021) 02</v>
      </c>
      <c r="H962" s="19"/>
    </row>
    <row r="963">
      <c r="A963" s="9"/>
      <c r="B963" s="15"/>
      <c r="C963" s="9">
        <f>IFERROR(__xludf.DUMMYFUNCTION("""COMPUTED_VALUE"""),44595.517645949)</f>
        <v>44595.51765</v>
      </c>
      <c r="D963" s="15">
        <f>IFERROR(__xludf.DUMMYFUNCTION("""COMPUTED_VALUE"""),1.004)</f>
        <v>1.004</v>
      </c>
      <c r="E963" s="16">
        <f>IFERROR(__xludf.DUMMYFUNCTION("""COMPUTED_VALUE"""),64.0)</f>
        <v>64</v>
      </c>
      <c r="F963" s="19" t="str">
        <f>IFERROR(__xludf.DUMMYFUNCTION("""COMPUTED_VALUE"""),"BLACK")</f>
        <v>BLACK</v>
      </c>
      <c r="G963" s="20" t="str">
        <f>IFERROR(__xludf.DUMMYFUNCTION("""COMPUTED_VALUE"""),"Uncle Sams Cider (11/12/2021) 02")</f>
        <v>Uncle Sams Cider (11/12/2021) 02</v>
      </c>
      <c r="H963" s="19"/>
    </row>
    <row r="964">
      <c r="A964" s="9"/>
      <c r="B964" s="15"/>
      <c r="C964" s="9">
        <f>IFERROR(__xludf.DUMMYFUNCTION("""COMPUTED_VALUE"""),44595.5072246875)</f>
        <v>44595.50722</v>
      </c>
      <c r="D964" s="15">
        <f>IFERROR(__xludf.DUMMYFUNCTION("""COMPUTED_VALUE"""),1.004)</f>
        <v>1.004</v>
      </c>
      <c r="E964" s="16">
        <f>IFERROR(__xludf.DUMMYFUNCTION("""COMPUTED_VALUE"""),64.0)</f>
        <v>64</v>
      </c>
      <c r="F964" s="19" t="str">
        <f>IFERROR(__xludf.DUMMYFUNCTION("""COMPUTED_VALUE"""),"BLACK")</f>
        <v>BLACK</v>
      </c>
      <c r="G964" s="20" t="str">
        <f>IFERROR(__xludf.DUMMYFUNCTION("""COMPUTED_VALUE"""),"Uncle Sams Cider (11/12/2021) 02")</f>
        <v>Uncle Sams Cider (11/12/2021) 02</v>
      </c>
      <c r="H964" s="19"/>
    </row>
    <row r="965">
      <c r="A965" s="9"/>
      <c r="B965" s="15"/>
      <c r="C965" s="9">
        <f>IFERROR(__xludf.DUMMYFUNCTION("""COMPUTED_VALUE"""),44595.4968035648)</f>
        <v>44595.4968</v>
      </c>
      <c r="D965" s="15">
        <f>IFERROR(__xludf.DUMMYFUNCTION("""COMPUTED_VALUE"""),1.004)</f>
        <v>1.004</v>
      </c>
      <c r="E965" s="16">
        <f>IFERROR(__xludf.DUMMYFUNCTION("""COMPUTED_VALUE"""),64.0)</f>
        <v>64</v>
      </c>
      <c r="F965" s="19" t="str">
        <f>IFERROR(__xludf.DUMMYFUNCTION("""COMPUTED_VALUE"""),"BLACK")</f>
        <v>BLACK</v>
      </c>
      <c r="G965" s="20" t="str">
        <f>IFERROR(__xludf.DUMMYFUNCTION("""COMPUTED_VALUE"""),"Uncle Sams Cider (11/12/2021) 02")</f>
        <v>Uncle Sams Cider (11/12/2021) 02</v>
      </c>
      <c r="H965" s="19"/>
    </row>
    <row r="966">
      <c r="A966" s="9"/>
      <c r="B966" s="15"/>
      <c r="C966" s="9">
        <f>IFERROR(__xludf.DUMMYFUNCTION("""COMPUTED_VALUE"""),44595.4863820601)</f>
        <v>44595.48638</v>
      </c>
      <c r="D966" s="15">
        <f>IFERROR(__xludf.DUMMYFUNCTION("""COMPUTED_VALUE"""),1.004)</f>
        <v>1.004</v>
      </c>
      <c r="E966" s="16">
        <f>IFERROR(__xludf.DUMMYFUNCTION("""COMPUTED_VALUE"""),64.0)</f>
        <v>64</v>
      </c>
      <c r="F966" s="19" t="str">
        <f>IFERROR(__xludf.DUMMYFUNCTION("""COMPUTED_VALUE"""),"BLACK")</f>
        <v>BLACK</v>
      </c>
      <c r="G966" s="20" t="str">
        <f>IFERROR(__xludf.DUMMYFUNCTION("""COMPUTED_VALUE"""),"Uncle Sams Cider (11/12/2021) 02")</f>
        <v>Uncle Sams Cider (11/12/2021) 02</v>
      </c>
      <c r="H966" s="19"/>
    </row>
    <row r="967">
      <c r="A967" s="9"/>
      <c r="B967" s="15"/>
      <c r="C967" s="9">
        <f>IFERROR(__xludf.DUMMYFUNCTION("""COMPUTED_VALUE"""),44595.4759383564)</f>
        <v>44595.47594</v>
      </c>
      <c r="D967" s="15">
        <f>IFERROR(__xludf.DUMMYFUNCTION("""COMPUTED_VALUE"""),1.004)</f>
        <v>1.004</v>
      </c>
      <c r="E967" s="16">
        <f>IFERROR(__xludf.DUMMYFUNCTION("""COMPUTED_VALUE"""),64.0)</f>
        <v>64</v>
      </c>
      <c r="F967" s="19" t="str">
        <f>IFERROR(__xludf.DUMMYFUNCTION("""COMPUTED_VALUE"""),"BLACK")</f>
        <v>BLACK</v>
      </c>
      <c r="G967" s="20" t="str">
        <f>IFERROR(__xludf.DUMMYFUNCTION("""COMPUTED_VALUE"""),"Uncle Sams Cider (11/12/2021) 02")</f>
        <v>Uncle Sams Cider (11/12/2021) 02</v>
      </c>
      <c r="H967" s="19"/>
    </row>
    <row r="968">
      <c r="A968" s="9"/>
      <c r="B968" s="15"/>
      <c r="C968" s="9">
        <f>IFERROR(__xludf.DUMMYFUNCTION("""COMPUTED_VALUE"""),44595.4655171759)</f>
        <v>44595.46552</v>
      </c>
      <c r="D968" s="15">
        <f>IFERROR(__xludf.DUMMYFUNCTION("""COMPUTED_VALUE"""),1.004)</f>
        <v>1.004</v>
      </c>
      <c r="E968" s="16">
        <f>IFERROR(__xludf.DUMMYFUNCTION("""COMPUTED_VALUE"""),64.0)</f>
        <v>64</v>
      </c>
      <c r="F968" s="19" t="str">
        <f>IFERROR(__xludf.DUMMYFUNCTION("""COMPUTED_VALUE"""),"BLACK")</f>
        <v>BLACK</v>
      </c>
      <c r="G968" s="20" t="str">
        <f>IFERROR(__xludf.DUMMYFUNCTION("""COMPUTED_VALUE"""),"Uncle Sams Cider (11/12/2021) 02")</f>
        <v>Uncle Sams Cider (11/12/2021) 02</v>
      </c>
      <c r="H968" s="19"/>
    </row>
    <row r="969">
      <c r="A969" s="9"/>
      <c r="B969" s="15"/>
      <c r="C969" s="9">
        <f>IFERROR(__xludf.DUMMYFUNCTION("""COMPUTED_VALUE"""),44595.4550853703)</f>
        <v>44595.45509</v>
      </c>
      <c r="D969" s="15">
        <f>IFERROR(__xludf.DUMMYFUNCTION("""COMPUTED_VALUE"""),1.004)</f>
        <v>1.004</v>
      </c>
      <c r="E969" s="16">
        <f>IFERROR(__xludf.DUMMYFUNCTION("""COMPUTED_VALUE"""),64.0)</f>
        <v>64</v>
      </c>
      <c r="F969" s="19" t="str">
        <f>IFERROR(__xludf.DUMMYFUNCTION("""COMPUTED_VALUE"""),"BLACK")</f>
        <v>BLACK</v>
      </c>
      <c r="G969" s="20" t="str">
        <f>IFERROR(__xludf.DUMMYFUNCTION("""COMPUTED_VALUE"""),"Uncle Sams Cider (11/12/2021) 02")</f>
        <v>Uncle Sams Cider (11/12/2021) 02</v>
      </c>
      <c r="H969" s="19"/>
    </row>
    <row r="970">
      <c r="A970" s="9"/>
      <c r="B970" s="15"/>
      <c r="C970" s="9">
        <f>IFERROR(__xludf.DUMMYFUNCTION("""COMPUTED_VALUE"""),44595.4446522338)</f>
        <v>44595.44465</v>
      </c>
      <c r="D970" s="15">
        <f>IFERROR(__xludf.DUMMYFUNCTION("""COMPUTED_VALUE"""),1.004)</f>
        <v>1.004</v>
      </c>
      <c r="E970" s="16">
        <f>IFERROR(__xludf.DUMMYFUNCTION("""COMPUTED_VALUE"""),64.0)</f>
        <v>64</v>
      </c>
      <c r="F970" s="19" t="str">
        <f>IFERROR(__xludf.DUMMYFUNCTION("""COMPUTED_VALUE"""),"BLACK")</f>
        <v>BLACK</v>
      </c>
      <c r="G970" s="20" t="str">
        <f>IFERROR(__xludf.DUMMYFUNCTION("""COMPUTED_VALUE"""),"Uncle Sams Cider (11/12/2021) 02")</f>
        <v>Uncle Sams Cider (11/12/2021) 02</v>
      </c>
      <c r="H970" s="19"/>
    </row>
    <row r="971">
      <c r="A971" s="9"/>
      <c r="B971" s="15"/>
      <c r="C971" s="9">
        <f>IFERROR(__xludf.DUMMYFUNCTION("""COMPUTED_VALUE"""),44595.434219537)</f>
        <v>44595.43422</v>
      </c>
      <c r="D971" s="15">
        <f>IFERROR(__xludf.DUMMYFUNCTION("""COMPUTED_VALUE"""),1.004)</f>
        <v>1.004</v>
      </c>
      <c r="E971" s="16">
        <f>IFERROR(__xludf.DUMMYFUNCTION("""COMPUTED_VALUE"""),64.0)</f>
        <v>64</v>
      </c>
      <c r="F971" s="19" t="str">
        <f>IFERROR(__xludf.DUMMYFUNCTION("""COMPUTED_VALUE"""),"BLACK")</f>
        <v>BLACK</v>
      </c>
      <c r="G971" s="20" t="str">
        <f>IFERROR(__xludf.DUMMYFUNCTION("""COMPUTED_VALUE"""),"Uncle Sams Cider (11/12/2021) 02")</f>
        <v>Uncle Sams Cider (11/12/2021) 02</v>
      </c>
      <c r="H971" s="19"/>
    </row>
    <row r="972">
      <c r="A972" s="9"/>
      <c r="B972" s="15"/>
      <c r="C972" s="9">
        <f>IFERROR(__xludf.DUMMYFUNCTION("""COMPUTED_VALUE"""),44595.4237985185)</f>
        <v>44595.4238</v>
      </c>
      <c r="D972" s="15">
        <f>IFERROR(__xludf.DUMMYFUNCTION("""COMPUTED_VALUE"""),1.004)</f>
        <v>1.004</v>
      </c>
      <c r="E972" s="16">
        <f>IFERROR(__xludf.DUMMYFUNCTION("""COMPUTED_VALUE"""),64.0)</f>
        <v>64</v>
      </c>
      <c r="F972" s="19" t="str">
        <f>IFERROR(__xludf.DUMMYFUNCTION("""COMPUTED_VALUE"""),"BLACK")</f>
        <v>BLACK</v>
      </c>
      <c r="G972" s="20" t="str">
        <f>IFERROR(__xludf.DUMMYFUNCTION("""COMPUTED_VALUE"""),"Uncle Sams Cider (11/12/2021) 02")</f>
        <v>Uncle Sams Cider (11/12/2021) 02</v>
      </c>
      <c r="H972" s="19"/>
    </row>
    <row r="973">
      <c r="A973" s="9"/>
      <c r="B973" s="15"/>
      <c r="C973" s="9">
        <f>IFERROR(__xludf.DUMMYFUNCTION("""COMPUTED_VALUE"""),44595.4133641319)</f>
        <v>44595.41336</v>
      </c>
      <c r="D973" s="15">
        <f>IFERROR(__xludf.DUMMYFUNCTION("""COMPUTED_VALUE"""),1.004)</f>
        <v>1.004</v>
      </c>
      <c r="E973" s="16">
        <f>IFERROR(__xludf.DUMMYFUNCTION("""COMPUTED_VALUE"""),64.0)</f>
        <v>64</v>
      </c>
      <c r="F973" s="19" t="str">
        <f>IFERROR(__xludf.DUMMYFUNCTION("""COMPUTED_VALUE"""),"BLACK")</f>
        <v>BLACK</v>
      </c>
      <c r="G973" s="20" t="str">
        <f>IFERROR(__xludf.DUMMYFUNCTION("""COMPUTED_VALUE"""),"Uncle Sams Cider (11/12/2021) 02")</f>
        <v>Uncle Sams Cider (11/12/2021) 02</v>
      </c>
      <c r="H973" s="19"/>
    </row>
    <row r="974">
      <c r="A974" s="9"/>
      <c r="B974" s="15"/>
      <c r="C974" s="9">
        <f>IFERROR(__xludf.DUMMYFUNCTION("""COMPUTED_VALUE"""),44595.402944155)</f>
        <v>44595.40294</v>
      </c>
      <c r="D974" s="15">
        <f>IFERROR(__xludf.DUMMYFUNCTION("""COMPUTED_VALUE"""),1.004)</f>
        <v>1.004</v>
      </c>
      <c r="E974" s="16">
        <f>IFERROR(__xludf.DUMMYFUNCTION("""COMPUTED_VALUE"""),64.0)</f>
        <v>64</v>
      </c>
      <c r="F974" s="19" t="str">
        <f>IFERROR(__xludf.DUMMYFUNCTION("""COMPUTED_VALUE"""),"BLACK")</f>
        <v>BLACK</v>
      </c>
      <c r="G974" s="20" t="str">
        <f>IFERROR(__xludf.DUMMYFUNCTION("""COMPUTED_VALUE"""),"Uncle Sams Cider (11/12/2021) 02")</f>
        <v>Uncle Sams Cider (11/12/2021) 02</v>
      </c>
      <c r="H974" s="19"/>
    </row>
    <row r="975">
      <c r="A975" s="9"/>
      <c r="B975" s="15"/>
      <c r="C975" s="9">
        <f>IFERROR(__xludf.DUMMYFUNCTION("""COMPUTED_VALUE"""),44595.3925221759)</f>
        <v>44595.39252</v>
      </c>
      <c r="D975" s="15">
        <f>IFERROR(__xludf.DUMMYFUNCTION("""COMPUTED_VALUE"""),1.004)</f>
        <v>1.004</v>
      </c>
      <c r="E975" s="16">
        <f>IFERROR(__xludf.DUMMYFUNCTION("""COMPUTED_VALUE"""),64.0)</f>
        <v>64</v>
      </c>
      <c r="F975" s="19" t="str">
        <f>IFERROR(__xludf.DUMMYFUNCTION("""COMPUTED_VALUE"""),"BLACK")</f>
        <v>BLACK</v>
      </c>
      <c r="G975" s="20" t="str">
        <f>IFERROR(__xludf.DUMMYFUNCTION("""COMPUTED_VALUE"""),"Uncle Sams Cider (11/12/2021) 02")</f>
        <v>Uncle Sams Cider (11/12/2021) 02</v>
      </c>
      <c r="H975" s="19"/>
    </row>
    <row r="976">
      <c r="A976" s="9"/>
      <c r="B976" s="15"/>
      <c r="C976" s="9">
        <f>IFERROR(__xludf.DUMMYFUNCTION("""COMPUTED_VALUE"""),44595.3821037731)</f>
        <v>44595.3821</v>
      </c>
      <c r="D976" s="15">
        <f>IFERROR(__xludf.DUMMYFUNCTION("""COMPUTED_VALUE"""),1.004)</f>
        <v>1.004</v>
      </c>
      <c r="E976" s="16">
        <f>IFERROR(__xludf.DUMMYFUNCTION("""COMPUTED_VALUE"""),64.0)</f>
        <v>64</v>
      </c>
      <c r="F976" s="19" t="str">
        <f>IFERROR(__xludf.DUMMYFUNCTION("""COMPUTED_VALUE"""),"BLACK")</f>
        <v>BLACK</v>
      </c>
      <c r="G976" s="20" t="str">
        <f>IFERROR(__xludf.DUMMYFUNCTION("""COMPUTED_VALUE"""),"Uncle Sams Cider (11/12/2021) 02")</f>
        <v>Uncle Sams Cider (11/12/2021) 02</v>
      </c>
      <c r="H976" s="19"/>
    </row>
    <row r="977">
      <c r="A977" s="9"/>
      <c r="B977" s="15"/>
      <c r="C977" s="9">
        <f>IFERROR(__xludf.DUMMYFUNCTION("""COMPUTED_VALUE"""),44595.3716805671)</f>
        <v>44595.37168</v>
      </c>
      <c r="D977" s="15">
        <f>IFERROR(__xludf.DUMMYFUNCTION("""COMPUTED_VALUE"""),1.004)</f>
        <v>1.004</v>
      </c>
      <c r="E977" s="16">
        <f>IFERROR(__xludf.DUMMYFUNCTION("""COMPUTED_VALUE"""),64.0)</f>
        <v>64</v>
      </c>
      <c r="F977" s="19" t="str">
        <f>IFERROR(__xludf.DUMMYFUNCTION("""COMPUTED_VALUE"""),"BLACK")</f>
        <v>BLACK</v>
      </c>
      <c r="G977" s="20" t="str">
        <f>IFERROR(__xludf.DUMMYFUNCTION("""COMPUTED_VALUE"""),"Uncle Sams Cider (11/12/2021) 02")</f>
        <v>Uncle Sams Cider (11/12/2021) 02</v>
      </c>
      <c r="H977" s="19"/>
    </row>
    <row r="978">
      <c r="A978" s="9"/>
      <c r="B978" s="15"/>
      <c r="C978" s="9">
        <f>IFERROR(__xludf.DUMMYFUNCTION("""COMPUTED_VALUE"""),44595.3612477777)</f>
        <v>44595.36125</v>
      </c>
      <c r="D978" s="15">
        <f>IFERROR(__xludf.DUMMYFUNCTION("""COMPUTED_VALUE"""),1.004)</f>
        <v>1.004</v>
      </c>
      <c r="E978" s="16">
        <f>IFERROR(__xludf.DUMMYFUNCTION("""COMPUTED_VALUE"""),64.0)</f>
        <v>64</v>
      </c>
      <c r="F978" s="19" t="str">
        <f>IFERROR(__xludf.DUMMYFUNCTION("""COMPUTED_VALUE"""),"BLACK")</f>
        <v>BLACK</v>
      </c>
      <c r="G978" s="20" t="str">
        <f>IFERROR(__xludf.DUMMYFUNCTION("""COMPUTED_VALUE"""),"Uncle Sams Cider (11/12/2021) 02")</f>
        <v>Uncle Sams Cider (11/12/2021) 02</v>
      </c>
      <c r="H978" s="19"/>
    </row>
    <row r="979">
      <c r="A979" s="9"/>
      <c r="B979" s="15"/>
      <c r="C979" s="9">
        <f>IFERROR(__xludf.DUMMYFUNCTION("""COMPUTED_VALUE"""),44595.3508254282)</f>
        <v>44595.35083</v>
      </c>
      <c r="D979" s="15">
        <f>IFERROR(__xludf.DUMMYFUNCTION("""COMPUTED_VALUE"""),1.004)</f>
        <v>1.004</v>
      </c>
      <c r="E979" s="16">
        <f>IFERROR(__xludf.DUMMYFUNCTION("""COMPUTED_VALUE"""),64.0)</f>
        <v>64</v>
      </c>
      <c r="F979" s="19" t="str">
        <f>IFERROR(__xludf.DUMMYFUNCTION("""COMPUTED_VALUE"""),"BLACK")</f>
        <v>BLACK</v>
      </c>
      <c r="G979" s="20" t="str">
        <f>IFERROR(__xludf.DUMMYFUNCTION("""COMPUTED_VALUE"""),"Uncle Sams Cider (11/12/2021) 02")</f>
        <v>Uncle Sams Cider (11/12/2021) 02</v>
      </c>
      <c r="H979" s="19"/>
    </row>
    <row r="980">
      <c r="A980" s="9"/>
      <c r="B980" s="15"/>
      <c r="C980" s="9">
        <f>IFERROR(__xludf.DUMMYFUNCTION("""COMPUTED_VALUE"""),44595.340369074)</f>
        <v>44595.34037</v>
      </c>
      <c r="D980" s="15">
        <f>IFERROR(__xludf.DUMMYFUNCTION("""COMPUTED_VALUE"""),1.004)</f>
        <v>1.004</v>
      </c>
      <c r="E980" s="16">
        <f>IFERROR(__xludf.DUMMYFUNCTION("""COMPUTED_VALUE"""),64.0)</f>
        <v>64</v>
      </c>
      <c r="F980" s="19" t="str">
        <f>IFERROR(__xludf.DUMMYFUNCTION("""COMPUTED_VALUE"""),"BLACK")</f>
        <v>BLACK</v>
      </c>
      <c r="G980" s="20" t="str">
        <f>IFERROR(__xludf.DUMMYFUNCTION("""COMPUTED_VALUE"""),"Uncle Sams Cider (11/12/2021) 02")</f>
        <v>Uncle Sams Cider (11/12/2021) 02</v>
      </c>
      <c r="H980" s="19"/>
    </row>
    <row r="981">
      <c r="A981" s="9"/>
      <c r="B981" s="15"/>
      <c r="C981" s="9">
        <f>IFERROR(__xludf.DUMMYFUNCTION("""COMPUTED_VALUE"""),44595.3299474074)</f>
        <v>44595.32995</v>
      </c>
      <c r="D981" s="15">
        <f>IFERROR(__xludf.DUMMYFUNCTION("""COMPUTED_VALUE"""),1.004)</f>
        <v>1.004</v>
      </c>
      <c r="E981" s="16">
        <f>IFERROR(__xludf.DUMMYFUNCTION("""COMPUTED_VALUE"""),64.0)</f>
        <v>64</v>
      </c>
      <c r="F981" s="19" t="str">
        <f>IFERROR(__xludf.DUMMYFUNCTION("""COMPUTED_VALUE"""),"BLACK")</f>
        <v>BLACK</v>
      </c>
      <c r="G981" s="20" t="str">
        <f>IFERROR(__xludf.DUMMYFUNCTION("""COMPUTED_VALUE"""),"Uncle Sams Cider (11/12/2021) 02")</f>
        <v>Uncle Sams Cider (11/12/2021) 02</v>
      </c>
      <c r="H981" s="19"/>
    </row>
    <row r="982">
      <c r="A982" s="9"/>
      <c r="B982" s="15"/>
      <c r="C982" s="9">
        <f>IFERROR(__xludf.DUMMYFUNCTION("""COMPUTED_VALUE"""),44595.3195253472)</f>
        <v>44595.31953</v>
      </c>
      <c r="D982" s="15">
        <f>IFERROR(__xludf.DUMMYFUNCTION("""COMPUTED_VALUE"""),1.004)</f>
        <v>1.004</v>
      </c>
      <c r="E982" s="16">
        <f>IFERROR(__xludf.DUMMYFUNCTION("""COMPUTED_VALUE"""),64.0)</f>
        <v>64</v>
      </c>
      <c r="F982" s="19" t="str">
        <f>IFERROR(__xludf.DUMMYFUNCTION("""COMPUTED_VALUE"""),"BLACK")</f>
        <v>BLACK</v>
      </c>
      <c r="G982" s="20" t="str">
        <f>IFERROR(__xludf.DUMMYFUNCTION("""COMPUTED_VALUE"""),"Uncle Sams Cider (11/12/2021) 02")</f>
        <v>Uncle Sams Cider (11/12/2021) 02</v>
      </c>
      <c r="H982" s="19"/>
    </row>
    <row r="983">
      <c r="A983" s="9"/>
      <c r="B983" s="15"/>
      <c r="C983" s="9">
        <f>IFERROR(__xludf.DUMMYFUNCTION("""COMPUTED_VALUE"""),44595.3091075578)</f>
        <v>44595.30911</v>
      </c>
      <c r="D983" s="15">
        <f>IFERROR(__xludf.DUMMYFUNCTION("""COMPUTED_VALUE"""),1.004)</f>
        <v>1.004</v>
      </c>
      <c r="E983" s="16">
        <f>IFERROR(__xludf.DUMMYFUNCTION("""COMPUTED_VALUE"""),64.0)</f>
        <v>64</v>
      </c>
      <c r="F983" s="19" t="str">
        <f>IFERROR(__xludf.DUMMYFUNCTION("""COMPUTED_VALUE"""),"BLACK")</f>
        <v>BLACK</v>
      </c>
      <c r="G983" s="20" t="str">
        <f>IFERROR(__xludf.DUMMYFUNCTION("""COMPUTED_VALUE"""),"Uncle Sams Cider (11/12/2021) 02")</f>
        <v>Uncle Sams Cider (11/12/2021) 02</v>
      </c>
      <c r="H983" s="19"/>
    </row>
    <row r="984">
      <c r="A984" s="9"/>
      <c r="B984" s="15"/>
      <c r="C984" s="9">
        <f>IFERROR(__xludf.DUMMYFUNCTION("""COMPUTED_VALUE"""),44595.2986766435)</f>
        <v>44595.29868</v>
      </c>
      <c r="D984" s="15">
        <f>IFERROR(__xludf.DUMMYFUNCTION("""COMPUTED_VALUE"""),1.004)</f>
        <v>1.004</v>
      </c>
      <c r="E984" s="16">
        <f>IFERROR(__xludf.DUMMYFUNCTION("""COMPUTED_VALUE"""),64.0)</f>
        <v>64</v>
      </c>
      <c r="F984" s="19" t="str">
        <f>IFERROR(__xludf.DUMMYFUNCTION("""COMPUTED_VALUE"""),"BLACK")</f>
        <v>BLACK</v>
      </c>
      <c r="G984" s="20" t="str">
        <f>IFERROR(__xludf.DUMMYFUNCTION("""COMPUTED_VALUE"""),"Uncle Sams Cider (11/12/2021) 02")</f>
        <v>Uncle Sams Cider (11/12/2021) 02</v>
      </c>
      <c r="H984" s="19"/>
    </row>
    <row r="985">
      <c r="A985" s="9"/>
      <c r="B985" s="15"/>
      <c r="C985" s="9">
        <f>IFERROR(__xludf.DUMMYFUNCTION("""COMPUTED_VALUE"""),44595.2882569907)</f>
        <v>44595.28826</v>
      </c>
      <c r="D985" s="15">
        <f>IFERROR(__xludf.DUMMYFUNCTION("""COMPUTED_VALUE"""),1.004)</f>
        <v>1.004</v>
      </c>
      <c r="E985" s="16">
        <f>IFERROR(__xludf.DUMMYFUNCTION("""COMPUTED_VALUE"""),64.0)</f>
        <v>64</v>
      </c>
      <c r="F985" s="19" t="str">
        <f>IFERROR(__xludf.DUMMYFUNCTION("""COMPUTED_VALUE"""),"BLACK")</f>
        <v>BLACK</v>
      </c>
      <c r="G985" s="20" t="str">
        <f>IFERROR(__xludf.DUMMYFUNCTION("""COMPUTED_VALUE"""),"Uncle Sams Cider (11/12/2021) 02")</f>
        <v>Uncle Sams Cider (11/12/2021) 02</v>
      </c>
      <c r="H985" s="19"/>
    </row>
    <row r="986">
      <c r="A986" s="9"/>
      <c r="B986" s="15"/>
      <c r="C986" s="9">
        <f>IFERROR(__xludf.DUMMYFUNCTION("""COMPUTED_VALUE"""),44595.2778355787)</f>
        <v>44595.27784</v>
      </c>
      <c r="D986" s="15">
        <f>IFERROR(__xludf.DUMMYFUNCTION("""COMPUTED_VALUE"""),1.004)</f>
        <v>1.004</v>
      </c>
      <c r="E986" s="16">
        <f>IFERROR(__xludf.DUMMYFUNCTION("""COMPUTED_VALUE"""),64.0)</f>
        <v>64</v>
      </c>
      <c r="F986" s="19" t="str">
        <f>IFERROR(__xludf.DUMMYFUNCTION("""COMPUTED_VALUE"""),"BLACK")</f>
        <v>BLACK</v>
      </c>
      <c r="G986" s="20" t="str">
        <f>IFERROR(__xludf.DUMMYFUNCTION("""COMPUTED_VALUE"""),"Uncle Sams Cider (11/12/2021) 02")</f>
        <v>Uncle Sams Cider (11/12/2021) 02</v>
      </c>
      <c r="H986" s="19"/>
    </row>
    <row r="987">
      <c r="A987" s="9"/>
      <c r="B987" s="15"/>
      <c r="C987" s="9">
        <f>IFERROR(__xludf.DUMMYFUNCTION("""COMPUTED_VALUE"""),44595.2674034722)</f>
        <v>44595.2674</v>
      </c>
      <c r="D987" s="15">
        <f>IFERROR(__xludf.DUMMYFUNCTION("""COMPUTED_VALUE"""),1.004)</f>
        <v>1.004</v>
      </c>
      <c r="E987" s="16">
        <f>IFERROR(__xludf.DUMMYFUNCTION("""COMPUTED_VALUE"""),64.0)</f>
        <v>64</v>
      </c>
      <c r="F987" s="19" t="str">
        <f>IFERROR(__xludf.DUMMYFUNCTION("""COMPUTED_VALUE"""),"BLACK")</f>
        <v>BLACK</v>
      </c>
      <c r="G987" s="20" t="str">
        <f>IFERROR(__xludf.DUMMYFUNCTION("""COMPUTED_VALUE"""),"Uncle Sams Cider (11/12/2021) 02")</f>
        <v>Uncle Sams Cider (11/12/2021) 02</v>
      </c>
      <c r="H987" s="19"/>
    </row>
    <row r="988">
      <c r="A988" s="9"/>
      <c r="B988" s="15"/>
      <c r="C988" s="9">
        <f>IFERROR(__xludf.DUMMYFUNCTION("""COMPUTED_VALUE"""),44595.2569610763)</f>
        <v>44595.25696</v>
      </c>
      <c r="D988" s="15">
        <f>IFERROR(__xludf.DUMMYFUNCTION("""COMPUTED_VALUE"""),1.004)</f>
        <v>1.004</v>
      </c>
      <c r="E988" s="16">
        <f>IFERROR(__xludf.DUMMYFUNCTION("""COMPUTED_VALUE"""),64.0)</f>
        <v>64</v>
      </c>
      <c r="F988" s="19" t="str">
        <f>IFERROR(__xludf.DUMMYFUNCTION("""COMPUTED_VALUE"""),"BLACK")</f>
        <v>BLACK</v>
      </c>
      <c r="G988" s="20" t="str">
        <f>IFERROR(__xludf.DUMMYFUNCTION("""COMPUTED_VALUE"""),"Uncle Sams Cider (11/12/2021) 02")</f>
        <v>Uncle Sams Cider (11/12/2021) 02</v>
      </c>
      <c r="H988" s="19"/>
    </row>
    <row r="989">
      <c r="A989" s="9"/>
      <c r="B989" s="15"/>
      <c r="C989" s="9">
        <f>IFERROR(__xludf.DUMMYFUNCTION("""COMPUTED_VALUE"""),44595.2465401736)</f>
        <v>44595.24654</v>
      </c>
      <c r="D989" s="15">
        <f>IFERROR(__xludf.DUMMYFUNCTION("""COMPUTED_VALUE"""),1.004)</f>
        <v>1.004</v>
      </c>
      <c r="E989" s="16">
        <f>IFERROR(__xludf.DUMMYFUNCTION("""COMPUTED_VALUE"""),64.0)</f>
        <v>64</v>
      </c>
      <c r="F989" s="19" t="str">
        <f>IFERROR(__xludf.DUMMYFUNCTION("""COMPUTED_VALUE"""),"BLACK")</f>
        <v>BLACK</v>
      </c>
      <c r="G989" s="20" t="str">
        <f>IFERROR(__xludf.DUMMYFUNCTION("""COMPUTED_VALUE"""),"Uncle Sams Cider (11/12/2021) 02")</f>
        <v>Uncle Sams Cider (11/12/2021) 02</v>
      </c>
      <c r="H989" s="19"/>
    </row>
    <row r="990">
      <c r="A990" s="9"/>
      <c r="B990" s="15"/>
      <c r="C990" s="9">
        <f>IFERROR(__xludf.DUMMYFUNCTION("""COMPUTED_VALUE"""),44595.2361191319)</f>
        <v>44595.23612</v>
      </c>
      <c r="D990" s="15">
        <f>IFERROR(__xludf.DUMMYFUNCTION("""COMPUTED_VALUE"""),1.004)</f>
        <v>1.004</v>
      </c>
      <c r="E990" s="16">
        <f>IFERROR(__xludf.DUMMYFUNCTION("""COMPUTED_VALUE"""),64.0)</f>
        <v>64</v>
      </c>
      <c r="F990" s="19" t="str">
        <f>IFERROR(__xludf.DUMMYFUNCTION("""COMPUTED_VALUE"""),"BLACK")</f>
        <v>BLACK</v>
      </c>
      <c r="G990" s="20" t="str">
        <f>IFERROR(__xludf.DUMMYFUNCTION("""COMPUTED_VALUE"""),"Uncle Sams Cider (11/12/2021) 02")</f>
        <v>Uncle Sams Cider (11/12/2021) 02</v>
      </c>
      <c r="H990" s="19"/>
    </row>
    <row r="991">
      <c r="A991" s="9"/>
      <c r="B991" s="15"/>
      <c r="C991" s="9">
        <f>IFERROR(__xludf.DUMMYFUNCTION("""COMPUTED_VALUE"""),44595.2256976851)</f>
        <v>44595.2257</v>
      </c>
      <c r="D991" s="15">
        <f>IFERROR(__xludf.DUMMYFUNCTION("""COMPUTED_VALUE"""),1.004)</f>
        <v>1.004</v>
      </c>
      <c r="E991" s="16">
        <f>IFERROR(__xludf.DUMMYFUNCTION("""COMPUTED_VALUE"""),64.0)</f>
        <v>64</v>
      </c>
      <c r="F991" s="19" t="str">
        <f>IFERROR(__xludf.DUMMYFUNCTION("""COMPUTED_VALUE"""),"BLACK")</f>
        <v>BLACK</v>
      </c>
      <c r="G991" s="20" t="str">
        <f>IFERROR(__xludf.DUMMYFUNCTION("""COMPUTED_VALUE"""),"Uncle Sams Cider (11/12/2021) 02")</f>
        <v>Uncle Sams Cider (11/12/2021) 02</v>
      </c>
      <c r="H991" s="19"/>
    </row>
    <row r="992">
      <c r="A992" s="9"/>
      <c r="B992" s="15"/>
      <c r="C992" s="9">
        <f>IFERROR(__xludf.DUMMYFUNCTION("""COMPUTED_VALUE"""),44595.2152648495)</f>
        <v>44595.21526</v>
      </c>
      <c r="D992" s="15">
        <f>IFERROR(__xludf.DUMMYFUNCTION("""COMPUTED_VALUE"""),1.004)</f>
        <v>1.004</v>
      </c>
      <c r="E992" s="16">
        <f>IFERROR(__xludf.DUMMYFUNCTION("""COMPUTED_VALUE"""),64.0)</f>
        <v>64</v>
      </c>
      <c r="F992" s="19" t="str">
        <f>IFERROR(__xludf.DUMMYFUNCTION("""COMPUTED_VALUE"""),"BLACK")</f>
        <v>BLACK</v>
      </c>
      <c r="G992" s="20" t="str">
        <f>IFERROR(__xludf.DUMMYFUNCTION("""COMPUTED_VALUE"""),"Uncle Sams Cider (11/12/2021) 02")</f>
        <v>Uncle Sams Cider (11/12/2021) 02</v>
      </c>
      <c r="H992" s="19"/>
    </row>
    <row r="993">
      <c r="A993" s="9"/>
      <c r="B993" s="15"/>
      <c r="C993" s="9">
        <f>IFERROR(__xludf.DUMMYFUNCTION("""COMPUTED_VALUE"""),44595.2048323842)</f>
        <v>44595.20483</v>
      </c>
      <c r="D993" s="15">
        <f>IFERROR(__xludf.DUMMYFUNCTION("""COMPUTED_VALUE"""),1.004)</f>
        <v>1.004</v>
      </c>
      <c r="E993" s="16">
        <f>IFERROR(__xludf.DUMMYFUNCTION("""COMPUTED_VALUE"""),64.0)</f>
        <v>64</v>
      </c>
      <c r="F993" s="19" t="str">
        <f>IFERROR(__xludf.DUMMYFUNCTION("""COMPUTED_VALUE"""),"BLACK")</f>
        <v>BLACK</v>
      </c>
      <c r="G993" s="20" t="str">
        <f>IFERROR(__xludf.DUMMYFUNCTION("""COMPUTED_VALUE"""),"Uncle Sams Cider (11/12/2021) 02")</f>
        <v>Uncle Sams Cider (11/12/2021) 02</v>
      </c>
      <c r="H993" s="19"/>
    </row>
    <row r="994">
      <c r="A994" s="9"/>
      <c r="B994" s="15"/>
      <c r="C994" s="9">
        <f>IFERROR(__xludf.DUMMYFUNCTION("""COMPUTED_VALUE"""),44595.1944111805)</f>
        <v>44595.19441</v>
      </c>
      <c r="D994" s="15">
        <f>IFERROR(__xludf.DUMMYFUNCTION("""COMPUTED_VALUE"""),1.004)</f>
        <v>1.004</v>
      </c>
      <c r="E994" s="16">
        <f>IFERROR(__xludf.DUMMYFUNCTION("""COMPUTED_VALUE"""),64.0)</f>
        <v>64</v>
      </c>
      <c r="F994" s="19" t="str">
        <f>IFERROR(__xludf.DUMMYFUNCTION("""COMPUTED_VALUE"""),"BLACK")</f>
        <v>BLACK</v>
      </c>
      <c r="G994" s="20" t="str">
        <f>IFERROR(__xludf.DUMMYFUNCTION("""COMPUTED_VALUE"""),"Uncle Sams Cider (11/12/2021) 02")</f>
        <v>Uncle Sams Cider (11/12/2021) 02</v>
      </c>
      <c r="H994" s="19"/>
    </row>
    <row r="995">
      <c r="A995" s="9"/>
      <c r="B995" s="15"/>
      <c r="C995" s="9">
        <f>IFERROR(__xludf.DUMMYFUNCTION("""COMPUTED_VALUE"""),44595.1839912499)</f>
        <v>44595.18399</v>
      </c>
      <c r="D995" s="15">
        <f>IFERROR(__xludf.DUMMYFUNCTION("""COMPUTED_VALUE"""),1.004)</f>
        <v>1.004</v>
      </c>
      <c r="E995" s="16">
        <f>IFERROR(__xludf.DUMMYFUNCTION("""COMPUTED_VALUE"""),64.0)</f>
        <v>64</v>
      </c>
      <c r="F995" s="19" t="str">
        <f>IFERROR(__xludf.DUMMYFUNCTION("""COMPUTED_VALUE"""),"BLACK")</f>
        <v>BLACK</v>
      </c>
      <c r="G995" s="20" t="str">
        <f>IFERROR(__xludf.DUMMYFUNCTION("""COMPUTED_VALUE"""),"Uncle Sams Cider (11/12/2021) 02")</f>
        <v>Uncle Sams Cider (11/12/2021) 02</v>
      </c>
      <c r="H995" s="19"/>
    </row>
    <row r="996">
      <c r="A996" s="9"/>
      <c r="B996" s="15"/>
      <c r="C996" s="9">
        <f>IFERROR(__xludf.DUMMYFUNCTION("""COMPUTED_VALUE"""),44595.1735464583)</f>
        <v>44595.17355</v>
      </c>
      <c r="D996" s="15">
        <f>IFERROR(__xludf.DUMMYFUNCTION("""COMPUTED_VALUE"""),1.004)</f>
        <v>1.004</v>
      </c>
      <c r="E996" s="16">
        <f>IFERROR(__xludf.DUMMYFUNCTION("""COMPUTED_VALUE"""),64.0)</f>
        <v>64</v>
      </c>
      <c r="F996" s="19" t="str">
        <f>IFERROR(__xludf.DUMMYFUNCTION("""COMPUTED_VALUE"""),"BLACK")</f>
        <v>BLACK</v>
      </c>
      <c r="G996" s="20" t="str">
        <f>IFERROR(__xludf.DUMMYFUNCTION("""COMPUTED_VALUE"""),"Uncle Sams Cider (11/12/2021) 02")</f>
        <v>Uncle Sams Cider (11/12/2021) 02</v>
      </c>
      <c r="H996" s="19"/>
    </row>
    <row r="997">
      <c r="A997" s="9"/>
      <c r="B997" s="15"/>
      <c r="C997" s="9">
        <f>IFERROR(__xludf.DUMMYFUNCTION("""COMPUTED_VALUE"""),44595.1631023379)</f>
        <v>44595.1631</v>
      </c>
      <c r="D997" s="15">
        <f>IFERROR(__xludf.DUMMYFUNCTION("""COMPUTED_VALUE"""),1.004)</f>
        <v>1.004</v>
      </c>
      <c r="E997" s="16">
        <f>IFERROR(__xludf.DUMMYFUNCTION("""COMPUTED_VALUE"""),65.0)</f>
        <v>65</v>
      </c>
      <c r="F997" s="19" t="str">
        <f>IFERROR(__xludf.DUMMYFUNCTION("""COMPUTED_VALUE"""),"BLACK")</f>
        <v>BLACK</v>
      </c>
      <c r="G997" s="20" t="str">
        <f>IFERROR(__xludf.DUMMYFUNCTION("""COMPUTED_VALUE"""),"Uncle Sams Cider (11/12/2021) 02")</f>
        <v>Uncle Sams Cider (11/12/2021) 02</v>
      </c>
      <c r="H997" s="19"/>
    </row>
    <row r="998">
      <c r="A998" s="9"/>
      <c r="B998" s="15"/>
      <c r="C998" s="9">
        <f>IFERROR(__xludf.DUMMYFUNCTION("""COMPUTED_VALUE"""),44595.1526703472)</f>
        <v>44595.15267</v>
      </c>
      <c r="D998" s="15">
        <f>IFERROR(__xludf.DUMMYFUNCTION("""COMPUTED_VALUE"""),1.004)</f>
        <v>1.004</v>
      </c>
      <c r="E998" s="16">
        <f>IFERROR(__xludf.DUMMYFUNCTION("""COMPUTED_VALUE"""),65.0)</f>
        <v>65</v>
      </c>
      <c r="F998" s="19" t="str">
        <f>IFERROR(__xludf.DUMMYFUNCTION("""COMPUTED_VALUE"""),"BLACK")</f>
        <v>BLACK</v>
      </c>
      <c r="G998" s="20" t="str">
        <f>IFERROR(__xludf.DUMMYFUNCTION("""COMPUTED_VALUE"""),"Uncle Sams Cider (11/12/2021) 02")</f>
        <v>Uncle Sams Cider (11/12/2021) 02</v>
      </c>
      <c r="H998" s="19"/>
    </row>
    <row r="999">
      <c r="A999" s="9"/>
      <c r="B999" s="15"/>
      <c r="C999" s="9">
        <f>IFERROR(__xludf.DUMMYFUNCTION("""COMPUTED_VALUE"""),44595.1422508449)</f>
        <v>44595.14225</v>
      </c>
      <c r="D999" s="15">
        <f>IFERROR(__xludf.DUMMYFUNCTION("""COMPUTED_VALUE"""),1.004)</f>
        <v>1.004</v>
      </c>
      <c r="E999" s="16">
        <f>IFERROR(__xludf.DUMMYFUNCTION("""COMPUTED_VALUE"""),65.0)</f>
        <v>65</v>
      </c>
      <c r="F999" s="19" t="str">
        <f>IFERROR(__xludf.DUMMYFUNCTION("""COMPUTED_VALUE"""),"BLACK")</f>
        <v>BLACK</v>
      </c>
      <c r="G999" s="20" t="str">
        <f>IFERROR(__xludf.DUMMYFUNCTION("""COMPUTED_VALUE"""),"Uncle Sams Cider (11/12/2021) 02")</f>
        <v>Uncle Sams Cider (11/12/2021) 02</v>
      </c>
      <c r="H999" s="19"/>
    </row>
    <row r="1000">
      <c r="A1000" s="9"/>
      <c r="B1000" s="15"/>
      <c r="C1000" s="9">
        <f>IFERROR(__xludf.DUMMYFUNCTION("""COMPUTED_VALUE"""),44595.1317818981)</f>
        <v>44595.13178</v>
      </c>
      <c r="D1000" s="15">
        <f>IFERROR(__xludf.DUMMYFUNCTION("""COMPUTED_VALUE"""),1.004)</f>
        <v>1.004</v>
      </c>
      <c r="E1000" s="16">
        <f>IFERROR(__xludf.DUMMYFUNCTION("""COMPUTED_VALUE"""),65.0)</f>
        <v>65</v>
      </c>
      <c r="F1000" s="19" t="str">
        <f>IFERROR(__xludf.DUMMYFUNCTION("""COMPUTED_VALUE"""),"BLACK")</f>
        <v>BLACK</v>
      </c>
      <c r="G1000" s="20" t="str">
        <f>IFERROR(__xludf.DUMMYFUNCTION("""COMPUTED_VALUE"""),"Uncle Sams Cider (11/12/2021) 02")</f>
        <v>Uncle Sams Cider (11/12/2021) 02</v>
      </c>
      <c r="H1000" s="19"/>
    </row>
    <row r="1001">
      <c r="A1001" s="9"/>
      <c r="B1001" s="15"/>
      <c r="C1001" s="9">
        <f>IFERROR(__xludf.DUMMYFUNCTION("""COMPUTED_VALUE"""),44595.1213479282)</f>
        <v>44595.12135</v>
      </c>
      <c r="D1001" s="15">
        <f>IFERROR(__xludf.DUMMYFUNCTION("""COMPUTED_VALUE"""),1.004)</f>
        <v>1.004</v>
      </c>
      <c r="E1001" s="16">
        <f>IFERROR(__xludf.DUMMYFUNCTION("""COMPUTED_VALUE"""),65.0)</f>
        <v>65</v>
      </c>
      <c r="F1001" s="19" t="str">
        <f>IFERROR(__xludf.DUMMYFUNCTION("""COMPUTED_VALUE"""),"BLACK")</f>
        <v>BLACK</v>
      </c>
      <c r="G1001" s="20" t="str">
        <f>IFERROR(__xludf.DUMMYFUNCTION("""COMPUTED_VALUE"""),"Uncle Sams Cider (11/12/2021) 02")</f>
        <v>Uncle Sams Cider (11/12/2021) 02</v>
      </c>
      <c r="H1001" s="19"/>
    </row>
    <row r="1002">
      <c r="A1002" s="9"/>
      <c r="B1002" s="15"/>
      <c r="C1002" s="9">
        <f>IFERROR(__xludf.DUMMYFUNCTION("""COMPUTED_VALUE"""),44595.1109268865)</f>
        <v>44595.11093</v>
      </c>
      <c r="D1002" s="15">
        <f>IFERROR(__xludf.DUMMYFUNCTION("""COMPUTED_VALUE"""),1.004)</f>
        <v>1.004</v>
      </c>
      <c r="E1002" s="16">
        <f>IFERROR(__xludf.DUMMYFUNCTION("""COMPUTED_VALUE"""),65.0)</f>
        <v>65</v>
      </c>
      <c r="F1002" s="19" t="str">
        <f>IFERROR(__xludf.DUMMYFUNCTION("""COMPUTED_VALUE"""),"BLACK")</f>
        <v>BLACK</v>
      </c>
      <c r="G1002" s="20" t="str">
        <f>IFERROR(__xludf.DUMMYFUNCTION("""COMPUTED_VALUE"""),"Uncle Sams Cider (11/12/2021) 02")</f>
        <v>Uncle Sams Cider (11/12/2021) 02</v>
      </c>
      <c r="H1002" s="19"/>
    </row>
    <row r="1003">
      <c r="A1003" s="9"/>
      <c r="B1003" s="15"/>
      <c r="C1003" s="9">
        <f>IFERROR(__xludf.DUMMYFUNCTION("""COMPUTED_VALUE"""),44595.1005060995)</f>
        <v>44595.10051</v>
      </c>
      <c r="D1003" s="15">
        <f>IFERROR(__xludf.DUMMYFUNCTION("""COMPUTED_VALUE"""),1.004)</f>
        <v>1.004</v>
      </c>
      <c r="E1003" s="16">
        <f>IFERROR(__xludf.DUMMYFUNCTION("""COMPUTED_VALUE"""),65.0)</f>
        <v>65</v>
      </c>
      <c r="F1003" s="19" t="str">
        <f>IFERROR(__xludf.DUMMYFUNCTION("""COMPUTED_VALUE"""),"BLACK")</f>
        <v>BLACK</v>
      </c>
      <c r="G1003" s="20" t="str">
        <f>IFERROR(__xludf.DUMMYFUNCTION("""COMPUTED_VALUE"""),"Uncle Sams Cider (11/12/2021) 02")</f>
        <v>Uncle Sams Cider (11/12/2021) 02</v>
      </c>
      <c r="H1003" s="19"/>
    </row>
    <row r="1004">
      <c r="A1004" s="9"/>
      <c r="B1004" s="15"/>
      <c r="C1004" s="9">
        <f>IFERROR(__xludf.DUMMYFUNCTION("""COMPUTED_VALUE"""),44595.0900624537)</f>
        <v>44595.09006</v>
      </c>
      <c r="D1004" s="15">
        <f>IFERROR(__xludf.DUMMYFUNCTION("""COMPUTED_VALUE"""),1.004)</f>
        <v>1.004</v>
      </c>
      <c r="E1004" s="16">
        <f>IFERROR(__xludf.DUMMYFUNCTION("""COMPUTED_VALUE"""),65.0)</f>
        <v>65</v>
      </c>
      <c r="F1004" s="19" t="str">
        <f>IFERROR(__xludf.DUMMYFUNCTION("""COMPUTED_VALUE"""),"BLACK")</f>
        <v>BLACK</v>
      </c>
      <c r="G1004" s="20" t="str">
        <f>IFERROR(__xludf.DUMMYFUNCTION("""COMPUTED_VALUE"""),"Uncle Sams Cider (11/12/2021) 02")</f>
        <v>Uncle Sams Cider (11/12/2021) 02</v>
      </c>
      <c r="H1004" s="19"/>
    </row>
    <row r="1005">
      <c r="A1005" s="9"/>
      <c r="B1005" s="15"/>
      <c r="C1005" s="9">
        <f>IFERROR(__xludf.DUMMYFUNCTION("""COMPUTED_VALUE"""),44595.0796396412)</f>
        <v>44595.07964</v>
      </c>
      <c r="D1005" s="15">
        <f>IFERROR(__xludf.DUMMYFUNCTION("""COMPUTED_VALUE"""),1.004)</f>
        <v>1.004</v>
      </c>
      <c r="E1005" s="16">
        <f>IFERROR(__xludf.DUMMYFUNCTION("""COMPUTED_VALUE"""),65.0)</f>
        <v>65</v>
      </c>
      <c r="F1005" s="19" t="str">
        <f>IFERROR(__xludf.DUMMYFUNCTION("""COMPUTED_VALUE"""),"BLACK")</f>
        <v>BLACK</v>
      </c>
      <c r="G1005" s="20" t="str">
        <f>IFERROR(__xludf.DUMMYFUNCTION("""COMPUTED_VALUE"""),"Uncle Sams Cider (11/12/2021) 02")</f>
        <v>Uncle Sams Cider (11/12/2021) 02</v>
      </c>
      <c r="H1005" s="19"/>
    </row>
    <row r="1006">
      <c r="A1006" s="9"/>
      <c r="B1006" s="15"/>
      <c r="C1006" s="9">
        <f>IFERROR(__xludf.DUMMYFUNCTION("""COMPUTED_VALUE"""),44595.0692078009)</f>
        <v>44595.06921</v>
      </c>
      <c r="D1006" s="15">
        <f>IFERROR(__xludf.DUMMYFUNCTION("""COMPUTED_VALUE"""),1.004)</f>
        <v>1.004</v>
      </c>
      <c r="E1006" s="16">
        <f>IFERROR(__xludf.DUMMYFUNCTION("""COMPUTED_VALUE"""),65.0)</f>
        <v>65</v>
      </c>
      <c r="F1006" s="19" t="str">
        <f>IFERROR(__xludf.DUMMYFUNCTION("""COMPUTED_VALUE"""),"BLACK")</f>
        <v>BLACK</v>
      </c>
      <c r="G1006" s="20" t="str">
        <f>IFERROR(__xludf.DUMMYFUNCTION("""COMPUTED_VALUE"""),"Uncle Sams Cider (11/12/2021) 02")</f>
        <v>Uncle Sams Cider (11/12/2021) 02</v>
      </c>
      <c r="H1006" s="19"/>
    </row>
    <row r="1007">
      <c r="A1007" s="9"/>
      <c r="B1007" s="15"/>
      <c r="C1007" s="9">
        <f>IFERROR(__xludf.DUMMYFUNCTION("""COMPUTED_VALUE"""),44595.0587861574)</f>
        <v>44595.05879</v>
      </c>
      <c r="D1007" s="15">
        <f>IFERROR(__xludf.DUMMYFUNCTION("""COMPUTED_VALUE"""),1.004)</f>
        <v>1.004</v>
      </c>
      <c r="E1007" s="16">
        <f>IFERROR(__xludf.DUMMYFUNCTION("""COMPUTED_VALUE"""),65.0)</f>
        <v>65</v>
      </c>
      <c r="F1007" s="19" t="str">
        <f>IFERROR(__xludf.DUMMYFUNCTION("""COMPUTED_VALUE"""),"BLACK")</f>
        <v>BLACK</v>
      </c>
      <c r="G1007" s="20" t="str">
        <f>IFERROR(__xludf.DUMMYFUNCTION("""COMPUTED_VALUE"""),"Uncle Sams Cider (11/12/2021) 02")</f>
        <v>Uncle Sams Cider (11/12/2021) 02</v>
      </c>
      <c r="H1007" s="19"/>
    </row>
    <row r="1008">
      <c r="A1008" s="9"/>
      <c r="B1008" s="15"/>
      <c r="C1008" s="9">
        <f>IFERROR(__xludf.DUMMYFUNCTION("""COMPUTED_VALUE"""),44595.0483658912)</f>
        <v>44595.04837</v>
      </c>
      <c r="D1008" s="15">
        <f>IFERROR(__xludf.DUMMYFUNCTION("""COMPUTED_VALUE"""),1.004)</f>
        <v>1.004</v>
      </c>
      <c r="E1008" s="16">
        <f>IFERROR(__xludf.DUMMYFUNCTION("""COMPUTED_VALUE"""),65.0)</f>
        <v>65</v>
      </c>
      <c r="F1008" s="19" t="str">
        <f>IFERROR(__xludf.DUMMYFUNCTION("""COMPUTED_VALUE"""),"BLACK")</f>
        <v>BLACK</v>
      </c>
      <c r="G1008" s="20" t="str">
        <f>IFERROR(__xludf.DUMMYFUNCTION("""COMPUTED_VALUE"""),"Uncle Sams Cider (11/12/2021) 02")</f>
        <v>Uncle Sams Cider (11/12/2021) 02</v>
      </c>
      <c r="H1008" s="19"/>
    </row>
    <row r="1009">
      <c r="A1009" s="9"/>
      <c r="B1009" s="15"/>
      <c r="C1009" s="9">
        <f>IFERROR(__xludf.DUMMYFUNCTION("""COMPUTED_VALUE"""),44595.037934375)</f>
        <v>44595.03793</v>
      </c>
      <c r="D1009" s="15">
        <f>IFERROR(__xludf.DUMMYFUNCTION("""COMPUTED_VALUE"""),1.004)</f>
        <v>1.004</v>
      </c>
      <c r="E1009" s="16">
        <f>IFERROR(__xludf.DUMMYFUNCTION("""COMPUTED_VALUE"""),65.0)</f>
        <v>65</v>
      </c>
      <c r="F1009" s="19" t="str">
        <f>IFERROR(__xludf.DUMMYFUNCTION("""COMPUTED_VALUE"""),"BLACK")</f>
        <v>BLACK</v>
      </c>
      <c r="G1009" s="20" t="str">
        <f>IFERROR(__xludf.DUMMYFUNCTION("""COMPUTED_VALUE"""),"Uncle Sams Cider (11/12/2021) 02")</f>
        <v>Uncle Sams Cider (11/12/2021) 02</v>
      </c>
      <c r="H1009" s="19"/>
    </row>
    <row r="1010">
      <c r="A1010" s="9"/>
      <c r="B1010" s="15"/>
      <c r="C1010" s="9">
        <f>IFERROR(__xludf.DUMMYFUNCTION("""COMPUTED_VALUE"""),44595.0274907523)</f>
        <v>44595.02749</v>
      </c>
      <c r="D1010" s="15">
        <f>IFERROR(__xludf.DUMMYFUNCTION("""COMPUTED_VALUE"""),1.004)</f>
        <v>1.004</v>
      </c>
      <c r="E1010" s="16">
        <f>IFERROR(__xludf.DUMMYFUNCTION("""COMPUTED_VALUE"""),65.0)</f>
        <v>65</v>
      </c>
      <c r="F1010" s="19" t="str">
        <f>IFERROR(__xludf.DUMMYFUNCTION("""COMPUTED_VALUE"""),"BLACK")</f>
        <v>BLACK</v>
      </c>
      <c r="G1010" s="20" t="str">
        <f>IFERROR(__xludf.DUMMYFUNCTION("""COMPUTED_VALUE"""),"Uncle Sams Cider (11/12/2021) 02")</f>
        <v>Uncle Sams Cider (11/12/2021) 02</v>
      </c>
      <c r="H1010" s="19"/>
    </row>
    <row r="1011">
      <c r="A1011" s="9"/>
      <c r="B1011" s="15"/>
      <c r="C1011" s="9">
        <f>IFERROR(__xludf.DUMMYFUNCTION("""COMPUTED_VALUE"""),44595.0170569212)</f>
        <v>44595.01706</v>
      </c>
      <c r="D1011" s="15">
        <f>IFERROR(__xludf.DUMMYFUNCTION("""COMPUTED_VALUE"""),1.004)</f>
        <v>1.004</v>
      </c>
      <c r="E1011" s="16">
        <f>IFERROR(__xludf.DUMMYFUNCTION("""COMPUTED_VALUE"""),65.0)</f>
        <v>65</v>
      </c>
      <c r="F1011" s="19" t="str">
        <f>IFERROR(__xludf.DUMMYFUNCTION("""COMPUTED_VALUE"""),"BLACK")</f>
        <v>BLACK</v>
      </c>
      <c r="G1011" s="20" t="str">
        <f>IFERROR(__xludf.DUMMYFUNCTION("""COMPUTED_VALUE"""),"Uncle Sams Cider (11/12/2021) 02")</f>
        <v>Uncle Sams Cider (11/12/2021) 02</v>
      </c>
      <c r="H1011" s="19"/>
    </row>
    <row r="1012">
      <c r="A1012" s="9"/>
      <c r="B1012" s="15"/>
      <c r="C1012" s="9">
        <f>IFERROR(__xludf.DUMMYFUNCTION("""COMPUTED_VALUE"""),44595.0066243171)</f>
        <v>44595.00662</v>
      </c>
      <c r="D1012" s="15">
        <f>IFERROR(__xludf.DUMMYFUNCTION("""COMPUTED_VALUE"""),1.004)</f>
        <v>1.004</v>
      </c>
      <c r="E1012" s="16">
        <f>IFERROR(__xludf.DUMMYFUNCTION("""COMPUTED_VALUE"""),65.0)</f>
        <v>65</v>
      </c>
      <c r="F1012" s="19" t="str">
        <f>IFERROR(__xludf.DUMMYFUNCTION("""COMPUTED_VALUE"""),"BLACK")</f>
        <v>BLACK</v>
      </c>
      <c r="G1012" s="20" t="str">
        <f>IFERROR(__xludf.DUMMYFUNCTION("""COMPUTED_VALUE"""),"Uncle Sams Cider (11/12/2021) 02")</f>
        <v>Uncle Sams Cider (11/12/2021) 02</v>
      </c>
      <c r="H1012" s="19"/>
    </row>
    <row r="1013">
      <c r="A1013" s="9"/>
      <c r="B1013" s="15"/>
      <c r="C1013" s="9">
        <f>IFERROR(__xludf.DUMMYFUNCTION("""COMPUTED_VALUE"""),44594.9962020138)</f>
        <v>44594.9962</v>
      </c>
      <c r="D1013" s="15">
        <f>IFERROR(__xludf.DUMMYFUNCTION("""COMPUTED_VALUE"""),1.004)</f>
        <v>1.004</v>
      </c>
      <c r="E1013" s="16">
        <f>IFERROR(__xludf.DUMMYFUNCTION("""COMPUTED_VALUE"""),65.0)</f>
        <v>65</v>
      </c>
      <c r="F1013" s="19" t="str">
        <f>IFERROR(__xludf.DUMMYFUNCTION("""COMPUTED_VALUE"""),"BLACK")</f>
        <v>BLACK</v>
      </c>
      <c r="G1013" s="20" t="str">
        <f>IFERROR(__xludf.DUMMYFUNCTION("""COMPUTED_VALUE"""),"Uncle Sams Cider (11/12/2021) 02")</f>
        <v>Uncle Sams Cider (11/12/2021) 02</v>
      </c>
      <c r="H1013" s="19"/>
    </row>
    <row r="1014">
      <c r="A1014" s="9"/>
      <c r="B1014" s="15"/>
      <c r="C1014" s="9">
        <f>IFERROR(__xludf.DUMMYFUNCTION("""COMPUTED_VALUE"""),44594.9857805555)</f>
        <v>44594.98578</v>
      </c>
      <c r="D1014" s="15">
        <f>IFERROR(__xludf.DUMMYFUNCTION("""COMPUTED_VALUE"""),1.004)</f>
        <v>1.004</v>
      </c>
      <c r="E1014" s="16">
        <f>IFERROR(__xludf.DUMMYFUNCTION("""COMPUTED_VALUE"""),65.0)</f>
        <v>65</v>
      </c>
      <c r="F1014" s="19" t="str">
        <f>IFERROR(__xludf.DUMMYFUNCTION("""COMPUTED_VALUE"""),"BLACK")</f>
        <v>BLACK</v>
      </c>
      <c r="G1014" s="20" t="str">
        <f>IFERROR(__xludf.DUMMYFUNCTION("""COMPUTED_VALUE"""),"Uncle Sams Cider (11/12/2021) 02")</f>
        <v>Uncle Sams Cider (11/12/2021) 02</v>
      </c>
      <c r="H1014" s="19"/>
    </row>
    <row r="1015">
      <c r="A1015" s="9"/>
      <c r="B1015" s="15"/>
      <c r="C1015" s="9">
        <f>IFERROR(__xludf.DUMMYFUNCTION("""COMPUTED_VALUE"""),44594.9753592592)</f>
        <v>44594.97536</v>
      </c>
      <c r="D1015" s="15">
        <f>IFERROR(__xludf.DUMMYFUNCTION("""COMPUTED_VALUE"""),1.004)</f>
        <v>1.004</v>
      </c>
      <c r="E1015" s="16">
        <f>IFERROR(__xludf.DUMMYFUNCTION("""COMPUTED_VALUE"""),65.0)</f>
        <v>65</v>
      </c>
      <c r="F1015" s="19" t="str">
        <f>IFERROR(__xludf.DUMMYFUNCTION("""COMPUTED_VALUE"""),"BLACK")</f>
        <v>BLACK</v>
      </c>
      <c r="G1015" s="20" t="str">
        <f>IFERROR(__xludf.DUMMYFUNCTION("""COMPUTED_VALUE"""),"Uncle Sams Cider (11/12/2021) 02")</f>
        <v>Uncle Sams Cider (11/12/2021) 02</v>
      </c>
      <c r="H1015" s="19"/>
    </row>
    <row r="1016">
      <c r="A1016" s="9"/>
      <c r="B1016" s="15"/>
      <c r="C1016" s="9">
        <f>IFERROR(__xludf.DUMMYFUNCTION("""COMPUTED_VALUE"""),44594.9649383449)</f>
        <v>44594.96494</v>
      </c>
      <c r="D1016" s="15">
        <f>IFERROR(__xludf.DUMMYFUNCTION("""COMPUTED_VALUE"""),1.004)</f>
        <v>1.004</v>
      </c>
      <c r="E1016" s="16">
        <f>IFERROR(__xludf.DUMMYFUNCTION("""COMPUTED_VALUE"""),65.0)</f>
        <v>65</v>
      </c>
      <c r="F1016" s="19" t="str">
        <f>IFERROR(__xludf.DUMMYFUNCTION("""COMPUTED_VALUE"""),"BLACK")</f>
        <v>BLACK</v>
      </c>
      <c r="G1016" s="20" t="str">
        <f>IFERROR(__xludf.DUMMYFUNCTION("""COMPUTED_VALUE"""),"Uncle Sams Cider (11/12/2021) 02")</f>
        <v>Uncle Sams Cider (11/12/2021) 02</v>
      </c>
      <c r="H1016" s="19"/>
    </row>
    <row r="1017">
      <c r="A1017" s="9"/>
      <c r="B1017" s="15"/>
      <c r="C1017" s="9">
        <f>IFERROR(__xludf.DUMMYFUNCTION("""COMPUTED_VALUE"""),44594.9545179513)</f>
        <v>44594.95452</v>
      </c>
      <c r="D1017" s="15">
        <f>IFERROR(__xludf.DUMMYFUNCTION("""COMPUTED_VALUE"""),1.004)</f>
        <v>1.004</v>
      </c>
      <c r="E1017" s="16">
        <f>IFERROR(__xludf.DUMMYFUNCTION("""COMPUTED_VALUE"""),65.0)</f>
        <v>65</v>
      </c>
      <c r="F1017" s="19" t="str">
        <f>IFERROR(__xludf.DUMMYFUNCTION("""COMPUTED_VALUE"""),"BLACK")</f>
        <v>BLACK</v>
      </c>
      <c r="G1017" s="20" t="str">
        <f>IFERROR(__xludf.DUMMYFUNCTION("""COMPUTED_VALUE"""),"Uncle Sams Cider (11/12/2021) 02")</f>
        <v>Uncle Sams Cider (11/12/2021) 02</v>
      </c>
      <c r="H1017" s="19"/>
    </row>
    <row r="1018">
      <c r="A1018" s="9"/>
      <c r="B1018" s="15"/>
      <c r="C1018" s="9">
        <f>IFERROR(__xludf.DUMMYFUNCTION("""COMPUTED_VALUE"""),44594.9440976736)</f>
        <v>44594.9441</v>
      </c>
      <c r="D1018" s="15">
        <f>IFERROR(__xludf.DUMMYFUNCTION("""COMPUTED_VALUE"""),1.004)</f>
        <v>1.004</v>
      </c>
      <c r="E1018" s="16">
        <f>IFERROR(__xludf.DUMMYFUNCTION("""COMPUTED_VALUE"""),65.0)</f>
        <v>65</v>
      </c>
      <c r="F1018" s="19" t="str">
        <f>IFERROR(__xludf.DUMMYFUNCTION("""COMPUTED_VALUE"""),"BLACK")</f>
        <v>BLACK</v>
      </c>
      <c r="G1018" s="20" t="str">
        <f>IFERROR(__xludf.DUMMYFUNCTION("""COMPUTED_VALUE"""),"Uncle Sams Cider (11/12/2021) 02")</f>
        <v>Uncle Sams Cider (11/12/2021) 02</v>
      </c>
      <c r="H1018" s="19"/>
    </row>
    <row r="1019">
      <c r="A1019" s="9"/>
      <c r="B1019" s="15"/>
      <c r="C1019" s="9">
        <f>IFERROR(__xludf.DUMMYFUNCTION("""COMPUTED_VALUE"""),44594.9336766319)</f>
        <v>44594.93368</v>
      </c>
      <c r="D1019" s="15">
        <f>IFERROR(__xludf.DUMMYFUNCTION("""COMPUTED_VALUE"""),1.004)</f>
        <v>1.004</v>
      </c>
      <c r="E1019" s="16">
        <f>IFERROR(__xludf.DUMMYFUNCTION("""COMPUTED_VALUE"""),65.0)</f>
        <v>65</v>
      </c>
      <c r="F1019" s="19" t="str">
        <f>IFERROR(__xludf.DUMMYFUNCTION("""COMPUTED_VALUE"""),"BLACK")</f>
        <v>BLACK</v>
      </c>
      <c r="G1019" s="20" t="str">
        <f>IFERROR(__xludf.DUMMYFUNCTION("""COMPUTED_VALUE"""),"Uncle Sams Cider (11/12/2021) 02")</f>
        <v>Uncle Sams Cider (11/12/2021) 02</v>
      </c>
      <c r="H1019" s="19"/>
    </row>
    <row r="1020">
      <c r="A1020" s="9"/>
      <c r="B1020" s="15"/>
      <c r="C1020" s="9">
        <f>IFERROR(__xludf.DUMMYFUNCTION("""COMPUTED_VALUE"""),44594.9232561226)</f>
        <v>44594.92326</v>
      </c>
      <c r="D1020" s="15">
        <f>IFERROR(__xludf.DUMMYFUNCTION("""COMPUTED_VALUE"""),1.004)</f>
        <v>1.004</v>
      </c>
      <c r="E1020" s="16">
        <f>IFERROR(__xludf.DUMMYFUNCTION("""COMPUTED_VALUE"""),65.0)</f>
        <v>65</v>
      </c>
      <c r="F1020" s="19" t="str">
        <f>IFERROR(__xludf.DUMMYFUNCTION("""COMPUTED_VALUE"""),"BLACK")</f>
        <v>BLACK</v>
      </c>
      <c r="G1020" s="20" t="str">
        <f>IFERROR(__xludf.DUMMYFUNCTION("""COMPUTED_VALUE"""),"Uncle Sams Cider (11/12/2021) 02")</f>
        <v>Uncle Sams Cider (11/12/2021) 02</v>
      </c>
      <c r="H1020" s="19"/>
    </row>
    <row r="1021">
      <c r="A1021" s="9"/>
      <c r="B1021" s="15"/>
      <c r="C1021" s="9">
        <f>IFERROR(__xludf.DUMMYFUNCTION("""COMPUTED_VALUE"""),44594.9128226504)</f>
        <v>44594.91282</v>
      </c>
      <c r="D1021" s="15">
        <f>IFERROR(__xludf.DUMMYFUNCTION("""COMPUTED_VALUE"""),1.004)</f>
        <v>1.004</v>
      </c>
      <c r="E1021" s="16">
        <f>IFERROR(__xludf.DUMMYFUNCTION("""COMPUTED_VALUE"""),65.0)</f>
        <v>65</v>
      </c>
      <c r="F1021" s="19" t="str">
        <f>IFERROR(__xludf.DUMMYFUNCTION("""COMPUTED_VALUE"""),"BLACK")</f>
        <v>BLACK</v>
      </c>
      <c r="G1021" s="20" t="str">
        <f>IFERROR(__xludf.DUMMYFUNCTION("""COMPUTED_VALUE"""),"Uncle Sams Cider (11/12/2021) 02")</f>
        <v>Uncle Sams Cider (11/12/2021) 02</v>
      </c>
      <c r="H1021" s="19"/>
    </row>
    <row r="1022">
      <c r="A1022" s="9"/>
      <c r="B1022" s="15"/>
      <c r="C1022" s="9">
        <f>IFERROR(__xludf.DUMMYFUNCTION("""COMPUTED_VALUE"""),44594.9024023611)</f>
        <v>44594.9024</v>
      </c>
      <c r="D1022" s="15">
        <f>IFERROR(__xludf.DUMMYFUNCTION("""COMPUTED_VALUE"""),1.004)</f>
        <v>1.004</v>
      </c>
      <c r="E1022" s="16">
        <f>IFERROR(__xludf.DUMMYFUNCTION("""COMPUTED_VALUE"""),65.0)</f>
        <v>65</v>
      </c>
      <c r="F1022" s="19" t="str">
        <f>IFERROR(__xludf.DUMMYFUNCTION("""COMPUTED_VALUE"""),"BLACK")</f>
        <v>BLACK</v>
      </c>
      <c r="G1022" s="20" t="str">
        <f>IFERROR(__xludf.DUMMYFUNCTION("""COMPUTED_VALUE"""),"Uncle Sams Cider (11/12/2021) 02")</f>
        <v>Uncle Sams Cider (11/12/2021) 02</v>
      </c>
      <c r="H1022" s="19"/>
    </row>
    <row r="1023">
      <c r="A1023" s="9"/>
      <c r="B1023" s="15"/>
      <c r="C1023" s="9">
        <f>IFERROR(__xludf.DUMMYFUNCTION("""COMPUTED_VALUE"""),44594.8919449074)</f>
        <v>44594.89194</v>
      </c>
      <c r="D1023" s="15">
        <f>IFERROR(__xludf.DUMMYFUNCTION("""COMPUTED_VALUE"""),1.004)</f>
        <v>1.004</v>
      </c>
      <c r="E1023" s="16">
        <f>IFERROR(__xludf.DUMMYFUNCTION("""COMPUTED_VALUE"""),65.0)</f>
        <v>65</v>
      </c>
      <c r="F1023" s="19" t="str">
        <f>IFERROR(__xludf.DUMMYFUNCTION("""COMPUTED_VALUE"""),"BLACK")</f>
        <v>BLACK</v>
      </c>
      <c r="G1023" s="20" t="str">
        <f>IFERROR(__xludf.DUMMYFUNCTION("""COMPUTED_VALUE"""),"Uncle Sams Cider (11/12/2021) 02")</f>
        <v>Uncle Sams Cider (11/12/2021) 02</v>
      </c>
      <c r="H1023" s="19"/>
    </row>
    <row r="1024">
      <c r="A1024" s="9"/>
      <c r="B1024" s="15"/>
      <c r="C1024" s="9">
        <f>IFERROR(__xludf.DUMMYFUNCTION("""COMPUTED_VALUE"""),44594.8815243402)</f>
        <v>44594.88152</v>
      </c>
      <c r="D1024" s="15">
        <f>IFERROR(__xludf.DUMMYFUNCTION("""COMPUTED_VALUE"""),1.004)</f>
        <v>1.004</v>
      </c>
      <c r="E1024" s="16">
        <f>IFERROR(__xludf.DUMMYFUNCTION("""COMPUTED_VALUE"""),65.0)</f>
        <v>65</v>
      </c>
      <c r="F1024" s="19" t="str">
        <f>IFERROR(__xludf.DUMMYFUNCTION("""COMPUTED_VALUE"""),"BLACK")</f>
        <v>BLACK</v>
      </c>
      <c r="G1024" s="20" t="str">
        <f>IFERROR(__xludf.DUMMYFUNCTION("""COMPUTED_VALUE"""),"Uncle Sams Cider (11/12/2021) 02")</f>
        <v>Uncle Sams Cider (11/12/2021) 02</v>
      </c>
      <c r="H1024" s="19"/>
    </row>
    <row r="1025">
      <c r="A1025" s="9"/>
      <c r="B1025" s="15"/>
      <c r="C1025" s="9">
        <f>IFERROR(__xludf.DUMMYFUNCTION("""COMPUTED_VALUE"""),44594.8710437847)</f>
        <v>44594.87104</v>
      </c>
      <c r="D1025" s="15">
        <f>IFERROR(__xludf.DUMMYFUNCTION("""COMPUTED_VALUE"""),1.004)</f>
        <v>1.004</v>
      </c>
      <c r="E1025" s="16">
        <f>IFERROR(__xludf.DUMMYFUNCTION("""COMPUTED_VALUE"""),66.0)</f>
        <v>66</v>
      </c>
      <c r="F1025" s="19" t="str">
        <f>IFERROR(__xludf.DUMMYFUNCTION("""COMPUTED_VALUE"""),"BLACK")</f>
        <v>BLACK</v>
      </c>
      <c r="G1025" s="20" t="str">
        <f>IFERROR(__xludf.DUMMYFUNCTION("""COMPUTED_VALUE"""),"Uncle Sams Cider (11/12/2021) 02")</f>
        <v>Uncle Sams Cider (11/12/2021) 02</v>
      </c>
      <c r="H1025" s="19"/>
    </row>
    <row r="1026">
      <c r="A1026" s="9"/>
      <c r="B1026" s="15"/>
      <c r="C1026" s="9">
        <f>IFERROR(__xludf.DUMMYFUNCTION("""COMPUTED_VALUE"""),44594.8606216898)</f>
        <v>44594.86062</v>
      </c>
      <c r="D1026" s="15">
        <f>IFERROR(__xludf.DUMMYFUNCTION("""COMPUTED_VALUE"""),1.004)</f>
        <v>1.004</v>
      </c>
      <c r="E1026" s="16">
        <f>IFERROR(__xludf.DUMMYFUNCTION("""COMPUTED_VALUE"""),66.0)</f>
        <v>66</v>
      </c>
      <c r="F1026" s="19" t="str">
        <f>IFERROR(__xludf.DUMMYFUNCTION("""COMPUTED_VALUE"""),"BLACK")</f>
        <v>BLACK</v>
      </c>
      <c r="G1026" s="20" t="str">
        <f>IFERROR(__xludf.DUMMYFUNCTION("""COMPUTED_VALUE"""),"Uncle Sams Cider (11/12/2021) 02")</f>
        <v>Uncle Sams Cider (11/12/2021) 02</v>
      </c>
      <c r="H1026" s="19"/>
    </row>
    <row r="1027">
      <c r="A1027" s="9"/>
      <c r="B1027" s="15"/>
      <c r="C1027" s="9">
        <f>IFERROR(__xludf.DUMMYFUNCTION("""COMPUTED_VALUE"""),44594.8501899652)</f>
        <v>44594.85019</v>
      </c>
      <c r="D1027" s="15">
        <f>IFERROR(__xludf.DUMMYFUNCTION("""COMPUTED_VALUE"""),1.004)</f>
        <v>1.004</v>
      </c>
      <c r="E1027" s="16">
        <f>IFERROR(__xludf.DUMMYFUNCTION("""COMPUTED_VALUE"""),66.0)</f>
        <v>66</v>
      </c>
      <c r="F1027" s="19" t="str">
        <f>IFERROR(__xludf.DUMMYFUNCTION("""COMPUTED_VALUE"""),"BLACK")</f>
        <v>BLACK</v>
      </c>
      <c r="G1027" s="20" t="str">
        <f>IFERROR(__xludf.DUMMYFUNCTION("""COMPUTED_VALUE"""),"Uncle Sams Cider (11/12/2021) 02")</f>
        <v>Uncle Sams Cider (11/12/2021) 02</v>
      </c>
      <c r="H1027" s="19"/>
    </row>
    <row r="1028">
      <c r="A1028" s="9"/>
      <c r="B1028" s="15"/>
      <c r="C1028" s="9">
        <f>IFERROR(__xludf.DUMMYFUNCTION("""COMPUTED_VALUE"""),44594.8397559953)</f>
        <v>44594.83976</v>
      </c>
      <c r="D1028" s="15">
        <f>IFERROR(__xludf.DUMMYFUNCTION("""COMPUTED_VALUE"""),1.004)</f>
        <v>1.004</v>
      </c>
      <c r="E1028" s="16">
        <f>IFERROR(__xludf.DUMMYFUNCTION("""COMPUTED_VALUE"""),66.0)</f>
        <v>66</v>
      </c>
      <c r="F1028" s="19" t="str">
        <f>IFERROR(__xludf.DUMMYFUNCTION("""COMPUTED_VALUE"""),"BLACK")</f>
        <v>BLACK</v>
      </c>
      <c r="G1028" s="20" t="str">
        <f>IFERROR(__xludf.DUMMYFUNCTION("""COMPUTED_VALUE"""),"Uncle Sams Cider (11/12/2021) 02")</f>
        <v>Uncle Sams Cider (11/12/2021) 02</v>
      </c>
      <c r="H1028" s="19"/>
    </row>
    <row r="1029">
      <c r="A1029" s="9"/>
      <c r="B1029" s="15"/>
      <c r="C1029" s="9">
        <f>IFERROR(__xludf.DUMMYFUNCTION("""COMPUTED_VALUE"""),44594.8293352314)</f>
        <v>44594.82934</v>
      </c>
      <c r="D1029" s="15">
        <f>IFERROR(__xludf.DUMMYFUNCTION("""COMPUTED_VALUE"""),1.004)</f>
        <v>1.004</v>
      </c>
      <c r="E1029" s="16">
        <f>IFERROR(__xludf.DUMMYFUNCTION("""COMPUTED_VALUE"""),66.0)</f>
        <v>66</v>
      </c>
      <c r="F1029" s="19" t="str">
        <f>IFERROR(__xludf.DUMMYFUNCTION("""COMPUTED_VALUE"""),"BLACK")</f>
        <v>BLACK</v>
      </c>
      <c r="G1029" s="20" t="str">
        <f>IFERROR(__xludf.DUMMYFUNCTION("""COMPUTED_VALUE"""),"Uncle Sams Cider (11/12/2021) 02")</f>
        <v>Uncle Sams Cider (11/12/2021) 02</v>
      </c>
      <c r="H1029" s="19"/>
    </row>
    <row r="1030">
      <c r="A1030" s="9"/>
      <c r="B1030" s="15"/>
      <c r="C1030" s="9">
        <f>IFERROR(__xludf.DUMMYFUNCTION("""COMPUTED_VALUE"""),44594.8189131944)</f>
        <v>44594.81891</v>
      </c>
      <c r="D1030" s="15">
        <f>IFERROR(__xludf.DUMMYFUNCTION("""COMPUTED_VALUE"""),1.004)</f>
        <v>1.004</v>
      </c>
      <c r="E1030" s="16">
        <f>IFERROR(__xludf.DUMMYFUNCTION("""COMPUTED_VALUE"""),66.0)</f>
        <v>66</v>
      </c>
      <c r="F1030" s="19" t="str">
        <f>IFERROR(__xludf.DUMMYFUNCTION("""COMPUTED_VALUE"""),"BLACK")</f>
        <v>BLACK</v>
      </c>
      <c r="G1030" s="20" t="str">
        <f>IFERROR(__xludf.DUMMYFUNCTION("""COMPUTED_VALUE"""),"Uncle Sams Cider (11/12/2021) 02")</f>
        <v>Uncle Sams Cider (11/12/2021) 02</v>
      </c>
      <c r="H1030" s="19"/>
    </row>
    <row r="1031">
      <c r="A1031" s="9"/>
      <c r="B1031" s="15"/>
      <c r="C1031" s="9">
        <f>IFERROR(__xludf.DUMMYFUNCTION("""COMPUTED_VALUE"""),44594.8084575231)</f>
        <v>44594.80846</v>
      </c>
      <c r="D1031" s="15">
        <f>IFERROR(__xludf.DUMMYFUNCTION("""COMPUTED_VALUE"""),1.004)</f>
        <v>1.004</v>
      </c>
      <c r="E1031" s="16">
        <f>IFERROR(__xludf.DUMMYFUNCTION("""COMPUTED_VALUE"""),66.0)</f>
        <v>66</v>
      </c>
      <c r="F1031" s="19" t="str">
        <f>IFERROR(__xludf.DUMMYFUNCTION("""COMPUTED_VALUE"""),"BLACK")</f>
        <v>BLACK</v>
      </c>
      <c r="G1031" s="20" t="str">
        <f>IFERROR(__xludf.DUMMYFUNCTION("""COMPUTED_VALUE"""),"Uncle Sams Cider (11/12/2021) 02")</f>
        <v>Uncle Sams Cider (11/12/2021) 02</v>
      </c>
      <c r="H1031" s="19"/>
    </row>
    <row r="1032">
      <c r="A1032" s="9"/>
      <c r="B1032" s="15"/>
      <c r="C1032" s="9">
        <f>IFERROR(__xludf.DUMMYFUNCTION("""COMPUTED_VALUE"""),44594.7980370949)</f>
        <v>44594.79804</v>
      </c>
      <c r="D1032" s="15">
        <f>IFERROR(__xludf.DUMMYFUNCTION("""COMPUTED_VALUE"""),1.004)</f>
        <v>1.004</v>
      </c>
      <c r="E1032" s="16">
        <f>IFERROR(__xludf.DUMMYFUNCTION("""COMPUTED_VALUE"""),66.0)</f>
        <v>66</v>
      </c>
      <c r="F1032" s="19" t="str">
        <f>IFERROR(__xludf.DUMMYFUNCTION("""COMPUTED_VALUE"""),"BLACK")</f>
        <v>BLACK</v>
      </c>
      <c r="G1032" s="20" t="str">
        <f>IFERROR(__xludf.DUMMYFUNCTION("""COMPUTED_VALUE"""),"Uncle Sams Cider (11/12/2021) 02")</f>
        <v>Uncle Sams Cider (11/12/2021) 02</v>
      </c>
      <c r="H1032" s="19"/>
    </row>
    <row r="1033">
      <c r="A1033" s="9"/>
      <c r="B1033" s="15"/>
      <c r="C1033" s="9">
        <f>IFERROR(__xludf.DUMMYFUNCTION("""COMPUTED_VALUE"""),44594.7875456597)</f>
        <v>44594.78755</v>
      </c>
      <c r="D1033" s="15">
        <f>IFERROR(__xludf.DUMMYFUNCTION("""COMPUTED_VALUE"""),1.004)</f>
        <v>1.004</v>
      </c>
      <c r="E1033" s="16">
        <f>IFERROR(__xludf.DUMMYFUNCTION("""COMPUTED_VALUE"""),66.0)</f>
        <v>66</v>
      </c>
      <c r="F1033" s="19" t="str">
        <f>IFERROR(__xludf.DUMMYFUNCTION("""COMPUTED_VALUE"""),"BLACK")</f>
        <v>BLACK</v>
      </c>
      <c r="G1033" s="20" t="str">
        <f>IFERROR(__xludf.DUMMYFUNCTION("""COMPUTED_VALUE"""),"Uncle Sams Cider (11/12/2021) 02")</f>
        <v>Uncle Sams Cider (11/12/2021) 02</v>
      </c>
      <c r="H1033" s="19"/>
    </row>
    <row r="1034">
      <c r="A1034" s="9"/>
      <c r="B1034" s="15"/>
      <c r="C1034" s="9">
        <f>IFERROR(__xludf.DUMMYFUNCTION("""COMPUTED_VALUE"""),44594.7770889583)</f>
        <v>44594.77709</v>
      </c>
      <c r="D1034" s="15">
        <f>IFERROR(__xludf.DUMMYFUNCTION("""COMPUTED_VALUE"""),1.004)</f>
        <v>1.004</v>
      </c>
      <c r="E1034" s="16">
        <f>IFERROR(__xludf.DUMMYFUNCTION("""COMPUTED_VALUE"""),66.0)</f>
        <v>66</v>
      </c>
      <c r="F1034" s="19" t="str">
        <f>IFERROR(__xludf.DUMMYFUNCTION("""COMPUTED_VALUE"""),"BLACK")</f>
        <v>BLACK</v>
      </c>
      <c r="G1034" s="20" t="str">
        <f>IFERROR(__xludf.DUMMYFUNCTION("""COMPUTED_VALUE"""),"Uncle Sams Cider (11/12/2021) 02")</f>
        <v>Uncle Sams Cider (11/12/2021) 02</v>
      </c>
      <c r="H1034" s="19"/>
    </row>
    <row r="1035">
      <c r="A1035" s="9"/>
      <c r="B1035" s="15"/>
      <c r="C1035" s="9">
        <f>IFERROR(__xludf.DUMMYFUNCTION("""COMPUTED_VALUE"""),44594.7666676967)</f>
        <v>44594.76667</v>
      </c>
      <c r="D1035" s="15">
        <f>IFERROR(__xludf.DUMMYFUNCTION("""COMPUTED_VALUE"""),1.004)</f>
        <v>1.004</v>
      </c>
      <c r="E1035" s="16">
        <f>IFERROR(__xludf.DUMMYFUNCTION("""COMPUTED_VALUE"""),66.0)</f>
        <v>66</v>
      </c>
      <c r="F1035" s="19" t="str">
        <f>IFERROR(__xludf.DUMMYFUNCTION("""COMPUTED_VALUE"""),"BLACK")</f>
        <v>BLACK</v>
      </c>
      <c r="G1035" s="20" t="str">
        <f>IFERROR(__xludf.DUMMYFUNCTION("""COMPUTED_VALUE"""),"Uncle Sams Cider (11/12/2021) 02")</f>
        <v>Uncle Sams Cider (11/12/2021) 02</v>
      </c>
      <c r="H1035" s="19"/>
    </row>
    <row r="1036">
      <c r="A1036" s="9"/>
      <c r="B1036" s="15"/>
      <c r="C1036" s="9">
        <f>IFERROR(__xludf.DUMMYFUNCTION("""COMPUTED_VALUE"""),44594.7562349652)</f>
        <v>44594.75623</v>
      </c>
      <c r="D1036" s="15">
        <f>IFERROR(__xludf.DUMMYFUNCTION("""COMPUTED_VALUE"""),1.004)</f>
        <v>1.004</v>
      </c>
      <c r="E1036" s="16">
        <f>IFERROR(__xludf.DUMMYFUNCTION("""COMPUTED_VALUE"""),66.0)</f>
        <v>66</v>
      </c>
      <c r="F1036" s="19" t="str">
        <f>IFERROR(__xludf.DUMMYFUNCTION("""COMPUTED_VALUE"""),"BLACK")</f>
        <v>BLACK</v>
      </c>
      <c r="G1036" s="20" t="str">
        <f>IFERROR(__xludf.DUMMYFUNCTION("""COMPUTED_VALUE"""),"Uncle Sams Cider (11/12/2021) 02")</f>
        <v>Uncle Sams Cider (11/12/2021) 02</v>
      </c>
      <c r="H1036" s="19"/>
    </row>
    <row r="1037">
      <c r="A1037" s="9"/>
      <c r="B1037" s="15"/>
      <c r="C1037" s="9">
        <f>IFERROR(__xludf.DUMMYFUNCTION("""COMPUTED_VALUE"""),44594.7458036111)</f>
        <v>44594.7458</v>
      </c>
      <c r="D1037" s="15">
        <f>IFERROR(__xludf.DUMMYFUNCTION("""COMPUTED_VALUE"""),1.004)</f>
        <v>1.004</v>
      </c>
      <c r="E1037" s="16">
        <f>IFERROR(__xludf.DUMMYFUNCTION("""COMPUTED_VALUE"""),66.0)</f>
        <v>66</v>
      </c>
      <c r="F1037" s="19" t="str">
        <f>IFERROR(__xludf.DUMMYFUNCTION("""COMPUTED_VALUE"""),"BLACK")</f>
        <v>BLACK</v>
      </c>
      <c r="G1037" s="20" t="str">
        <f>IFERROR(__xludf.DUMMYFUNCTION("""COMPUTED_VALUE"""),"Uncle Sams Cider (11/12/2021) 02")</f>
        <v>Uncle Sams Cider (11/12/2021) 02</v>
      </c>
      <c r="H1037" s="19"/>
    </row>
    <row r="1038">
      <c r="A1038" s="9"/>
      <c r="B1038" s="15"/>
      <c r="C1038" s="9">
        <f>IFERROR(__xludf.DUMMYFUNCTION("""COMPUTED_VALUE"""),44594.7353833101)</f>
        <v>44594.73538</v>
      </c>
      <c r="D1038" s="15">
        <f>IFERROR(__xludf.DUMMYFUNCTION("""COMPUTED_VALUE"""),1.004)</f>
        <v>1.004</v>
      </c>
      <c r="E1038" s="16">
        <f>IFERROR(__xludf.DUMMYFUNCTION("""COMPUTED_VALUE"""),66.0)</f>
        <v>66</v>
      </c>
      <c r="F1038" s="19" t="str">
        <f>IFERROR(__xludf.DUMMYFUNCTION("""COMPUTED_VALUE"""),"BLACK")</f>
        <v>BLACK</v>
      </c>
      <c r="G1038" s="20" t="str">
        <f>IFERROR(__xludf.DUMMYFUNCTION("""COMPUTED_VALUE"""),"Uncle Sams Cider (11/12/2021) 02")</f>
        <v>Uncle Sams Cider (11/12/2021) 02</v>
      </c>
      <c r="H1038" s="19"/>
    </row>
    <row r="1039">
      <c r="A1039" s="9"/>
      <c r="B1039" s="15"/>
      <c r="C1039" s="9">
        <f>IFERROR(__xludf.DUMMYFUNCTION("""COMPUTED_VALUE"""),44594.7249620254)</f>
        <v>44594.72496</v>
      </c>
      <c r="D1039" s="15">
        <f>IFERROR(__xludf.DUMMYFUNCTION("""COMPUTED_VALUE"""),1.004)</f>
        <v>1.004</v>
      </c>
      <c r="E1039" s="16">
        <f>IFERROR(__xludf.DUMMYFUNCTION("""COMPUTED_VALUE"""),66.0)</f>
        <v>66</v>
      </c>
      <c r="F1039" s="19" t="str">
        <f>IFERROR(__xludf.DUMMYFUNCTION("""COMPUTED_VALUE"""),"BLACK")</f>
        <v>BLACK</v>
      </c>
      <c r="G1039" s="20" t="str">
        <f>IFERROR(__xludf.DUMMYFUNCTION("""COMPUTED_VALUE"""),"Uncle Sams Cider (11/12/2021) 02")</f>
        <v>Uncle Sams Cider (11/12/2021) 02</v>
      </c>
      <c r="H1039" s="19"/>
    </row>
    <row r="1040">
      <c r="A1040" s="9"/>
      <c r="B1040" s="15"/>
      <c r="C1040" s="9">
        <f>IFERROR(__xludf.DUMMYFUNCTION("""COMPUTED_VALUE"""),44594.7145288541)</f>
        <v>44594.71453</v>
      </c>
      <c r="D1040" s="15">
        <f>IFERROR(__xludf.DUMMYFUNCTION("""COMPUTED_VALUE"""),1.004)</f>
        <v>1.004</v>
      </c>
      <c r="E1040" s="16">
        <f>IFERROR(__xludf.DUMMYFUNCTION("""COMPUTED_VALUE"""),66.0)</f>
        <v>66</v>
      </c>
      <c r="F1040" s="19" t="str">
        <f>IFERROR(__xludf.DUMMYFUNCTION("""COMPUTED_VALUE"""),"BLACK")</f>
        <v>BLACK</v>
      </c>
      <c r="G1040" s="20" t="str">
        <f>IFERROR(__xludf.DUMMYFUNCTION("""COMPUTED_VALUE"""),"Uncle Sams Cider (11/12/2021) 02")</f>
        <v>Uncle Sams Cider (11/12/2021) 02</v>
      </c>
      <c r="H1040" s="19"/>
    </row>
    <row r="1041">
      <c r="A1041" s="9"/>
      <c r="B1041" s="15"/>
      <c r="C1041" s="9">
        <f>IFERROR(__xludf.DUMMYFUNCTION("""COMPUTED_VALUE"""),44594.7041088773)</f>
        <v>44594.70411</v>
      </c>
      <c r="D1041" s="15">
        <f>IFERROR(__xludf.DUMMYFUNCTION("""COMPUTED_VALUE"""),1.004)</f>
        <v>1.004</v>
      </c>
      <c r="E1041" s="16">
        <f>IFERROR(__xludf.DUMMYFUNCTION("""COMPUTED_VALUE"""),66.0)</f>
        <v>66</v>
      </c>
      <c r="F1041" s="19" t="str">
        <f>IFERROR(__xludf.DUMMYFUNCTION("""COMPUTED_VALUE"""),"BLACK")</f>
        <v>BLACK</v>
      </c>
      <c r="G1041" s="20" t="str">
        <f>IFERROR(__xludf.DUMMYFUNCTION("""COMPUTED_VALUE"""),"Uncle Sams Cider (11/12/2021) 02")</f>
        <v>Uncle Sams Cider (11/12/2021) 02</v>
      </c>
      <c r="H1041" s="19"/>
    </row>
    <row r="1042">
      <c r="A1042" s="9"/>
      <c r="B1042" s="15"/>
      <c r="C1042" s="9">
        <f>IFERROR(__xludf.DUMMYFUNCTION("""COMPUTED_VALUE"""),44594.6936762962)</f>
        <v>44594.69368</v>
      </c>
      <c r="D1042" s="15">
        <f>IFERROR(__xludf.DUMMYFUNCTION("""COMPUTED_VALUE"""),1.004)</f>
        <v>1.004</v>
      </c>
      <c r="E1042" s="16">
        <f>IFERROR(__xludf.DUMMYFUNCTION("""COMPUTED_VALUE"""),66.0)</f>
        <v>66</v>
      </c>
      <c r="F1042" s="19" t="str">
        <f>IFERROR(__xludf.DUMMYFUNCTION("""COMPUTED_VALUE"""),"BLACK")</f>
        <v>BLACK</v>
      </c>
      <c r="G1042" s="20" t="str">
        <f>IFERROR(__xludf.DUMMYFUNCTION("""COMPUTED_VALUE"""),"Uncle Sams Cider (11/12/2021) 02")</f>
        <v>Uncle Sams Cider (11/12/2021) 02</v>
      </c>
      <c r="H1042" s="19"/>
    </row>
    <row r="1043">
      <c r="A1043" s="9"/>
      <c r="B1043" s="15"/>
      <c r="C1043" s="9">
        <f>IFERROR(__xludf.DUMMYFUNCTION("""COMPUTED_VALUE"""),44594.6832548263)</f>
        <v>44594.68325</v>
      </c>
      <c r="D1043" s="15">
        <f>IFERROR(__xludf.DUMMYFUNCTION("""COMPUTED_VALUE"""),1.004)</f>
        <v>1.004</v>
      </c>
      <c r="E1043" s="16">
        <f>IFERROR(__xludf.DUMMYFUNCTION("""COMPUTED_VALUE"""),66.0)</f>
        <v>66</v>
      </c>
      <c r="F1043" s="19" t="str">
        <f>IFERROR(__xludf.DUMMYFUNCTION("""COMPUTED_VALUE"""),"BLACK")</f>
        <v>BLACK</v>
      </c>
      <c r="G1043" s="20" t="str">
        <f>IFERROR(__xludf.DUMMYFUNCTION("""COMPUTED_VALUE"""),"Uncle Sams Cider (11/12/2021) 02")</f>
        <v>Uncle Sams Cider (11/12/2021) 02</v>
      </c>
      <c r="H1043" s="19"/>
    </row>
    <row r="1044">
      <c r="A1044" s="9"/>
      <c r="B1044" s="15"/>
      <c r="C1044" s="9">
        <f>IFERROR(__xludf.DUMMYFUNCTION("""COMPUTED_VALUE"""),44594.6728334722)</f>
        <v>44594.67283</v>
      </c>
      <c r="D1044" s="15">
        <f>IFERROR(__xludf.DUMMYFUNCTION("""COMPUTED_VALUE"""),1.004)</f>
        <v>1.004</v>
      </c>
      <c r="E1044" s="16">
        <f>IFERROR(__xludf.DUMMYFUNCTION("""COMPUTED_VALUE"""),66.0)</f>
        <v>66</v>
      </c>
      <c r="F1044" s="19" t="str">
        <f>IFERROR(__xludf.DUMMYFUNCTION("""COMPUTED_VALUE"""),"BLACK")</f>
        <v>BLACK</v>
      </c>
      <c r="G1044" s="20" t="str">
        <f>IFERROR(__xludf.DUMMYFUNCTION("""COMPUTED_VALUE"""),"Uncle Sams Cider (11/12/2021) 02")</f>
        <v>Uncle Sams Cider (11/12/2021) 02</v>
      </c>
      <c r="H1044" s="19"/>
    </row>
    <row r="1045">
      <c r="A1045" s="9"/>
      <c r="B1045" s="15"/>
      <c r="C1045" s="9">
        <f>IFERROR(__xludf.DUMMYFUNCTION("""COMPUTED_VALUE"""),44594.662410868)</f>
        <v>44594.66241</v>
      </c>
      <c r="D1045" s="15">
        <f>IFERROR(__xludf.DUMMYFUNCTION("""COMPUTED_VALUE"""),1.004)</f>
        <v>1.004</v>
      </c>
      <c r="E1045" s="16">
        <f>IFERROR(__xludf.DUMMYFUNCTION("""COMPUTED_VALUE"""),66.0)</f>
        <v>66</v>
      </c>
      <c r="F1045" s="19" t="str">
        <f>IFERROR(__xludf.DUMMYFUNCTION("""COMPUTED_VALUE"""),"BLACK")</f>
        <v>BLACK</v>
      </c>
      <c r="G1045" s="20" t="str">
        <f>IFERROR(__xludf.DUMMYFUNCTION("""COMPUTED_VALUE"""),"Uncle Sams Cider (11/12/2021) 02")</f>
        <v>Uncle Sams Cider (11/12/2021) 02</v>
      </c>
      <c r="H1045" s="19"/>
    </row>
    <row r="1046">
      <c r="A1046" s="9"/>
      <c r="B1046" s="15"/>
      <c r="C1046" s="9">
        <f>IFERROR(__xludf.DUMMYFUNCTION("""COMPUTED_VALUE"""),44594.6519886342)</f>
        <v>44594.65199</v>
      </c>
      <c r="D1046" s="15">
        <f>IFERROR(__xludf.DUMMYFUNCTION("""COMPUTED_VALUE"""),1.004)</f>
        <v>1.004</v>
      </c>
      <c r="E1046" s="16">
        <f>IFERROR(__xludf.DUMMYFUNCTION("""COMPUTED_VALUE"""),66.0)</f>
        <v>66</v>
      </c>
      <c r="F1046" s="19" t="str">
        <f>IFERROR(__xludf.DUMMYFUNCTION("""COMPUTED_VALUE"""),"BLACK")</f>
        <v>BLACK</v>
      </c>
      <c r="G1046" s="20" t="str">
        <f>IFERROR(__xludf.DUMMYFUNCTION("""COMPUTED_VALUE"""),"Uncle Sams Cider (11/12/2021) 02")</f>
        <v>Uncle Sams Cider (11/12/2021) 02</v>
      </c>
      <c r="H1046" s="19"/>
    </row>
    <row r="1047">
      <c r="A1047" s="9"/>
      <c r="B1047" s="15"/>
      <c r="C1047" s="9">
        <f>IFERROR(__xludf.DUMMYFUNCTION("""COMPUTED_VALUE"""),44594.6415666319)</f>
        <v>44594.64157</v>
      </c>
      <c r="D1047" s="15">
        <f>IFERROR(__xludf.DUMMYFUNCTION("""COMPUTED_VALUE"""),1.004)</f>
        <v>1.004</v>
      </c>
      <c r="E1047" s="16">
        <f>IFERROR(__xludf.DUMMYFUNCTION("""COMPUTED_VALUE"""),66.0)</f>
        <v>66</v>
      </c>
      <c r="F1047" s="19" t="str">
        <f>IFERROR(__xludf.DUMMYFUNCTION("""COMPUTED_VALUE"""),"BLACK")</f>
        <v>BLACK</v>
      </c>
      <c r="G1047" s="20" t="str">
        <f>IFERROR(__xludf.DUMMYFUNCTION("""COMPUTED_VALUE"""),"Uncle Sams Cider (11/12/2021) 02")</f>
        <v>Uncle Sams Cider (11/12/2021) 02</v>
      </c>
      <c r="H1047" s="19"/>
    </row>
    <row r="1048">
      <c r="A1048" s="9"/>
      <c r="B1048" s="15"/>
      <c r="C1048" s="9">
        <f>IFERROR(__xludf.DUMMYFUNCTION("""COMPUTED_VALUE"""),44594.6311092939)</f>
        <v>44594.63111</v>
      </c>
      <c r="D1048" s="15">
        <f>IFERROR(__xludf.DUMMYFUNCTION("""COMPUTED_VALUE"""),1.004)</f>
        <v>1.004</v>
      </c>
      <c r="E1048" s="16">
        <f>IFERROR(__xludf.DUMMYFUNCTION("""COMPUTED_VALUE"""),66.0)</f>
        <v>66</v>
      </c>
      <c r="F1048" s="19" t="str">
        <f>IFERROR(__xludf.DUMMYFUNCTION("""COMPUTED_VALUE"""),"BLACK")</f>
        <v>BLACK</v>
      </c>
      <c r="G1048" s="20" t="str">
        <f>IFERROR(__xludf.DUMMYFUNCTION("""COMPUTED_VALUE"""),"Uncle Sams Cider (11/12/2021) 02")</f>
        <v>Uncle Sams Cider (11/12/2021) 02</v>
      </c>
      <c r="H1048" s="19"/>
    </row>
    <row r="1049">
      <c r="A1049" s="9"/>
      <c r="B1049" s="15"/>
      <c r="C1049" s="9">
        <f>IFERROR(__xludf.DUMMYFUNCTION("""COMPUTED_VALUE"""),44594.620687118)</f>
        <v>44594.62069</v>
      </c>
      <c r="D1049" s="15">
        <f>IFERROR(__xludf.DUMMYFUNCTION("""COMPUTED_VALUE"""),1.004)</f>
        <v>1.004</v>
      </c>
      <c r="E1049" s="16">
        <f>IFERROR(__xludf.DUMMYFUNCTION("""COMPUTED_VALUE"""),66.0)</f>
        <v>66</v>
      </c>
      <c r="F1049" s="19" t="str">
        <f>IFERROR(__xludf.DUMMYFUNCTION("""COMPUTED_VALUE"""),"BLACK")</f>
        <v>BLACK</v>
      </c>
      <c r="G1049" s="20" t="str">
        <f>IFERROR(__xludf.DUMMYFUNCTION("""COMPUTED_VALUE"""),"Uncle Sams Cider (11/12/2021) 02")</f>
        <v>Uncle Sams Cider (11/12/2021) 02</v>
      </c>
      <c r="H1049" s="19"/>
    </row>
    <row r="1050">
      <c r="A1050" s="9"/>
      <c r="B1050" s="15"/>
      <c r="C1050" s="9">
        <f>IFERROR(__xludf.DUMMYFUNCTION("""COMPUTED_VALUE"""),44594.6102682523)</f>
        <v>44594.61027</v>
      </c>
      <c r="D1050" s="15">
        <f>IFERROR(__xludf.DUMMYFUNCTION("""COMPUTED_VALUE"""),1.004)</f>
        <v>1.004</v>
      </c>
      <c r="E1050" s="16">
        <f>IFERROR(__xludf.DUMMYFUNCTION("""COMPUTED_VALUE"""),67.0)</f>
        <v>67</v>
      </c>
      <c r="F1050" s="19" t="str">
        <f>IFERROR(__xludf.DUMMYFUNCTION("""COMPUTED_VALUE"""),"BLACK")</f>
        <v>BLACK</v>
      </c>
      <c r="G1050" s="20" t="str">
        <f>IFERROR(__xludf.DUMMYFUNCTION("""COMPUTED_VALUE"""),"Uncle Sams Cider (11/12/2021) 02")</f>
        <v>Uncle Sams Cider (11/12/2021) 02</v>
      </c>
      <c r="H1050" s="19"/>
    </row>
    <row r="1051">
      <c r="A1051" s="9"/>
      <c r="B1051" s="15"/>
      <c r="C1051" s="9">
        <f>IFERROR(__xludf.DUMMYFUNCTION("""COMPUTED_VALUE"""),44594.5998459259)</f>
        <v>44594.59985</v>
      </c>
      <c r="D1051" s="15">
        <f>IFERROR(__xludf.DUMMYFUNCTION("""COMPUTED_VALUE"""),1.004)</f>
        <v>1.004</v>
      </c>
      <c r="E1051" s="16">
        <f>IFERROR(__xludf.DUMMYFUNCTION("""COMPUTED_VALUE"""),66.0)</f>
        <v>66</v>
      </c>
      <c r="F1051" s="19" t="str">
        <f>IFERROR(__xludf.DUMMYFUNCTION("""COMPUTED_VALUE"""),"BLACK")</f>
        <v>BLACK</v>
      </c>
      <c r="G1051" s="20" t="str">
        <f>IFERROR(__xludf.DUMMYFUNCTION("""COMPUTED_VALUE"""),"Uncle Sams Cider (11/12/2021) 02")</f>
        <v>Uncle Sams Cider (11/12/2021) 02</v>
      </c>
      <c r="H1051" s="19"/>
    </row>
    <row r="1052">
      <c r="A1052" s="9"/>
      <c r="B1052" s="15"/>
      <c r="C1052" s="9">
        <f>IFERROR(__xludf.DUMMYFUNCTION("""COMPUTED_VALUE"""),44594.5894126736)</f>
        <v>44594.58941</v>
      </c>
      <c r="D1052" s="15">
        <f>IFERROR(__xludf.DUMMYFUNCTION("""COMPUTED_VALUE"""),1.004)</f>
        <v>1.004</v>
      </c>
      <c r="E1052" s="16">
        <f>IFERROR(__xludf.DUMMYFUNCTION("""COMPUTED_VALUE"""),67.0)</f>
        <v>67</v>
      </c>
      <c r="F1052" s="19" t="str">
        <f>IFERROR(__xludf.DUMMYFUNCTION("""COMPUTED_VALUE"""),"BLACK")</f>
        <v>BLACK</v>
      </c>
      <c r="G1052" s="20" t="str">
        <f>IFERROR(__xludf.DUMMYFUNCTION("""COMPUTED_VALUE"""),"Uncle Sams Cider (11/12/2021) 02")</f>
        <v>Uncle Sams Cider (11/12/2021) 02</v>
      </c>
      <c r="H1052" s="19"/>
    </row>
    <row r="1053">
      <c r="A1053" s="9"/>
      <c r="B1053" s="15"/>
      <c r="C1053" s="9">
        <f>IFERROR(__xludf.DUMMYFUNCTION("""COMPUTED_VALUE"""),44594.5789434259)</f>
        <v>44594.57894</v>
      </c>
      <c r="D1053" s="15">
        <f>IFERROR(__xludf.DUMMYFUNCTION("""COMPUTED_VALUE"""),1.004)</f>
        <v>1.004</v>
      </c>
      <c r="E1053" s="16">
        <f>IFERROR(__xludf.DUMMYFUNCTION("""COMPUTED_VALUE"""),67.0)</f>
        <v>67</v>
      </c>
      <c r="F1053" s="19" t="str">
        <f>IFERROR(__xludf.DUMMYFUNCTION("""COMPUTED_VALUE"""),"BLACK")</f>
        <v>BLACK</v>
      </c>
      <c r="G1053" s="20" t="str">
        <f>IFERROR(__xludf.DUMMYFUNCTION("""COMPUTED_VALUE"""),"Uncle Sams Cider (11/12/2021) 02")</f>
        <v>Uncle Sams Cider (11/12/2021) 02</v>
      </c>
      <c r="H1053" s="19"/>
    </row>
    <row r="1054">
      <c r="A1054" s="9"/>
      <c r="B1054" s="15"/>
      <c r="C1054" s="9">
        <f>IFERROR(__xludf.DUMMYFUNCTION("""COMPUTED_VALUE"""),44594.5685104282)</f>
        <v>44594.56851</v>
      </c>
      <c r="D1054" s="15">
        <f>IFERROR(__xludf.DUMMYFUNCTION("""COMPUTED_VALUE"""),1.004)</f>
        <v>1.004</v>
      </c>
      <c r="E1054" s="16">
        <f>IFERROR(__xludf.DUMMYFUNCTION("""COMPUTED_VALUE"""),67.0)</f>
        <v>67</v>
      </c>
      <c r="F1054" s="19" t="str">
        <f>IFERROR(__xludf.DUMMYFUNCTION("""COMPUTED_VALUE"""),"BLACK")</f>
        <v>BLACK</v>
      </c>
      <c r="G1054" s="20" t="str">
        <f>IFERROR(__xludf.DUMMYFUNCTION("""COMPUTED_VALUE"""),"Uncle Sams Cider (11/12/2021) 02")</f>
        <v>Uncle Sams Cider (11/12/2021) 02</v>
      </c>
      <c r="H1054" s="19"/>
    </row>
    <row r="1055">
      <c r="A1055" s="9"/>
      <c r="B1055" s="15"/>
      <c r="C1055" s="9">
        <f>IFERROR(__xludf.DUMMYFUNCTION("""COMPUTED_VALUE"""),44594.558090706)</f>
        <v>44594.55809</v>
      </c>
      <c r="D1055" s="15">
        <f>IFERROR(__xludf.DUMMYFUNCTION("""COMPUTED_VALUE"""),1.004)</f>
        <v>1.004</v>
      </c>
      <c r="E1055" s="16">
        <f>IFERROR(__xludf.DUMMYFUNCTION("""COMPUTED_VALUE"""),67.0)</f>
        <v>67</v>
      </c>
      <c r="F1055" s="19" t="str">
        <f>IFERROR(__xludf.DUMMYFUNCTION("""COMPUTED_VALUE"""),"BLACK")</f>
        <v>BLACK</v>
      </c>
      <c r="G1055" s="20" t="str">
        <f>IFERROR(__xludf.DUMMYFUNCTION("""COMPUTED_VALUE"""),"Uncle Sams Cider (11/12/2021) 02")</f>
        <v>Uncle Sams Cider (11/12/2021) 02</v>
      </c>
      <c r="H1055" s="19"/>
    </row>
    <row r="1056">
      <c r="A1056" s="9"/>
      <c r="B1056" s="15"/>
      <c r="C1056" s="9">
        <f>IFERROR(__xludf.DUMMYFUNCTION("""COMPUTED_VALUE"""),44594.5476571064)</f>
        <v>44594.54766</v>
      </c>
      <c r="D1056" s="15">
        <f>IFERROR(__xludf.DUMMYFUNCTION("""COMPUTED_VALUE"""),1.004)</f>
        <v>1.004</v>
      </c>
      <c r="E1056" s="16">
        <f>IFERROR(__xludf.DUMMYFUNCTION("""COMPUTED_VALUE"""),67.0)</f>
        <v>67</v>
      </c>
      <c r="F1056" s="19" t="str">
        <f>IFERROR(__xludf.DUMMYFUNCTION("""COMPUTED_VALUE"""),"BLACK")</f>
        <v>BLACK</v>
      </c>
      <c r="G1056" s="20" t="str">
        <f>IFERROR(__xludf.DUMMYFUNCTION("""COMPUTED_VALUE"""),"Uncle Sams Cider (11/12/2021) 02")</f>
        <v>Uncle Sams Cider (11/12/2021) 02</v>
      </c>
      <c r="H1056" s="19"/>
    </row>
    <row r="1057">
      <c r="A1057" s="9"/>
      <c r="B1057" s="15"/>
      <c r="C1057" s="9">
        <f>IFERROR(__xludf.DUMMYFUNCTION("""COMPUTED_VALUE"""),44594.5372363194)</f>
        <v>44594.53724</v>
      </c>
      <c r="D1057" s="15">
        <f>IFERROR(__xludf.DUMMYFUNCTION("""COMPUTED_VALUE"""),1.004)</f>
        <v>1.004</v>
      </c>
      <c r="E1057" s="16">
        <f>IFERROR(__xludf.DUMMYFUNCTION("""COMPUTED_VALUE"""),67.0)</f>
        <v>67</v>
      </c>
      <c r="F1057" s="19" t="str">
        <f>IFERROR(__xludf.DUMMYFUNCTION("""COMPUTED_VALUE"""),"BLACK")</f>
        <v>BLACK</v>
      </c>
      <c r="G1057" s="20" t="str">
        <f>IFERROR(__xludf.DUMMYFUNCTION("""COMPUTED_VALUE"""),"Uncle Sams Cider (11/12/2021) 02")</f>
        <v>Uncle Sams Cider (11/12/2021) 02</v>
      </c>
      <c r="H1057" s="19"/>
    </row>
    <row r="1058">
      <c r="A1058" s="9"/>
      <c r="B1058" s="15"/>
      <c r="C1058" s="9">
        <f>IFERROR(__xludf.DUMMYFUNCTION("""COMPUTED_VALUE"""),44594.5268144213)</f>
        <v>44594.52681</v>
      </c>
      <c r="D1058" s="15">
        <f>IFERROR(__xludf.DUMMYFUNCTION("""COMPUTED_VALUE"""),1.004)</f>
        <v>1.004</v>
      </c>
      <c r="E1058" s="16">
        <f>IFERROR(__xludf.DUMMYFUNCTION("""COMPUTED_VALUE"""),67.0)</f>
        <v>67</v>
      </c>
      <c r="F1058" s="19" t="str">
        <f>IFERROR(__xludf.DUMMYFUNCTION("""COMPUTED_VALUE"""),"BLACK")</f>
        <v>BLACK</v>
      </c>
      <c r="G1058" s="20" t="str">
        <f>IFERROR(__xludf.DUMMYFUNCTION("""COMPUTED_VALUE"""),"Uncle Sams Cider (11/12/2021) 02")</f>
        <v>Uncle Sams Cider (11/12/2021) 02</v>
      </c>
      <c r="H1058" s="19"/>
    </row>
    <row r="1059">
      <c r="A1059" s="9"/>
      <c r="B1059" s="15"/>
      <c r="C1059" s="9">
        <f>IFERROR(__xludf.DUMMYFUNCTION("""COMPUTED_VALUE"""),44594.5163806134)</f>
        <v>44594.51638</v>
      </c>
      <c r="D1059" s="15">
        <f>IFERROR(__xludf.DUMMYFUNCTION("""COMPUTED_VALUE"""),1.004)</f>
        <v>1.004</v>
      </c>
      <c r="E1059" s="16">
        <f>IFERROR(__xludf.DUMMYFUNCTION("""COMPUTED_VALUE"""),67.0)</f>
        <v>67</v>
      </c>
      <c r="F1059" s="19" t="str">
        <f>IFERROR(__xludf.DUMMYFUNCTION("""COMPUTED_VALUE"""),"BLACK")</f>
        <v>BLACK</v>
      </c>
      <c r="G1059" s="20" t="str">
        <f>IFERROR(__xludf.DUMMYFUNCTION("""COMPUTED_VALUE"""),"Uncle Sams Cider (11/12/2021) 02")</f>
        <v>Uncle Sams Cider (11/12/2021) 02</v>
      </c>
      <c r="H1059" s="19"/>
    </row>
    <row r="1060">
      <c r="A1060" s="9"/>
      <c r="B1060" s="15"/>
      <c r="C1060" s="9">
        <f>IFERROR(__xludf.DUMMYFUNCTION("""COMPUTED_VALUE"""),44594.5059581481)</f>
        <v>44594.50596</v>
      </c>
      <c r="D1060" s="15">
        <f>IFERROR(__xludf.DUMMYFUNCTION("""COMPUTED_VALUE"""),1.004)</f>
        <v>1.004</v>
      </c>
      <c r="E1060" s="16">
        <f>IFERROR(__xludf.DUMMYFUNCTION("""COMPUTED_VALUE"""),67.0)</f>
        <v>67</v>
      </c>
      <c r="F1060" s="19" t="str">
        <f>IFERROR(__xludf.DUMMYFUNCTION("""COMPUTED_VALUE"""),"BLACK")</f>
        <v>BLACK</v>
      </c>
      <c r="G1060" s="20" t="str">
        <f>IFERROR(__xludf.DUMMYFUNCTION("""COMPUTED_VALUE"""),"Uncle Sams Cider (11/12/2021) 02")</f>
        <v>Uncle Sams Cider (11/12/2021) 02</v>
      </c>
      <c r="H1060" s="19"/>
    </row>
    <row r="1061">
      <c r="A1061" s="9"/>
      <c r="B1061" s="15"/>
      <c r="C1061" s="9">
        <f>IFERROR(__xludf.DUMMYFUNCTION("""COMPUTED_VALUE"""),44594.4955254861)</f>
        <v>44594.49553</v>
      </c>
      <c r="D1061" s="15">
        <f>IFERROR(__xludf.DUMMYFUNCTION("""COMPUTED_VALUE"""),1.004)</f>
        <v>1.004</v>
      </c>
      <c r="E1061" s="16">
        <f>IFERROR(__xludf.DUMMYFUNCTION("""COMPUTED_VALUE"""),67.0)</f>
        <v>67</v>
      </c>
      <c r="F1061" s="19" t="str">
        <f>IFERROR(__xludf.DUMMYFUNCTION("""COMPUTED_VALUE"""),"BLACK")</f>
        <v>BLACK</v>
      </c>
      <c r="G1061" s="20" t="str">
        <f>IFERROR(__xludf.DUMMYFUNCTION("""COMPUTED_VALUE"""),"Uncle Sams Cider (11/12/2021) 02")</f>
        <v>Uncle Sams Cider (11/12/2021) 02</v>
      </c>
      <c r="H1061" s="19"/>
    </row>
    <row r="1062">
      <c r="A1062" s="9"/>
      <c r="B1062" s="15"/>
      <c r="C1062" s="9">
        <f>IFERROR(__xludf.DUMMYFUNCTION("""COMPUTED_VALUE"""),44594.4851042592)</f>
        <v>44594.4851</v>
      </c>
      <c r="D1062" s="15">
        <f>IFERROR(__xludf.DUMMYFUNCTION("""COMPUTED_VALUE"""),1.004)</f>
        <v>1.004</v>
      </c>
      <c r="E1062" s="16">
        <f>IFERROR(__xludf.DUMMYFUNCTION("""COMPUTED_VALUE"""),67.0)</f>
        <v>67</v>
      </c>
      <c r="F1062" s="19" t="str">
        <f>IFERROR(__xludf.DUMMYFUNCTION("""COMPUTED_VALUE"""),"BLACK")</f>
        <v>BLACK</v>
      </c>
      <c r="G1062" s="20" t="str">
        <f>IFERROR(__xludf.DUMMYFUNCTION("""COMPUTED_VALUE"""),"Uncle Sams Cider (11/12/2021) 02")</f>
        <v>Uncle Sams Cider (11/12/2021) 02</v>
      </c>
      <c r="H1062" s="19"/>
    </row>
    <row r="1063">
      <c r="A1063" s="9"/>
      <c r="B1063" s="15"/>
      <c r="C1063" s="9">
        <f>IFERROR(__xludf.DUMMYFUNCTION("""COMPUTED_VALUE"""),44594.4746698032)</f>
        <v>44594.47467</v>
      </c>
      <c r="D1063" s="15">
        <f>IFERROR(__xludf.DUMMYFUNCTION("""COMPUTED_VALUE"""),1.004)</f>
        <v>1.004</v>
      </c>
      <c r="E1063" s="16">
        <f>IFERROR(__xludf.DUMMYFUNCTION("""COMPUTED_VALUE"""),67.0)</f>
        <v>67</v>
      </c>
      <c r="F1063" s="19" t="str">
        <f>IFERROR(__xludf.DUMMYFUNCTION("""COMPUTED_VALUE"""),"BLACK")</f>
        <v>BLACK</v>
      </c>
      <c r="G1063" s="20" t="str">
        <f>IFERROR(__xludf.DUMMYFUNCTION("""COMPUTED_VALUE"""),"Uncle Sams Cider (11/12/2021) 02")</f>
        <v>Uncle Sams Cider (11/12/2021) 02</v>
      </c>
      <c r="H1063" s="19"/>
    </row>
    <row r="1064">
      <c r="A1064" s="9"/>
      <c r="B1064" s="15"/>
      <c r="C1064" s="9">
        <f>IFERROR(__xludf.DUMMYFUNCTION("""COMPUTED_VALUE"""),44594.4642497916)</f>
        <v>44594.46425</v>
      </c>
      <c r="D1064" s="15">
        <f>IFERROR(__xludf.DUMMYFUNCTION("""COMPUTED_VALUE"""),1.004)</f>
        <v>1.004</v>
      </c>
      <c r="E1064" s="16">
        <f>IFERROR(__xludf.DUMMYFUNCTION("""COMPUTED_VALUE"""),67.0)</f>
        <v>67</v>
      </c>
      <c r="F1064" s="19" t="str">
        <f>IFERROR(__xludf.DUMMYFUNCTION("""COMPUTED_VALUE"""),"BLACK")</f>
        <v>BLACK</v>
      </c>
      <c r="G1064" s="20" t="str">
        <f>IFERROR(__xludf.DUMMYFUNCTION("""COMPUTED_VALUE"""),"Uncle Sams Cider (11/12/2021) 02")</f>
        <v>Uncle Sams Cider (11/12/2021) 02</v>
      </c>
      <c r="H1064" s="19"/>
    </row>
    <row r="1065">
      <c r="A1065" s="9"/>
      <c r="B1065" s="15"/>
      <c r="C1065" s="9">
        <f>IFERROR(__xludf.DUMMYFUNCTION("""COMPUTED_VALUE"""),44594.4538291435)</f>
        <v>44594.45383</v>
      </c>
      <c r="D1065" s="15">
        <f>IFERROR(__xludf.DUMMYFUNCTION("""COMPUTED_VALUE"""),1.004)</f>
        <v>1.004</v>
      </c>
      <c r="E1065" s="16">
        <f>IFERROR(__xludf.DUMMYFUNCTION("""COMPUTED_VALUE"""),67.0)</f>
        <v>67</v>
      </c>
      <c r="F1065" s="19" t="str">
        <f>IFERROR(__xludf.DUMMYFUNCTION("""COMPUTED_VALUE"""),"BLACK")</f>
        <v>BLACK</v>
      </c>
      <c r="G1065" s="20" t="str">
        <f>IFERROR(__xludf.DUMMYFUNCTION("""COMPUTED_VALUE"""),"Uncle Sams Cider (11/12/2021) 02")</f>
        <v>Uncle Sams Cider (11/12/2021) 02</v>
      </c>
      <c r="H1065" s="19"/>
    </row>
    <row r="1066">
      <c r="A1066" s="9"/>
      <c r="B1066" s="15"/>
      <c r="C1066" s="9">
        <f>IFERROR(__xludf.DUMMYFUNCTION("""COMPUTED_VALUE"""),44594.4433855555)</f>
        <v>44594.44339</v>
      </c>
      <c r="D1066" s="15">
        <f>IFERROR(__xludf.DUMMYFUNCTION("""COMPUTED_VALUE"""),1.004)</f>
        <v>1.004</v>
      </c>
      <c r="E1066" s="16">
        <f>IFERROR(__xludf.DUMMYFUNCTION("""COMPUTED_VALUE"""),67.0)</f>
        <v>67</v>
      </c>
      <c r="F1066" s="19" t="str">
        <f>IFERROR(__xludf.DUMMYFUNCTION("""COMPUTED_VALUE"""),"BLACK")</f>
        <v>BLACK</v>
      </c>
      <c r="G1066" s="20" t="str">
        <f>IFERROR(__xludf.DUMMYFUNCTION("""COMPUTED_VALUE"""),"Uncle Sams Cider (11/12/2021) 02")</f>
        <v>Uncle Sams Cider (11/12/2021) 02</v>
      </c>
      <c r="H1066" s="19"/>
    </row>
    <row r="1067">
      <c r="A1067" s="9"/>
      <c r="B1067" s="15"/>
      <c r="C1067" s="9">
        <f>IFERROR(__xludf.DUMMYFUNCTION("""COMPUTED_VALUE"""),44594.4329639467)</f>
        <v>44594.43296</v>
      </c>
      <c r="D1067" s="15">
        <f>IFERROR(__xludf.DUMMYFUNCTION("""COMPUTED_VALUE"""),1.004)</f>
        <v>1.004</v>
      </c>
      <c r="E1067" s="16">
        <f>IFERROR(__xludf.DUMMYFUNCTION("""COMPUTED_VALUE"""),67.0)</f>
        <v>67</v>
      </c>
      <c r="F1067" s="19" t="str">
        <f>IFERROR(__xludf.DUMMYFUNCTION("""COMPUTED_VALUE"""),"BLACK")</f>
        <v>BLACK</v>
      </c>
      <c r="G1067" s="20" t="str">
        <f>IFERROR(__xludf.DUMMYFUNCTION("""COMPUTED_VALUE"""),"Uncle Sams Cider (11/12/2021) 02")</f>
        <v>Uncle Sams Cider (11/12/2021) 02</v>
      </c>
      <c r="H1067" s="19"/>
    </row>
    <row r="1068">
      <c r="A1068" s="9"/>
      <c r="B1068" s="15"/>
      <c r="C1068" s="9">
        <f>IFERROR(__xludf.DUMMYFUNCTION("""COMPUTED_VALUE"""),44594.4225432407)</f>
        <v>44594.42254</v>
      </c>
      <c r="D1068" s="15">
        <f>IFERROR(__xludf.DUMMYFUNCTION("""COMPUTED_VALUE"""),1.004)</f>
        <v>1.004</v>
      </c>
      <c r="E1068" s="16">
        <f>IFERROR(__xludf.DUMMYFUNCTION("""COMPUTED_VALUE"""),67.0)</f>
        <v>67</v>
      </c>
      <c r="F1068" s="19" t="str">
        <f>IFERROR(__xludf.DUMMYFUNCTION("""COMPUTED_VALUE"""),"BLACK")</f>
        <v>BLACK</v>
      </c>
      <c r="G1068" s="20" t="str">
        <f>IFERROR(__xludf.DUMMYFUNCTION("""COMPUTED_VALUE"""),"Uncle Sams Cider (11/12/2021) 02")</f>
        <v>Uncle Sams Cider (11/12/2021) 02</v>
      </c>
      <c r="H1068" s="19"/>
    </row>
    <row r="1069">
      <c r="A1069" s="9"/>
      <c r="B1069" s="15"/>
      <c r="C1069" s="9">
        <f>IFERROR(__xludf.DUMMYFUNCTION("""COMPUTED_VALUE"""),44594.4121223263)</f>
        <v>44594.41212</v>
      </c>
      <c r="D1069" s="15">
        <f>IFERROR(__xludf.DUMMYFUNCTION("""COMPUTED_VALUE"""),1.004)</f>
        <v>1.004</v>
      </c>
      <c r="E1069" s="16">
        <f>IFERROR(__xludf.DUMMYFUNCTION("""COMPUTED_VALUE"""),67.0)</f>
        <v>67</v>
      </c>
      <c r="F1069" s="19" t="str">
        <f>IFERROR(__xludf.DUMMYFUNCTION("""COMPUTED_VALUE"""),"BLACK")</f>
        <v>BLACK</v>
      </c>
      <c r="G1069" s="20" t="str">
        <f>IFERROR(__xludf.DUMMYFUNCTION("""COMPUTED_VALUE"""),"Uncle Sams Cider (11/12/2021) 02")</f>
        <v>Uncle Sams Cider (11/12/2021) 02</v>
      </c>
      <c r="H1069" s="19"/>
    </row>
    <row r="1070">
      <c r="A1070" s="9"/>
      <c r="B1070" s="15"/>
      <c r="C1070" s="9">
        <f>IFERROR(__xludf.DUMMYFUNCTION("""COMPUTED_VALUE"""),44594.4016890046)</f>
        <v>44594.40169</v>
      </c>
      <c r="D1070" s="15">
        <f>IFERROR(__xludf.DUMMYFUNCTION("""COMPUTED_VALUE"""),1.004)</f>
        <v>1.004</v>
      </c>
      <c r="E1070" s="16">
        <f>IFERROR(__xludf.DUMMYFUNCTION("""COMPUTED_VALUE"""),67.0)</f>
        <v>67</v>
      </c>
      <c r="F1070" s="19" t="str">
        <f>IFERROR(__xludf.DUMMYFUNCTION("""COMPUTED_VALUE"""),"BLACK")</f>
        <v>BLACK</v>
      </c>
      <c r="G1070" s="20" t="str">
        <f>IFERROR(__xludf.DUMMYFUNCTION("""COMPUTED_VALUE"""),"Uncle Sams Cider (11/12/2021) 02")</f>
        <v>Uncle Sams Cider (11/12/2021) 02</v>
      </c>
      <c r="H1070" s="19"/>
    </row>
    <row r="1071">
      <c r="A1071" s="9"/>
      <c r="B1071" s="15"/>
      <c r="C1071" s="9">
        <f>IFERROR(__xludf.DUMMYFUNCTION("""COMPUTED_VALUE"""),44594.3912541203)</f>
        <v>44594.39125</v>
      </c>
      <c r="D1071" s="15">
        <f>IFERROR(__xludf.DUMMYFUNCTION("""COMPUTED_VALUE"""),1.004)</f>
        <v>1.004</v>
      </c>
      <c r="E1071" s="16">
        <f>IFERROR(__xludf.DUMMYFUNCTION("""COMPUTED_VALUE"""),67.0)</f>
        <v>67</v>
      </c>
      <c r="F1071" s="19" t="str">
        <f>IFERROR(__xludf.DUMMYFUNCTION("""COMPUTED_VALUE"""),"BLACK")</f>
        <v>BLACK</v>
      </c>
      <c r="G1071" s="20" t="str">
        <f>IFERROR(__xludf.DUMMYFUNCTION("""COMPUTED_VALUE"""),"Uncle Sams Cider (11/12/2021) 02")</f>
        <v>Uncle Sams Cider (11/12/2021) 02</v>
      </c>
      <c r="H1071" s="19"/>
    </row>
    <row r="1072">
      <c r="A1072" s="9"/>
      <c r="B1072" s="15"/>
      <c r="C1072" s="9">
        <f>IFERROR(__xludf.DUMMYFUNCTION("""COMPUTED_VALUE"""),44594.3808222453)</f>
        <v>44594.38082</v>
      </c>
      <c r="D1072" s="15">
        <f>IFERROR(__xludf.DUMMYFUNCTION("""COMPUTED_VALUE"""),1.004)</f>
        <v>1.004</v>
      </c>
      <c r="E1072" s="16">
        <f>IFERROR(__xludf.DUMMYFUNCTION("""COMPUTED_VALUE"""),68.0)</f>
        <v>68</v>
      </c>
      <c r="F1072" s="19" t="str">
        <f>IFERROR(__xludf.DUMMYFUNCTION("""COMPUTED_VALUE"""),"BLACK")</f>
        <v>BLACK</v>
      </c>
      <c r="G1072" s="20" t="str">
        <f>IFERROR(__xludf.DUMMYFUNCTION("""COMPUTED_VALUE"""),"Uncle Sams Cider (11/12/2021) 02")</f>
        <v>Uncle Sams Cider (11/12/2021) 02</v>
      </c>
      <c r="H1072" s="19"/>
    </row>
    <row r="1073">
      <c r="A1073" s="9"/>
      <c r="B1073" s="15"/>
      <c r="C1073" s="9">
        <f>IFERROR(__xludf.DUMMYFUNCTION("""COMPUTED_VALUE"""),44594.3704023379)</f>
        <v>44594.3704</v>
      </c>
      <c r="D1073" s="15">
        <f>IFERROR(__xludf.DUMMYFUNCTION("""COMPUTED_VALUE"""),1.004)</f>
        <v>1.004</v>
      </c>
      <c r="E1073" s="16">
        <f>IFERROR(__xludf.DUMMYFUNCTION("""COMPUTED_VALUE"""),68.0)</f>
        <v>68</v>
      </c>
      <c r="F1073" s="19" t="str">
        <f>IFERROR(__xludf.DUMMYFUNCTION("""COMPUTED_VALUE"""),"BLACK")</f>
        <v>BLACK</v>
      </c>
      <c r="G1073" s="20" t="str">
        <f>IFERROR(__xludf.DUMMYFUNCTION("""COMPUTED_VALUE"""),"Uncle Sams Cider (11/12/2021) 02")</f>
        <v>Uncle Sams Cider (11/12/2021) 02</v>
      </c>
      <c r="H1073" s="19"/>
    </row>
    <row r="1074">
      <c r="A1074" s="9"/>
      <c r="B1074" s="15"/>
      <c r="C1074" s="9">
        <f>IFERROR(__xludf.DUMMYFUNCTION("""COMPUTED_VALUE"""),44594.3599230787)</f>
        <v>44594.35992</v>
      </c>
      <c r="D1074" s="15">
        <f>IFERROR(__xludf.DUMMYFUNCTION("""COMPUTED_VALUE"""),1.004)</f>
        <v>1.004</v>
      </c>
      <c r="E1074" s="16">
        <f>IFERROR(__xludf.DUMMYFUNCTION("""COMPUTED_VALUE"""),68.0)</f>
        <v>68</v>
      </c>
      <c r="F1074" s="19" t="str">
        <f>IFERROR(__xludf.DUMMYFUNCTION("""COMPUTED_VALUE"""),"BLACK")</f>
        <v>BLACK</v>
      </c>
      <c r="G1074" s="20" t="str">
        <f>IFERROR(__xludf.DUMMYFUNCTION("""COMPUTED_VALUE"""),"Uncle Sams Cider (11/12/2021) 02")</f>
        <v>Uncle Sams Cider (11/12/2021) 02</v>
      </c>
      <c r="H1074" s="19"/>
    </row>
    <row r="1075">
      <c r="A1075" s="9"/>
      <c r="B1075" s="15"/>
      <c r="C1075" s="9">
        <f>IFERROR(__xludf.DUMMYFUNCTION("""COMPUTED_VALUE"""),44594.3494904745)</f>
        <v>44594.34949</v>
      </c>
      <c r="D1075" s="15">
        <f>IFERROR(__xludf.DUMMYFUNCTION("""COMPUTED_VALUE"""),1.004)</f>
        <v>1.004</v>
      </c>
      <c r="E1075" s="16">
        <f>IFERROR(__xludf.DUMMYFUNCTION("""COMPUTED_VALUE"""),68.0)</f>
        <v>68</v>
      </c>
      <c r="F1075" s="19" t="str">
        <f>IFERROR(__xludf.DUMMYFUNCTION("""COMPUTED_VALUE"""),"BLACK")</f>
        <v>BLACK</v>
      </c>
      <c r="G1075" s="20" t="str">
        <f>IFERROR(__xludf.DUMMYFUNCTION("""COMPUTED_VALUE"""),"Uncle Sams Cider (11/12/2021) 02")</f>
        <v>Uncle Sams Cider (11/12/2021) 02</v>
      </c>
      <c r="H1075" s="19"/>
    </row>
    <row r="1076">
      <c r="A1076" s="9"/>
      <c r="B1076" s="15"/>
      <c r="C1076" s="9">
        <f>IFERROR(__xludf.DUMMYFUNCTION("""COMPUTED_VALUE"""),44594.3390708217)</f>
        <v>44594.33907</v>
      </c>
      <c r="D1076" s="15">
        <f>IFERROR(__xludf.DUMMYFUNCTION("""COMPUTED_VALUE"""),1.004)</f>
        <v>1.004</v>
      </c>
      <c r="E1076" s="16">
        <f>IFERROR(__xludf.DUMMYFUNCTION("""COMPUTED_VALUE"""),68.0)</f>
        <v>68</v>
      </c>
      <c r="F1076" s="19" t="str">
        <f>IFERROR(__xludf.DUMMYFUNCTION("""COMPUTED_VALUE"""),"BLACK")</f>
        <v>BLACK</v>
      </c>
      <c r="G1076" s="20" t="str">
        <f>IFERROR(__xludf.DUMMYFUNCTION("""COMPUTED_VALUE"""),"Uncle Sams Cider (11/12/2021) 02")</f>
        <v>Uncle Sams Cider (11/12/2021) 02</v>
      </c>
      <c r="H1076" s="19"/>
    </row>
    <row r="1077">
      <c r="A1077" s="9"/>
      <c r="B1077" s="15"/>
      <c r="C1077" s="9">
        <f>IFERROR(__xludf.DUMMYFUNCTION("""COMPUTED_VALUE"""),44594.3286485995)</f>
        <v>44594.32865</v>
      </c>
      <c r="D1077" s="15">
        <f>IFERROR(__xludf.DUMMYFUNCTION("""COMPUTED_VALUE"""),1.004)</f>
        <v>1.004</v>
      </c>
      <c r="E1077" s="16">
        <f>IFERROR(__xludf.DUMMYFUNCTION("""COMPUTED_VALUE"""),68.0)</f>
        <v>68</v>
      </c>
      <c r="F1077" s="19" t="str">
        <f>IFERROR(__xludf.DUMMYFUNCTION("""COMPUTED_VALUE"""),"BLACK")</f>
        <v>BLACK</v>
      </c>
      <c r="G1077" s="20" t="str">
        <f>IFERROR(__xludf.DUMMYFUNCTION("""COMPUTED_VALUE"""),"Uncle Sams Cider (11/12/2021) 02")</f>
        <v>Uncle Sams Cider (11/12/2021) 02</v>
      </c>
      <c r="H1077" s="19"/>
    </row>
    <row r="1078">
      <c r="A1078" s="9"/>
      <c r="B1078" s="15"/>
      <c r="C1078" s="9">
        <f>IFERROR(__xludf.DUMMYFUNCTION("""COMPUTED_VALUE"""),44594.3182156481)</f>
        <v>44594.31822</v>
      </c>
      <c r="D1078" s="15">
        <f>IFERROR(__xludf.DUMMYFUNCTION("""COMPUTED_VALUE"""),1.004)</f>
        <v>1.004</v>
      </c>
      <c r="E1078" s="16">
        <f>IFERROR(__xludf.DUMMYFUNCTION("""COMPUTED_VALUE"""),68.0)</f>
        <v>68</v>
      </c>
      <c r="F1078" s="19" t="str">
        <f>IFERROR(__xludf.DUMMYFUNCTION("""COMPUTED_VALUE"""),"BLACK")</f>
        <v>BLACK</v>
      </c>
      <c r="G1078" s="20" t="str">
        <f>IFERROR(__xludf.DUMMYFUNCTION("""COMPUTED_VALUE"""),"Uncle Sams Cider (11/12/2021) 02")</f>
        <v>Uncle Sams Cider (11/12/2021) 02</v>
      </c>
      <c r="H1078" s="19"/>
    </row>
    <row r="1079">
      <c r="A1079" s="9"/>
      <c r="B1079" s="15"/>
      <c r="C1079" s="9">
        <f>IFERROR(__xludf.DUMMYFUNCTION("""COMPUTED_VALUE"""),44594.3077939699)</f>
        <v>44594.30779</v>
      </c>
      <c r="D1079" s="15">
        <f>IFERROR(__xludf.DUMMYFUNCTION("""COMPUTED_VALUE"""),1.004)</f>
        <v>1.004</v>
      </c>
      <c r="E1079" s="16">
        <f>IFERROR(__xludf.DUMMYFUNCTION("""COMPUTED_VALUE"""),68.0)</f>
        <v>68</v>
      </c>
      <c r="F1079" s="19" t="str">
        <f>IFERROR(__xludf.DUMMYFUNCTION("""COMPUTED_VALUE"""),"BLACK")</f>
        <v>BLACK</v>
      </c>
      <c r="G1079" s="20" t="str">
        <f>IFERROR(__xludf.DUMMYFUNCTION("""COMPUTED_VALUE"""),"Uncle Sams Cider (11/12/2021) 02")</f>
        <v>Uncle Sams Cider (11/12/2021) 02</v>
      </c>
      <c r="H1079" s="19"/>
    </row>
    <row r="1080">
      <c r="A1080" s="9"/>
      <c r="B1080" s="15"/>
      <c r="C1080" s="9">
        <f>IFERROR(__xludf.DUMMYFUNCTION("""COMPUTED_VALUE"""),44594.2973739467)</f>
        <v>44594.29737</v>
      </c>
      <c r="D1080" s="15">
        <f>IFERROR(__xludf.DUMMYFUNCTION("""COMPUTED_VALUE"""),1.004)</f>
        <v>1.004</v>
      </c>
      <c r="E1080" s="16">
        <f>IFERROR(__xludf.DUMMYFUNCTION("""COMPUTED_VALUE"""),68.0)</f>
        <v>68</v>
      </c>
      <c r="F1080" s="19" t="str">
        <f>IFERROR(__xludf.DUMMYFUNCTION("""COMPUTED_VALUE"""),"BLACK")</f>
        <v>BLACK</v>
      </c>
      <c r="G1080" s="20" t="str">
        <f>IFERROR(__xludf.DUMMYFUNCTION("""COMPUTED_VALUE"""),"Uncle Sams Cider (11/12/2021) 02")</f>
        <v>Uncle Sams Cider (11/12/2021) 02</v>
      </c>
      <c r="H1080" s="19"/>
    </row>
    <row r="1081">
      <c r="A1081" s="9"/>
      <c r="B1081" s="15"/>
      <c r="C1081" s="9">
        <f>IFERROR(__xludf.DUMMYFUNCTION("""COMPUTED_VALUE"""),44594.2869533333)</f>
        <v>44594.28695</v>
      </c>
      <c r="D1081" s="15">
        <f>IFERROR(__xludf.DUMMYFUNCTION("""COMPUTED_VALUE"""),1.004)</f>
        <v>1.004</v>
      </c>
      <c r="E1081" s="16">
        <f>IFERROR(__xludf.DUMMYFUNCTION("""COMPUTED_VALUE"""),68.0)</f>
        <v>68</v>
      </c>
      <c r="F1081" s="19" t="str">
        <f>IFERROR(__xludf.DUMMYFUNCTION("""COMPUTED_VALUE"""),"BLACK")</f>
        <v>BLACK</v>
      </c>
      <c r="G1081" s="20" t="str">
        <f>IFERROR(__xludf.DUMMYFUNCTION("""COMPUTED_VALUE"""),"Uncle Sams Cider (11/12/2021) 02")</f>
        <v>Uncle Sams Cider (11/12/2021) 02</v>
      </c>
      <c r="H1081" s="19"/>
    </row>
    <row r="1082">
      <c r="A1082" s="9"/>
      <c r="B1082" s="15"/>
      <c r="C1082" s="9">
        <f>IFERROR(__xludf.DUMMYFUNCTION("""COMPUTED_VALUE"""),44594.2765196064)</f>
        <v>44594.27652</v>
      </c>
      <c r="D1082" s="15">
        <f>IFERROR(__xludf.DUMMYFUNCTION("""COMPUTED_VALUE"""),1.004)</f>
        <v>1.004</v>
      </c>
      <c r="E1082" s="16">
        <f>IFERROR(__xludf.DUMMYFUNCTION("""COMPUTED_VALUE"""),68.0)</f>
        <v>68</v>
      </c>
      <c r="F1082" s="19" t="str">
        <f>IFERROR(__xludf.DUMMYFUNCTION("""COMPUTED_VALUE"""),"BLACK")</f>
        <v>BLACK</v>
      </c>
      <c r="G1082" s="20" t="str">
        <f>IFERROR(__xludf.DUMMYFUNCTION("""COMPUTED_VALUE"""),"Uncle Sams Cider (11/12/2021) 02")</f>
        <v>Uncle Sams Cider (11/12/2021) 02</v>
      </c>
      <c r="H1082" s="19"/>
    </row>
    <row r="1083">
      <c r="A1083" s="9"/>
      <c r="B1083" s="15"/>
      <c r="C1083" s="9">
        <f>IFERROR(__xludf.DUMMYFUNCTION("""COMPUTED_VALUE"""),44594.2660877083)</f>
        <v>44594.26609</v>
      </c>
      <c r="D1083" s="15">
        <f>IFERROR(__xludf.DUMMYFUNCTION("""COMPUTED_VALUE"""),1.004)</f>
        <v>1.004</v>
      </c>
      <c r="E1083" s="16">
        <f>IFERROR(__xludf.DUMMYFUNCTION("""COMPUTED_VALUE"""),68.0)</f>
        <v>68</v>
      </c>
      <c r="F1083" s="19" t="str">
        <f>IFERROR(__xludf.DUMMYFUNCTION("""COMPUTED_VALUE"""),"BLACK")</f>
        <v>BLACK</v>
      </c>
      <c r="G1083" s="20" t="str">
        <f>IFERROR(__xludf.DUMMYFUNCTION("""COMPUTED_VALUE"""),"Uncle Sams Cider (11/12/2021) 02")</f>
        <v>Uncle Sams Cider (11/12/2021) 02</v>
      </c>
      <c r="H1083" s="19"/>
    </row>
    <row r="1084">
      <c r="A1084" s="9"/>
      <c r="B1084" s="15"/>
      <c r="C1084" s="9">
        <f>IFERROR(__xludf.DUMMYFUNCTION("""COMPUTED_VALUE"""),44594.2556434027)</f>
        <v>44594.25564</v>
      </c>
      <c r="D1084" s="15">
        <f>IFERROR(__xludf.DUMMYFUNCTION("""COMPUTED_VALUE"""),1.004)</f>
        <v>1.004</v>
      </c>
      <c r="E1084" s="16">
        <f>IFERROR(__xludf.DUMMYFUNCTION("""COMPUTED_VALUE"""),68.0)</f>
        <v>68</v>
      </c>
      <c r="F1084" s="19" t="str">
        <f>IFERROR(__xludf.DUMMYFUNCTION("""COMPUTED_VALUE"""),"BLACK")</f>
        <v>BLACK</v>
      </c>
      <c r="G1084" s="20" t="str">
        <f>IFERROR(__xludf.DUMMYFUNCTION("""COMPUTED_VALUE"""),"Uncle Sams Cider (11/12/2021) 02")</f>
        <v>Uncle Sams Cider (11/12/2021) 02</v>
      </c>
      <c r="H1084" s="19"/>
    </row>
    <row r="1085">
      <c r="A1085" s="9"/>
      <c r="B1085" s="15"/>
      <c r="C1085" s="9">
        <f>IFERROR(__xludf.DUMMYFUNCTION("""COMPUTED_VALUE"""),44594.2452103935)</f>
        <v>44594.24521</v>
      </c>
      <c r="D1085" s="15">
        <f>IFERROR(__xludf.DUMMYFUNCTION("""COMPUTED_VALUE"""),1.004)</f>
        <v>1.004</v>
      </c>
      <c r="E1085" s="16">
        <f>IFERROR(__xludf.DUMMYFUNCTION("""COMPUTED_VALUE"""),67.0)</f>
        <v>67</v>
      </c>
      <c r="F1085" s="19" t="str">
        <f>IFERROR(__xludf.DUMMYFUNCTION("""COMPUTED_VALUE"""),"BLACK")</f>
        <v>BLACK</v>
      </c>
      <c r="G1085" s="20" t="str">
        <f>IFERROR(__xludf.DUMMYFUNCTION("""COMPUTED_VALUE"""),"Uncle Sams Cider (11/12/2021) 02")</f>
        <v>Uncle Sams Cider (11/12/2021) 02</v>
      </c>
      <c r="H1085" s="19"/>
    </row>
    <row r="1086">
      <c r="A1086" s="9"/>
      <c r="B1086" s="15"/>
      <c r="C1086" s="9">
        <f>IFERROR(__xludf.DUMMYFUNCTION("""COMPUTED_VALUE"""),44594.2347774074)</f>
        <v>44594.23478</v>
      </c>
      <c r="D1086" s="15">
        <f>IFERROR(__xludf.DUMMYFUNCTION("""COMPUTED_VALUE"""),1.004)</f>
        <v>1.004</v>
      </c>
      <c r="E1086" s="16">
        <f>IFERROR(__xludf.DUMMYFUNCTION("""COMPUTED_VALUE"""),67.0)</f>
        <v>67</v>
      </c>
      <c r="F1086" s="19" t="str">
        <f>IFERROR(__xludf.DUMMYFUNCTION("""COMPUTED_VALUE"""),"BLACK")</f>
        <v>BLACK</v>
      </c>
      <c r="G1086" s="20" t="str">
        <f>IFERROR(__xludf.DUMMYFUNCTION("""COMPUTED_VALUE"""),"Uncle Sams Cider (11/12/2021) 02")</f>
        <v>Uncle Sams Cider (11/12/2021) 02</v>
      </c>
      <c r="H1086" s="19"/>
    </row>
    <row r="1087">
      <c r="A1087" s="9"/>
      <c r="B1087" s="15"/>
      <c r="C1087" s="9">
        <f>IFERROR(__xludf.DUMMYFUNCTION("""COMPUTED_VALUE"""),44594.2243547337)</f>
        <v>44594.22435</v>
      </c>
      <c r="D1087" s="15">
        <f>IFERROR(__xludf.DUMMYFUNCTION("""COMPUTED_VALUE"""),1.004)</f>
        <v>1.004</v>
      </c>
      <c r="E1087" s="16">
        <f>IFERROR(__xludf.DUMMYFUNCTION("""COMPUTED_VALUE"""),66.0)</f>
        <v>66</v>
      </c>
      <c r="F1087" s="19" t="str">
        <f>IFERROR(__xludf.DUMMYFUNCTION("""COMPUTED_VALUE"""),"BLACK")</f>
        <v>BLACK</v>
      </c>
      <c r="G1087" s="20" t="str">
        <f>IFERROR(__xludf.DUMMYFUNCTION("""COMPUTED_VALUE"""),"Uncle Sams Cider (11/12/2021) 02")</f>
        <v>Uncle Sams Cider (11/12/2021) 02</v>
      </c>
      <c r="H1087" s="19"/>
    </row>
    <row r="1088">
      <c r="A1088" s="9"/>
      <c r="B1088" s="15"/>
      <c r="C1088" s="9">
        <f>IFERROR(__xludf.DUMMYFUNCTION("""COMPUTED_VALUE"""),44594.2139332175)</f>
        <v>44594.21393</v>
      </c>
      <c r="D1088" s="15">
        <f>IFERROR(__xludf.DUMMYFUNCTION("""COMPUTED_VALUE"""),1.004)</f>
        <v>1.004</v>
      </c>
      <c r="E1088" s="16">
        <f>IFERROR(__xludf.DUMMYFUNCTION("""COMPUTED_VALUE"""),66.0)</f>
        <v>66</v>
      </c>
      <c r="F1088" s="19" t="str">
        <f>IFERROR(__xludf.DUMMYFUNCTION("""COMPUTED_VALUE"""),"BLACK")</f>
        <v>BLACK</v>
      </c>
      <c r="G1088" s="20" t="str">
        <f>IFERROR(__xludf.DUMMYFUNCTION("""COMPUTED_VALUE"""),"Uncle Sams Cider (11/12/2021) 02")</f>
        <v>Uncle Sams Cider (11/12/2021) 02</v>
      </c>
      <c r="H1088" s="19"/>
    </row>
    <row r="1089">
      <c r="A1089" s="9"/>
      <c r="B1089" s="15"/>
      <c r="C1089" s="9">
        <f>IFERROR(__xludf.DUMMYFUNCTION("""COMPUTED_VALUE"""),44594.2035117129)</f>
        <v>44594.20351</v>
      </c>
      <c r="D1089" s="15">
        <f>IFERROR(__xludf.DUMMYFUNCTION("""COMPUTED_VALUE"""),1.004)</f>
        <v>1.004</v>
      </c>
      <c r="E1089" s="16">
        <f>IFERROR(__xludf.DUMMYFUNCTION("""COMPUTED_VALUE"""),65.0)</f>
        <v>65</v>
      </c>
      <c r="F1089" s="19" t="str">
        <f>IFERROR(__xludf.DUMMYFUNCTION("""COMPUTED_VALUE"""),"BLACK")</f>
        <v>BLACK</v>
      </c>
      <c r="G1089" s="20" t="str">
        <f>IFERROR(__xludf.DUMMYFUNCTION("""COMPUTED_VALUE"""),"Uncle Sams Cider (11/12/2021) 02")</f>
        <v>Uncle Sams Cider (11/12/2021) 02</v>
      </c>
      <c r="H1089" s="19"/>
    </row>
    <row r="1090">
      <c r="A1090" s="9"/>
      <c r="B1090" s="15"/>
      <c r="C1090" s="9">
        <f>IFERROR(__xludf.DUMMYFUNCTION("""COMPUTED_VALUE"""),44594.1930920949)</f>
        <v>44594.19309</v>
      </c>
      <c r="D1090" s="15">
        <f>IFERROR(__xludf.DUMMYFUNCTION("""COMPUTED_VALUE"""),1.004)</f>
        <v>1.004</v>
      </c>
      <c r="E1090" s="16">
        <f>IFERROR(__xludf.DUMMYFUNCTION("""COMPUTED_VALUE"""),65.0)</f>
        <v>65</v>
      </c>
      <c r="F1090" s="19" t="str">
        <f>IFERROR(__xludf.DUMMYFUNCTION("""COMPUTED_VALUE"""),"BLACK")</f>
        <v>BLACK</v>
      </c>
      <c r="G1090" s="20" t="str">
        <f>IFERROR(__xludf.DUMMYFUNCTION("""COMPUTED_VALUE"""),"Uncle Sams Cider (11/12/2021) 02")</f>
        <v>Uncle Sams Cider (11/12/2021) 02</v>
      </c>
      <c r="H1090" s="19"/>
    </row>
    <row r="1091">
      <c r="A1091" s="9"/>
      <c r="B1091" s="15"/>
      <c r="C1091" s="9">
        <f>IFERROR(__xludf.DUMMYFUNCTION("""COMPUTED_VALUE"""),44594.182658993)</f>
        <v>44594.18266</v>
      </c>
      <c r="D1091" s="15">
        <f>IFERROR(__xludf.DUMMYFUNCTION("""COMPUTED_VALUE"""),1.004)</f>
        <v>1.004</v>
      </c>
      <c r="E1091" s="16">
        <f>IFERROR(__xludf.DUMMYFUNCTION("""COMPUTED_VALUE"""),65.0)</f>
        <v>65</v>
      </c>
      <c r="F1091" s="19" t="str">
        <f>IFERROR(__xludf.DUMMYFUNCTION("""COMPUTED_VALUE"""),"BLACK")</f>
        <v>BLACK</v>
      </c>
      <c r="G1091" s="20" t="str">
        <f>IFERROR(__xludf.DUMMYFUNCTION("""COMPUTED_VALUE"""),"Uncle Sams Cider (11/12/2021) 02")</f>
        <v>Uncle Sams Cider (11/12/2021) 02</v>
      </c>
      <c r="H1091" s="19"/>
    </row>
    <row r="1092">
      <c r="A1092" s="9"/>
      <c r="B1092" s="15"/>
      <c r="C1092" s="9">
        <f>IFERROR(__xludf.DUMMYFUNCTION("""COMPUTED_VALUE"""),44594.1722371527)</f>
        <v>44594.17224</v>
      </c>
      <c r="D1092" s="15">
        <f>IFERROR(__xludf.DUMMYFUNCTION("""COMPUTED_VALUE"""),1.004)</f>
        <v>1.004</v>
      </c>
      <c r="E1092" s="16">
        <f>IFERROR(__xludf.DUMMYFUNCTION("""COMPUTED_VALUE"""),64.0)</f>
        <v>64</v>
      </c>
      <c r="F1092" s="19" t="str">
        <f>IFERROR(__xludf.DUMMYFUNCTION("""COMPUTED_VALUE"""),"BLACK")</f>
        <v>BLACK</v>
      </c>
      <c r="G1092" s="20" t="str">
        <f>IFERROR(__xludf.DUMMYFUNCTION("""COMPUTED_VALUE"""),"Uncle Sams Cider (11/12/2021) 02")</f>
        <v>Uncle Sams Cider (11/12/2021) 02</v>
      </c>
      <c r="H1092" s="19"/>
    </row>
    <row r="1093">
      <c r="A1093" s="9"/>
      <c r="B1093" s="15"/>
      <c r="C1093" s="9">
        <f>IFERROR(__xludf.DUMMYFUNCTION("""COMPUTED_VALUE"""),44594.1618152314)</f>
        <v>44594.16182</v>
      </c>
      <c r="D1093" s="15">
        <f>IFERROR(__xludf.DUMMYFUNCTION("""COMPUTED_VALUE"""),1.004)</f>
        <v>1.004</v>
      </c>
      <c r="E1093" s="16">
        <f>IFERROR(__xludf.DUMMYFUNCTION("""COMPUTED_VALUE"""),64.0)</f>
        <v>64</v>
      </c>
      <c r="F1093" s="19" t="str">
        <f>IFERROR(__xludf.DUMMYFUNCTION("""COMPUTED_VALUE"""),"BLACK")</f>
        <v>BLACK</v>
      </c>
      <c r="G1093" s="20" t="str">
        <f>IFERROR(__xludf.DUMMYFUNCTION("""COMPUTED_VALUE"""),"Uncle Sams Cider (11/12/2021) 02")</f>
        <v>Uncle Sams Cider (11/12/2021) 02</v>
      </c>
      <c r="H1093" s="19"/>
    </row>
    <row r="1094">
      <c r="A1094" s="9"/>
      <c r="B1094" s="15"/>
      <c r="C1094" s="9">
        <f>IFERROR(__xludf.DUMMYFUNCTION("""COMPUTED_VALUE"""),44594.1513956365)</f>
        <v>44594.1514</v>
      </c>
      <c r="D1094" s="15">
        <f>IFERROR(__xludf.DUMMYFUNCTION("""COMPUTED_VALUE"""),1.004)</f>
        <v>1.004</v>
      </c>
      <c r="E1094" s="16">
        <f>IFERROR(__xludf.DUMMYFUNCTION("""COMPUTED_VALUE"""),64.0)</f>
        <v>64</v>
      </c>
      <c r="F1094" s="19" t="str">
        <f>IFERROR(__xludf.DUMMYFUNCTION("""COMPUTED_VALUE"""),"BLACK")</f>
        <v>BLACK</v>
      </c>
      <c r="G1094" s="20" t="str">
        <f>IFERROR(__xludf.DUMMYFUNCTION("""COMPUTED_VALUE"""),"Uncle Sams Cider (11/12/2021) 02")</f>
        <v>Uncle Sams Cider (11/12/2021) 02</v>
      </c>
      <c r="H1094" s="19"/>
    </row>
    <row r="1095">
      <c r="A1095" s="9"/>
      <c r="B1095" s="15"/>
      <c r="C1095" s="9">
        <f>IFERROR(__xludf.DUMMYFUNCTION("""COMPUTED_VALUE"""),44594.1409742476)</f>
        <v>44594.14097</v>
      </c>
      <c r="D1095" s="15">
        <f>IFERROR(__xludf.DUMMYFUNCTION("""COMPUTED_VALUE"""),1.004)</f>
        <v>1.004</v>
      </c>
      <c r="E1095" s="16">
        <f>IFERROR(__xludf.DUMMYFUNCTION("""COMPUTED_VALUE"""),63.0)</f>
        <v>63</v>
      </c>
      <c r="F1095" s="19" t="str">
        <f>IFERROR(__xludf.DUMMYFUNCTION("""COMPUTED_VALUE"""),"BLACK")</f>
        <v>BLACK</v>
      </c>
      <c r="G1095" s="20" t="str">
        <f>IFERROR(__xludf.DUMMYFUNCTION("""COMPUTED_VALUE"""),"Uncle Sams Cider (11/12/2021) 02")</f>
        <v>Uncle Sams Cider (11/12/2021) 02</v>
      </c>
      <c r="H1095" s="19"/>
    </row>
    <row r="1096">
      <c r="A1096" s="9"/>
      <c r="B1096" s="15"/>
      <c r="C1096" s="9">
        <f>IFERROR(__xludf.DUMMYFUNCTION("""COMPUTED_VALUE"""),44594.1305422222)</f>
        <v>44594.13054</v>
      </c>
      <c r="D1096" s="15">
        <f>IFERROR(__xludf.DUMMYFUNCTION("""COMPUTED_VALUE"""),1.004)</f>
        <v>1.004</v>
      </c>
      <c r="E1096" s="16">
        <f>IFERROR(__xludf.DUMMYFUNCTION("""COMPUTED_VALUE"""),63.0)</f>
        <v>63</v>
      </c>
      <c r="F1096" s="19" t="str">
        <f>IFERROR(__xludf.DUMMYFUNCTION("""COMPUTED_VALUE"""),"BLACK")</f>
        <v>BLACK</v>
      </c>
      <c r="G1096" s="20" t="str">
        <f>IFERROR(__xludf.DUMMYFUNCTION("""COMPUTED_VALUE"""),"Uncle Sams Cider (11/12/2021) 02")</f>
        <v>Uncle Sams Cider (11/12/2021) 02</v>
      </c>
      <c r="H1096" s="19"/>
    </row>
    <row r="1097">
      <c r="A1097" s="9"/>
      <c r="B1097" s="15"/>
      <c r="C1097" s="9">
        <f>IFERROR(__xludf.DUMMYFUNCTION("""COMPUTED_VALUE"""),44594.1201082523)</f>
        <v>44594.12011</v>
      </c>
      <c r="D1097" s="15">
        <f>IFERROR(__xludf.DUMMYFUNCTION("""COMPUTED_VALUE"""),1.005)</f>
        <v>1.005</v>
      </c>
      <c r="E1097" s="16">
        <f>IFERROR(__xludf.DUMMYFUNCTION("""COMPUTED_VALUE"""),63.0)</f>
        <v>63</v>
      </c>
      <c r="F1097" s="19" t="str">
        <f>IFERROR(__xludf.DUMMYFUNCTION("""COMPUTED_VALUE"""),"BLACK")</f>
        <v>BLACK</v>
      </c>
      <c r="G1097" s="20" t="str">
        <f>IFERROR(__xludf.DUMMYFUNCTION("""COMPUTED_VALUE"""),"Uncle Sams Cider (11/12/2021) 02")</f>
        <v>Uncle Sams Cider (11/12/2021) 02</v>
      </c>
      <c r="H1097" s="19"/>
    </row>
    <row r="1098">
      <c r="A1098" s="9"/>
      <c r="B1098" s="15"/>
      <c r="C1098" s="9">
        <f>IFERROR(__xludf.DUMMYFUNCTION("""COMPUTED_VALUE"""),44594.109689375)</f>
        <v>44594.10969</v>
      </c>
      <c r="D1098" s="15">
        <f>IFERROR(__xludf.DUMMYFUNCTION("""COMPUTED_VALUE"""),1.005)</f>
        <v>1.005</v>
      </c>
      <c r="E1098" s="16">
        <f>IFERROR(__xludf.DUMMYFUNCTION("""COMPUTED_VALUE"""),63.0)</f>
        <v>63</v>
      </c>
      <c r="F1098" s="19" t="str">
        <f>IFERROR(__xludf.DUMMYFUNCTION("""COMPUTED_VALUE"""),"BLACK")</f>
        <v>BLACK</v>
      </c>
      <c r="G1098" s="20" t="str">
        <f>IFERROR(__xludf.DUMMYFUNCTION("""COMPUTED_VALUE"""),"Uncle Sams Cider (11/12/2021) 02")</f>
        <v>Uncle Sams Cider (11/12/2021) 02</v>
      </c>
      <c r="H1098" s="19"/>
    </row>
    <row r="1099">
      <c r="A1099" s="9"/>
      <c r="B1099" s="15"/>
      <c r="C1099" s="9">
        <f>IFERROR(__xludf.DUMMYFUNCTION("""COMPUTED_VALUE"""),44594.0992578009)</f>
        <v>44594.09926</v>
      </c>
      <c r="D1099" s="15">
        <f>IFERROR(__xludf.DUMMYFUNCTION("""COMPUTED_VALUE"""),1.004)</f>
        <v>1.004</v>
      </c>
      <c r="E1099" s="16">
        <f>IFERROR(__xludf.DUMMYFUNCTION("""COMPUTED_VALUE"""),63.0)</f>
        <v>63</v>
      </c>
      <c r="F1099" s="19" t="str">
        <f>IFERROR(__xludf.DUMMYFUNCTION("""COMPUTED_VALUE"""),"BLACK")</f>
        <v>BLACK</v>
      </c>
      <c r="G1099" s="20" t="str">
        <f>IFERROR(__xludf.DUMMYFUNCTION("""COMPUTED_VALUE"""),"Uncle Sams Cider (11/12/2021) 02")</f>
        <v>Uncle Sams Cider (11/12/2021) 02</v>
      </c>
      <c r="H1099" s="19"/>
    </row>
    <row r="1100">
      <c r="A1100" s="9"/>
      <c r="B1100" s="15"/>
      <c r="C1100" s="9">
        <f>IFERROR(__xludf.DUMMYFUNCTION("""COMPUTED_VALUE"""),44594.0888353125)</f>
        <v>44594.08884</v>
      </c>
      <c r="D1100" s="15">
        <f>IFERROR(__xludf.DUMMYFUNCTION("""COMPUTED_VALUE"""),1.004)</f>
        <v>1.004</v>
      </c>
      <c r="E1100" s="16">
        <f>IFERROR(__xludf.DUMMYFUNCTION("""COMPUTED_VALUE"""),63.0)</f>
        <v>63</v>
      </c>
      <c r="F1100" s="19" t="str">
        <f>IFERROR(__xludf.DUMMYFUNCTION("""COMPUTED_VALUE"""),"BLACK")</f>
        <v>BLACK</v>
      </c>
      <c r="G1100" s="20" t="str">
        <f>IFERROR(__xludf.DUMMYFUNCTION("""COMPUTED_VALUE"""),"Uncle Sams Cider (11/12/2021) 02")</f>
        <v>Uncle Sams Cider (11/12/2021) 02</v>
      </c>
      <c r="H1100" s="19"/>
    </row>
    <row r="1101">
      <c r="A1101" s="9"/>
      <c r="B1101" s="15"/>
      <c r="C1101" s="9">
        <f>IFERROR(__xludf.DUMMYFUNCTION("""COMPUTED_VALUE"""),44594.0784135532)</f>
        <v>44594.07841</v>
      </c>
      <c r="D1101" s="15">
        <f>IFERROR(__xludf.DUMMYFUNCTION("""COMPUTED_VALUE"""),1.005)</f>
        <v>1.005</v>
      </c>
      <c r="E1101" s="16">
        <f>IFERROR(__xludf.DUMMYFUNCTION("""COMPUTED_VALUE"""),63.0)</f>
        <v>63</v>
      </c>
      <c r="F1101" s="19" t="str">
        <f>IFERROR(__xludf.DUMMYFUNCTION("""COMPUTED_VALUE"""),"BLACK")</f>
        <v>BLACK</v>
      </c>
      <c r="G1101" s="20" t="str">
        <f>IFERROR(__xludf.DUMMYFUNCTION("""COMPUTED_VALUE"""),"Uncle Sams Cider (11/12/2021) 02")</f>
        <v>Uncle Sams Cider (11/12/2021) 02</v>
      </c>
      <c r="H1101" s="19"/>
    </row>
    <row r="1102">
      <c r="A1102" s="9"/>
      <c r="B1102" s="15"/>
      <c r="C1102" s="9">
        <f>IFERROR(__xludf.DUMMYFUNCTION("""COMPUTED_VALUE"""),44594.0679824537)</f>
        <v>44594.06798</v>
      </c>
      <c r="D1102" s="15">
        <f>IFERROR(__xludf.DUMMYFUNCTION("""COMPUTED_VALUE"""),1.004)</f>
        <v>1.004</v>
      </c>
      <c r="E1102" s="16">
        <f>IFERROR(__xludf.DUMMYFUNCTION("""COMPUTED_VALUE"""),63.0)</f>
        <v>63</v>
      </c>
      <c r="F1102" s="19" t="str">
        <f>IFERROR(__xludf.DUMMYFUNCTION("""COMPUTED_VALUE"""),"BLACK")</f>
        <v>BLACK</v>
      </c>
      <c r="G1102" s="20" t="str">
        <f>IFERROR(__xludf.DUMMYFUNCTION("""COMPUTED_VALUE"""),"Uncle Sams Cider (11/12/2021) 02")</f>
        <v>Uncle Sams Cider (11/12/2021) 02</v>
      </c>
      <c r="H1102" s="19"/>
    </row>
    <row r="1103">
      <c r="A1103" s="9"/>
      <c r="B1103" s="15"/>
      <c r="C1103" s="9">
        <f>IFERROR(__xludf.DUMMYFUNCTION("""COMPUTED_VALUE"""),44594.0575608217)</f>
        <v>44594.05756</v>
      </c>
      <c r="D1103" s="15">
        <f>IFERROR(__xludf.DUMMYFUNCTION("""COMPUTED_VALUE"""),1.004)</f>
        <v>1.004</v>
      </c>
      <c r="E1103" s="16">
        <f>IFERROR(__xludf.DUMMYFUNCTION("""COMPUTED_VALUE"""),63.0)</f>
        <v>63</v>
      </c>
      <c r="F1103" s="19" t="str">
        <f>IFERROR(__xludf.DUMMYFUNCTION("""COMPUTED_VALUE"""),"BLACK")</f>
        <v>BLACK</v>
      </c>
      <c r="G1103" s="20" t="str">
        <f>IFERROR(__xludf.DUMMYFUNCTION("""COMPUTED_VALUE"""),"Uncle Sams Cider (11/12/2021) 02")</f>
        <v>Uncle Sams Cider (11/12/2021) 02</v>
      </c>
      <c r="H1103" s="19"/>
    </row>
    <row r="1104">
      <c r="A1104" s="9"/>
      <c r="B1104" s="15"/>
      <c r="C1104" s="9">
        <f>IFERROR(__xludf.DUMMYFUNCTION("""COMPUTED_VALUE"""),44594.0471277314)</f>
        <v>44594.04713</v>
      </c>
      <c r="D1104" s="15">
        <f>IFERROR(__xludf.DUMMYFUNCTION("""COMPUTED_VALUE"""),1.004)</f>
        <v>1.004</v>
      </c>
      <c r="E1104" s="16">
        <f>IFERROR(__xludf.DUMMYFUNCTION("""COMPUTED_VALUE"""),63.0)</f>
        <v>63</v>
      </c>
      <c r="F1104" s="19" t="str">
        <f>IFERROR(__xludf.DUMMYFUNCTION("""COMPUTED_VALUE"""),"BLACK")</f>
        <v>BLACK</v>
      </c>
      <c r="G1104" s="20" t="str">
        <f>IFERROR(__xludf.DUMMYFUNCTION("""COMPUTED_VALUE"""),"Uncle Sams Cider (11/12/2021) 02")</f>
        <v>Uncle Sams Cider (11/12/2021) 02</v>
      </c>
      <c r="H1104" s="19"/>
    </row>
    <row r="1105">
      <c r="A1105" s="9"/>
      <c r="B1105" s="15"/>
      <c r="C1105" s="9">
        <f>IFERROR(__xludf.DUMMYFUNCTION("""COMPUTED_VALUE"""),44594.0366951504)</f>
        <v>44594.0367</v>
      </c>
      <c r="D1105" s="15">
        <f>IFERROR(__xludf.DUMMYFUNCTION("""COMPUTED_VALUE"""),1.005)</f>
        <v>1.005</v>
      </c>
      <c r="E1105" s="16">
        <f>IFERROR(__xludf.DUMMYFUNCTION("""COMPUTED_VALUE"""),63.0)</f>
        <v>63</v>
      </c>
      <c r="F1105" s="19" t="str">
        <f>IFERROR(__xludf.DUMMYFUNCTION("""COMPUTED_VALUE"""),"BLACK")</f>
        <v>BLACK</v>
      </c>
      <c r="G1105" s="20" t="str">
        <f>IFERROR(__xludf.DUMMYFUNCTION("""COMPUTED_VALUE"""),"Uncle Sams Cider (11/12/2021) 02")</f>
        <v>Uncle Sams Cider (11/12/2021) 02</v>
      </c>
      <c r="H1105" s="19"/>
    </row>
    <row r="1106">
      <c r="A1106" s="9"/>
      <c r="B1106" s="15"/>
      <c r="C1106" s="9">
        <f>IFERROR(__xludf.DUMMYFUNCTION("""COMPUTED_VALUE"""),44594.0262606597)</f>
        <v>44594.02626</v>
      </c>
      <c r="D1106" s="15">
        <f>IFERROR(__xludf.DUMMYFUNCTION("""COMPUTED_VALUE"""),1.005)</f>
        <v>1.005</v>
      </c>
      <c r="E1106" s="16">
        <f>IFERROR(__xludf.DUMMYFUNCTION("""COMPUTED_VALUE"""),63.0)</f>
        <v>63</v>
      </c>
      <c r="F1106" s="19" t="str">
        <f>IFERROR(__xludf.DUMMYFUNCTION("""COMPUTED_VALUE"""),"BLACK")</f>
        <v>BLACK</v>
      </c>
      <c r="G1106" s="20" t="str">
        <f>IFERROR(__xludf.DUMMYFUNCTION("""COMPUTED_VALUE"""),"Uncle Sams Cider (11/12/2021) 02")</f>
        <v>Uncle Sams Cider (11/12/2021) 02</v>
      </c>
      <c r="H1106" s="19"/>
    </row>
    <row r="1107">
      <c r="A1107" s="9"/>
      <c r="B1107" s="15"/>
      <c r="C1107" s="9">
        <f>IFERROR(__xludf.DUMMYFUNCTION("""COMPUTED_VALUE"""),44594.0158391088)</f>
        <v>44594.01584</v>
      </c>
      <c r="D1107" s="15">
        <f>IFERROR(__xludf.DUMMYFUNCTION("""COMPUTED_VALUE"""),1.004)</f>
        <v>1.004</v>
      </c>
      <c r="E1107" s="16">
        <f>IFERROR(__xludf.DUMMYFUNCTION("""COMPUTED_VALUE"""),63.0)</f>
        <v>63</v>
      </c>
      <c r="F1107" s="19" t="str">
        <f>IFERROR(__xludf.DUMMYFUNCTION("""COMPUTED_VALUE"""),"BLACK")</f>
        <v>BLACK</v>
      </c>
      <c r="G1107" s="20" t="str">
        <f>IFERROR(__xludf.DUMMYFUNCTION("""COMPUTED_VALUE"""),"Uncle Sams Cider (11/12/2021) 02")</f>
        <v>Uncle Sams Cider (11/12/2021) 02</v>
      </c>
      <c r="H1107" s="19"/>
    </row>
    <row r="1108">
      <c r="A1108" s="9"/>
      <c r="B1108" s="15"/>
      <c r="C1108" s="9">
        <f>IFERROR(__xludf.DUMMYFUNCTION("""COMPUTED_VALUE"""),44594.0054070833)</f>
        <v>44594.00541</v>
      </c>
      <c r="D1108" s="15">
        <f>IFERROR(__xludf.DUMMYFUNCTION("""COMPUTED_VALUE"""),1.004)</f>
        <v>1.004</v>
      </c>
      <c r="E1108" s="16">
        <f>IFERROR(__xludf.DUMMYFUNCTION("""COMPUTED_VALUE"""),63.0)</f>
        <v>63</v>
      </c>
      <c r="F1108" s="19" t="str">
        <f>IFERROR(__xludf.DUMMYFUNCTION("""COMPUTED_VALUE"""),"BLACK")</f>
        <v>BLACK</v>
      </c>
      <c r="G1108" s="20" t="str">
        <f>IFERROR(__xludf.DUMMYFUNCTION("""COMPUTED_VALUE"""),"Uncle Sams Cider (11/12/2021) 02")</f>
        <v>Uncle Sams Cider (11/12/2021) 02</v>
      </c>
      <c r="H1108" s="19"/>
    </row>
    <row r="1109">
      <c r="A1109" s="9"/>
      <c r="B1109" s="15"/>
      <c r="C1109" s="9">
        <f>IFERROR(__xludf.DUMMYFUNCTION("""COMPUTED_VALUE"""),44593.9949869444)</f>
        <v>44593.99499</v>
      </c>
      <c r="D1109" s="15">
        <f>IFERROR(__xludf.DUMMYFUNCTION("""COMPUTED_VALUE"""),1.004)</f>
        <v>1.004</v>
      </c>
      <c r="E1109" s="16">
        <f>IFERROR(__xludf.DUMMYFUNCTION("""COMPUTED_VALUE"""),63.0)</f>
        <v>63</v>
      </c>
      <c r="F1109" s="19" t="str">
        <f>IFERROR(__xludf.DUMMYFUNCTION("""COMPUTED_VALUE"""),"BLACK")</f>
        <v>BLACK</v>
      </c>
      <c r="G1109" s="20" t="str">
        <f>IFERROR(__xludf.DUMMYFUNCTION("""COMPUTED_VALUE"""),"Uncle Sams Cider (11/12/2021) 02")</f>
        <v>Uncle Sams Cider (11/12/2021) 02</v>
      </c>
      <c r="H1109" s="19"/>
    </row>
    <row r="1110">
      <c r="A1110" s="9"/>
      <c r="B1110" s="15"/>
      <c r="C1110" s="9">
        <f>IFERROR(__xludf.DUMMYFUNCTION("""COMPUTED_VALUE"""),44593.9845311921)</f>
        <v>44593.98453</v>
      </c>
      <c r="D1110" s="15">
        <f>IFERROR(__xludf.DUMMYFUNCTION("""COMPUTED_VALUE"""),1.005)</f>
        <v>1.005</v>
      </c>
      <c r="E1110" s="16">
        <f>IFERROR(__xludf.DUMMYFUNCTION("""COMPUTED_VALUE"""),63.0)</f>
        <v>63</v>
      </c>
      <c r="F1110" s="19" t="str">
        <f>IFERROR(__xludf.DUMMYFUNCTION("""COMPUTED_VALUE"""),"BLACK")</f>
        <v>BLACK</v>
      </c>
      <c r="G1110" s="20" t="str">
        <f>IFERROR(__xludf.DUMMYFUNCTION("""COMPUTED_VALUE"""),"Uncle Sams Cider (11/12/2021) 02")</f>
        <v>Uncle Sams Cider (11/12/2021) 02</v>
      </c>
      <c r="H1110" s="19"/>
    </row>
    <row r="1111">
      <c r="A1111" s="9"/>
      <c r="B1111" s="15"/>
      <c r="C1111" s="9">
        <f>IFERROR(__xludf.DUMMYFUNCTION("""COMPUTED_VALUE"""),44593.9741094675)</f>
        <v>44593.97411</v>
      </c>
      <c r="D1111" s="15">
        <f>IFERROR(__xludf.DUMMYFUNCTION("""COMPUTED_VALUE"""),1.004)</f>
        <v>1.004</v>
      </c>
      <c r="E1111" s="16">
        <f>IFERROR(__xludf.DUMMYFUNCTION("""COMPUTED_VALUE"""),63.0)</f>
        <v>63</v>
      </c>
      <c r="F1111" s="19" t="str">
        <f>IFERROR(__xludf.DUMMYFUNCTION("""COMPUTED_VALUE"""),"BLACK")</f>
        <v>BLACK</v>
      </c>
      <c r="G1111" s="20" t="str">
        <f>IFERROR(__xludf.DUMMYFUNCTION("""COMPUTED_VALUE"""),"Uncle Sams Cider (11/12/2021) 02")</f>
        <v>Uncle Sams Cider (11/12/2021) 02</v>
      </c>
      <c r="H1111" s="19"/>
    </row>
    <row r="1112">
      <c r="A1112" s="9"/>
      <c r="B1112" s="15"/>
      <c r="C1112" s="9">
        <f>IFERROR(__xludf.DUMMYFUNCTION("""COMPUTED_VALUE"""),44593.9636638773)</f>
        <v>44593.96366</v>
      </c>
      <c r="D1112" s="15">
        <f>IFERROR(__xludf.DUMMYFUNCTION("""COMPUTED_VALUE"""),1.004)</f>
        <v>1.004</v>
      </c>
      <c r="E1112" s="16">
        <f>IFERROR(__xludf.DUMMYFUNCTION("""COMPUTED_VALUE"""),63.0)</f>
        <v>63</v>
      </c>
      <c r="F1112" s="19" t="str">
        <f>IFERROR(__xludf.DUMMYFUNCTION("""COMPUTED_VALUE"""),"BLACK")</f>
        <v>BLACK</v>
      </c>
      <c r="G1112" s="20" t="str">
        <f>IFERROR(__xludf.DUMMYFUNCTION("""COMPUTED_VALUE"""),"Uncle Sams Cider (11/12/2021) 02")</f>
        <v>Uncle Sams Cider (11/12/2021) 02</v>
      </c>
      <c r="H1112" s="19"/>
    </row>
    <row r="1113">
      <c r="A1113" s="9"/>
      <c r="B1113" s="15"/>
      <c r="C1113" s="9">
        <f>IFERROR(__xludf.DUMMYFUNCTION("""COMPUTED_VALUE"""),44593.9531732175)</f>
        <v>44593.95317</v>
      </c>
      <c r="D1113" s="15">
        <f>IFERROR(__xludf.DUMMYFUNCTION("""COMPUTED_VALUE"""),1.005)</f>
        <v>1.005</v>
      </c>
      <c r="E1113" s="16">
        <f>IFERROR(__xludf.DUMMYFUNCTION("""COMPUTED_VALUE"""),63.0)</f>
        <v>63</v>
      </c>
      <c r="F1113" s="19" t="str">
        <f>IFERROR(__xludf.DUMMYFUNCTION("""COMPUTED_VALUE"""),"BLACK")</f>
        <v>BLACK</v>
      </c>
      <c r="G1113" s="20" t="str">
        <f>IFERROR(__xludf.DUMMYFUNCTION("""COMPUTED_VALUE"""),"Uncle Sams Cider (11/12/2021) 02")</f>
        <v>Uncle Sams Cider (11/12/2021) 02</v>
      </c>
      <c r="H1113" s="19"/>
    </row>
    <row r="1114">
      <c r="A1114" s="9"/>
      <c r="B1114" s="15"/>
      <c r="C1114" s="9">
        <f>IFERROR(__xludf.DUMMYFUNCTION("""COMPUTED_VALUE"""),44593.9427519444)</f>
        <v>44593.94275</v>
      </c>
      <c r="D1114" s="15">
        <f>IFERROR(__xludf.DUMMYFUNCTION("""COMPUTED_VALUE"""),1.004)</f>
        <v>1.004</v>
      </c>
      <c r="E1114" s="16">
        <f>IFERROR(__xludf.DUMMYFUNCTION("""COMPUTED_VALUE"""),63.0)</f>
        <v>63</v>
      </c>
      <c r="F1114" s="19" t="str">
        <f>IFERROR(__xludf.DUMMYFUNCTION("""COMPUTED_VALUE"""),"BLACK")</f>
        <v>BLACK</v>
      </c>
      <c r="G1114" s="20" t="str">
        <f>IFERROR(__xludf.DUMMYFUNCTION("""COMPUTED_VALUE"""),"Uncle Sams Cider (11/12/2021) 02")</f>
        <v>Uncle Sams Cider (11/12/2021) 02</v>
      </c>
      <c r="H1114" s="19"/>
    </row>
    <row r="1115">
      <c r="A1115" s="9"/>
      <c r="B1115" s="15"/>
      <c r="C1115" s="9">
        <f>IFERROR(__xludf.DUMMYFUNCTION("""COMPUTED_VALUE"""),44593.9323303356)</f>
        <v>44593.93233</v>
      </c>
      <c r="D1115" s="15">
        <f>IFERROR(__xludf.DUMMYFUNCTION("""COMPUTED_VALUE"""),1.004)</f>
        <v>1.004</v>
      </c>
      <c r="E1115" s="16">
        <f>IFERROR(__xludf.DUMMYFUNCTION("""COMPUTED_VALUE"""),63.0)</f>
        <v>63</v>
      </c>
      <c r="F1115" s="19" t="str">
        <f>IFERROR(__xludf.DUMMYFUNCTION("""COMPUTED_VALUE"""),"BLACK")</f>
        <v>BLACK</v>
      </c>
      <c r="G1115" s="20" t="str">
        <f>IFERROR(__xludf.DUMMYFUNCTION("""COMPUTED_VALUE"""),"Uncle Sams Cider (11/12/2021) 02")</f>
        <v>Uncle Sams Cider (11/12/2021) 02</v>
      </c>
      <c r="H1115" s="19"/>
    </row>
    <row r="1116">
      <c r="A1116" s="9"/>
      <c r="B1116" s="15"/>
      <c r="C1116" s="9">
        <f>IFERROR(__xludf.DUMMYFUNCTION("""COMPUTED_VALUE"""),44593.9219090856)</f>
        <v>44593.92191</v>
      </c>
      <c r="D1116" s="15">
        <f>IFERROR(__xludf.DUMMYFUNCTION("""COMPUTED_VALUE"""),1.004)</f>
        <v>1.004</v>
      </c>
      <c r="E1116" s="16">
        <f>IFERROR(__xludf.DUMMYFUNCTION("""COMPUTED_VALUE"""),63.0)</f>
        <v>63</v>
      </c>
      <c r="F1116" s="19" t="str">
        <f>IFERROR(__xludf.DUMMYFUNCTION("""COMPUTED_VALUE"""),"BLACK")</f>
        <v>BLACK</v>
      </c>
      <c r="G1116" s="20" t="str">
        <f>IFERROR(__xludf.DUMMYFUNCTION("""COMPUTED_VALUE"""),"Uncle Sams Cider (11/12/2021) 02")</f>
        <v>Uncle Sams Cider (11/12/2021) 02</v>
      </c>
      <c r="H1116" s="19"/>
    </row>
    <row r="1117">
      <c r="A1117" s="9"/>
      <c r="B1117" s="15"/>
      <c r="C1117" s="9">
        <f>IFERROR(__xludf.DUMMYFUNCTION("""COMPUTED_VALUE"""),44593.9114879282)</f>
        <v>44593.91149</v>
      </c>
      <c r="D1117" s="15">
        <f>IFERROR(__xludf.DUMMYFUNCTION("""COMPUTED_VALUE"""),1.004)</f>
        <v>1.004</v>
      </c>
      <c r="E1117" s="16">
        <f>IFERROR(__xludf.DUMMYFUNCTION("""COMPUTED_VALUE"""),63.0)</f>
        <v>63</v>
      </c>
      <c r="F1117" s="19" t="str">
        <f>IFERROR(__xludf.DUMMYFUNCTION("""COMPUTED_VALUE"""),"BLACK")</f>
        <v>BLACK</v>
      </c>
      <c r="G1117" s="20" t="str">
        <f>IFERROR(__xludf.DUMMYFUNCTION("""COMPUTED_VALUE"""),"Uncle Sams Cider (11/12/2021) 02")</f>
        <v>Uncle Sams Cider (11/12/2021) 02</v>
      </c>
      <c r="H1117" s="19"/>
    </row>
    <row r="1118">
      <c r="A1118" s="9"/>
      <c r="B1118" s="15"/>
      <c r="C1118" s="9">
        <f>IFERROR(__xludf.DUMMYFUNCTION("""COMPUTED_VALUE"""),44593.9010670254)</f>
        <v>44593.90107</v>
      </c>
      <c r="D1118" s="15">
        <f>IFERROR(__xludf.DUMMYFUNCTION("""COMPUTED_VALUE"""),1.005)</f>
        <v>1.005</v>
      </c>
      <c r="E1118" s="16">
        <f>IFERROR(__xludf.DUMMYFUNCTION("""COMPUTED_VALUE"""),63.0)</f>
        <v>63</v>
      </c>
      <c r="F1118" s="19" t="str">
        <f>IFERROR(__xludf.DUMMYFUNCTION("""COMPUTED_VALUE"""),"BLACK")</f>
        <v>BLACK</v>
      </c>
      <c r="G1118" s="20" t="str">
        <f>IFERROR(__xludf.DUMMYFUNCTION("""COMPUTED_VALUE"""),"Uncle Sams Cider (11/12/2021) 02")</f>
        <v>Uncle Sams Cider (11/12/2021) 02</v>
      </c>
      <c r="H1118" s="19"/>
    </row>
    <row r="1119">
      <c r="A1119" s="9"/>
      <c r="B1119" s="15"/>
      <c r="C1119" s="9">
        <f>IFERROR(__xludf.DUMMYFUNCTION("""COMPUTED_VALUE"""),44593.8906457407)</f>
        <v>44593.89065</v>
      </c>
      <c r="D1119" s="15">
        <f>IFERROR(__xludf.DUMMYFUNCTION("""COMPUTED_VALUE"""),1.004)</f>
        <v>1.004</v>
      </c>
      <c r="E1119" s="16">
        <f>IFERROR(__xludf.DUMMYFUNCTION("""COMPUTED_VALUE"""),63.0)</f>
        <v>63</v>
      </c>
      <c r="F1119" s="19" t="str">
        <f>IFERROR(__xludf.DUMMYFUNCTION("""COMPUTED_VALUE"""),"BLACK")</f>
        <v>BLACK</v>
      </c>
      <c r="G1119" s="20" t="str">
        <f>IFERROR(__xludf.DUMMYFUNCTION("""COMPUTED_VALUE"""),"Uncle Sams Cider (11/12/2021) 02")</f>
        <v>Uncle Sams Cider (11/12/2021) 02</v>
      </c>
      <c r="H1119" s="19"/>
    </row>
    <row r="1120">
      <c r="A1120" s="9"/>
      <c r="B1120" s="15"/>
      <c r="C1120" s="9">
        <f>IFERROR(__xludf.DUMMYFUNCTION("""COMPUTED_VALUE"""),44593.8802231597)</f>
        <v>44593.88022</v>
      </c>
      <c r="D1120" s="15">
        <f>IFERROR(__xludf.DUMMYFUNCTION("""COMPUTED_VALUE"""),1.004)</f>
        <v>1.004</v>
      </c>
      <c r="E1120" s="16">
        <f>IFERROR(__xludf.DUMMYFUNCTION("""COMPUTED_VALUE"""),63.0)</f>
        <v>63</v>
      </c>
      <c r="F1120" s="19" t="str">
        <f>IFERROR(__xludf.DUMMYFUNCTION("""COMPUTED_VALUE"""),"BLACK")</f>
        <v>BLACK</v>
      </c>
      <c r="G1120" s="20" t="str">
        <f>IFERROR(__xludf.DUMMYFUNCTION("""COMPUTED_VALUE"""),"Uncle Sams Cider (11/12/2021) 02")</f>
        <v>Uncle Sams Cider (11/12/2021) 02</v>
      </c>
      <c r="H1120" s="19"/>
    </row>
    <row r="1121">
      <c r="A1121" s="9"/>
      <c r="B1121" s="15"/>
      <c r="C1121" s="9">
        <f>IFERROR(__xludf.DUMMYFUNCTION("""COMPUTED_VALUE"""),44593.8697689583)</f>
        <v>44593.86977</v>
      </c>
      <c r="D1121" s="15">
        <f>IFERROR(__xludf.DUMMYFUNCTION("""COMPUTED_VALUE"""),1.004)</f>
        <v>1.004</v>
      </c>
      <c r="E1121" s="16">
        <f>IFERROR(__xludf.DUMMYFUNCTION("""COMPUTED_VALUE"""),63.0)</f>
        <v>63</v>
      </c>
      <c r="F1121" s="19" t="str">
        <f>IFERROR(__xludf.DUMMYFUNCTION("""COMPUTED_VALUE"""),"BLACK")</f>
        <v>BLACK</v>
      </c>
      <c r="G1121" s="20" t="str">
        <f>IFERROR(__xludf.DUMMYFUNCTION("""COMPUTED_VALUE"""),"Uncle Sams Cider (11/12/2021) 02")</f>
        <v>Uncle Sams Cider (11/12/2021) 02</v>
      </c>
      <c r="H1121" s="19"/>
    </row>
    <row r="1122">
      <c r="A1122" s="9"/>
      <c r="B1122" s="15"/>
      <c r="C1122" s="9">
        <f>IFERROR(__xludf.DUMMYFUNCTION("""COMPUTED_VALUE"""),44593.8593355208)</f>
        <v>44593.85934</v>
      </c>
      <c r="D1122" s="15">
        <f>IFERROR(__xludf.DUMMYFUNCTION("""COMPUTED_VALUE"""),1.004)</f>
        <v>1.004</v>
      </c>
      <c r="E1122" s="16">
        <f>IFERROR(__xludf.DUMMYFUNCTION("""COMPUTED_VALUE"""),63.0)</f>
        <v>63</v>
      </c>
      <c r="F1122" s="19" t="str">
        <f>IFERROR(__xludf.DUMMYFUNCTION("""COMPUTED_VALUE"""),"BLACK")</f>
        <v>BLACK</v>
      </c>
      <c r="G1122" s="20" t="str">
        <f>IFERROR(__xludf.DUMMYFUNCTION("""COMPUTED_VALUE"""),"Uncle Sams Cider (11/12/2021) 02")</f>
        <v>Uncle Sams Cider (11/12/2021) 02</v>
      </c>
      <c r="H1122" s="19"/>
    </row>
    <row r="1123">
      <c r="A1123" s="9"/>
      <c r="B1123" s="15"/>
      <c r="C1123" s="9">
        <f>IFERROR(__xludf.DUMMYFUNCTION("""COMPUTED_VALUE"""),44593.8489132407)</f>
        <v>44593.84891</v>
      </c>
      <c r="D1123" s="15">
        <f>IFERROR(__xludf.DUMMYFUNCTION("""COMPUTED_VALUE"""),1.005)</f>
        <v>1.005</v>
      </c>
      <c r="E1123" s="16">
        <f>IFERROR(__xludf.DUMMYFUNCTION("""COMPUTED_VALUE"""),63.0)</f>
        <v>63</v>
      </c>
      <c r="F1123" s="19" t="str">
        <f>IFERROR(__xludf.DUMMYFUNCTION("""COMPUTED_VALUE"""),"BLACK")</f>
        <v>BLACK</v>
      </c>
      <c r="G1123" s="20" t="str">
        <f>IFERROR(__xludf.DUMMYFUNCTION("""COMPUTED_VALUE"""),"Uncle Sams Cider (11/12/2021) 02")</f>
        <v>Uncle Sams Cider (11/12/2021) 02</v>
      </c>
      <c r="H1123" s="19"/>
    </row>
    <row r="1124">
      <c r="A1124" s="9"/>
      <c r="B1124" s="15"/>
      <c r="C1124" s="9">
        <f>IFERROR(__xludf.DUMMYFUNCTION("""COMPUTED_VALUE"""),44593.8384923842)</f>
        <v>44593.83849</v>
      </c>
      <c r="D1124" s="15">
        <f>IFERROR(__xludf.DUMMYFUNCTION("""COMPUTED_VALUE"""),1.004)</f>
        <v>1.004</v>
      </c>
      <c r="E1124" s="16">
        <f>IFERROR(__xludf.DUMMYFUNCTION("""COMPUTED_VALUE"""),63.0)</f>
        <v>63</v>
      </c>
      <c r="F1124" s="19" t="str">
        <f>IFERROR(__xludf.DUMMYFUNCTION("""COMPUTED_VALUE"""),"BLACK")</f>
        <v>BLACK</v>
      </c>
      <c r="G1124" s="20" t="str">
        <f>IFERROR(__xludf.DUMMYFUNCTION("""COMPUTED_VALUE"""),"Uncle Sams Cider (11/12/2021) 02")</f>
        <v>Uncle Sams Cider (11/12/2021) 02</v>
      </c>
      <c r="H1124" s="19"/>
    </row>
    <row r="1125">
      <c r="A1125" s="9"/>
      <c r="B1125" s="15"/>
      <c r="C1125" s="9">
        <f>IFERROR(__xludf.DUMMYFUNCTION("""COMPUTED_VALUE"""),44593.8280704745)</f>
        <v>44593.82807</v>
      </c>
      <c r="D1125" s="15">
        <f>IFERROR(__xludf.DUMMYFUNCTION("""COMPUTED_VALUE"""),1.004)</f>
        <v>1.004</v>
      </c>
      <c r="E1125" s="16">
        <f>IFERROR(__xludf.DUMMYFUNCTION("""COMPUTED_VALUE"""),63.0)</f>
        <v>63</v>
      </c>
      <c r="F1125" s="19" t="str">
        <f>IFERROR(__xludf.DUMMYFUNCTION("""COMPUTED_VALUE"""),"BLACK")</f>
        <v>BLACK</v>
      </c>
      <c r="G1125" s="20" t="str">
        <f>IFERROR(__xludf.DUMMYFUNCTION("""COMPUTED_VALUE"""),"Uncle Sams Cider (11/12/2021) 02")</f>
        <v>Uncle Sams Cider (11/12/2021) 02</v>
      </c>
      <c r="H1125" s="19"/>
    </row>
    <row r="1126">
      <c r="A1126" s="9"/>
      <c r="B1126" s="15"/>
      <c r="C1126" s="9">
        <f>IFERROR(__xludf.DUMMYFUNCTION("""COMPUTED_VALUE"""),44593.8176258796)</f>
        <v>44593.81763</v>
      </c>
      <c r="D1126" s="15">
        <f>IFERROR(__xludf.DUMMYFUNCTION("""COMPUTED_VALUE"""),1.005)</f>
        <v>1.005</v>
      </c>
      <c r="E1126" s="16">
        <f>IFERROR(__xludf.DUMMYFUNCTION("""COMPUTED_VALUE"""),63.0)</f>
        <v>63</v>
      </c>
      <c r="F1126" s="19" t="str">
        <f>IFERROR(__xludf.DUMMYFUNCTION("""COMPUTED_VALUE"""),"BLACK")</f>
        <v>BLACK</v>
      </c>
      <c r="G1126" s="20" t="str">
        <f>IFERROR(__xludf.DUMMYFUNCTION("""COMPUTED_VALUE"""),"Uncle Sams Cider (11/12/2021) 02")</f>
        <v>Uncle Sams Cider (11/12/2021) 02</v>
      </c>
      <c r="H1126" s="19"/>
    </row>
    <row r="1127">
      <c r="A1127" s="9"/>
      <c r="B1127" s="15"/>
      <c r="C1127" s="9">
        <f>IFERROR(__xludf.DUMMYFUNCTION("""COMPUTED_VALUE"""),44593.8071932291)</f>
        <v>44593.80719</v>
      </c>
      <c r="D1127" s="15">
        <f>IFERROR(__xludf.DUMMYFUNCTION("""COMPUTED_VALUE"""),1.004)</f>
        <v>1.004</v>
      </c>
      <c r="E1127" s="16">
        <f>IFERROR(__xludf.DUMMYFUNCTION("""COMPUTED_VALUE"""),63.0)</f>
        <v>63</v>
      </c>
      <c r="F1127" s="19" t="str">
        <f>IFERROR(__xludf.DUMMYFUNCTION("""COMPUTED_VALUE"""),"BLACK")</f>
        <v>BLACK</v>
      </c>
      <c r="G1127" s="20" t="str">
        <f>IFERROR(__xludf.DUMMYFUNCTION("""COMPUTED_VALUE"""),"Uncle Sams Cider (11/12/2021) 02")</f>
        <v>Uncle Sams Cider (11/12/2021) 02</v>
      </c>
      <c r="H1127" s="19"/>
    </row>
    <row r="1128">
      <c r="A1128" s="9"/>
      <c r="B1128" s="15"/>
      <c r="C1128" s="9">
        <f>IFERROR(__xludf.DUMMYFUNCTION("""COMPUTED_VALUE"""),44593.796760787)</f>
        <v>44593.79676</v>
      </c>
      <c r="D1128" s="15">
        <f>IFERROR(__xludf.DUMMYFUNCTION("""COMPUTED_VALUE"""),1.004)</f>
        <v>1.004</v>
      </c>
      <c r="E1128" s="16">
        <f>IFERROR(__xludf.DUMMYFUNCTION("""COMPUTED_VALUE"""),63.0)</f>
        <v>63</v>
      </c>
      <c r="F1128" s="19" t="str">
        <f>IFERROR(__xludf.DUMMYFUNCTION("""COMPUTED_VALUE"""),"BLACK")</f>
        <v>BLACK</v>
      </c>
      <c r="G1128" s="20" t="str">
        <f>IFERROR(__xludf.DUMMYFUNCTION("""COMPUTED_VALUE"""),"Uncle Sams Cider (11/12/2021) 02")</f>
        <v>Uncle Sams Cider (11/12/2021) 02</v>
      </c>
      <c r="H1128" s="19"/>
    </row>
    <row r="1129">
      <c r="A1129" s="9"/>
      <c r="B1129" s="15"/>
      <c r="C1129" s="9">
        <f>IFERROR(__xludf.DUMMYFUNCTION("""COMPUTED_VALUE"""),44593.7863280555)</f>
        <v>44593.78633</v>
      </c>
      <c r="D1129" s="15">
        <f>IFERROR(__xludf.DUMMYFUNCTION("""COMPUTED_VALUE"""),1.005)</f>
        <v>1.005</v>
      </c>
      <c r="E1129" s="16">
        <f>IFERROR(__xludf.DUMMYFUNCTION("""COMPUTED_VALUE"""),63.0)</f>
        <v>63</v>
      </c>
      <c r="F1129" s="19" t="str">
        <f>IFERROR(__xludf.DUMMYFUNCTION("""COMPUTED_VALUE"""),"BLACK")</f>
        <v>BLACK</v>
      </c>
      <c r="G1129" s="20" t="str">
        <f>IFERROR(__xludf.DUMMYFUNCTION("""COMPUTED_VALUE"""),"Uncle Sams Cider (11/12/2021) 02")</f>
        <v>Uncle Sams Cider (11/12/2021) 02</v>
      </c>
      <c r="H1129" s="19"/>
    </row>
    <row r="1130">
      <c r="A1130" s="9"/>
      <c r="B1130" s="15"/>
      <c r="C1130" s="9">
        <f>IFERROR(__xludf.DUMMYFUNCTION("""COMPUTED_VALUE"""),44593.7758846875)</f>
        <v>44593.77588</v>
      </c>
      <c r="D1130" s="15">
        <f>IFERROR(__xludf.DUMMYFUNCTION("""COMPUTED_VALUE"""),1.004)</f>
        <v>1.004</v>
      </c>
      <c r="E1130" s="16">
        <f>IFERROR(__xludf.DUMMYFUNCTION("""COMPUTED_VALUE"""),63.0)</f>
        <v>63</v>
      </c>
      <c r="F1130" s="19" t="str">
        <f>IFERROR(__xludf.DUMMYFUNCTION("""COMPUTED_VALUE"""),"BLACK")</f>
        <v>BLACK</v>
      </c>
      <c r="G1130" s="20" t="str">
        <f>IFERROR(__xludf.DUMMYFUNCTION("""COMPUTED_VALUE"""),"Uncle Sams Cider (11/12/2021) 02")</f>
        <v>Uncle Sams Cider (11/12/2021) 02</v>
      </c>
      <c r="H1130" s="19"/>
    </row>
    <row r="1131">
      <c r="A1131" s="9"/>
      <c r="B1131" s="15"/>
      <c r="C1131" s="9">
        <f>IFERROR(__xludf.DUMMYFUNCTION("""COMPUTED_VALUE"""),44593.7654637037)</f>
        <v>44593.76546</v>
      </c>
      <c r="D1131" s="15">
        <f>IFERROR(__xludf.DUMMYFUNCTION("""COMPUTED_VALUE"""),1.004)</f>
        <v>1.004</v>
      </c>
      <c r="E1131" s="16">
        <f>IFERROR(__xludf.DUMMYFUNCTION("""COMPUTED_VALUE"""),63.0)</f>
        <v>63</v>
      </c>
      <c r="F1131" s="19" t="str">
        <f>IFERROR(__xludf.DUMMYFUNCTION("""COMPUTED_VALUE"""),"BLACK")</f>
        <v>BLACK</v>
      </c>
      <c r="G1131" s="20" t="str">
        <f>IFERROR(__xludf.DUMMYFUNCTION("""COMPUTED_VALUE"""),"Uncle Sams Cider (11/12/2021) 02")</f>
        <v>Uncle Sams Cider (11/12/2021) 02</v>
      </c>
      <c r="H1131" s="19"/>
    </row>
    <row r="1132">
      <c r="A1132" s="9"/>
      <c r="B1132" s="15"/>
      <c r="C1132" s="9">
        <f>IFERROR(__xludf.DUMMYFUNCTION("""COMPUTED_VALUE"""),44593.7550434953)</f>
        <v>44593.75504</v>
      </c>
      <c r="D1132" s="15">
        <f>IFERROR(__xludf.DUMMYFUNCTION("""COMPUTED_VALUE"""),1.004)</f>
        <v>1.004</v>
      </c>
      <c r="E1132" s="16">
        <f>IFERROR(__xludf.DUMMYFUNCTION("""COMPUTED_VALUE"""),63.0)</f>
        <v>63</v>
      </c>
      <c r="F1132" s="19" t="str">
        <f>IFERROR(__xludf.DUMMYFUNCTION("""COMPUTED_VALUE"""),"BLACK")</f>
        <v>BLACK</v>
      </c>
      <c r="G1132" s="20" t="str">
        <f>IFERROR(__xludf.DUMMYFUNCTION("""COMPUTED_VALUE"""),"Uncle Sams Cider (11/12/2021) 02")</f>
        <v>Uncle Sams Cider (11/12/2021) 02</v>
      </c>
      <c r="H1132" s="19"/>
    </row>
    <row r="1133">
      <c r="A1133" s="9"/>
      <c r="B1133" s="15"/>
      <c r="C1133" s="9">
        <f>IFERROR(__xludf.DUMMYFUNCTION("""COMPUTED_VALUE"""),44593.7446217361)</f>
        <v>44593.74462</v>
      </c>
      <c r="D1133" s="15">
        <f>IFERROR(__xludf.DUMMYFUNCTION("""COMPUTED_VALUE"""),1.005)</f>
        <v>1.005</v>
      </c>
      <c r="E1133" s="16">
        <f>IFERROR(__xludf.DUMMYFUNCTION("""COMPUTED_VALUE"""),63.0)</f>
        <v>63</v>
      </c>
      <c r="F1133" s="19" t="str">
        <f>IFERROR(__xludf.DUMMYFUNCTION("""COMPUTED_VALUE"""),"BLACK")</f>
        <v>BLACK</v>
      </c>
      <c r="G1133" s="20" t="str">
        <f>IFERROR(__xludf.DUMMYFUNCTION("""COMPUTED_VALUE"""),"Uncle Sams Cider (11/12/2021) 02")</f>
        <v>Uncle Sams Cider (11/12/2021) 02</v>
      </c>
      <c r="H1133" s="19"/>
    </row>
    <row r="1134">
      <c r="A1134" s="9"/>
      <c r="B1134" s="15"/>
      <c r="C1134" s="9">
        <f>IFERROR(__xludf.DUMMYFUNCTION("""COMPUTED_VALUE"""),44593.7342033449)</f>
        <v>44593.7342</v>
      </c>
      <c r="D1134" s="15">
        <f>IFERROR(__xludf.DUMMYFUNCTION("""COMPUTED_VALUE"""),1.004)</f>
        <v>1.004</v>
      </c>
      <c r="E1134" s="16">
        <f>IFERROR(__xludf.DUMMYFUNCTION("""COMPUTED_VALUE"""),64.0)</f>
        <v>64</v>
      </c>
      <c r="F1134" s="19" t="str">
        <f>IFERROR(__xludf.DUMMYFUNCTION("""COMPUTED_VALUE"""),"BLACK")</f>
        <v>BLACK</v>
      </c>
      <c r="G1134" s="20" t="str">
        <f>IFERROR(__xludf.DUMMYFUNCTION("""COMPUTED_VALUE"""),"Uncle Sams Cider (11/12/2021) 02")</f>
        <v>Uncle Sams Cider (11/12/2021) 02</v>
      </c>
      <c r="H1134" s="19"/>
    </row>
    <row r="1135">
      <c r="A1135" s="9"/>
      <c r="B1135" s="15"/>
      <c r="C1135" s="9">
        <f>IFERROR(__xludf.DUMMYFUNCTION("""COMPUTED_VALUE"""),44593.7237688888)</f>
        <v>44593.72377</v>
      </c>
      <c r="D1135" s="15">
        <f>IFERROR(__xludf.DUMMYFUNCTION("""COMPUTED_VALUE"""),1.004)</f>
        <v>1.004</v>
      </c>
      <c r="E1135" s="16">
        <f>IFERROR(__xludf.DUMMYFUNCTION("""COMPUTED_VALUE"""),64.0)</f>
        <v>64</v>
      </c>
      <c r="F1135" s="19" t="str">
        <f>IFERROR(__xludf.DUMMYFUNCTION("""COMPUTED_VALUE"""),"BLACK")</f>
        <v>BLACK</v>
      </c>
      <c r="G1135" s="20" t="str">
        <f>IFERROR(__xludf.DUMMYFUNCTION("""COMPUTED_VALUE"""),"Uncle Sams Cider (11/12/2021) 02")</f>
        <v>Uncle Sams Cider (11/12/2021) 02</v>
      </c>
      <c r="H1135" s="19"/>
    </row>
    <row r="1136">
      <c r="A1136" s="9"/>
      <c r="B1136" s="15"/>
      <c r="C1136" s="9">
        <f>IFERROR(__xludf.DUMMYFUNCTION("""COMPUTED_VALUE"""),44593.7133479745)</f>
        <v>44593.71335</v>
      </c>
      <c r="D1136" s="15">
        <f>IFERROR(__xludf.DUMMYFUNCTION("""COMPUTED_VALUE"""),1.004)</f>
        <v>1.004</v>
      </c>
      <c r="E1136" s="16">
        <f>IFERROR(__xludf.DUMMYFUNCTION("""COMPUTED_VALUE"""),64.0)</f>
        <v>64</v>
      </c>
      <c r="F1136" s="19" t="str">
        <f>IFERROR(__xludf.DUMMYFUNCTION("""COMPUTED_VALUE"""),"BLACK")</f>
        <v>BLACK</v>
      </c>
      <c r="G1136" s="20" t="str">
        <f>IFERROR(__xludf.DUMMYFUNCTION("""COMPUTED_VALUE"""),"Uncle Sams Cider (11/12/2021) 02")</f>
        <v>Uncle Sams Cider (11/12/2021) 02</v>
      </c>
      <c r="H1136" s="19"/>
    </row>
    <row r="1137">
      <c r="A1137" s="9"/>
      <c r="B1137" s="15"/>
      <c r="C1137" s="9">
        <f>IFERROR(__xludf.DUMMYFUNCTION("""COMPUTED_VALUE"""),44593.7029264351)</f>
        <v>44593.70293</v>
      </c>
      <c r="D1137" s="15">
        <f>IFERROR(__xludf.DUMMYFUNCTION("""COMPUTED_VALUE"""),1.005)</f>
        <v>1.005</v>
      </c>
      <c r="E1137" s="16">
        <f>IFERROR(__xludf.DUMMYFUNCTION("""COMPUTED_VALUE"""),64.0)</f>
        <v>64</v>
      </c>
      <c r="F1137" s="19" t="str">
        <f>IFERROR(__xludf.DUMMYFUNCTION("""COMPUTED_VALUE"""),"BLACK")</f>
        <v>BLACK</v>
      </c>
      <c r="G1137" s="20" t="str">
        <f>IFERROR(__xludf.DUMMYFUNCTION("""COMPUTED_VALUE"""),"Uncle Sams Cider (11/12/2021) 02")</f>
        <v>Uncle Sams Cider (11/12/2021) 02</v>
      </c>
      <c r="H1137" s="19"/>
    </row>
    <row r="1138">
      <c r="A1138" s="9"/>
      <c r="B1138" s="15"/>
      <c r="C1138" s="9">
        <f>IFERROR(__xludf.DUMMYFUNCTION("""COMPUTED_VALUE"""),44593.6924949421)</f>
        <v>44593.69249</v>
      </c>
      <c r="D1138" s="15">
        <f>IFERROR(__xludf.DUMMYFUNCTION("""COMPUTED_VALUE"""),1.005)</f>
        <v>1.005</v>
      </c>
      <c r="E1138" s="16">
        <f>IFERROR(__xludf.DUMMYFUNCTION("""COMPUTED_VALUE"""),64.0)</f>
        <v>64</v>
      </c>
      <c r="F1138" s="19" t="str">
        <f>IFERROR(__xludf.DUMMYFUNCTION("""COMPUTED_VALUE"""),"BLACK")</f>
        <v>BLACK</v>
      </c>
      <c r="G1138" s="20" t="str">
        <f>IFERROR(__xludf.DUMMYFUNCTION("""COMPUTED_VALUE"""),"Uncle Sams Cider (11/12/2021) 02")</f>
        <v>Uncle Sams Cider (11/12/2021) 02</v>
      </c>
      <c r="H1138" s="19"/>
    </row>
    <row r="1139">
      <c r="A1139" s="9"/>
      <c r="B1139" s="15"/>
      <c r="C1139" s="9">
        <f>IFERROR(__xludf.DUMMYFUNCTION("""COMPUTED_VALUE"""),44593.6820756134)</f>
        <v>44593.68208</v>
      </c>
      <c r="D1139" s="15">
        <f>IFERROR(__xludf.DUMMYFUNCTION("""COMPUTED_VALUE"""),1.005)</f>
        <v>1.005</v>
      </c>
      <c r="E1139" s="16">
        <f>IFERROR(__xludf.DUMMYFUNCTION("""COMPUTED_VALUE"""),64.0)</f>
        <v>64</v>
      </c>
      <c r="F1139" s="19" t="str">
        <f>IFERROR(__xludf.DUMMYFUNCTION("""COMPUTED_VALUE"""),"BLACK")</f>
        <v>BLACK</v>
      </c>
      <c r="G1139" s="20" t="str">
        <f>IFERROR(__xludf.DUMMYFUNCTION("""COMPUTED_VALUE"""),"Uncle Sams Cider (11/12/2021) 02")</f>
        <v>Uncle Sams Cider (11/12/2021) 02</v>
      </c>
      <c r="H1139" s="19"/>
    </row>
    <row r="1140">
      <c r="A1140" s="9"/>
      <c r="B1140" s="15"/>
      <c r="C1140" s="9">
        <f>IFERROR(__xludf.DUMMYFUNCTION("""COMPUTED_VALUE"""),44593.6716543981)</f>
        <v>44593.67165</v>
      </c>
      <c r="D1140" s="15">
        <f>IFERROR(__xludf.DUMMYFUNCTION("""COMPUTED_VALUE"""),1.004)</f>
        <v>1.004</v>
      </c>
      <c r="E1140" s="16">
        <f>IFERROR(__xludf.DUMMYFUNCTION("""COMPUTED_VALUE"""),64.0)</f>
        <v>64</v>
      </c>
      <c r="F1140" s="19" t="str">
        <f>IFERROR(__xludf.DUMMYFUNCTION("""COMPUTED_VALUE"""),"BLACK")</f>
        <v>BLACK</v>
      </c>
      <c r="G1140" s="20" t="str">
        <f>IFERROR(__xludf.DUMMYFUNCTION("""COMPUTED_VALUE"""),"Uncle Sams Cider (11/12/2021) 02")</f>
        <v>Uncle Sams Cider (11/12/2021) 02</v>
      </c>
      <c r="H1140" s="19"/>
    </row>
    <row r="1141">
      <c r="A1141" s="9"/>
      <c r="B1141" s="15"/>
      <c r="C1141" s="9">
        <f>IFERROR(__xludf.DUMMYFUNCTION("""COMPUTED_VALUE"""),44593.6612206134)</f>
        <v>44593.66122</v>
      </c>
      <c r="D1141" s="15">
        <f>IFERROR(__xludf.DUMMYFUNCTION("""COMPUTED_VALUE"""),1.004)</f>
        <v>1.004</v>
      </c>
      <c r="E1141" s="16">
        <f>IFERROR(__xludf.DUMMYFUNCTION("""COMPUTED_VALUE"""),64.0)</f>
        <v>64</v>
      </c>
      <c r="F1141" s="19" t="str">
        <f>IFERROR(__xludf.DUMMYFUNCTION("""COMPUTED_VALUE"""),"BLACK")</f>
        <v>BLACK</v>
      </c>
      <c r="G1141" s="20" t="str">
        <f>IFERROR(__xludf.DUMMYFUNCTION("""COMPUTED_VALUE"""),"Uncle Sams Cider (11/12/2021) 02")</f>
        <v>Uncle Sams Cider (11/12/2021) 02</v>
      </c>
      <c r="H1141" s="19"/>
    </row>
    <row r="1142">
      <c r="A1142" s="9"/>
      <c r="B1142" s="15"/>
      <c r="C1142" s="9">
        <f>IFERROR(__xludf.DUMMYFUNCTION("""COMPUTED_VALUE"""),44593.6507753935)</f>
        <v>44593.65078</v>
      </c>
      <c r="D1142" s="15">
        <f>IFERROR(__xludf.DUMMYFUNCTION("""COMPUTED_VALUE"""),1.004)</f>
        <v>1.004</v>
      </c>
      <c r="E1142" s="16">
        <f>IFERROR(__xludf.DUMMYFUNCTION("""COMPUTED_VALUE"""),64.0)</f>
        <v>64</v>
      </c>
      <c r="F1142" s="19" t="str">
        <f>IFERROR(__xludf.DUMMYFUNCTION("""COMPUTED_VALUE"""),"BLACK")</f>
        <v>BLACK</v>
      </c>
      <c r="G1142" s="20" t="str">
        <f>IFERROR(__xludf.DUMMYFUNCTION("""COMPUTED_VALUE"""),"Uncle Sams Cider (11/12/2021) 02")</f>
        <v>Uncle Sams Cider (11/12/2021) 02</v>
      </c>
      <c r="H1142" s="19"/>
    </row>
    <row r="1143">
      <c r="A1143" s="9"/>
      <c r="B1143" s="15"/>
      <c r="C1143" s="9">
        <f>IFERROR(__xludf.DUMMYFUNCTION("""COMPUTED_VALUE"""),44593.6403448148)</f>
        <v>44593.64034</v>
      </c>
      <c r="D1143" s="15">
        <f>IFERROR(__xludf.DUMMYFUNCTION("""COMPUTED_VALUE"""),1.004)</f>
        <v>1.004</v>
      </c>
      <c r="E1143" s="16">
        <f>IFERROR(__xludf.DUMMYFUNCTION("""COMPUTED_VALUE"""),64.0)</f>
        <v>64</v>
      </c>
      <c r="F1143" s="19" t="str">
        <f>IFERROR(__xludf.DUMMYFUNCTION("""COMPUTED_VALUE"""),"BLACK")</f>
        <v>BLACK</v>
      </c>
      <c r="G1143" s="20" t="str">
        <f>IFERROR(__xludf.DUMMYFUNCTION("""COMPUTED_VALUE"""),"Uncle Sams Cider (11/12/2021) 02")</f>
        <v>Uncle Sams Cider (11/12/2021) 02</v>
      </c>
      <c r="H1143" s="19"/>
    </row>
    <row r="1144">
      <c r="A1144" s="9"/>
      <c r="B1144" s="15"/>
      <c r="C1144" s="9">
        <f>IFERROR(__xludf.DUMMYFUNCTION("""COMPUTED_VALUE"""),44593.6299230324)</f>
        <v>44593.62992</v>
      </c>
      <c r="D1144" s="15">
        <f>IFERROR(__xludf.DUMMYFUNCTION("""COMPUTED_VALUE"""),1.004)</f>
        <v>1.004</v>
      </c>
      <c r="E1144" s="16">
        <f>IFERROR(__xludf.DUMMYFUNCTION("""COMPUTED_VALUE"""),64.0)</f>
        <v>64</v>
      </c>
      <c r="F1144" s="19" t="str">
        <f>IFERROR(__xludf.DUMMYFUNCTION("""COMPUTED_VALUE"""),"BLACK")</f>
        <v>BLACK</v>
      </c>
      <c r="G1144" s="20" t="str">
        <f>IFERROR(__xludf.DUMMYFUNCTION("""COMPUTED_VALUE"""),"Uncle Sams Cider (11/12/2021) 02")</f>
        <v>Uncle Sams Cider (11/12/2021) 02</v>
      </c>
      <c r="H1144" s="19"/>
    </row>
    <row r="1145">
      <c r="A1145" s="9"/>
      <c r="B1145" s="15"/>
      <c r="C1145" s="9">
        <f>IFERROR(__xludf.DUMMYFUNCTION("""COMPUTED_VALUE"""),44593.6194912615)</f>
        <v>44593.61949</v>
      </c>
      <c r="D1145" s="15">
        <f>IFERROR(__xludf.DUMMYFUNCTION("""COMPUTED_VALUE"""),1.004)</f>
        <v>1.004</v>
      </c>
      <c r="E1145" s="16">
        <f>IFERROR(__xludf.DUMMYFUNCTION("""COMPUTED_VALUE"""),64.0)</f>
        <v>64</v>
      </c>
      <c r="F1145" s="19" t="str">
        <f>IFERROR(__xludf.DUMMYFUNCTION("""COMPUTED_VALUE"""),"BLACK")</f>
        <v>BLACK</v>
      </c>
      <c r="G1145" s="20" t="str">
        <f>IFERROR(__xludf.DUMMYFUNCTION("""COMPUTED_VALUE"""),"Uncle Sams Cider (11/12/2021) 02")</f>
        <v>Uncle Sams Cider (11/12/2021) 02</v>
      </c>
      <c r="H1145" s="19"/>
    </row>
    <row r="1146">
      <c r="A1146" s="9"/>
      <c r="B1146" s="15"/>
      <c r="C1146" s="9">
        <f>IFERROR(__xludf.DUMMYFUNCTION("""COMPUTED_VALUE"""),44593.6090688773)</f>
        <v>44593.60907</v>
      </c>
      <c r="D1146" s="15">
        <f>IFERROR(__xludf.DUMMYFUNCTION("""COMPUTED_VALUE"""),1.005)</f>
        <v>1.005</v>
      </c>
      <c r="E1146" s="16">
        <f>IFERROR(__xludf.DUMMYFUNCTION("""COMPUTED_VALUE"""),64.0)</f>
        <v>64</v>
      </c>
      <c r="F1146" s="19" t="str">
        <f>IFERROR(__xludf.DUMMYFUNCTION("""COMPUTED_VALUE"""),"BLACK")</f>
        <v>BLACK</v>
      </c>
      <c r="G1146" s="20" t="str">
        <f>IFERROR(__xludf.DUMMYFUNCTION("""COMPUTED_VALUE"""),"Uncle Sams Cider (11/12/2021) 02")</f>
        <v>Uncle Sams Cider (11/12/2021) 02</v>
      </c>
      <c r="H1146" s="19"/>
    </row>
    <row r="1147">
      <c r="A1147" s="9"/>
      <c r="B1147" s="15"/>
      <c r="C1147" s="9">
        <f>IFERROR(__xludf.DUMMYFUNCTION("""COMPUTED_VALUE"""),44593.5986479166)</f>
        <v>44593.59865</v>
      </c>
      <c r="D1147" s="15">
        <f>IFERROR(__xludf.DUMMYFUNCTION("""COMPUTED_VALUE"""),1.004)</f>
        <v>1.004</v>
      </c>
      <c r="E1147" s="16">
        <f>IFERROR(__xludf.DUMMYFUNCTION("""COMPUTED_VALUE"""),64.0)</f>
        <v>64</v>
      </c>
      <c r="F1147" s="19" t="str">
        <f>IFERROR(__xludf.DUMMYFUNCTION("""COMPUTED_VALUE"""),"BLACK")</f>
        <v>BLACK</v>
      </c>
      <c r="G1147" s="20" t="str">
        <f>IFERROR(__xludf.DUMMYFUNCTION("""COMPUTED_VALUE"""),"Uncle Sams Cider (11/12/2021) 02")</f>
        <v>Uncle Sams Cider (11/12/2021) 02</v>
      </c>
      <c r="H1147" s="19"/>
    </row>
    <row r="1148">
      <c r="A1148" s="9"/>
      <c r="B1148" s="15"/>
      <c r="C1148" s="9">
        <f>IFERROR(__xludf.DUMMYFUNCTION("""COMPUTED_VALUE"""),44593.5882031018)</f>
        <v>44593.5882</v>
      </c>
      <c r="D1148" s="15">
        <f>IFERROR(__xludf.DUMMYFUNCTION("""COMPUTED_VALUE"""),1.004)</f>
        <v>1.004</v>
      </c>
      <c r="E1148" s="16">
        <f>IFERROR(__xludf.DUMMYFUNCTION("""COMPUTED_VALUE"""),64.0)</f>
        <v>64</v>
      </c>
      <c r="F1148" s="19" t="str">
        <f>IFERROR(__xludf.DUMMYFUNCTION("""COMPUTED_VALUE"""),"BLACK")</f>
        <v>BLACK</v>
      </c>
      <c r="G1148" s="20" t="str">
        <f>IFERROR(__xludf.DUMMYFUNCTION("""COMPUTED_VALUE"""),"Uncle Sams Cider (11/12/2021) 02")</f>
        <v>Uncle Sams Cider (11/12/2021) 02</v>
      </c>
      <c r="H1148" s="19"/>
    </row>
    <row r="1149">
      <c r="A1149" s="9"/>
      <c r="B1149" s="15"/>
      <c r="C1149" s="9">
        <f>IFERROR(__xludf.DUMMYFUNCTION("""COMPUTED_VALUE"""),44593.5777820833)</f>
        <v>44593.57778</v>
      </c>
      <c r="D1149" s="15">
        <f>IFERROR(__xludf.DUMMYFUNCTION("""COMPUTED_VALUE"""),1.004)</f>
        <v>1.004</v>
      </c>
      <c r="E1149" s="16">
        <f>IFERROR(__xludf.DUMMYFUNCTION("""COMPUTED_VALUE"""),64.0)</f>
        <v>64</v>
      </c>
      <c r="F1149" s="19" t="str">
        <f>IFERROR(__xludf.DUMMYFUNCTION("""COMPUTED_VALUE"""),"BLACK")</f>
        <v>BLACK</v>
      </c>
      <c r="G1149" s="20" t="str">
        <f>IFERROR(__xludf.DUMMYFUNCTION("""COMPUTED_VALUE"""),"Uncle Sams Cider (11/12/2021) 02")</f>
        <v>Uncle Sams Cider (11/12/2021) 02</v>
      </c>
      <c r="H1149" s="19"/>
    </row>
    <row r="1150">
      <c r="A1150" s="9"/>
      <c r="B1150" s="15"/>
      <c r="C1150" s="9">
        <f>IFERROR(__xludf.DUMMYFUNCTION("""COMPUTED_VALUE"""),44593.5673607638)</f>
        <v>44593.56736</v>
      </c>
      <c r="D1150" s="15">
        <f>IFERROR(__xludf.DUMMYFUNCTION("""COMPUTED_VALUE"""),1.004)</f>
        <v>1.004</v>
      </c>
      <c r="E1150" s="16">
        <f>IFERROR(__xludf.DUMMYFUNCTION("""COMPUTED_VALUE"""),64.0)</f>
        <v>64</v>
      </c>
      <c r="F1150" s="19" t="str">
        <f>IFERROR(__xludf.DUMMYFUNCTION("""COMPUTED_VALUE"""),"BLACK")</f>
        <v>BLACK</v>
      </c>
      <c r="G1150" s="20" t="str">
        <f>IFERROR(__xludf.DUMMYFUNCTION("""COMPUTED_VALUE"""),"Uncle Sams Cider (11/12/2021) 02")</f>
        <v>Uncle Sams Cider (11/12/2021) 02</v>
      </c>
      <c r="H1150" s="19"/>
    </row>
    <row r="1151">
      <c r="A1151" s="9"/>
      <c r="B1151" s="15"/>
      <c r="C1151" s="9">
        <f>IFERROR(__xludf.DUMMYFUNCTION("""COMPUTED_VALUE"""),44593.5569405324)</f>
        <v>44593.55694</v>
      </c>
      <c r="D1151" s="15">
        <f>IFERROR(__xludf.DUMMYFUNCTION("""COMPUTED_VALUE"""),1.004)</f>
        <v>1.004</v>
      </c>
      <c r="E1151" s="16">
        <f>IFERROR(__xludf.DUMMYFUNCTION("""COMPUTED_VALUE"""),64.0)</f>
        <v>64</v>
      </c>
      <c r="F1151" s="19" t="str">
        <f>IFERROR(__xludf.DUMMYFUNCTION("""COMPUTED_VALUE"""),"BLACK")</f>
        <v>BLACK</v>
      </c>
      <c r="G1151" s="20" t="str">
        <f>IFERROR(__xludf.DUMMYFUNCTION("""COMPUTED_VALUE"""),"Uncle Sams Cider (11/12/2021) 02")</f>
        <v>Uncle Sams Cider (11/12/2021) 02</v>
      </c>
      <c r="H1151" s="19"/>
    </row>
    <row r="1152">
      <c r="A1152" s="9"/>
      <c r="B1152" s="15"/>
      <c r="C1152" s="9">
        <f>IFERROR(__xludf.DUMMYFUNCTION("""COMPUTED_VALUE"""),44593.5464845949)</f>
        <v>44593.54648</v>
      </c>
      <c r="D1152" s="15">
        <f>IFERROR(__xludf.DUMMYFUNCTION("""COMPUTED_VALUE"""),1.004)</f>
        <v>1.004</v>
      </c>
      <c r="E1152" s="16">
        <f>IFERROR(__xludf.DUMMYFUNCTION("""COMPUTED_VALUE"""),64.0)</f>
        <v>64</v>
      </c>
      <c r="F1152" s="19" t="str">
        <f>IFERROR(__xludf.DUMMYFUNCTION("""COMPUTED_VALUE"""),"BLACK")</f>
        <v>BLACK</v>
      </c>
      <c r="G1152" s="20" t="str">
        <f>IFERROR(__xludf.DUMMYFUNCTION("""COMPUTED_VALUE"""),"Uncle Sams Cider (11/12/2021) 02")</f>
        <v>Uncle Sams Cider (11/12/2021) 02</v>
      </c>
      <c r="H1152" s="19"/>
    </row>
    <row r="1153">
      <c r="A1153" s="9"/>
      <c r="B1153" s="15"/>
      <c r="C1153" s="9">
        <f>IFERROR(__xludf.DUMMYFUNCTION("""COMPUTED_VALUE"""),44593.5360415509)</f>
        <v>44593.53604</v>
      </c>
      <c r="D1153" s="15">
        <f>IFERROR(__xludf.DUMMYFUNCTION("""COMPUTED_VALUE"""),1.005)</f>
        <v>1.005</v>
      </c>
      <c r="E1153" s="16">
        <f>IFERROR(__xludf.DUMMYFUNCTION("""COMPUTED_VALUE"""),64.0)</f>
        <v>64</v>
      </c>
      <c r="F1153" s="19" t="str">
        <f>IFERROR(__xludf.DUMMYFUNCTION("""COMPUTED_VALUE"""),"BLACK")</f>
        <v>BLACK</v>
      </c>
      <c r="G1153" s="20" t="str">
        <f>IFERROR(__xludf.DUMMYFUNCTION("""COMPUTED_VALUE"""),"Uncle Sams Cider (11/12/2021) 02")</f>
        <v>Uncle Sams Cider (11/12/2021) 02</v>
      </c>
      <c r="H1153" s="19"/>
    </row>
    <row r="1154">
      <c r="A1154" s="9"/>
      <c r="B1154" s="15"/>
      <c r="C1154" s="9">
        <f>IFERROR(__xludf.DUMMYFUNCTION("""COMPUTED_VALUE"""),44593.5256213888)</f>
        <v>44593.52562</v>
      </c>
      <c r="D1154" s="15">
        <f>IFERROR(__xludf.DUMMYFUNCTION("""COMPUTED_VALUE"""),1.004)</f>
        <v>1.004</v>
      </c>
      <c r="E1154" s="16">
        <f>IFERROR(__xludf.DUMMYFUNCTION("""COMPUTED_VALUE"""),64.0)</f>
        <v>64</v>
      </c>
      <c r="F1154" s="19" t="str">
        <f>IFERROR(__xludf.DUMMYFUNCTION("""COMPUTED_VALUE"""),"BLACK")</f>
        <v>BLACK</v>
      </c>
      <c r="G1154" s="20" t="str">
        <f>IFERROR(__xludf.DUMMYFUNCTION("""COMPUTED_VALUE"""),"Uncle Sams Cider (11/12/2021) 02")</f>
        <v>Uncle Sams Cider (11/12/2021) 02</v>
      </c>
      <c r="H1154" s="19"/>
    </row>
    <row r="1155">
      <c r="A1155" s="9"/>
      <c r="B1155" s="15"/>
      <c r="C1155" s="9">
        <f>IFERROR(__xludf.DUMMYFUNCTION("""COMPUTED_VALUE"""),44593.5151894907)</f>
        <v>44593.51519</v>
      </c>
      <c r="D1155" s="15">
        <f>IFERROR(__xludf.DUMMYFUNCTION("""COMPUTED_VALUE"""),1.004)</f>
        <v>1.004</v>
      </c>
      <c r="E1155" s="16">
        <f>IFERROR(__xludf.DUMMYFUNCTION("""COMPUTED_VALUE"""),64.0)</f>
        <v>64</v>
      </c>
      <c r="F1155" s="19" t="str">
        <f>IFERROR(__xludf.DUMMYFUNCTION("""COMPUTED_VALUE"""),"BLACK")</f>
        <v>BLACK</v>
      </c>
      <c r="G1155" s="20" t="str">
        <f>IFERROR(__xludf.DUMMYFUNCTION("""COMPUTED_VALUE"""),"Uncle Sams Cider (11/12/2021) 02")</f>
        <v>Uncle Sams Cider (11/12/2021) 02</v>
      </c>
      <c r="H1155" s="19"/>
    </row>
    <row r="1156">
      <c r="A1156" s="9"/>
      <c r="B1156" s="15"/>
      <c r="C1156" s="9">
        <f>IFERROR(__xludf.DUMMYFUNCTION("""COMPUTED_VALUE"""),44593.5047343865)</f>
        <v>44593.50473</v>
      </c>
      <c r="D1156" s="15">
        <f>IFERROR(__xludf.DUMMYFUNCTION("""COMPUTED_VALUE"""),1.004)</f>
        <v>1.004</v>
      </c>
      <c r="E1156" s="16">
        <f>IFERROR(__xludf.DUMMYFUNCTION("""COMPUTED_VALUE"""),64.0)</f>
        <v>64</v>
      </c>
      <c r="F1156" s="19" t="str">
        <f>IFERROR(__xludf.DUMMYFUNCTION("""COMPUTED_VALUE"""),"BLACK")</f>
        <v>BLACK</v>
      </c>
      <c r="G1156" s="20" t="str">
        <f>IFERROR(__xludf.DUMMYFUNCTION("""COMPUTED_VALUE"""),"Uncle Sams Cider (11/12/2021) 02")</f>
        <v>Uncle Sams Cider (11/12/2021) 02</v>
      </c>
      <c r="H1156" s="19"/>
    </row>
    <row r="1157">
      <c r="A1157" s="9"/>
      <c r="B1157" s="15"/>
      <c r="C1157" s="9">
        <f>IFERROR(__xludf.DUMMYFUNCTION("""COMPUTED_VALUE"""),44593.4942441435)</f>
        <v>44593.49424</v>
      </c>
      <c r="D1157" s="15">
        <f>IFERROR(__xludf.DUMMYFUNCTION("""COMPUTED_VALUE"""),1.004)</f>
        <v>1.004</v>
      </c>
      <c r="E1157" s="16">
        <f>IFERROR(__xludf.DUMMYFUNCTION("""COMPUTED_VALUE"""),64.0)</f>
        <v>64</v>
      </c>
      <c r="F1157" s="19" t="str">
        <f>IFERROR(__xludf.DUMMYFUNCTION("""COMPUTED_VALUE"""),"BLACK")</f>
        <v>BLACK</v>
      </c>
      <c r="G1157" s="20" t="str">
        <f>IFERROR(__xludf.DUMMYFUNCTION("""COMPUTED_VALUE"""),"Uncle Sams Cider (11/12/2021) 02")</f>
        <v>Uncle Sams Cider (11/12/2021) 02</v>
      </c>
      <c r="H1157" s="19"/>
    </row>
    <row r="1158">
      <c r="A1158" s="9"/>
      <c r="B1158" s="15"/>
      <c r="C1158" s="9">
        <f>IFERROR(__xludf.DUMMYFUNCTION("""COMPUTED_VALUE"""),44593.4838210532)</f>
        <v>44593.48382</v>
      </c>
      <c r="D1158" s="15">
        <f>IFERROR(__xludf.DUMMYFUNCTION("""COMPUTED_VALUE"""),1.004)</f>
        <v>1.004</v>
      </c>
      <c r="E1158" s="16">
        <f>IFERROR(__xludf.DUMMYFUNCTION("""COMPUTED_VALUE"""),64.0)</f>
        <v>64</v>
      </c>
      <c r="F1158" s="19" t="str">
        <f>IFERROR(__xludf.DUMMYFUNCTION("""COMPUTED_VALUE"""),"BLACK")</f>
        <v>BLACK</v>
      </c>
      <c r="G1158" s="20" t="str">
        <f>IFERROR(__xludf.DUMMYFUNCTION("""COMPUTED_VALUE"""),"Uncle Sams Cider (11/12/2021) 02")</f>
        <v>Uncle Sams Cider (11/12/2021) 02</v>
      </c>
      <c r="H1158" s="19"/>
    </row>
    <row r="1159">
      <c r="A1159" s="9"/>
      <c r="B1159" s="15"/>
      <c r="C1159" s="9">
        <f>IFERROR(__xludf.DUMMYFUNCTION("""COMPUTED_VALUE"""),44593.4733654166)</f>
        <v>44593.47337</v>
      </c>
      <c r="D1159" s="15">
        <f>IFERROR(__xludf.DUMMYFUNCTION("""COMPUTED_VALUE"""),1.004)</f>
        <v>1.004</v>
      </c>
      <c r="E1159" s="16">
        <f>IFERROR(__xludf.DUMMYFUNCTION("""COMPUTED_VALUE"""),64.0)</f>
        <v>64</v>
      </c>
      <c r="F1159" s="19" t="str">
        <f>IFERROR(__xludf.DUMMYFUNCTION("""COMPUTED_VALUE"""),"BLACK")</f>
        <v>BLACK</v>
      </c>
      <c r="G1159" s="20" t="str">
        <f>IFERROR(__xludf.DUMMYFUNCTION("""COMPUTED_VALUE"""),"Uncle Sams Cider (11/12/2021) 02")</f>
        <v>Uncle Sams Cider (11/12/2021) 02</v>
      </c>
      <c r="H1159" s="19"/>
    </row>
    <row r="1160">
      <c r="A1160" s="9"/>
      <c r="B1160" s="15"/>
      <c r="C1160" s="9">
        <f>IFERROR(__xludf.DUMMYFUNCTION("""COMPUTED_VALUE"""),44593.46287228)</f>
        <v>44593.46287</v>
      </c>
      <c r="D1160" s="15">
        <f>IFERROR(__xludf.DUMMYFUNCTION("""COMPUTED_VALUE"""),1.004)</f>
        <v>1.004</v>
      </c>
      <c r="E1160" s="16">
        <f>IFERROR(__xludf.DUMMYFUNCTION("""COMPUTED_VALUE"""),64.0)</f>
        <v>64</v>
      </c>
      <c r="F1160" s="19" t="str">
        <f>IFERROR(__xludf.DUMMYFUNCTION("""COMPUTED_VALUE"""),"BLACK")</f>
        <v>BLACK</v>
      </c>
      <c r="G1160" s="20" t="str">
        <f>IFERROR(__xludf.DUMMYFUNCTION("""COMPUTED_VALUE"""),"Uncle Sams Cider (11/12/2021) 02")</f>
        <v>Uncle Sams Cider (11/12/2021) 02</v>
      </c>
      <c r="H1160" s="19"/>
    </row>
    <row r="1161">
      <c r="A1161" s="9"/>
      <c r="B1161" s="15"/>
      <c r="C1161" s="9">
        <f>IFERROR(__xludf.DUMMYFUNCTION("""COMPUTED_VALUE"""),44593.4524385995)</f>
        <v>44593.45244</v>
      </c>
      <c r="D1161" s="15">
        <f>IFERROR(__xludf.DUMMYFUNCTION("""COMPUTED_VALUE"""),1.004)</f>
        <v>1.004</v>
      </c>
      <c r="E1161" s="16">
        <f>IFERROR(__xludf.DUMMYFUNCTION("""COMPUTED_VALUE"""),64.0)</f>
        <v>64</v>
      </c>
      <c r="F1161" s="19" t="str">
        <f>IFERROR(__xludf.DUMMYFUNCTION("""COMPUTED_VALUE"""),"BLACK")</f>
        <v>BLACK</v>
      </c>
      <c r="G1161" s="20" t="str">
        <f>IFERROR(__xludf.DUMMYFUNCTION("""COMPUTED_VALUE"""),"Uncle Sams Cider (11/12/2021) 02")</f>
        <v>Uncle Sams Cider (11/12/2021) 02</v>
      </c>
      <c r="H1161" s="19"/>
    </row>
    <row r="1162">
      <c r="A1162" s="9"/>
      <c r="B1162" s="15"/>
      <c r="C1162" s="9">
        <f>IFERROR(__xludf.DUMMYFUNCTION("""COMPUTED_VALUE"""),44593.4420168865)</f>
        <v>44593.44202</v>
      </c>
      <c r="D1162" s="15">
        <f>IFERROR(__xludf.DUMMYFUNCTION("""COMPUTED_VALUE"""),1.004)</f>
        <v>1.004</v>
      </c>
      <c r="E1162" s="16">
        <f>IFERROR(__xludf.DUMMYFUNCTION("""COMPUTED_VALUE"""),65.0)</f>
        <v>65</v>
      </c>
      <c r="F1162" s="19" t="str">
        <f>IFERROR(__xludf.DUMMYFUNCTION("""COMPUTED_VALUE"""),"BLACK")</f>
        <v>BLACK</v>
      </c>
      <c r="G1162" s="20" t="str">
        <f>IFERROR(__xludf.DUMMYFUNCTION("""COMPUTED_VALUE"""),"Uncle Sams Cider (11/12/2021) 02")</f>
        <v>Uncle Sams Cider (11/12/2021) 02</v>
      </c>
      <c r="H1162" s="19"/>
    </row>
    <row r="1163">
      <c r="A1163" s="9"/>
      <c r="B1163" s="15"/>
      <c r="C1163" s="9">
        <f>IFERROR(__xludf.DUMMYFUNCTION("""COMPUTED_VALUE"""),44593.4315737384)</f>
        <v>44593.43157</v>
      </c>
      <c r="D1163" s="15">
        <f>IFERROR(__xludf.DUMMYFUNCTION("""COMPUTED_VALUE"""),1.004)</f>
        <v>1.004</v>
      </c>
      <c r="E1163" s="16">
        <f>IFERROR(__xludf.DUMMYFUNCTION("""COMPUTED_VALUE"""),65.0)</f>
        <v>65</v>
      </c>
      <c r="F1163" s="19" t="str">
        <f>IFERROR(__xludf.DUMMYFUNCTION("""COMPUTED_VALUE"""),"BLACK")</f>
        <v>BLACK</v>
      </c>
      <c r="G1163" s="20" t="str">
        <f>IFERROR(__xludf.DUMMYFUNCTION("""COMPUTED_VALUE"""),"Uncle Sams Cider (11/12/2021) 02")</f>
        <v>Uncle Sams Cider (11/12/2021) 02</v>
      </c>
      <c r="H1163" s="19"/>
    </row>
    <row r="1164">
      <c r="A1164" s="9"/>
      <c r="B1164" s="15"/>
      <c r="C1164" s="9">
        <f>IFERROR(__xludf.DUMMYFUNCTION("""COMPUTED_VALUE"""),44593.4211406249)</f>
        <v>44593.42114</v>
      </c>
      <c r="D1164" s="15">
        <f>IFERROR(__xludf.DUMMYFUNCTION("""COMPUTED_VALUE"""),1.004)</f>
        <v>1.004</v>
      </c>
      <c r="E1164" s="16">
        <f>IFERROR(__xludf.DUMMYFUNCTION("""COMPUTED_VALUE"""),65.0)</f>
        <v>65</v>
      </c>
      <c r="F1164" s="19" t="str">
        <f>IFERROR(__xludf.DUMMYFUNCTION("""COMPUTED_VALUE"""),"BLACK")</f>
        <v>BLACK</v>
      </c>
      <c r="G1164" s="20" t="str">
        <f>IFERROR(__xludf.DUMMYFUNCTION("""COMPUTED_VALUE"""),"Uncle Sams Cider (11/12/2021) 02")</f>
        <v>Uncle Sams Cider (11/12/2021) 02</v>
      </c>
      <c r="H1164" s="19"/>
    </row>
    <row r="1165">
      <c r="A1165" s="9"/>
      <c r="B1165" s="15"/>
      <c r="C1165" s="9">
        <f>IFERROR(__xludf.DUMMYFUNCTION("""COMPUTED_VALUE"""),44593.4107078356)</f>
        <v>44593.41071</v>
      </c>
      <c r="D1165" s="15">
        <f>IFERROR(__xludf.DUMMYFUNCTION("""COMPUTED_VALUE"""),1.004)</f>
        <v>1.004</v>
      </c>
      <c r="E1165" s="16">
        <f>IFERROR(__xludf.DUMMYFUNCTION("""COMPUTED_VALUE"""),65.0)</f>
        <v>65</v>
      </c>
      <c r="F1165" s="19" t="str">
        <f>IFERROR(__xludf.DUMMYFUNCTION("""COMPUTED_VALUE"""),"BLACK")</f>
        <v>BLACK</v>
      </c>
      <c r="G1165" s="20" t="str">
        <f>IFERROR(__xludf.DUMMYFUNCTION("""COMPUTED_VALUE"""),"Uncle Sams Cider (11/12/2021) 02")</f>
        <v>Uncle Sams Cider (11/12/2021) 02</v>
      </c>
      <c r="H1165" s="19"/>
    </row>
    <row r="1166">
      <c r="A1166" s="9"/>
      <c r="B1166" s="15"/>
      <c r="C1166" s="9">
        <f>IFERROR(__xludf.DUMMYFUNCTION("""COMPUTED_VALUE"""),44593.4002873379)</f>
        <v>44593.40029</v>
      </c>
      <c r="D1166" s="15">
        <f>IFERROR(__xludf.DUMMYFUNCTION("""COMPUTED_VALUE"""),1.004)</f>
        <v>1.004</v>
      </c>
      <c r="E1166" s="16">
        <f>IFERROR(__xludf.DUMMYFUNCTION("""COMPUTED_VALUE"""),65.0)</f>
        <v>65</v>
      </c>
      <c r="F1166" s="19" t="str">
        <f>IFERROR(__xludf.DUMMYFUNCTION("""COMPUTED_VALUE"""),"BLACK")</f>
        <v>BLACK</v>
      </c>
      <c r="G1166" s="20" t="str">
        <f>IFERROR(__xludf.DUMMYFUNCTION("""COMPUTED_VALUE"""),"Uncle Sams Cider (11/12/2021) 02")</f>
        <v>Uncle Sams Cider (11/12/2021) 02</v>
      </c>
      <c r="H1166" s="19"/>
    </row>
    <row r="1167">
      <c r="A1167" s="9"/>
      <c r="B1167" s="15"/>
      <c r="C1167" s="9">
        <f>IFERROR(__xludf.DUMMYFUNCTION("""COMPUTED_VALUE"""),44593.3898667476)</f>
        <v>44593.38987</v>
      </c>
      <c r="D1167" s="15">
        <f>IFERROR(__xludf.DUMMYFUNCTION("""COMPUTED_VALUE"""),1.004)</f>
        <v>1.004</v>
      </c>
      <c r="E1167" s="16">
        <f>IFERROR(__xludf.DUMMYFUNCTION("""COMPUTED_VALUE"""),65.0)</f>
        <v>65</v>
      </c>
      <c r="F1167" s="19" t="str">
        <f>IFERROR(__xludf.DUMMYFUNCTION("""COMPUTED_VALUE"""),"BLACK")</f>
        <v>BLACK</v>
      </c>
      <c r="G1167" s="20" t="str">
        <f>IFERROR(__xludf.DUMMYFUNCTION("""COMPUTED_VALUE"""),"Uncle Sams Cider (11/12/2021) 02")</f>
        <v>Uncle Sams Cider (11/12/2021) 02</v>
      </c>
      <c r="H1167" s="19"/>
    </row>
    <row r="1168">
      <c r="A1168" s="9"/>
      <c r="B1168" s="15"/>
      <c r="C1168" s="9">
        <f>IFERROR(__xludf.DUMMYFUNCTION("""COMPUTED_VALUE"""),44593.3794446412)</f>
        <v>44593.37944</v>
      </c>
      <c r="D1168" s="15">
        <f>IFERROR(__xludf.DUMMYFUNCTION("""COMPUTED_VALUE"""),1.004)</f>
        <v>1.004</v>
      </c>
      <c r="E1168" s="16">
        <f>IFERROR(__xludf.DUMMYFUNCTION("""COMPUTED_VALUE"""),65.0)</f>
        <v>65</v>
      </c>
      <c r="F1168" s="19" t="str">
        <f>IFERROR(__xludf.DUMMYFUNCTION("""COMPUTED_VALUE"""),"BLACK")</f>
        <v>BLACK</v>
      </c>
      <c r="G1168" s="20" t="str">
        <f>IFERROR(__xludf.DUMMYFUNCTION("""COMPUTED_VALUE"""),"Uncle Sams Cider (11/12/2021) 02")</f>
        <v>Uncle Sams Cider (11/12/2021) 02</v>
      </c>
      <c r="H1168" s="19"/>
    </row>
    <row r="1169">
      <c r="A1169" s="9"/>
      <c r="B1169" s="15"/>
      <c r="C1169" s="9">
        <f>IFERROR(__xludf.DUMMYFUNCTION("""COMPUTED_VALUE"""),44593.3690246527)</f>
        <v>44593.36902</v>
      </c>
      <c r="D1169" s="15">
        <f>IFERROR(__xludf.DUMMYFUNCTION("""COMPUTED_VALUE"""),1.004)</f>
        <v>1.004</v>
      </c>
      <c r="E1169" s="16">
        <f>IFERROR(__xludf.DUMMYFUNCTION("""COMPUTED_VALUE"""),65.0)</f>
        <v>65</v>
      </c>
      <c r="F1169" s="19" t="str">
        <f>IFERROR(__xludf.DUMMYFUNCTION("""COMPUTED_VALUE"""),"BLACK")</f>
        <v>BLACK</v>
      </c>
      <c r="G1169" s="20" t="str">
        <f>IFERROR(__xludf.DUMMYFUNCTION("""COMPUTED_VALUE"""),"Uncle Sams Cider (11/12/2021) 02")</f>
        <v>Uncle Sams Cider (11/12/2021) 02</v>
      </c>
      <c r="H1169" s="19"/>
    </row>
    <row r="1170">
      <c r="A1170" s="9"/>
      <c r="B1170" s="15"/>
      <c r="C1170" s="9">
        <f>IFERROR(__xludf.DUMMYFUNCTION("""COMPUTED_VALUE"""),44593.3586035763)</f>
        <v>44593.3586</v>
      </c>
      <c r="D1170" s="15">
        <f>IFERROR(__xludf.DUMMYFUNCTION("""COMPUTED_VALUE"""),1.004)</f>
        <v>1.004</v>
      </c>
      <c r="E1170" s="16">
        <f>IFERROR(__xludf.DUMMYFUNCTION("""COMPUTED_VALUE"""),65.0)</f>
        <v>65</v>
      </c>
      <c r="F1170" s="19" t="str">
        <f>IFERROR(__xludf.DUMMYFUNCTION("""COMPUTED_VALUE"""),"BLACK")</f>
        <v>BLACK</v>
      </c>
      <c r="G1170" s="20" t="str">
        <f>IFERROR(__xludf.DUMMYFUNCTION("""COMPUTED_VALUE"""),"Uncle Sams Cider (11/12/2021) 02")</f>
        <v>Uncle Sams Cider (11/12/2021) 02</v>
      </c>
      <c r="H1170" s="19"/>
    </row>
    <row r="1171">
      <c r="A1171" s="9"/>
      <c r="B1171" s="15"/>
      <c r="C1171" s="9">
        <f>IFERROR(__xludf.DUMMYFUNCTION("""COMPUTED_VALUE"""),44593.3481815393)</f>
        <v>44593.34818</v>
      </c>
      <c r="D1171" s="15">
        <f>IFERROR(__xludf.DUMMYFUNCTION("""COMPUTED_VALUE"""),1.004)</f>
        <v>1.004</v>
      </c>
      <c r="E1171" s="16">
        <f>IFERROR(__xludf.DUMMYFUNCTION("""COMPUTED_VALUE"""),65.0)</f>
        <v>65</v>
      </c>
      <c r="F1171" s="19" t="str">
        <f>IFERROR(__xludf.DUMMYFUNCTION("""COMPUTED_VALUE"""),"BLACK")</f>
        <v>BLACK</v>
      </c>
      <c r="G1171" s="20" t="str">
        <f>IFERROR(__xludf.DUMMYFUNCTION("""COMPUTED_VALUE"""),"Uncle Sams Cider (11/12/2021) 02")</f>
        <v>Uncle Sams Cider (11/12/2021) 02</v>
      </c>
      <c r="H1171" s="19"/>
    </row>
    <row r="1172">
      <c r="A1172" s="9"/>
      <c r="B1172" s="15"/>
      <c r="C1172" s="9">
        <f>IFERROR(__xludf.DUMMYFUNCTION("""COMPUTED_VALUE"""),44593.3377595717)</f>
        <v>44593.33776</v>
      </c>
      <c r="D1172" s="15">
        <f>IFERROR(__xludf.DUMMYFUNCTION("""COMPUTED_VALUE"""),1.004)</f>
        <v>1.004</v>
      </c>
      <c r="E1172" s="16">
        <f>IFERROR(__xludf.DUMMYFUNCTION("""COMPUTED_VALUE"""),65.0)</f>
        <v>65</v>
      </c>
      <c r="F1172" s="19" t="str">
        <f>IFERROR(__xludf.DUMMYFUNCTION("""COMPUTED_VALUE"""),"BLACK")</f>
        <v>BLACK</v>
      </c>
      <c r="G1172" s="20" t="str">
        <f>IFERROR(__xludf.DUMMYFUNCTION("""COMPUTED_VALUE"""),"Uncle Sams Cider (11/12/2021) 02")</f>
        <v>Uncle Sams Cider (11/12/2021) 02</v>
      </c>
      <c r="H1172" s="19"/>
    </row>
    <row r="1173">
      <c r="A1173" s="9"/>
      <c r="B1173" s="15"/>
      <c r="C1173" s="9">
        <f>IFERROR(__xludf.DUMMYFUNCTION("""COMPUTED_VALUE"""),44593.3273390509)</f>
        <v>44593.32734</v>
      </c>
      <c r="D1173" s="15">
        <f>IFERROR(__xludf.DUMMYFUNCTION("""COMPUTED_VALUE"""),1.004)</f>
        <v>1.004</v>
      </c>
      <c r="E1173" s="16">
        <f>IFERROR(__xludf.DUMMYFUNCTION("""COMPUTED_VALUE"""),65.0)</f>
        <v>65</v>
      </c>
      <c r="F1173" s="19" t="str">
        <f>IFERROR(__xludf.DUMMYFUNCTION("""COMPUTED_VALUE"""),"BLACK")</f>
        <v>BLACK</v>
      </c>
      <c r="G1173" s="20" t="str">
        <f>IFERROR(__xludf.DUMMYFUNCTION("""COMPUTED_VALUE"""),"Uncle Sams Cider (11/12/2021) 02")</f>
        <v>Uncle Sams Cider (11/12/2021) 02</v>
      </c>
      <c r="H1173" s="19"/>
    </row>
    <row r="1174">
      <c r="A1174" s="9"/>
      <c r="B1174" s="15"/>
      <c r="C1174" s="9">
        <f>IFERROR(__xludf.DUMMYFUNCTION("""COMPUTED_VALUE"""),44593.3169173032)</f>
        <v>44593.31692</v>
      </c>
      <c r="D1174" s="15">
        <f>IFERROR(__xludf.DUMMYFUNCTION("""COMPUTED_VALUE"""),1.004)</f>
        <v>1.004</v>
      </c>
      <c r="E1174" s="16">
        <f>IFERROR(__xludf.DUMMYFUNCTION("""COMPUTED_VALUE"""),65.0)</f>
        <v>65</v>
      </c>
      <c r="F1174" s="19" t="str">
        <f>IFERROR(__xludf.DUMMYFUNCTION("""COMPUTED_VALUE"""),"BLACK")</f>
        <v>BLACK</v>
      </c>
      <c r="G1174" s="20" t="str">
        <f>IFERROR(__xludf.DUMMYFUNCTION("""COMPUTED_VALUE"""),"Uncle Sams Cider (11/12/2021) 02")</f>
        <v>Uncle Sams Cider (11/12/2021) 02</v>
      </c>
      <c r="H1174" s="19"/>
    </row>
    <row r="1175">
      <c r="A1175" s="9"/>
      <c r="B1175" s="15"/>
      <c r="C1175" s="9">
        <f>IFERROR(__xludf.DUMMYFUNCTION("""COMPUTED_VALUE"""),44593.3064590277)</f>
        <v>44593.30646</v>
      </c>
      <c r="D1175" s="15">
        <f>IFERROR(__xludf.DUMMYFUNCTION("""COMPUTED_VALUE"""),1.004)</f>
        <v>1.004</v>
      </c>
      <c r="E1175" s="16">
        <f>IFERROR(__xludf.DUMMYFUNCTION("""COMPUTED_VALUE"""),65.0)</f>
        <v>65</v>
      </c>
      <c r="F1175" s="19" t="str">
        <f>IFERROR(__xludf.DUMMYFUNCTION("""COMPUTED_VALUE"""),"BLACK")</f>
        <v>BLACK</v>
      </c>
      <c r="G1175" s="20" t="str">
        <f>IFERROR(__xludf.DUMMYFUNCTION("""COMPUTED_VALUE"""),"Uncle Sams Cider (11/12/2021) 02")</f>
        <v>Uncle Sams Cider (11/12/2021) 02</v>
      </c>
      <c r="H1175" s="19"/>
    </row>
    <row r="1176">
      <c r="A1176" s="9"/>
      <c r="B1176" s="15"/>
      <c r="C1176" s="9">
        <f>IFERROR(__xludf.DUMMYFUNCTION("""COMPUTED_VALUE"""),44593.296036574)</f>
        <v>44593.29604</v>
      </c>
      <c r="D1176" s="15">
        <f>IFERROR(__xludf.DUMMYFUNCTION("""COMPUTED_VALUE"""),1.004)</f>
        <v>1.004</v>
      </c>
      <c r="E1176" s="16">
        <f>IFERROR(__xludf.DUMMYFUNCTION("""COMPUTED_VALUE"""),65.0)</f>
        <v>65</v>
      </c>
      <c r="F1176" s="19" t="str">
        <f>IFERROR(__xludf.DUMMYFUNCTION("""COMPUTED_VALUE"""),"BLACK")</f>
        <v>BLACK</v>
      </c>
      <c r="G1176" s="20" t="str">
        <f>IFERROR(__xludf.DUMMYFUNCTION("""COMPUTED_VALUE"""),"Uncle Sams Cider (11/12/2021) 02")</f>
        <v>Uncle Sams Cider (11/12/2021) 02</v>
      </c>
      <c r="H1176" s="19"/>
    </row>
    <row r="1177">
      <c r="A1177" s="9"/>
      <c r="B1177" s="15"/>
      <c r="C1177" s="9">
        <f>IFERROR(__xludf.DUMMYFUNCTION("""COMPUTED_VALUE"""),44593.2856142592)</f>
        <v>44593.28561</v>
      </c>
      <c r="D1177" s="15">
        <f>IFERROR(__xludf.DUMMYFUNCTION("""COMPUTED_VALUE"""),1.004)</f>
        <v>1.004</v>
      </c>
      <c r="E1177" s="16">
        <f>IFERROR(__xludf.DUMMYFUNCTION("""COMPUTED_VALUE"""),65.0)</f>
        <v>65</v>
      </c>
      <c r="F1177" s="19" t="str">
        <f>IFERROR(__xludf.DUMMYFUNCTION("""COMPUTED_VALUE"""),"BLACK")</f>
        <v>BLACK</v>
      </c>
      <c r="G1177" s="20" t="str">
        <f>IFERROR(__xludf.DUMMYFUNCTION("""COMPUTED_VALUE"""),"Uncle Sams Cider (11/12/2021) 02")</f>
        <v>Uncle Sams Cider (11/12/2021) 02</v>
      </c>
      <c r="H1177" s="19"/>
    </row>
    <row r="1178">
      <c r="A1178" s="9"/>
      <c r="B1178" s="15"/>
      <c r="C1178" s="9">
        <f>IFERROR(__xludf.DUMMYFUNCTION("""COMPUTED_VALUE"""),44593.2751805092)</f>
        <v>44593.27518</v>
      </c>
      <c r="D1178" s="15">
        <f>IFERROR(__xludf.DUMMYFUNCTION("""COMPUTED_VALUE"""),1.004)</f>
        <v>1.004</v>
      </c>
      <c r="E1178" s="16">
        <f>IFERROR(__xludf.DUMMYFUNCTION("""COMPUTED_VALUE"""),65.0)</f>
        <v>65</v>
      </c>
      <c r="F1178" s="19" t="str">
        <f>IFERROR(__xludf.DUMMYFUNCTION("""COMPUTED_VALUE"""),"BLACK")</f>
        <v>BLACK</v>
      </c>
      <c r="G1178" s="20" t="str">
        <f>IFERROR(__xludf.DUMMYFUNCTION("""COMPUTED_VALUE"""),"Uncle Sams Cider (11/12/2021) 02")</f>
        <v>Uncle Sams Cider (11/12/2021) 02</v>
      </c>
      <c r="H1178" s="19"/>
    </row>
    <row r="1179">
      <c r="A1179" s="9"/>
      <c r="B1179" s="15"/>
      <c r="C1179" s="9">
        <f>IFERROR(__xludf.DUMMYFUNCTION("""COMPUTED_VALUE"""),44593.2647606828)</f>
        <v>44593.26476</v>
      </c>
      <c r="D1179" s="15">
        <f>IFERROR(__xludf.DUMMYFUNCTION("""COMPUTED_VALUE"""),1.004)</f>
        <v>1.004</v>
      </c>
      <c r="E1179" s="16">
        <f>IFERROR(__xludf.DUMMYFUNCTION("""COMPUTED_VALUE"""),65.0)</f>
        <v>65</v>
      </c>
      <c r="F1179" s="19" t="str">
        <f>IFERROR(__xludf.DUMMYFUNCTION("""COMPUTED_VALUE"""),"BLACK")</f>
        <v>BLACK</v>
      </c>
      <c r="G1179" s="20" t="str">
        <f>IFERROR(__xludf.DUMMYFUNCTION("""COMPUTED_VALUE"""),"Uncle Sams Cider (11/12/2021) 02")</f>
        <v>Uncle Sams Cider (11/12/2021) 02</v>
      </c>
      <c r="H1179" s="19"/>
    </row>
    <row r="1180">
      <c r="A1180" s="9"/>
      <c r="B1180" s="15"/>
      <c r="C1180" s="9">
        <f>IFERROR(__xludf.DUMMYFUNCTION("""COMPUTED_VALUE"""),44593.2543292824)</f>
        <v>44593.25433</v>
      </c>
      <c r="D1180" s="15">
        <f>IFERROR(__xludf.DUMMYFUNCTION("""COMPUTED_VALUE"""),1.004)</f>
        <v>1.004</v>
      </c>
      <c r="E1180" s="16">
        <f>IFERROR(__xludf.DUMMYFUNCTION("""COMPUTED_VALUE"""),65.0)</f>
        <v>65</v>
      </c>
      <c r="F1180" s="19" t="str">
        <f>IFERROR(__xludf.DUMMYFUNCTION("""COMPUTED_VALUE"""),"BLACK")</f>
        <v>BLACK</v>
      </c>
      <c r="G1180" s="20" t="str">
        <f>IFERROR(__xludf.DUMMYFUNCTION("""COMPUTED_VALUE"""),"Uncle Sams Cider (11/12/2021) 02")</f>
        <v>Uncle Sams Cider (11/12/2021) 02</v>
      </c>
      <c r="H1180" s="19"/>
    </row>
    <row r="1181">
      <c r="A1181" s="9"/>
      <c r="B1181" s="15"/>
      <c r="C1181" s="9">
        <f>IFERROR(__xludf.DUMMYFUNCTION("""COMPUTED_VALUE"""),44593.2438968055)</f>
        <v>44593.2439</v>
      </c>
      <c r="D1181" s="15">
        <f>IFERROR(__xludf.DUMMYFUNCTION("""COMPUTED_VALUE"""),1.004)</f>
        <v>1.004</v>
      </c>
      <c r="E1181" s="16">
        <f>IFERROR(__xludf.DUMMYFUNCTION("""COMPUTED_VALUE"""),65.0)</f>
        <v>65</v>
      </c>
      <c r="F1181" s="19" t="str">
        <f>IFERROR(__xludf.DUMMYFUNCTION("""COMPUTED_VALUE"""),"BLACK")</f>
        <v>BLACK</v>
      </c>
      <c r="G1181" s="20" t="str">
        <f>IFERROR(__xludf.DUMMYFUNCTION("""COMPUTED_VALUE"""),"Uncle Sams Cider (11/12/2021) 02")</f>
        <v>Uncle Sams Cider (11/12/2021) 02</v>
      </c>
      <c r="H1181" s="19"/>
    </row>
    <row r="1182">
      <c r="A1182" s="9"/>
      <c r="B1182" s="15"/>
      <c r="C1182" s="9">
        <f>IFERROR(__xludf.DUMMYFUNCTION("""COMPUTED_VALUE"""),44593.2334758912)</f>
        <v>44593.23348</v>
      </c>
      <c r="D1182" s="15">
        <f>IFERROR(__xludf.DUMMYFUNCTION("""COMPUTED_VALUE"""),1.004)</f>
        <v>1.004</v>
      </c>
      <c r="E1182" s="16">
        <f>IFERROR(__xludf.DUMMYFUNCTION("""COMPUTED_VALUE"""),65.0)</f>
        <v>65</v>
      </c>
      <c r="F1182" s="19" t="str">
        <f>IFERROR(__xludf.DUMMYFUNCTION("""COMPUTED_VALUE"""),"BLACK")</f>
        <v>BLACK</v>
      </c>
      <c r="G1182" s="20" t="str">
        <f>IFERROR(__xludf.DUMMYFUNCTION("""COMPUTED_VALUE"""),"Uncle Sams Cider (11/12/2021) 02")</f>
        <v>Uncle Sams Cider (11/12/2021) 02</v>
      </c>
      <c r="H1182" s="19"/>
    </row>
    <row r="1183">
      <c r="A1183" s="9"/>
      <c r="B1183" s="15"/>
      <c r="C1183" s="9">
        <f>IFERROR(__xludf.DUMMYFUNCTION("""COMPUTED_VALUE"""),44593.2230556134)</f>
        <v>44593.22306</v>
      </c>
      <c r="D1183" s="15">
        <f>IFERROR(__xludf.DUMMYFUNCTION("""COMPUTED_VALUE"""),1.005)</f>
        <v>1.005</v>
      </c>
      <c r="E1183" s="16">
        <f>IFERROR(__xludf.DUMMYFUNCTION("""COMPUTED_VALUE"""),65.0)</f>
        <v>65</v>
      </c>
      <c r="F1183" s="19" t="str">
        <f>IFERROR(__xludf.DUMMYFUNCTION("""COMPUTED_VALUE"""),"BLACK")</f>
        <v>BLACK</v>
      </c>
      <c r="G1183" s="20" t="str">
        <f>IFERROR(__xludf.DUMMYFUNCTION("""COMPUTED_VALUE"""),"Uncle Sams Cider (11/12/2021) 02")</f>
        <v>Uncle Sams Cider (11/12/2021) 02</v>
      </c>
      <c r="H1183" s="19"/>
    </row>
    <row r="1184">
      <c r="A1184" s="9"/>
      <c r="B1184" s="15"/>
      <c r="C1184" s="9">
        <f>IFERROR(__xludf.DUMMYFUNCTION("""COMPUTED_VALUE"""),44593.2126086342)</f>
        <v>44593.21261</v>
      </c>
      <c r="D1184" s="15">
        <f>IFERROR(__xludf.DUMMYFUNCTION("""COMPUTED_VALUE"""),1.004)</f>
        <v>1.004</v>
      </c>
      <c r="E1184" s="16">
        <f>IFERROR(__xludf.DUMMYFUNCTION("""COMPUTED_VALUE"""),65.0)</f>
        <v>65</v>
      </c>
      <c r="F1184" s="19" t="str">
        <f>IFERROR(__xludf.DUMMYFUNCTION("""COMPUTED_VALUE"""),"BLACK")</f>
        <v>BLACK</v>
      </c>
      <c r="G1184" s="20" t="str">
        <f>IFERROR(__xludf.DUMMYFUNCTION("""COMPUTED_VALUE"""),"Uncle Sams Cider (11/12/2021) 02")</f>
        <v>Uncle Sams Cider (11/12/2021) 02</v>
      </c>
      <c r="H1184" s="19"/>
    </row>
    <row r="1185">
      <c r="A1185" s="9"/>
      <c r="B1185" s="15"/>
      <c r="C1185" s="9">
        <f>IFERROR(__xludf.DUMMYFUNCTION("""COMPUTED_VALUE"""),44593.2021853935)</f>
        <v>44593.20219</v>
      </c>
      <c r="D1185" s="15">
        <f>IFERROR(__xludf.DUMMYFUNCTION("""COMPUTED_VALUE"""),1.004)</f>
        <v>1.004</v>
      </c>
      <c r="E1185" s="16">
        <f>IFERROR(__xludf.DUMMYFUNCTION("""COMPUTED_VALUE"""),65.0)</f>
        <v>65</v>
      </c>
      <c r="F1185" s="19" t="str">
        <f>IFERROR(__xludf.DUMMYFUNCTION("""COMPUTED_VALUE"""),"BLACK")</f>
        <v>BLACK</v>
      </c>
      <c r="G1185" s="20" t="str">
        <f>IFERROR(__xludf.DUMMYFUNCTION("""COMPUTED_VALUE"""),"Uncle Sams Cider (11/12/2021) 02")</f>
        <v>Uncle Sams Cider (11/12/2021) 02</v>
      </c>
      <c r="H1185" s="19"/>
    </row>
    <row r="1186">
      <c r="A1186" s="9"/>
      <c r="B1186" s="15"/>
      <c r="C1186" s="9">
        <f>IFERROR(__xludf.DUMMYFUNCTION("""COMPUTED_VALUE"""),44593.1917539004)</f>
        <v>44593.19175</v>
      </c>
      <c r="D1186" s="15">
        <f>IFERROR(__xludf.DUMMYFUNCTION("""COMPUTED_VALUE"""),1.004)</f>
        <v>1.004</v>
      </c>
      <c r="E1186" s="16">
        <f>IFERROR(__xludf.DUMMYFUNCTION("""COMPUTED_VALUE"""),65.0)</f>
        <v>65</v>
      </c>
      <c r="F1186" s="19" t="str">
        <f>IFERROR(__xludf.DUMMYFUNCTION("""COMPUTED_VALUE"""),"BLACK")</f>
        <v>BLACK</v>
      </c>
      <c r="G1186" s="20" t="str">
        <f>IFERROR(__xludf.DUMMYFUNCTION("""COMPUTED_VALUE"""),"Uncle Sams Cider (11/12/2021) 02")</f>
        <v>Uncle Sams Cider (11/12/2021) 02</v>
      </c>
      <c r="H1186" s="19"/>
    </row>
    <row r="1187">
      <c r="A1187" s="9"/>
      <c r="B1187" s="15"/>
      <c r="C1187" s="9">
        <f>IFERROR(__xludf.DUMMYFUNCTION("""COMPUTED_VALUE"""),44593.1813317245)</f>
        <v>44593.18133</v>
      </c>
      <c r="D1187" s="15">
        <f>IFERROR(__xludf.DUMMYFUNCTION("""COMPUTED_VALUE"""),1.004)</f>
        <v>1.004</v>
      </c>
      <c r="E1187" s="16">
        <f>IFERROR(__xludf.DUMMYFUNCTION("""COMPUTED_VALUE"""),65.0)</f>
        <v>65</v>
      </c>
      <c r="F1187" s="19" t="str">
        <f>IFERROR(__xludf.DUMMYFUNCTION("""COMPUTED_VALUE"""),"BLACK")</f>
        <v>BLACK</v>
      </c>
      <c r="G1187" s="20" t="str">
        <f>IFERROR(__xludf.DUMMYFUNCTION("""COMPUTED_VALUE"""),"Uncle Sams Cider (11/12/2021) 02")</f>
        <v>Uncle Sams Cider (11/12/2021) 02</v>
      </c>
      <c r="H1187" s="19"/>
    </row>
    <row r="1188">
      <c r="A1188" s="9"/>
      <c r="B1188" s="15"/>
      <c r="C1188" s="9">
        <f>IFERROR(__xludf.DUMMYFUNCTION("""COMPUTED_VALUE"""),44593.17089978)</f>
        <v>44593.1709</v>
      </c>
      <c r="D1188" s="15">
        <f>IFERROR(__xludf.DUMMYFUNCTION("""COMPUTED_VALUE"""),1.004)</f>
        <v>1.004</v>
      </c>
      <c r="E1188" s="16">
        <f>IFERROR(__xludf.DUMMYFUNCTION("""COMPUTED_VALUE"""),65.0)</f>
        <v>65</v>
      </c>
      <c r="F1188" s="19" t="str">
        <f>IFERROR(__xludf.DUMMYFUNCTION("""COMPUTED_VALUE"""),"BLACK")</f>
        <v>BLACK</v>
      </c>
      <c r="G1188" s="20" t="str">
        <f>IFERROR(__xludf.DUMMYFUNCTION("""COMPUTED_VALUE"""),"Uncle Sams Cider (11/12/2021) 02")</f>
        <v>Uncle Sams Cider (11/12/2021) 02</v>
      </c>
      <c r="H1188" s="19"/>
    </row>
    <row r="1189">
      <c r="A1189" s="9"/>
      <c r="B1189" s="15"/>
      <c r="C1189" s="9">
        <f>IFERROR(__xludf.DUMMYFUNCTION("""COMPUTED_VALUE"""),44593.1604576273)</f>
        <v>44593.16046</v>
      </c>
      <c r="D1189" s="15">
        <f>IFERROR(__xludf.DUMMYFUNCTION("""COMPUTED_VALUE"""),1.004)</f>
        <v>1.004</v>
      </c>
      <c r="E1189" s="16">
        <f>IFERROR(__xludf.DUMMYFUNCTION("""COMPUTED_VALUE"""),65.0)</f>
        <v>65</v>
      </c>
      <c r="F1189" s="19" t="str">
        <f>IFERROR(__xludf.DUMMYFUNCTION("""COMPUTED_VALUE"""),"BLACK")</f>
        <v>BLACK</v>
      </c>
      <c r="G1189" s="20" t="str">
        <f>IFERROR(__xludf.DUMMYFUNCTION("""COMPUTED_VALUE"""),"Uncle Sams Cider (11/12/2021) 02")</f>
        <v>Uncle Sams Cider (11/12/2021) 02</v>
      </c>
      <c r="H1189" s="19"/>
    </row>
    <row r="1190">
      <c r="A1190" s="9"/>
      <c r="B1190" s="15"/>
      <c r="C1190" s="9">
        <f>IFERROR(__xludf.DUMMYFUNCTION("""COMPUTED_VALUE"""),44593.1500375231)</f>
        <v>44593.15004</v>
      </c>
      <c r="D1190" s="15">
        <f>IFERROR(__xludf.DUMMYFUNCTION("""COMPUTED_VALUE"""),1.004)</f>
        <v>1.004</v>
      </c>
      <c r="E1190" s="16">
        <f>IFERROR(__xludf.DUMMYFUNCTION("""COMPUTED_VALUE"""),66.0)</f>
        <v>66</v>
      </c>
      <c r="F1190" s="19" t="str">
        <f>IFERROR(__xludf.DUMMYFUNCTION("""COMPUTED_VALUE"""),"BLACK")</f>
        <v>BLACK</v>
      </c>
      <c r="G1190" s="20" t="str">
        <f>IFERROR(__xludf.DUMMYFUNCTION("""COMPUTED_VALUE"""),"Uncle Sams Cider (11/12/2021) 02")</f>
        <v>Uncle Sams Cider (11/12/2021) 02</v>
      </c>
      <c r="H1190" s="19"/>
    </row>
    <row r="1191">
      <c r="A1191" s="9"/>
      <c r="B1191" s="15"/>
      <c r="C1191" s="9">
        <f>IFERROR(__xludf.DUMMYFUNCTION("""COMPUTED_VALUE"""),44593.1396147569)</f>
        <v>44593.13961</v>
      </c>
      <c r="D1191" s="15">
        <f>IFERROR(__xludf.DUMMYFUNCTION("""COMPUTED_VALUE"""),1.004)</f>
        <v>1.004</v>
      </c>
      <c r="E1191" s="16">
        <f>IFERROR(__xludf.DUMMYFUNCTION("""COMPUTED_VALUE"""),66.0)</f>
        <v>66</v>
      </c>
      <c r="F1191" s="19" t="str">
        <f>IFERROR(__xludf.DUMMYFUNCTION("""COMPUTED_VALUE"""),"BLACK")</f>
        <v>BLACK</v>
      </c>
      <c r="G1191" s="20" t="str">
        <f>IFERROR(__xludf.DUMMYFUNCTION("""COMPUTED_VALUE"""),"Uncle Sams Cider (11/12/2021) 02")</f>
        <v>Uncle Sams Cider (11/12/2021) 02</v>
      </c>
      <c r="H1191" s="19"/>
    </row>
    <row r="1192">
      <c r="A1192" s="9"/>
      <c r="B1192" s="15"/>
      <c r="C1192" s="9">
        <f>IFERROR(__xludf.DUMMYFUNCTION("""COMPUTED_VALUE"""),44593.1291929629)</f>
        <v>44593.12919</v>
      </c>
      <c r="D1192" s="15">
        <f>IFERROR(__xludf.DUMMYFUNCTION("""COMPUTED_VALUE"""),1.004)</f>
        <v>1.004</v>
      </c>
      <c r="E1192" s="16">
        <f>IFERROR(__xludf.DUMMYFUNCTION("""COMPUTED_VALUE"""),66.0)</f>
        <v>66</v>
      </c>
      <c r="F1192" s="19" t="str">
        <f>IFERROR(__xludf.DUMMYFUNCTION("""COMPUTED_VALUE"""),"BLACK")</f>
        <v>BLACK</v>
      </c>
      <c r="G1192" s="20" t="str">
        <f>IFERROR(__xludf.DUMMYFUNCTION("""COMPUTED_VALUE"""),"Uncle Sams Cider (11/12/2021) 02")</f>
        <v>Uncle Sams Cider (11/12/2021) 02</v>
      </c>
      <c r="H1192" s="19"/>
    </row>
    <row r="1193">
      <c r="A1193" s="9"/>
      <c r="B1193" s="15"/>
      <c r="C1193" s="9">
        <f>IFERROR(__xludf.DUMMYFUNCTION("""COMPUTED_VALUE"""),44593.1187734722)</f>
        <v>44593.11877</v>
      </c>
      <c r="D1193" s="15">
        <f>IFERROR(__xludf.DUMMYFUNCTION("""COMPUTED_VALUE"""),1.004)</f>
        <v>1.004</v>
      </c>
      <c r="E1193" s="16">
        <f>IFERROR(__xludf.DUMMYFUNCTION("""COMPUTED_VALUE"""),66.0)</f>
        <v>66</v>
      </c>
      <c r="F1193" s="19" t="str">
        <f>IFERROR(__xludf.DUMMYFUNCTION("""COMPUTED_VALUE"""),"BLACK")</f>
        <v>BLACK</v>
      </c>
      <c r="G1193" s="20" t="str">
        <f>IFERROR(__xludf.DUMMYFUNCTION("""COMPUTED_VALUE"""),"Uncle Sams Cider (11/12/2021) 02")</f>
        <v>Uncle Sams Cider (11/12/2021) 02</v>
      </c>
      <c r="H1193" s="19"/>
    </row>
    <row r="1194">
      <c r="A1194" s="9"/>
      <c r="B1194" s="15"/>
      <c r="C1194" s="9">
        <f>IFERROR(__xludf.DUMMYFUNCTION("""COMPUTED_VALUE"""),44593.1083053935)</f>
        <v>44593.10831</v>
      </c>
      <c r="D1194" s="15">
        <f>IFERROR(__xludf.DUMMYFUNCTION("""COMPUTED_VALUE"""),1.004)</f>
        <v>1.004</v>
      </c>
      <c r="E1194" s="16">
        <f>IFERROR(__xludf.DUMMYFUNCTION("""COMPUTED_VALUE"""),66.0)</f>
        <v>66</v>
      </c>
      <c r="F1194" s="19" t="str">
        <f>IFERROR(__xludf.DUMMYFUNCTION("""COMPUTED_VALUE"""),"BLACK")</f>
        <v>BLACK</v>
      </c>
      <c r="G1194" s="20" t="str">
        <f>IFERROR(__xludf.DUMMYFUNCTION("""COMPUTED_VALUE"""),"Uncle Sams Cider (11/12/2021) 02")</f>
        <v>Uncle Sams Cider (11/12/2021) 02</v>
      </c>
      <c r="H1194" s="19"/>
    </row>
    <row r="1195">
      <c r="A1195" s="9"/>
      <c r="B1195" s="15"/>
      <c r="C1195" s="9">
        <f>IFERROR(__xludf.DUMMYFUNCTION("""COMPUTED_VALUE"""),44593.0978853356)</f>
        <v>44593.09789</v>
      </c>
      <c r="D1195" s="15">
        <f>IFERROR(__xludf.DUMMYFUNCTION("""COMPUTED_VALUE"""),1.004)</f>
        <v>1.004</v>
      </c>
      <c r="E1195" s="16">
        <f>IFERROR(__xludf.DUMMYFUNCTION("""COMPUTED_VALUE"""),66.0)</f>
        <v>66</v>
      </c>
      <c r="F1195" s="19" t="str">
        <f>IFERROR(__xludf.DUMMYFUNCTION("""COMPUTED_VALUE"""),"BLACK")</f>
        <v>BLACK</v>
      </c>
      <c r="G1195" s="20" t="str">
        <f>IFERROR(__xludf.DUMMYFUNCTION("""COMPUTED_VALUE"""),"Uncle Sams Cider (11/12/2021) 02")</f>
        <v>Uncle Sams Cider (11/12/2021) 02</v>
      </c>
      <c r="H1195" s="19"/>
    </row>
    <row r="1196">
      <c r="A1196" s="9"/>
      <c r="B1196" s="15"/>
      <c r="C1196" s="9">
        <f>IFERROR(__xludf.DUMMYFUNCTION("""COMPUTED_VALUE"""),44593.08745353)</f>
        <v>44593.08745</v>
      </c>
      <c r="D1196" s="15">
        <f>IFERROR(__xludf.DUMMYFUNCTION("""COMPUTED_VALUE"""),1.004)</f>
        <v>1.004</v>
      </c>
      <c r="E1196" s="16">
        <f>IFERROR(__xludf.DUMMYFUNCTION("""COMPUTED_VALUE"""),66.0)</f>
        <v>66</v>
      </c>
      <c r="F1196" s="19" t="str">
        <f>IFERROR(__xludf.DUMMYFUNCTION("""COMPUTED_VALUE"""),"BLACK")</f>
        <v>BLACK</v>
      </c>
      <c r="G1196" s="20" t="str">
        <f>IFERROR(__xludf.DUMMYFUNCTION("""COMPUTED_VALUE"""),"Uncle Sams Cider (11/12/2021) 02")</f>
        <v>Uncle Sams Cider (11/12/2021) 02</v>
      </c>
      <c r="H1196" s="19"/>
    </row>
    <row r="1197">
      <c r="A1197" s="9"/>
      <c r="B1197" s="15"/>
      <c r="C1197" s="9">
        <f>IFERROR(__xludf.DUMMYFUNCTION("""COMPUTED_VALUE"""),44593.077032037)</f>
        <v>44593.07703</v>
      </c>
      <c r="D1197" s="15">
        <f>IFERROR(__xludf.DUMMYFUNCTION("""COMPUTED_VALUE"""),1.004)</f>
        <v>1.004</v>
      </c>
      <c r="E1197" s="16">
        <f>IFERROR(__xludf.DUMMYFUNCTION("""COMPUTED_VALUE"""),66.0)</f>
        <v>66</v>
      </c>
      <c r="F1197" s="19" t="str">
        <f>IFERROR(__xludf.DUMMYFUNCTION("""COMPUTED_VALUE"""),"BLACK")</f>
        <v>BLACK</v>
      </c>
      <c r="G1197" s="20" t="str">
        <f>IFERROR(__xludf.DUMMYFUNCTION("""COMPUTED_VALUE"""),"Uncle Sams Cider (11/12/2021) 02")</f>
        <v>Uncle Sams Cider (11/12/2021) 02</v>
      </c>
      <c r="H1197" s="19"/>
    </row>
    <row r="1198">
      <c r="A1198" s="9"/>
      <c r="B1198" s="15"/>
      <c r="C1198" s="9">
        <f>IFERROR(__xludf.DUMMYFUNCTION("""COMPUTED_VALUE"""),44593.0666096064)</f>
        <v>44593.06661</v>
      </c>
      <c r="D1198" s="15">
        <f>IFERROR(__xludf.DUMMYFUNCTION("""COMPUTED_VALUE"""),1.004)</f>
        <v>1.004</v>
      </c>
      <c r="E1198" s="16">
        <f>IFERROR(__xludf.DUMMYFUNCTION("""COMPUTED_VALUE"""),66.0)</f>
        <v>66</v>
      </c>
      <c r="F1198" s="19" t="str">
        <f>IFERROR(__xludf.DUMMYFUNCTION("""COMPUTED_VALUE"""),"BLACK")</f>
        <v>BLACK</v>
      </c>
      <c r="G1198" s="20" t="str">
        <f>IFERROR(__xludf.DUMMYFUNCTION("""COMPUTED_VALUE"""),"Uncle Sams Cider (11/12/2021) 02")</f>
        <v>Uncle Sams Cider (11/12/2021) 02</v>
      </c>
      <c r="H1198" s="19"/>
    </row>
    <row r="1199">
      <c r="A1199" s="9"/>
      <c r="B1199" s="15"/>
      <c r="C1199" s="9">
        <f>IFERROR(__xludf.DUMMYFUNCTION("""COMPUTED_VALUE"""),44593.0561868402)</f>
        <v>44593.05619</v>
      </c>
      <c r="D1199" s="15">
        <f>IFERROR(__xludf.DUMMYFUNCTION("""COMPUTED_VALUE"""),1.004)</f>
        <v>1.004</v>
      </c>
      <c r="E1199" s="16">
        <f>IFERROR(__xludf.DUMMYFUNCTION("""COMPUTED_VALUE"""),66.0)</f>
        <v>66</v>
      </c>
      <c r="F1199" s="19" t="str">
        <f>IFERROR(__xludf.DUMMYFUNCTION("""COMPUTED_VALUE"""),"BLACK")</f>
        <v>BLACK</v>
      </c>
      <c r="G1199" s="20" t="str">
        <f>IFERROR(__xludf.DUMMYFUNCTION("""COMPUTED_VALUE"""),"Uncle Sams Cider (11/12/2021) 02")</f>
        <v>Uncle Sams Cider (11/12/2021) 02</v>
      </c>
      <c r="H1199" s="19"/>
    </row>
    <row r="1200">
      <c r="A1200" s="9"/>
      <c r="B1200" s="15"/>
      <c r="C1200" s="9">
        <f>IFERROR(__xludf.DUMMYFUNCTION("""COMPUTED_VALUE"""),44593.0457544675)</f>
        <v>44593.04575</v>
      </c>
      <c r="D1200" s="15">
        <f>IFERROR(__xludf.DUMMYFUNCTION("""COMPUTED_VALUE"""),1.004)</f>
        <v>1.004</v>
      </c>
      <c r="E1200" s="16">
        <f>IFERROR(__xludf.DUMMYFUNCTION("""COMPUTED_VALUE"""),66.0)</f>
        <v>66</v>
      </c>
      <c r="F1200" s="19" t="str">
        <f>IFERROR(__xludf.DUMMYFUNCTION("""COMPUTED_VALUE"""),"BLACK")</f>
        <v>BLACK</v>
      </c>
      <c r="G1200" s="20" t="str">
        <f>IFERROR(__xludf.DUMMYFUNCTION("""COMPUTED_VALUE"""),"Uncle Sams Cider (11/12/2021) 02")</f>
        <v>Uncle Sams Cider (11/12/2021) 02</v>
      </c>
      <c r="H1200" s="19"/>
    </row>
    <row r="1201">
      <c r="A1201" s="9"/>
      <c r="B1201" s="15"/>
      <c r="C1201" s="9">
        <f>IFERROR(__xludf.DUMMYFUNCTION("""COMPUTED_VALUE"""),44593.0352758564)</f>
        <v>44593.03528</v>
      </c>
      <c r="D1201" s="15">
        <f>IFERROR(__xludf.DUMMYFUNCTION("""COMPUTED_VALUE"""),1.004)</f>
        <v>1.004</v>
      </c>
      <c r="E1201" s="16">
        <f>IFERROR(__xludf.DUMMYFUNCTION("""COMPUTED_VALUE"""),66.0)</f>
        <v>66</v>
      </c>
      <c r="F1201" s="19" t="str">
        <f>IFERROR(__xludf.DUMMYFUNCTION("""COMPUTED_VALUE"""),"BLACK")</f>
        <v>BLACK</v>
      </c>
      <c r="G1201" s="20" t="str">
        <f>IFERROR(__xludf.DUMMYFUNCTION("""COMPUTED_VALUE"""),"Uncle Sams Cider (11/12/2021) 02")</f>
        <v>Uncle Sams Cider (11/12/2021) 02</v>
      </c>
      <c r="H1201" s="19"/>
    </row>
    <row r="1202">
      <c r="A1202" s="9"/>
      <c r="B1202" s="15"/>
      <c r="C1202" s="9">
        <f>IFERROR(__xludf.DUMMYFUNCTION("""COMPUTED_VALUE"""),44593.0248556944)</f>
        <v>44593.02486</v>
      </c>
      <c r="D1202" s="15">
        <f>IFERROR(__xludf.DUMMYFUNCTION("""COMPUTED_VALUE"""),1.004)</f>
        <v>1.004</v>
      </c>
      <c r="E1202" s="16">
        <f>IFERROR(__xludf.DUMMYFUNCTION("""COMPUTED_VALUE"""),66.0)</f>
        <v>66</v>
      </c>
      <c r="F1202" s="19" t="str">
        <f>IFERROR(__xludf.DUMMYFUNCTION("""COMPUTED_VALUE"""),"BLACK")</f>
        <v>BLACK</v>
      </c>
      <c r="G1202" s="20" t="str">
        <f>IFERROR(__xludf.DUMMYFUNCTION("""COMPUTED_VALUE"""),"Uncle Sams Cider (11/12/2021) 02")</f>
        <v>Uncle Sams Cider (11/12/2021) 02</v>
      </c>
      <c r="H1202" s="19"/>
    </row>
    <row r="1203">
      <c r="A1203" s="9"/>
      <c r="B1203" s="15"/>
      <c r="C1203" s="9">
        <f>IFERROR(__xludf.DUMMYFUNCTION("""COMPUTED_VALUE"""),44593.0144129513)</f>
        <v>44593.01441</v>
      </c>
      <c r="D1203" s="15">
        <f>IFERROR(__xludf.DUMMYFUNCTION("""COMPUTED_VALUE"""),1.004)</f>
        <v>1.004</v>
      </c>
      <c r="E1203" s="16">
        <f>IFERROR(__xludf.DUMMYFUNCTION("""COMPUTED_VALUE"""),66.0)</f>
        <v>66</v>
      </c>
      <c r="F1203" s="19" t="str">
        <f>IFERROR(__xludf.DUMMYFUNCTION("""COMPUTED_VALUE"""),"BLACK")</f>
        <v>BLACK</v>
      </c>
      <c r="G1203" s="20" t="str">
        <f>IFERROR(__xludf.DUMMYFUNCTION("""COMPUTED_VALUE"""),"Uncle Sams Cider (11/12/2021) 02")</f>
        <v>Uncle Sams Cider (11/12/2021) 02</v>
      </c>
      <c r="H1203" s="19"/>
    </row>
    <row r="1204">
      <c r="A1204" s="9"/>
      <c r="B1204" s="15"/>
      <c r="C1204" s="9">
        <f>IFERROR(__xludf.DUMMYFUNCTION("""COMPUTED_VALUE"""),44593.0039824768)</f>
        <v>44593.00398</v>
      </c>
      <c r="D1204" s="15">
        <f>IFERROR(__xludf.DUMMYFUNCTION("""COMPUTED_VALUE"""),1.004)</f>
        <v>1.004</v>
      </c>
      <c r="E1204" s="16">
        <f>IFERROR(__xludf.DUMMYFUNCTION("""COMPUTED_VALUE"""),66.0)</f>
        <v>66</v>
      </c>
      <c r="F1204" s="19" t="str">
        <f>IFERROR(__xludf.DUMMYFUNCTION("""COMPUTED_VALUE"""),"BLACK")</f>
        <v>BLACK</v>
      </c>
      <c r="G1204" s="20" t="str">
        <f>IFERROR(__xludf.DUMMYFUNCTION("""COMPUTED_VALUE"""),"Uncle Sams Cider (11/12/2021) 02")</f>
        <v>Uncle Sams Cider (11/12/2021) 02</v>
      </c>
      <c r="H1204" s="19"/>
    </row>
    <row r="1205">
      <c r="A1205" s="9"/>
      <c r="B1205" s="15"/>
      <c r="C1205" s="9">
        <f>IFERROR(__xludf.DUMMYFUNCTION("""COMPUTED_VALUE"""),44592.9935494328)</f>
        <v>44592.99355</v>
      </c>
      <c r="D1205" s="15">
        <f>IFERROR(__xludf.DUMMYFUNCTION("""COMPUTED_VALUE"""),1.004)</f>
        <v>1.004</v>
      </c>
      <c r="E1205" s="16">
        <f>IFERROR(__xludf.DUMMYFUNCTION("""COMPUTED_VALUE"""),66.0)</f>
        <v>66</v>
      </c>
      <c r="F1205" s="19" t="str">
        <f>IFERROR(__xludf.DUMMYFUNCTION("""COMPUTED_VALUE"""),"BLACK")</f>
        <v>BLACK</v>
      </c>
      <c r="G1205" s="20" t="str">
        <f>IFERROR(__xludf.DUMMYFUNCTION("""COMPUTED_VALUE"""),"Uncle Sams Cider (11/12/2021) 02")</f>
        <v>Uncle Sams Cider (11/12/2021) 02</v>
      </c>
      <c r="H1205" s="19"/>
    </row>
    <row r="1206">
      <c r="A1206" s="9"/>
      <c r="B1206" s="15"/>
      <c r="C1206" s="9">
        <f>IFERROR(__xludf.DUMMYFUNCTION("""COMPUTED_VALUE"""),44592.9830587847)</f>
        <v>44592.98306</v>
      </c>
      <c r="D1206" s="15">
        <f>IFERROR(__xludf.DUMMYFUNCTION("""COMPUTED_VALUE"""),1.004)</f>
        <v>1.004</v>
      </c>
      <c r="E1206" s="16">
        <f>IFERROR(__xludf.DUMMYFUNCTION("""COMPUTED_VALUE"""),66.0)</f>
        <v>66</v>
      </c>
      <c r="F1206" s="19" t="str">
        <f>IFERROR(__xludf.DUMMYFUNCTION("""COMPUTED_VALUE"""),"BLACK")</f>
        <v>BLACK</v>
      </c>
      <c r="G1206" s="20" t="str">
        <f>IFERROR(__xludf.DUMMYFUNCTION("""COMPUTED_VALUE"""),"Uncle Sams Cider (11/12/2021) 02")</f>
        <v>Uncle Sams Cider (11/12/2021) 02</v>
      </c>
      <c r="H1206" s="19"/>
    </row>
    <row r="1207">
      <c r="A1207" s="9"/>
      <c r="B1207" s="15"/>
      <c r="C1207" s="9">
        <f>IFERROR(__xludf.DUMMYFUNCTION("""COMPUTED_VALUE"""),44592.9726376041)</f>
        <v>44592.97264</v>
      </c>
      <c r="D1207" s="15">
        <f>IFERROR(__xludf.DUMMYFUNCTION("""COMPUTED_VALUE"""),1.004)</f>
        <v>1.004</v>
      </c>
      <c r="E1207" s="16">
        <f>IFERROR(__xludf.DUMMYFUNCTION("""COMPUTED_VALUE"""),66.0)</f>
        <v>66</v>
      </c>
      <c r="F1207" s="19" t="str">
        <f>IFERROR(__xludf.DUMMYFUNCTION("""COMPUTED_VALUE"""),"BLACK")</f>
        <v>BLACK</v>
      </c>
      <c r="G1207" s="20" t="str">
        <f>IFERROR(__xludf.DUMMYFUNCTION("""COMPUTED_VALUE"""),"Uncle Sams Cider (11/12/2021) 02")</f>
        <v>Uncle Sams Cider (11/12/2021) 02</v>
      </c>
      <c r="H1207" s="19"/>
    </row>
    <row r="1208">
      <c r="A1208" s="9"/>
      <c r="B1208" s="15"/>
      <c r="C1208" s="9">
        <f>IFERROR(__xludf.DUMMYFUNCTION("""COMPUTED_VALUE"""),44592.9621228009)</f>
        <v>44592.96212</v>
      </c>
      <c r="D1208" s="15">
        <f>IFERROR(__xludf.DUMMYFUNCTION("""COMPUTED_VALUE"""),1.004)</f>
        <v>1.004</v>
      </c>
      <c r="E1208" s="16">
        <f>IFERROR(__xludf.DUMMYFUNCTION("""COMPUTED_VALUE"""),66.0)</f>
        <v>66</v>
      </c>
      <c r="F1208" s="19" t="str">
        <f>IFERROR(__xludf.DUMMYFUNCTION("""COMPUTED_VALUE"""),"BLACK")</f>
        <v>BLACK</v>
      </c>
      <c r="G1208" s="20" t="str">
        <f>IFERROR(__xludf.DUMMYFUNCTION("""COMPUTED_VALUE"""),"Uncle Sams Cider (11/12/2021) 02")</f>
        <v>Uncle Sams Cider (11/12/2021) 02</v>
      </c>
      <c r="H1208" s="19"/>
    </row>
    <row r="1209">
      <c r="A1209" s="9"/>
      <c r="B1209" s="15"/>
      <c r="C1209" s="9">
        <f>IFERROR(__xludf.DUMMYFUNCTION("""COMPUTED_VALUE"""),44592.9517015277)</f>
        <v>44592.9517</v>
      </c>
      <c r="D1209" s="15">
        <f>IFERROR(__xludf.DUMMYFUNCTION("""COMPUTED_VALUE"""),1.004)</f>
        <v>1.004</v>
      </c>
      <c r="E1209" s="16">
        <f>IFERROR(__xludf.DUMMYFUNCTION("""COMPUTED_VALUE"""),66.0)</f>
        <v>66</v>
      </c>
      <c r="F1209" s="19" t="str">
        <f>IFERROR(__xludf.DUMMYFUNCTION("""COMPUTED_VALUE"""),"BLACK")</f>
        <v>BLACK</v>
      </c>
      <c r="G1209" s="20" t="str">
        <f>IFERROR(__xludf.DUMMYFUNCTION("""COMPUTED_VALUE"""),"Uncle Sams Cider (11/12/2021) 02")</f>
        <v>Uncle Sams Cider (11/12/2021) 02</v>
      </c>
      <c r="H1209" s="19"/>
    </row>
    <row r="1210">
      <c r="A1210" s="9"/>
      <c r="B1210" s="15"/>
      <c r="C1210" s="9">
        <f>IFERROR(__xludf.DUMMYFUNCTION("""COMPUTED_VALUE"""),44592.9412684837)</f>
        <v>44592.94127</v>
      </c>
      <c r="D1210" s="15">
        <f>IFERROR(__xludf.DUMMYFUNCTION("""COMPUTED_VALUE"""),1.004)</f>
        <v>1.004</v>
      </c>
      <c r="E1210" s="16">
        <f>IFERROR(__xludf.DUMMYFUNCTION("""COMPUTED_VALUE"""),67.0)</f>
        <v>67</v>
      </c>
      <c r="F1210" s="19" t="str">
        <f>IFERROR(__xludf.DUMMYFUNCTION("""COMPUTED_VALUE"""),"BLACK")</f>
        <v>BLACK</v>
      </c>
      <c r="G1210" s="20" t="str">
        <f>IFERROR(__xludf.DUMMYFUNCTION("""COMPUTED_VALUE"""),"Uncle Sams Cider (11/12/2021) 02")</f>
        <v>Uncle Sams Cider (11/12/2021) 02</v>
      </c>
      <c r="H1210" s="19"/>
    </row>
    <row r="1211">
      <c r="A1211" s="9"/>
      <c r="B1211" s="15"/>
      <c r="C1211" s="9">
        <f>IFERROR(__xludf.DUMMYFUNCTION("""COMPUTED_VALUE"""),44592.9308471875)</f>
        <v>44592.93085</v>
      </c>
      <c r="D1211" s="15">
        <f>IFERROR(__xludf.DUMMYFUNCTION("""COMPUTED_VALUE"""),1.004)</f>
        <v>1.004</v>
      </c>
      <c r="E1211" s="16">
        <f>IFERROR(__xludf.DUMMYFUNCTION("""COMPUTED_VALUE"""),67.0)</f>
        <v>67</v>
      </c>
      <c r="F1211" s="19" t="str">
        <f>IFERROR(__xludf.DUMMYFUNCTION("""COMPUTED_VALUE"""),"BLACK")</f>
        <v>BLACK</v>
      </c>
      <c r="G1211" s="20" t="str">
        <f>IFERROR(__xludf.DUMMYFUNCTION("""COMPUTED_VALUE"""),"Uncle Sams Cider (11/12/2021) 02")</f>
        <v>Uncle Sams Cider (11/12/2021) 02</v>
      </c>
      <c r="H1211" s="19"/>
    </row>
    <row r="1212">
      <c r="A1212" s="9"/>
      <c r="B1212" s="15"/>
      <c r="C1212" s="9">
        <f>IFERROR(__xludf.DUMMYFUNCTION("""COMPUTED_VALUE"""),44592.9204272685)</f>
        <v>44592.92043</v>
      </c>
      <c r="D1212" s="15">
        <f>IFERROR(__xludf.DUMMYFUNCTION("""COMPUTED_VALUE"""),1.004)</f>
        <v>1.004</v>
      </c>
      <c r="E1212" s="16">
        <f>IFERROR(__xludf.DUMMYFUNCTION("""COMPUTED_VALUE"""),67.0)</f>
        <v>67</v>
      </c>
      <c r="F1212" s="19" t="str">
        <f>IFERROR(__xludf.DUMMYFUNCTION("""COMPUTED_VALUE"""),"BLACK")</f>
        <v>BLACK</v>
      </c>
      <c r="G1212" s="20" t="str">
        <f>IFERROR(__xludf.DUMMYFUNCTION("""COMPUTED_VALUE"""),"Uncle Sams Cider (11/12/2021) 02")</f>
        <v>Uncle Sams Cider (11/12/2021) 02</v>
      </c>
      <c r="H1212" s="19"/>
    </row>
    <row r="1213">
      <c r="A1213" s="9"/>
      <c r="B1213" s="15"/>
      <c r="C1213" s="9">
        <f>IFERROR(__xludf.DUMMYFUNCTION("""COMPUTED_VALUE"""),44592.9100072569)</f>
        <v>44592.91001</v>
      </c>
      <c r="D1213" s="15">
        <f>IFERROR(__xludf.DUMMYFUNCTION("""COMPUTED_VALUE"""),1.004)</f>
        <v>1.004</v>
      </c>
      <c r="E1213" s="16">
        <f>IFERROR(__xludf.DUMMYFUNCTION("""COMPUTED_VALUE"""),67.0)</f>
        <v>67</v>
      </c>
      <c r="F1213" s="19" t="str">
        <f>IFERROR(__xludf.DUMMYFUNCTION("""COMPUTED_VALUE"""),"BLACK")</f>
        <v>BLACK</v>
      </c>
      <c r="G1213" s="20" t="str">
        <f>IFERROR(__xludf.DUMMYFUNCTION("""COMPUTED_VALUE"""),"Uncle Sams Cider (11/12/2021) 02")</f>
        <v>Uncle Sams Cider (11/12/2021) 02</v>
      </c>
      <c r="H1213" s="19"/>
    </row>
    <row r="1214">
      <c r="A1214" s="9"/>
      <c r="B1214" s="15"/>
      <c r="C1214" s="9">
        <f>IFERROR(__xludf.DUMMYFUNCTION("""COMPUTED_VALUE"""),44592.8995865046)</f>
        <v>44592.89959</v>
      </c>
      <c r="D1214" s="15">
        <f>IFERROR(__xludf.DUMMYFUNCTION("""COMPUTED_VALUE"""),1.004)</f>
        <v>1.004</v>
      </c>
      <c r="E1214" s="16">
        <f>IFERROR(__xludf.DUMMYFUNCTION("""COMPUTED_VALUE"""),67.0)</f>
        <v>67</v>
      </c>
      <c r="F1214" s="19" t="str">
        <f>IFERROR(__xludf.DUMMYFUNCTION("""COMPUTED_VALUE"""),"BLACK")</f>
        <v>BLACK</v>
      </c>
      <c r="G1214" s="20" t="str">
        <f>IFERROR(__xludf.DUMMYFUNCTION("""COMPUTED_VALUE"""),"Uncle Sams Cider (11/12/2021) 02")</f>
        <v>Uncle Sams Cider (11/12/2021) 02</v>
      </c>
      <c r="H1214" s="19"/>
    </row>
    <row r="1215">
      <c r="A1215" s="9"/>
      <c r="B1215" s="15"/>
      <c r="C1215" s="9">
        <f>IFERROR(__xludf.DUMMYFUNCTION("""COMPUTED_VALUE"""),44592.8891437152)</f>
        <v>44592.88914</v>
      </c>
      <c r="D1215" s="15">
        <f>IFERROR(__xludf.DUMMYFUNCTION("""COMPUTED_VALUE"""),1.004)</f>
        <v>1.004</v>
      </c>
      <c r="E1215" s="16">
        <f>IFERROR(__xludf.DUMMYFUNCTION("""COMPUTED_VALUE"""),67.0)</f>
        <v>67</v>
      </c>
      <c r="F1215" s="19" t="str">
        <f>IFERROR(__xludf.DUMMYFUNCTION("""COMPUTED_VALUE"""),"BLACK")</f>
        <v>BLACK</v>
      </c>
      <c r="G1215" s="20" t="str">
        <f>IFERROR(__xludf.DUMMYFUNCTION("""COMPUTED_VALUE"""),"Uncle Sams Cider (11/12/2021) 02")</f>
        <v>Uncle Sams Cider (11/12/2021) 02</v>
      </c>
      <c r="H1215" s="19"/>
    </row>
    <row r="1216">
      <c r="A1216" s="9"/>
      <c r="B1216" s="15"/>
      <c r="C1216" s="9">
        <f>IFERROR(__xludf.DUMMYFUNCTION("""COMPUTED_VALUE"""),44592.8787237152)</f>
        <v>44592.87872</v>
      </c>
      <c r="D1216" s="15">
        <f>IFERROR(__xludf.DUMMYFUNCTION("""COMPUTED_VALUE"""),1.004)</f>
        <v>1.004</v>
      </c>
      <c r="E1216" s="16">
        <f>IFERROR(__xludf.DUMMYFUNCTION("""COMPUTED_VALUE"""),67.0)</f>
        <v>67</v>
      </c>
      <c r="F1216" s="19" t="str">
        <f>IFERROR(__xludf.DUMMYFUNCTION("""COMPUTED_VALUE"""),"BLACK")</f>
        <v>BLACK</v>
      </c>
      <c r="G1216" s="20" t="str">
        <f>IFERROR(__xludf.DUMMYFUNCTION("""COMPUTED_VALUE"""),"Uncle Sams Cider (11/12/2021) 02")</f>
        <v>Uncle Sams Cider (11/12/2021) 02</v>
      </c>
      <c r="H1216" s="19"/>
    </row>
    <row r="1217">
      <c r="A1217" s="9"/>
      <c r="B1217" s="15"/>
      <c r="C1217" s="9">
        <f>IFERROR(__xludf.DUMMYFUNCTION("""COMPUTED_VALUE"""),44592.8682909027)</f>
        <v>44592.86829</v>
      </c>
      <c r="D1217" s="15">
        <f>IFERROR(__xludf.DUMMYFUNCTION("""COMPUTED_VALUE"""),1.004)</f>
        <v>1.004</v>
      </c>
      <c r="E1217" s="16">
        <f>IFERROR(__xludf.DUMMYFUNCTION("""COMPUTED_VALUE"""),67.0)</f>
        <v>67</v>
      </c>
      <c r="F1217" s="19" t="str">
        <f>IFERROR(__xludf.DUMMYFUNCTION("""COMPUTED_VALUE"""),"BLACK")</f>
        <v>BLACK</v>
      </c>
      <c r="G1217" s="20" t="str">
        <f>IFERROR(__xludf.DUMMYFUNCTION("""COMPUTED_VALUE"""),"Uncle Sams Cider (11/12/2021) 02")</f>
        <v>Uncle Sams Cider (11/12/2021) 02</v>
      </c>
      <c r="H1217" s="19"/>
    </row>
    <row r="1218">
      <c r="A1218" s="9"/>
      <c r="B1218" s="15"/>
      <c r="C1218" s="9">
        <f>IFERROR(__xludf.DUMMYFUNCTION("""COMPUTED_VALUE"""),44592.8578587037)</f>
        <v>44592.85786</v>
      </c>
      <c r="D1218" s="15">
        <f>IFERROR(__xludf.DUMMYFUNCTION("""COMPUTED_VALUE"""),1.004)</f>
        <v>1.004</v>
      </c>
      <c r="E1218" s="16">
        <f>IFERROR(__xludf.DUMMYFUNCTION("""COMPUTED_VALUE"""),67.0)</f>
        <v>67</v>
      </c>
      <c r="F1218" s="19" t="str">
        <f>IFERROR(__xludf.DUMMYFUNCTION("""COMPUTED_VALUE"""),"BLACK")</f>
        <v>BLACK</v>
      </c>
      <c r="G1218" s="20" t="str">
        <f>IFERROR(__xludf.DUMMYFUNCTION("""COMPUTED_VALUE"""),"Uncle Sams Cider (11/12/2021) 02")</f>
        <v>Uncle Sams Cider (11/12/2021) 02</v>
      </c>
      <c r="H1218" s="19"/>
    </row>
    <row r="1219">
      <c r="A1219" s="9"/>
      <c r="B1219" s="15"/>
      <c r="C1219" s="9">
        <f>IFERROR(__xludf.DUMMYFUNCTION("""COMPUTED_VALUE"""),44592.8474367361)</f>
        <v>44592.84744</v>
      </c>
      <c r="D1219" s="15">
        <f>IFERROR(__xludf.DUMMYFUNCTION("""COMPUTED_VALUE"""),1.004)</f>
        <v>1.004</v>
      </c>
      <c r="E1219" s="16">
        <f>IFERROR(__xludf.DUMMYFUNCTION("""COMPUTED_VALUE"""),67.0)</f>
        <v>67</v>
      </c>
      <c r="F1219" s="19" t="str">
        <f>IFERROR(__xludf.DUMMYFUNCTION("""COMPUTED_VALUE"""),"BLACK")</f>
        <v>BLACK</v>
      </c>
      <c r="G1219" s="20" t="str">
        <f>IFERROR(__xludf.DUMMYFUNCTION("""COMPUTED_VALUE"""),"Uncle Sams Cider (11/12/2021) 02")</f>
        <v>Uncle Sams Cider (11/12/2021) 02</v>
      </c>
      <c r="H1219" s="19"/>
    </row>
    <row r="1220">
      <c r="A1220" s="9"/>
      <c r="B1220" s="15"/>
      <c r="C1220" s="9">
        <f>IFERROR(__xludf.DUMMYFUNCTION("""COMPUTED_VALUE"""),44592.8370042245)</f>
        <v>44592.837</v>
      </c>
      <c r="D1220" s="15">
        <f>IFERROR(__xludf.DUMMYFUNCTION("""COMPUTED_VALUE"""),1.004)</f>
        <v>1.004</v>
      </c>
      <c r="E1220" s="16">
        <f>IFERROR(__xludf.DUMMYFUNCTION("""COMPUTED_VALUE"""),67.0)</f>
        <v>67</v>
      </c>
      <c r="F1220" s="19" t="str">
        <f>IFERROR(__xludf.DUMMYFUNCTION("""COMPUTED_VALUE"""),"BLACK")</f>
        <v>BLACK</v>
      </c>
      <c r="G1220" s="20" t="str">
        <f>IFERROR(__xludf.DUMMYFUNCTION("""COMPUTED_VALUE"""),"Uncle Sams Cider (11/12/2021) 02")</f>
        <v>Uncle Sams Cider (11/12/2021) 02</v>
      </c>
      <c r="H1220" s="19"/>
    </row>
    <row r="1221">
      <c r="A1221" s="9"/>
      <c r="B1221" s="15"/>
      <c r="C1221" s="9">
        <f>IFERROR(__xludf.DUMMYFUNCTION("""COMPUTED_VALUE"""),44592.8265354861)</f>
        <v>44592.82654</v>
      </c>
      <c r="D1221" s="15">
        <f>IFERROR(__xludf.DUMMYFUNCTION("""COMPUTED_VALUE"""),1.004)</f>
        <v>1.004</v>
      </c>
      <c r="E1221" s="16">
        <f>IFERROR(__xludf.DUMMYFUNCTION("""COMPUTED_VALUE"""),67.0)</f>
        <v>67</v>
      </c>
      <c r="F1221" s="19" t="str">
        <f>IFERROR(__xludf.DUMMYFUNCTION("""COMPUTED_VALUE"""),"BLACK")</f>
        <v>BLACK</v>
      </c>
      <c r="G1221" s="20" t="str">
        <f>IFERROR(__xludf.DUMMYFUNCTION("""COMPUTED_VALUE"""),"Uncle Sams Cider (11/12/2021) 02")</f>
        <v>Uncle Sams Cider (11/12/2021) 02</v>
      </c>
      <c r="H1221" s="19"/>
    </row>
    <row r="1222">
      <c r="A1222" s="9"/>
      <c r="B1222" s="15"/>
      <c r="C1222" s="9">
        <f>IFERROR(__xludf.DUMMYFUNCTION("""COMPUTED_VALUE"""),44592.8160918865)</f>
        <v>44592.81609</v>
      </c>
      <c r="D1222" s="15">
        <f>IFERROR(__xludf.DUMMYFUNCTION("""COMPUTED_VALUE"""),1.004)</f>
        <v>1.004</v>
      </c>
      <c r="E1222" s="16">
        <f>IFERROR(__xludf.DUMMYFUNCTION("""COMPUTED_VALUE"""),67.0)</f>
        <v>67</v>
      </c>
      <c r="F1222" s="19" t="str">
        <f>IFERROR(__xludf.DUMMYFUNCTION("""COMPUTED_VALUE"""),"BLACK")</f>
        <v>BLACK</v>
      </c>
      <c r="G1222" s="20" t="str">
        <f>IFERROR(__xludf.DUMMYFUNCTION("""COMPUTED_VALUE"""),"Uncle Sams Cider (11/12/2021) 02")</f>
        <v>Uncle Sams Cider (11/12/2021) 02</v>
      </c>
      <c r="H1222" s="19"/>
    </row>
    <row r="1223">
      <c r="A1223" s="9"/>
      <c r="B1223" s="15"/>
      <c r="C1223" s="9">
        <f>IFERROR(__xludf.DUMMYFUNCTION("""COMPUTED_VALUE"""),44592.8056594212)</f>
        <v>44592.80566</v>
      </c>
      <c r="D1223" s="15">
        <f>IFERROR(__xludf.DUMMYFUNCTION("""COMPUTED_VALUE"""),1.004)</f>
        <v>1.004</v>
      </c>
      <c r="E1223" s="16">
        <f>IFERROR(__xludf.DUMMYFUNCTION("""COMPUTED_VALUE"""),67.0)</f>
        <v>67</v>
      </c>
      <c r="F1223" s="19" t="str">
        <f>IFERROR(__xludf.DUMMYFUNCTION("""COMPUTED_VALUE"""),"BLACK")</f>
        <v>BLACK</v>
      </c>
      <c r="G1223" s="20" t="str">
        <f>IFERROR(__xludf.DUMMYFUNCTION("""COMPUTED_VALUE"""),"Uncle Sams Cider (11/12/2021) 02")</f>
        <v>Uncle Sams Cider (11/12/2021) 02</v>
      </c>
      <c r="H1223" s="19"/>
    </row>
    <row r="1224">
      <c r="A1224" s="9"/>
      <c r="B1224" s="15"/>
      <c r="C1224" s="9">
        <f>IFERROR(__xludf.DUMMYFUNCTION("""COMPUTED_VALUE"""),44592.7952374421)</f>
        <v>44592.79524</v>
      </c>
      <c r="D1224" s="15">
        <f>IFERROR(__xludf.DUMMYFUNCTION("""COMPUTED_VALUE"""),1.004)</f>
        <v>1.004</v>
      </c>
      <c r="E1224" s="16">
        <f>IFERROR(__xludf.DUMMYFUNCTION("""COMPUTED_VALUE"""),67.0)</f>
        <v>67</v>
      </c>
      <c r="F1224" s="19" t="str">
        <f>IFERROR(__xludf.DUMMYFUNCTION("""COMPUTED_VALUE"""),"BLACK")</f>
        <v>BLACK</v>
      </c>
      <c r="G1224" s="20" t="str">
        <f>IFERROR(__xludf.DUMMYFUNCTION("""COMPUTED_VALUE"""),"Uncle Sams Cider (11/12/2021) 02")</f>
        <v>Uncle Sams Cider (11/12/2021) 02</v>
      </c>
      <c r="H1224" s="19"/>
    </row>
    <row r="1225">
      <c r="A1225" s="9"/>
      <c r="B1225" s="15"/>
      <c r="C1225" s="9">
        <f>IFERROR(__xludf.DUMMYFUNCTION("""COMPUTED_VALUE"""),44592.784815868)</f>
        <v>44592.78482</v>
      </c>
      <c r="D1225" s="15">
        <f>IFERROR(__xludf.DUMMYFUNCTION("""COMPUTED_VALUE"""),1.004)</f>
        <v>1.004</v>
      </c>
      <c r="E1225" s="16">
        <f>IFERROR(__xludf.DUMMYFUNCTION("""COMPUTED_VALUE"""),67.0)</f>
        <v>67</v>
      </c>
      <c r="F1225" s="19" t="str">
        <f>IFERROR(__xludf.DUMMYFUNCTION("""COMPUTED_VALUE"""),"BLACK")</f>
        <v>BLACK</v>
      </c>
      <c r="G1225" s="20" t="str">
        <f>IFERROR(__xludf.DUMMYFUNCTION("""COMPUTED_VALUE"""),"Uncle Sams Cider (11/12/2021) 02")</f>
        <v>Uncle Sams Cider (11/12/2021) 02</v>
      </c>
      <c r="H1225" s="19"/>
    </row>
    <row r="1226">
      <c r="A1226" s="9"/>
      <c r="B1226" s="15"/>
      <c r="C1226" s="9">
        <f>IFERROR(__xludf.DUMMYFUNCTION("""COMPUTED_VALUE"""),44592.7743936458)</f>
        <v>44592.77439</v>
      </c>
      <c r="D1226" s="15">
        <f>IFERROR(__xludf.DUMMYFUNCTION("""COMPUTED_VALUE"""),1.004)</f>
        <v>1.004</v>
      </c>
      <c r="E1226" s="16">
        <f>IFERROR(__xludf.DUMMYFUNCTION("""COMPUTED_VALUE"""),67.0)</f>
        <v>67</v>
      </c>
      <c r="F1226" s="19" t="str">
        <f>IFERROR(__xludf.DUMMYFUNCTION("""COMPUTED_VALUE"""),"BLACK")</f>
        <v>BLACK</v>
      </c>
      <c r="G1226" s="20" t="str">
        <f>IFERROR(__xludf.DUMMYFUNCTION("""COMPUTED_VALUE"""),"Uncle Sams Cider (11/12/2021) 02")</f>
        <v>Uncle Sams Cider (11/12/2021) 02</v>
      </c>
      <c r="H1226" s="19"/>
    </row>
    <row r="1227">
      <c r="A1227" s="9"/>
      <c r="B1227" s="15"/>
      <c r="C1227" s="9">
        <f>IFERROR(__xludf.DUMMYFUNCTION("""COMPUTED_VALUE"""),44592.7639722453)</f>
        <v>44592.76397</v>
      </c>
      <c r="D1227" s="15">
        <f>IFERROR(__xludf.DUMMYFUNCTION("""COMPUTED_VALUE"""),1.004)</f>
        <v>1.004</v>
      </c>
      <c r="E1227" s="16">
        <f>IFERROR(__xludf.DUMMYFUNCTION("""COMPUTED_VALUE"""),67.0)</f>
        <v>67</v>
      </c>
      <c r="F1227" s="19" t="str">
        <f>IFERROR(__xludf.DUMMYFUNCTION("""COMPUTED_VALUE"""),"BLACK")</f>
        <v>BLACK</v>
      </c>
      <c r="G1227" s="20" t="str">
        <f>IFERROR(__xludf.DUMMYFUNCTION("""COMPUTED_VALUE"""),"Uncle Sams Cider (11/12/2021) 02")</f>
        <v>Uncle Sams Cider (11/12/2021) 02</v>
      </c>
      <c r="H1227" s="19"/>
    </row>
    <row r="1228">
      <c r="A1228" s="9"/>
      <c r="B1228" s="15"/>
      <c r="C1228" s="9">
        <f>IFERROR(__xludf.DUMMYFUNCTION("""COMPUTED_VALUE"""),44592.7535492361)</f>
        <v>44592.75355</v>
      </c>
      <c r="D1228" s="15">
        <f>IFERROR(__xludf.DUMMYFUNCTION("""COMPUTED_VALUE"""),1.004)</f>
        <v>1.004</v>
      </c>
      <c r="E1228" s="16">
        <f>IFERROR(__xludf.DUMMYFUNCTION("""COMPUTED_VALUE"""),67.0)</f>
        <v>67</v>
      </c>
      <c r="F1228" s="19" t="str">
        <f>IFERROR(__xludf.DUMMYFUNCTION("""COMPUTED_VALUE"""),"BLACK")</f>
        <v>BLACK</v>
      </c>
      <c r="G1228" s="20" t="str">
        <f>IFERROR(__xludf.DUMMYFUNCTION("""COMPUTED_VALUE"""),"Uncle Sams Cider (11/12/2021) 02")</f>
        <v>Uncle Sams Cider (11/12/2021) 02</v>
      </c>
      <c r="H1228" s="19"/>
    </row>
    <row r="1229">
      <c r="A1229" s="9"/>
      <c r="B1229" s="15"/>
      <c r="C1229" s="9">
        <f>IFERROR(__xludf.DUMMYFUNCTION("""COMPUTED_VALUE"""),44592.7431175462)</f>
        <v>44592.74312</v>
      </c>
      <c r="D1229" s="15">
        <f>IFERROR(__xludf.DUMMYFUNCTION("""COMPUTED_VALUE"""),1.004)</f>
        <v>1.004</v>
      </c>
      <c r="E1229" s="16">
        <f>IFERROR(__xludf.DUMMYFUNCTION("""COMPUTED_VALUE"""),67.0)</f>
        <v>67</v>
      </c>
      <c r="F1229" s="19" t="str">
        <f>IFERROR(__xludf.DUMMYFUNCTION("""COMPUTED_VALUE"""),"BLACK")</f>
        <v>BLACK</v>
      </c>
      <c r="G1229" s="20" t="str">
        <f>IFERROR(__xludf.DUMMYFUNCTION("""COMPUTED_VALUE"""),"Uncle Sams Cider (11/12/2021) 02")</f>
        <v>Uncle Sams Cider (11/12/2021) 02</v>
      </c>
      <c r="H1229" s="19"/>
    </row>
    <row r="1230">
      <c r="A1230" s="9"/>
      <c r="B1230" s="15"/>
      <c r="C1230" s="9">
        <f>IFERROR(__xludf.DUMMYFUNCTION("""COMPUTED_VALUE"""),44592.7326719097)</f>
        <v>44592.73267</v>
      </c>
      <c r="D1230" s="15">
        <f>IFERROR(__xludf.DUMMYFUNCTION("""COMPUTED_VALUE"""),1.004)</f>
        <v>1.004</v>
      </c>
      <c r="E1230" s="16">
        <f>IFERROR(__xludf.DUMMYFUNCTION("""COMPUTED_VALUE"""),67.0)</f>
        <v>67</v>
      </c>
      <c r="F1230" s="19" t="str">
        <f>IFERROR(__xludf.DUMMYFUNCTION("""COMPUTED_VALUE"""),"BLACK")</f>
        <v>BLACK</v>
      </c>
      <c r="G1230" s="20" t="str">
        <f>IFERROR(__xludf.DUMMYFUNCTION("""COMPUTED_VALUE"""),"Uncle Sams Cider (11/12/2021) 02")</f>
        <v>Uncle Sams Cider (11/12/2021) 02</v>
      </c>
      <c r="H1230" s="19"/>
    </row>
    <row r="1231">
      <c r="A1231" s="9"/>
      <c r="B1231" s="15"/>
      <c r="C1231" s="9">
        <f>IFERROR(__xludf.DUMMYFUNCTION("""COMPUTED_VALUE"""),44592.7222506828)</f>
        <v>44592.72225</v>
      </c>
      <c r="D1231" s="15">
        <f>IFERROR(__xludf.DUMMYFUNCTION("""COMPUTED_VALUE"""),1.004)</f>
        <v>1.004</v>
      </c>
      <c r="E1231" s="16">
        <f>IFERROR(__xludf.DUMMYFUNCTION("""COMPUTED_VALUE"""),67.0)</f>
        <v>67</v>
      </c>
      <c r="F1231" s="19" t="str">
        <f>IFERROR(__xludf.DUMMYFUNCTION("""COMPUTED_VALUE"""),"BLACK")</f>
        <v>BLACK</v>
      </c>
      <c r="G1231" s="20" t="str">
        <f>IFERROR(__xludf.DUMMYFUNCTION("""COMPUTED_VALUE"""),"Uncle Sams Cider (11/12/2021) 02")</f>
        <v>Uncle Sams Cider (11/12/2021) 02</v>
      </c>
      <c r="H1231" s="19"/>
    </row>
    <row r="1232">
      <c r="A1232" s="9"/>
      <c r="B1232" s="15"/>
      <c r="C1232" s="9">
        <f>IFERROR(__xludf.DUMMYFUNCTION("""COMPUTED_VALUE"""),44592.7117606365)</f>
        <v>44592.71176</v>
      </c>
      <c r="D1232" s="15">
        <f>IFERROR(__xludf.DUMMYFUNCTION("""COMPUTED_VALUE"""),1.004)</f>
        <v>1.004</v>
      </c>
      <c r="E1232" s="16">
        <f>IFERROR(__xludf.DUMMYFUNCTION("""COMPUTED_VALUE"""),67.0)</f>
        <v>67</v>
      </c>
      <c r="F1232" s="19" t="str">
        <f>IFERROR(__xludf.DUMMYFUNCTION("""COMPUTED_VALUE"""),"BLACK")</f>
        <v>BLACK</v>
      </c>
      <c r="G1232" s="20" t="str">
        <f>IFERROR(__xludf.DUMMYFUNCTION("""COMPUTED_VALUE"""),"Uncle Sams Cider (11/12/2021) 02")</f>
        <v>Uncle Sams Cider (11/12/2021) 02</v>
      </c>
      <c r="H1232" s="19"/>
    </row>
    <row r="1233">
      <c r="A1233" s="9"/>
      <c r="B1233" s="15"/>
      <c r="C1233" s="9">
        <f>IFERROR(__xludf.DUMMYFUNCTION("""COMPUTED_VALUE"""),44592.7012923611)</f>
        <v>44592.70129</v>
      </c>
      <c r="D1233" s="15">
        <f>IFERROR(__xludf.DUMMYFUNCTION("""COMPUTED_VALUE"""),1.004)</f>
        <v>1.004</v>
      </c>
      <c r="E1233" s="16">
        <f>IFERROR(__xludf.DUMMYFUNCTION("""COMPUTED_VALUE"""),68.0)</f>
        <v>68</v>
      </c>
      <c r="F1233" s="19" t="str">
        <f>IFERROR(__xludf.DUMMYFUNCTION("""COMPUTED_VALUE"""),"BLACK")</f>
        <v>BLACK</v>
      </c>
      <c r="G1233" s="20" t="str">
        <f>IFERROR(__xludf.DUMMYFUNCTION("""COMPUTED_VALUE"""),"Uncle Sams Cider (11/12/2021) 02")</f>
        <v>Uncle Sams Cider (11/12/2021) 02</v>
      </c>
      <c r="H1233" s="19"/>
    </row>
    <row r="1234">
      <c r="A1234" s="9"/>
      <c r="B1234" s="15"/>
      <c r="C1234" s="9">
        <f>IFERROR(__xludf.DUMMYFUNCTION("""COMPUTED_VALUE"""),44592.690871956)</f>
        <v>44592.69087</v>
      </c>
      <c r="D1234" s="15">
        <f>IFERROR(__xludf.DUMMYFUNCTION("""COMPUTED_VALUE"""),1.004)</f>
        <v>1.004</v>
      </c>
      <c r="E1234" s="16">
        <f>IFERROR(__xludf.DUMMYFUNCTION("""COMPUTED_VALUE"""),68.0)</f>
        <v>68</v>
      </c>
      <c r="F1234" s="19" t="str">
        <f>IFERROR(__xludf.DUMMYFUNCTION("""COMPUTED_VALUE"""),"BLACK")</f>
        <v>BLACK</v>
      </c>
      <c r="G1234" s="20" t="str">
        <f>IFERROR(__xludf.DUMMYFUNCTION("""COMPUTED_VALUE"""),"Uncle Sams Cider (11/12/2021) 02")</f>
        <v>Uncle Sams Cider (11/12/2021) 02</v>
      </c>
      <c r="H1234" s="19"/>
    </row>
    <row r="1235">
      <c r="A1235" s="9"/>
      <c r="B1235" s="15"/>
      <c r="C1235" s="9">
        <f>IFERROR(__xludf.DUMMYFUNCTION("""COMPUTED_VALUE"""),44592.6804391319)</f>
        <v>44592.68044</v>
      </c>
      <c r="D1235" s="15">
        <f>IFERROR(__xludf.DUMMYFUNCTION("""COMPUTED_VALUE"""),1.004)</f>
        <v>1.004</v>
      </c>
      <c r="E1235" s="16">
        <f>IFERROR(__xludf.DUMMYFUNCTION("""COMPUTED_VALUE"""),68.0)</f>
        <v>68</v>
      </c>
      <c r="F1235" s="19" t="str">
        <f>IFERROR(__xludf.DUMMYFUNCTION("""COMPUTED_VALUE"""),"BLACK")</f>
        <v>BLACK</v>
      </c>
      <c r="G1235" s="20" t="str">
        <f>IFERROR(__xludf.DUMMYFUNCTION("""COMPUTED_VALUE"""),"Uncle Sams Cider (11/12/2021) 02")</f>
        <v>Uncle Sams Cider (11/12/2021) 02</v>
      </c>
      <c r="H1235" s="19"/>
    </row>
    <row r="1236">
      <c r="A1236" s="9"/>
      <c r="B1236" s="15"/>
      <c r="C1236" s="9">
        <f>IFERROR(__xludf.DUMMYFUNCTION("""COMPUTED_VALUE"""),44592.6699821759)</f>
        <v>44592.66998</v>
      </c>
      <c r="D1236" s="15">
        <f>IFERROR(__xludf.DUMMYFUNCTION("""COMPUTED_VALUE"""),1.004)</f>
        <v>1.004</v>
      </c>
      <c r="E1236" s="16">
        <f>IFERROR(__xludf.DUMMYFUNCTION("""COMPUTED_VALUE"""),68.0)</f>
        <v>68</v>
      </c>
      <c r="F1236" s="19" t="str">
        <f>IFERROR(__xludf.DUMMYFUNCTION("""COMPUTED_VALUE"""),"BLACK")</f>
        <v>BLACK</v>
      </c>
      <c r="G1236" s="20" t="str">
        <f>IFERROR(__xludf.DUMMYFUNCTION("""COMPUTED_VALUE"""),"Uncle Sams Cider (11/12/2021) 02")</f>
        <v>Uncle Sams Cider (11/12/2021) 02</v>
      </c>
      <c r="H1236" s="19"/>
    </row>
    <row r="1237">
      <c r="A1237" s="9"/>
      <c r="B1237" s="15"/>
      <c r="C1237" s="9">
        <f>IFERROR(__xludf.DUMMYFUNCTION("""COMPUTED_VALUE"""),44592.6595366203)</f>
        <v>44592.65954</v>
      </c>
      <c r="D1237" s="15">
        <f>IFERROR(__xludf.DUMMYFUNCTION("""COMPUTED_VALUE"""),1.004)</f>
        <v>1.004</v>
      </c>
      <c r="E1237" s="16">
        <f>IFERROR(__xludf.DUMMYFUNCTION("""COMPUTED_VALUE"""),68.0)</f>
        <v>68</v>
      </c>
      <c r="F1237" s="19" t="str">
        <f>IFERROR(__xludf.DUMMYFUNCTION("""COMPUTED_VALUE"""),"BLACK")</f>
        <v>BLACK</v>
      </c>
      <c r="G1237" s="20" t="str">
        <f>IFERROR(__xludf.DUMMYFUNCTION("""COMPUTED_VALUE"""),"Uncle Sams Cider (11/12/2021) 02")</f>
        <v>Uncle Sams Cider (11/12/2021) 02</v>
      </c>
      <c r="H1237" s="19"/>
    </row>
    <row r="1238">
      <c r="A1238" s="9"/>
      <c r="B1238" s="15"/>
      <c r="C1238" s="9">
        <f>IFERROR(__xludf.DUMMYFUNCTION("""COMPUTED_VALUE"""),44592.6491161342)</f>
        <v>44592.64912</v>
      </c>
      <c r="D1238" s="15">
        <f>IFERROR(__xludf.DUMMYFUNCTION("""COMPUTED_VALUE"""),1.004)</f>
        <v>1.004</v>
      </c>
      <c r="E1238" s="16">
        <f>IFERROR(__xludf.DUMMYFUNCTION("""COMPUTED_VALUE"""),68.0)</f>
        <v>68</v>
      </c>
      <c r="F1238" s="19" t="str">
        <f>IFERROR(__xludf.DUMMYFUNCTION("""COMPUTED_VALUE"""),"BLACK")</f>
        <v>BLACK</v>
      </c>
      <c r="G1238" s="20" t="str">
        <f>IFERROR(__xludf.DUMMYFUNCTION("""COMPUTED_VALUE"""),"Uncle Sams Cider (11/12/2021) 02")</f>
        <v>Uncle Sams Cider (11/12/2021) 02</v>
      </c>
      <c r="H1238" s="19"/>
    </row>
    <row r="1239">
      <c r="A1239" s="9"/>
      <c r="B1239" s="15"/>
      <c r="C1239" s="9">
        <f>IFERROR(__xludf.DUMMYFUNCTION("""COMPUTED_VALUE"""),44592.6386118402)</f>
        <v>44592.63861</v>
      </c>
      <c r="D1239" s="15">
        <f>IFERROR(__xludf.DUMMYFUNCTION("""COMPUTED_VALUE"""),1.004)</f>
        <v>1.004</v>
      </c>
      <c r="E1239" s="16">
        <f>IFERROR(__xludf.DUMMYFUNCTION("""COMPUTED_VALUE"""),68.0)</f>
        <v>68</v>
      </c>
      <c r="F1239" s="19" t="str">
        <f>IFERROR(__xludf.DUMMYFUNCTION("""COMPUTED_VALUE"""),"BLACK")</f>
        <v>BLACK</v>
      </c>
      <c r="G1239" s="20" t="str">
        <f>IFERROR(__xludf.DUMMYFUNCTION("""COMPUTED_VALUE"""),"Uncle Sams Cider (11/12/2021) 02")</f>
        <v>Uncle Sams Cider (11/12/2021) 02</v>
      </c>
      <c r="H1239" s="19"/>
    </row>
    <row r="1240">
      <c r="A1240" s="9"/>
      <c r="B1240" s="15"/>
      <c r="C1240" s="9">
        <f>IFERROR(__xludf.DUMMYFUNCTION("""COMPUTED_VALUE"""),44592.6281668402)</f>
        <v>44592.62817</v>
      </c>
      <c r="D1240" s="15">
        <f>IFERROR(__xludf.DUMMYFUNCTION("""COMPUTED_VALUE"""),1.004)</f>
        <v>1.004</v>
      </c>
      <c r="E1240" s="16">
        <f>IFERROR(__xludf.DUMMYFUNCTION("""COMPUTED_VALUE"""),68.0)</f>
        <v>68</v>
      </c>
      <c r="F1240" s="19" t="str">
        <f>IFERROR(__xludf.DUMMYFUNCTION("""COMPUTED_VALUE"""),"BLACK")</f>
        <v>BLACK</v>
      </c>
      <c r="G1240" s="20" t="str">
        <f>IFERROR(__xludf.DUMMYFUNCTION("""COMPUTED_VALUE"""),"Uncle Sams Cider (11/12/2021) 02")</f>
        <v>Uncle Sams Cider (11/12/2021) 02</v>
      </c>
      <c r="H1240" s="19"/>
    </row>
    <row r="1241">
      <c r="A1241" s="9"/>
      <c r="B1241" s="15"/>
      <c r="C1241" s="9">
        <f>IFERROR(__xludf.DUMMYFUNCTION("""COMPUTED_VALUE"""),44592.6177007754)</f>
        <v>44592.6177</v>
      </c>
      <c r="D1241" s="15">
        <f>IFERROR(__xludf.DUMMYFUNCTION("""COMPUTED_VALUE"""),1.004)</f>
        <v>1.004</v>
      </c>
      <c r="E1241" s="16">
        <f>IFERROR(__xludf.DUMMYFUNCTION("""COMPUTED_VALUE"""),68.0)</f>
        <v>68</v>
      </c>
      <c r="F1241" s="19" t="str">
        <f>IFERROR(__xludf.DUMMYFUNCTION("""COMPUTED_VALUE"""),"BLACK")</f>
        <v>BLACK</v>
      </c>
      <c r="G1241" s="20" t="str">
        <f>IFERROR(__xludf.DUMMYFUNCTION("""COMPUTED_VALUE"""),"Uncle Sams Cider (11/12/2021) 02")</f>
        <v>Uncle Sams Cider (11/12/2021) 02</v>
      </c>
      <c r="H1241" s="19"/>
    </row>
    <row r="1242">
      <c r="A1242" s="9"/>
      <c r="B1242" s="15"/>
      <c r="C1242" s="9">
        <f>IFERROR(__xludf.DUMMYFUNCTION("""COMPUTED_VALUE"""),44592.6072775462)</f>
        <v>44592.60728</v>
      </c>
      <c r="D1242" s="15">
        <f>IFERROR(__xludf.DUMMYFUNCTION("""COMPUTED_VALUE"""),1.004)</f>
        <v>1.004</v>
      </c>
      <c r="E1242" s="16">
        <f>IFERROR(__xludf.DUMMYFUNCTION("""COMPUTED_VALUE"""),68.0)</f>
        <v>68</v>
      </c>
      <c r="F1242" s="19" t="str">
        <f>IFERROR(__xludf.DUMMYFUNCTION("""COMPUTED_VALUE"""),"BLACK")</f>
        <v>BLACK</v>
      </c>
      <c r="G1242" s="20" t="str">
        <f>IFERROR(__xludf.DUMMYFUNCTION("""COMPUTED_VALUE"""),"Uncle Sams Cider (11/12/2021) 02")</f>
        <v>Uncle Sams Cider (11/12/2021) 02</v>
      </c>
      <c r="H1242" s="19"/>
    </row>
    <row r="1243">
      <c r="A1243" s="9"/>
      <c r="B1243" s="15"/>
      <c r="C1243" s="9">
        <f>IFERROR(__xludf.DUMMYFUNCTION("""COMPUTED_VALUE"""),44592.5968341435)</f>
        <v>44592.59683</v>
      </c>
      <c r="D1243" s="15">
        <f>IFERROR(__xludf.DUMMYFUNCTION("""COMPUTED_VALUE"""),1.004)</f>
        <v>1.004</v>
      </c>
      <c r="E1243" s="16">
        <f>IFERROR(__xludf.DUMMYFUNCTION("""COMPUTED_VALUE"""),68.0)</f>
        <v>68</v>
      </c>
      <c r="F1243" s="19" t="str">
        <f>IFERROR(__xludf.DUMMYFUNCTION("""COMPUTED_VALUE"""),"BLACK")</f>
        <v>BLACK</v>
      </c>
      <c r="G1243" s="20" t="str">
        <f>IFERROR(__xludf.DUMMYFUNCTION("""COMPUTED_VALUE"""),"Uncle Sams Cider (11/12/2021) 02")</f>
        <v>Uncle Sams Cider (11/12/2021) 02</v>
      </c>
      <c r="H1243" s="19"/>
    </row>
    <row r="1244">
      <c r="A1244" s="9"/>
      <c r="B1244" s="15"/>
      <c r="C1244" s="9">
        <f>IFERROR(__xludf.DUMMYFUNCTION("""COMPUTED_VALUE"""),44592.5863788425)</f>
        <v>44592.58638</v>
      </c>
      <c r="D1244" s="15">
        <f>IFERROR(__xludf.DUMMYFUNCTION("""COMPUTED_VALUE"""),1.004)</f>
        <v>1.004</v>
      </c>
      <c r="E1244" s="16">
        <f>IFERROR(__xludf.DUMMYFUNCTION("""COMPUTED_VALUE"""),68.0)</f>
        <v>68</v>
      </c>
      <c r="F1244" s="19" t="str">
        <f>IFERROR(__xludf.DUMMYFUNCTION("""COMPUTED_VALUE"""),"BLACK")</f>
        <v>BLACK</v>
      </c>
      <c r="G1244" s="20" t="str">
        <f>IFERROR(__xludf.DUMMYFUNCTION("""COMPUTED_VALUE"""),"Uncle Sams Cider (11/12/2021) 02")</f>
        <v>Uncle Sams Cider (11/12/2021) 02</v>
      </c>
      <c r="H1244" s="19"/>
    </row>
    <row r="1245">
      <c r="A1245" s="9"/>
      <c r="B1245" s="15"/>
      <c r="C1245" s="9">
        <f>IFERROR(__xludf.DUMMYFUNCTION("""COMPUTED_VALUE"""),44592.5759580902)</f>
        <v>44592.57596</v>
      </c>
      <c r="D1245" s="15">
        <f>IFERROR(__xludf.DUMMYFUNCTION("""COMPUTED_VALUE"""),1.004)</f>
        <v>1.004</v>
      </c>
      <c r="E1245" s="16">
        <f>IFERROR(__xludf.DUMMYFUNCTION("""COMPUTED_VALUE"""),67.0)</f>
        <v>67</v>
      </c>
      <c r="F1245" s="19" t="str">
        <f>IFERROR(__xludf.DUMMYFUNCTION("""COMPUTED_VALUE"""),"BLACK")</f>
        <v>BLACK</v>
      </c>
      <c r="G1245" s="20" t="str">
        <f>IFERROR(__xludf.DUMMYFUNCTION("""COMPUTED_VALUE"""),"Uncle Sams Cider (11/12/2021) 02")</f>
        <v>Uncle Sams Cider (11/12/2021) 02</v>
      </c>
      <c r="H1245" s="19"/>
    </row>
    <row r="1246">
      <c r="A1246" s="9"/>
      <c r="B1246" s="15"/>
      <c r="C1246" s="9">
        <f>IFERROR(__xludf.DUMMYFUNCTION("""COMPUTED_VALUE"""),44592.5655362847)</f>
        <v>44592.56554</v>
      </c>
      <c r="D1246" s="15">
        <f>IFERROR(__xludf.DUMMYFUNCTION("""COMPUTED_VALUE"""),1.004)</f>
        <v>1.004</v>
      </c>
      <c r="E1246" s="16">
        <f>IFERROR(__xludf.DUMMYFUNCTION("""COMPUTED_VALUE"""),67.0)</f>
        <v>67</v>
      </c>
      <c r="F1246" s="19" t="str">
        <f>IFERROR(__xludf.DUMMYFUNCTION("""COMPUTED_VALUE"""),"BLACK")</f>
        <v>BLACK</v>
      </c>
      <c r="G1246" s="20" t="str">
        <f>IFERROR(__xludf.DUMMYFUNCTION("""COMPUTED_VALUE"""),"Uncle Sams Cider (11/12/2021) 02")</f>
        <v>Uncle Sams Cider (11/12/2021) 02</v>
      </c>
      <c r="H1246" s="19"/>
    </row>
    <row r="1247">
      <c r="A1247" s="9"/>
      <c r="B1247" s="15"/>
      <c r="C1247" s="9">
        <f>IFERROR(__xludf.DUMMYFUNCTION("""COMPUTED_VALUE"""),44592.5551162615)</f>
        <v>44592.55512</v>
      </c>
      <c r="D1247" s="15">
        <f>IFERROR(__xludf.DUMMYFUNCTION("""COMPUTED_VALUE"""),1.004)</f>
        <v>1.004</v>
      </c>
      <c r="E1247" s="16">
        <f>IFERROR(__xludf.DUMMYFUNCTION("""COMPUTED_VALUE"""),67.0)</f>
        <v>67</v>
      </c>
      <c r="F1247" s="19" t="str">
        <f>IFERROR(__xludf.DUMMYFUNCTION("""COMPUTED_VALUE"""),"BLACK")</f>
        <v>BLACK</v>
      </c>
      <c r="G1247" s="20" t="str">
        <f>IFERROR(__xludf.DUMMYFUNCTION("""COMPUTED_VALUE"""),"Uncle Sams Cider (11/12/2021) 02")</f>
        <v>Uncle Sams Cider (11/12/2021) 02</v>
      </c>
      <c r="H1247" s="19"/>
    </row>
    <row r="1248">
      <c r="A1248" s="9"/>
      <c r="B1248" s="15"/>
      <c r="C1248" s="9">
        <f>IFERROR(__xludf.DUMMYFUNCTION("""COMPUTED_VALUE"""),44592.544683206)</f>
        <v>44592.54468</v>
      </c>
      <c r="D1248" s="15">
        <f>IFERROR(__xludf.DUMMYFUNCTION("""COMPUTED_VALUE"""),1.004)</f>
        <v>1.004</v>
      </c>
      <c r="E1248" s="16">
        <f>IFERROR(__xludf.DUMMYFUNCTION("""COMPUTED_VALUE"""),66.0)</f>
        <v>66</v>
      </c>
      <c r="F1248" s="19" t="str">
        <f>IFERROR(__xludf.DUMMYFUNCTION("""COMPUTED_VALUE"""),"BLACK")</f>
        <v>BLACK</v>
      </c>
      <c r="G1248" s="20" t="str">
        <f>IFERROR(__xludf.DUMMYFUNCTION("""COMPUTED_VALUE"""),"Uncle Sams Cider (11/12/2021) 02")</f>
        <v>Uncle Sams Cider (11/12/2021) 02</v>
      </c>
      <c r="H1248" s="19"/>
    </row>
    <row r="1249">
      <c r="A1249" s="9"/>
      <c r="B1249" s="15"/>
      <c r="C1249" s="9">
        <f>IFERROR(__xludf.DUMMYFUNCTION("""COMPUTED_VALUE"""),44592.5342623495)</f>
        <v>44592.53426</v>
      </c>
      <c r="D1249" s="15">
        <f>IFERROR(__xludf.DUMMYFUNCTION("""COMPUTED_VALUE"""),1.004)</f>
        <v>1.004</v>
      </c>
      <c r="E1249" s="16">
        <f>IFERROR(__xludf.DUMMYFUNCTION("""COMPUTED_VALUE"""),66.0)</f>
        <v>66</v>
      </c>
      <c r="F1249" s="19" t="str">
        <f>IFERROR(__xludf.DUMMYFUNCTION("""COMPUTED_VALUE"""),"BLACK")</f>
        <v>BLACK</v>
      </c>
      <c r="G1249" s="20" t="str">
        <f>IFERROR(__xludf.DUMMYFUNCTION("""COMPUTED_VALUE"""),"Uncle Sams Cider (11/12/2021) 02")</f>
        <v>Uncle Sams Cider (11/12/2021) 02</v>
      </c>
      <c r="H1249" s="19"/>
    </row>
    <row r="1250">
      <c r="A1250" s="9"/>
      <c r="B1250" s="15"/>
      <c r="C1250" s="9">
        <f>IFERROR(__xludf.DUMMYFUNCTION("""COMPUTED_VALUE"""),44592.5238403935)</f>
        <v>44592.52384</v>
      </c>
      <c r="D1250" s="15">
        <f>IFERROR(__xludf.DUMMYFUNCTION("""COMPUTED_VALUE"""),1.004)</f>
        <v>1.004</v>
      </c>
      <c r="E1250" s="16">
        <f>IFERROR(__xludf.DUMMYFUNCTION("""COMPUTED_VALUE"""),65.0)</f>
        <v>65</v>
      </c>
      <c r="F1250" s="19" t="str">
        <f>IFERROR(__xludf.DUMMYFUNCTION("""COMPUTED_VALUE"""),"BLACK")</f>
        <v>BLACK</v>
      </c>
      <c r="G1250" s="20" t="str">
        <f>IFERROR(__xludf.DUMMYFUNCTION("""COMPUTED_VALUE"""),"Uncle Sams Cider (11/12/2021) 02")</f>
        <v>Uncle Sams Cider (11/12/2021) 02</v>
      </c>
      <c r="H1250" s="19"/>
    </row>
    <row r="1251">
      <c r="A1251" s="9"/>
      <c r="B1251" s="15"/>
      <c r="C1251" s="9">
        <f>IFERROR(__xludf.DUMMYFUNCTION("""COMPUTED_VALUE"""),44592.5134187615)</f>
        <v>44592.51342</v>
      </c>
      <c r="D1251" s="15">
        <f>IFERROR(__xludf.DUMMYFUNCTION("""COMPUTED_VALUE"""),1.004)</f>
        <v>1.004</v>
      </c>
      <c r="E1251" s="16">
        <f>IFERROR(__xludf.DUMMYFUNCTION("""COMPUTED_VALUE"""),65.0)</f>
        <v>65</v>
      </c>
      <c r="F1251" s="19" t="str">
        <f>IFERROR(__xludf.DUMMYFUNCTION("""COMPUTED_VALUE"""),"BLACK")</f>
        <v>BLACK</v>
      </c>
      <c r="G1251" s="20" t="str">
        <f>IFERROR(__xludf.DUMMYFUNCTION("""COMPUTED_VALUE"""),"Uncle Sams Cider (11/12/2021) 02")</f>
        <v>Uncle Sams Cider (11/12/2021) 02</v>
      </c>
      <c r="H1251" s="19"/>
    </row>
    <row r="1252">
      <c r="A1252" s="9"/>
      <c r="B1252" s="15"/>
      <c r="C1252" s="9">
        <f>IFERROR(__xludf.DUMMYFUNCTION("""COMPUTED_VALUE"""),44592.502987118)</f>
        <v>44592.50299</v>
      </c>
      <c r="D1252" s="15">
        <f>IFERROR(__xludf.DUMMYFUNCTION("""COMPUTED_VALUE"""),1.005)</f>
        <v>1.005</v>
      </c>
      <c r="E1252" s="16">
        <f>IFERROR(__xludf.DUMMYFUNCTION("""COMPUTED_VALUE"""),65.0)</f>
        <v>65</v>
      </c>
      <c r="F1252" s="19" t="str">
        <f>IFERROR(__xludf.DUMMYFUNCTION("""COMPUTED_VALUE"""),"BLACK")</f>
        <v>BLACK</v>
      </c>
      <c r="G1252" s="20" t="str">
        <f>IFERROR(__xludf.DUMMYFUNCTION("""COMPUTED_VALUE"""),"Uncle Sams Cider (11/12/2021) 02")</f>
        <v>Uncle Sams Cider (11/12/2021) 02</v>
      </c>
      <c r="H1252" s="19"/>
    </row>
    <row r="1253">
      <c r="A1253" s="9"/>
      <c r="B1253" s="15"/>
      <c r="C1253" s="9">
        <f>IFERROR(__xludf.DUMMYFUNCTION("""COMPUTED_VALUE"""),44592.4925531481)</f>
        <v>44592.49255</v>
      </c>
      <c r="D1253" s="15">
        <f>IFERROR(__xludf.DUMMYFUNCTION("""COMPUTED_VALUE"""),1.004)</f>
        <v>1.004</v>
      </c>
      <c r="E1253" s="16">
        <f>IFERROR(__xludf.DUMMYFUNCTION("""COMPUTED_VALUE"""),64.0)</f>
        <v>64</v>
      </c>
      <c r="F1253" s="19" t="str">
        <f>IFERROR(__xludf.DUMMYFUNCTION("""COMPUTED_VALUE"""),"BLACK")</f>
        <v>BLACK</v>
      </c>
      <c r="G1253" s="20" t="str">
        <f>IFERROR(__xludf.DUMMYFUNCTION("""COMPUTED_VALUE"""),"Uncle Sams Cider (11/12/2021) 02")</f>
        <v>Uncle Sams Cider (11/12/2021) 02</v>
      </c>
      <c r="H1253" s="19"/>
    </row>
    <row r="1254">
      <c r="A1254" s="9"/>
      <c r="B1254" s="15"/>
      <c r="C1254" s="9">
        <f>IFERROR(__xludf.DUMMYFUNCTION("""COMPUTED_VALUE"""),44592.4821312731)</f>
        <v>44592.48213</v>
      </c>
      <c r="D1254" s="15">
        <f>IFERROR(__xludf.DUMMYFUNCTION("""COMPUTED_VALUE"""),1.005)</f>
        <v>1.005</v>
      </c>
      <c r="E1254" s="16">
        <f>IFERROR(__xludf.DUMMYFUNCTION("""COMPUTED_VALUE"""),64.0)</f>
        <v>64</v>
      </c>
      <c r="F1254" s="19" t="str">
        <f>IFERROR(__xludf.DUMMYFUNCTION("""COMPUTED_VALUE"""),"BLACK")</f>
        <v>BLACK</v>
      </c>
      <c r="G1254" s="20" t="str">
        <f>IFERROR(__xludf.DUMMYFUNCTION("""COMPUTED_VALUE"""),"Uncle Sams Cider (11/12/2021) 02")</f>
        <v>Uncle Sams Cider (11/12/2021) 02</v>
      </c>
      <c r="H1254" s="19"/>
    </row>
    <row r="1255">
      <c r="A1255" s="9"/>
      <c r="B1255" s="15"/>
      <c r="C1255" s="9">
        <f>IFERROR(__xludf.DUMMYFUNCTION("""COMPUTED_VALUE"""),44592.4716894328)</f>
        <v>44592.47169</v>
      </c>
      <c r="D1255" s="15">
        <f>IFERROR(__xludf.DUMMYFUNCTION("""COMPUTED_VALUE"""),1.004)</f>
        <v>1.004</v>
      </c>
      <c r="E1255" s="16">
        <f>IFERROR(__xludf.DUMMYFUNCTION("""COMPUTED_VALUE"""),63.0)</f>
        <v>63</v>
      </c>
      <c r="F1255" s="19" t="str">
        <f>IFERROR(__xludf.DUMMYFUNCTION("""COMPUTED_VALUE"""),"BLACK")</f>
        <v>BLACK</v>
      </c>
      <c r="G1255" s="20" t="str">
        <f>IFERROR(__xludf.DUMMYFUNCTION("""COMPUTED_VALUE"""),"Uncle Sams Cider (11/12/2021) 02")</f>
        <v>Uncle Sams Cider (11/12/2021) 02</v>
      </c>
      <c r="H1255" s="19"/>
    </row>
    <row r="1256">
      <c r="A1256" s="9"/>
      <c r="B1256" s="15"/>
      <c r="C1256" s="9">
        <f>IFERROR(__xludf.DUMMYFUNCTION("""COMPUTED_VALUE"""),44592.4612346527)</f>
        <v>44592.46123</v>
      </c>
      <c r="D1256" s="15">
        <f>IFERROR(__xludf.DUMMYFUNCTION("""COMPUTED_VALUE"""),1.005)</f>
        <v>1.005</v>
      </c>
      <c r="E1256" s="16">
        <f>IFERROR(__xludf.DUMMYFUNCTION("""COMPUTED_VALUE"""),63.0)</f>
        <v>63</v>
      </c>
      <c r="F1256" s="19" t="str">
        <f>IFERROR(__xludf.DUMMYFUNCTION("""COMPUTED_VALUE"""),"BLACK")</f>
        <v>BLACK</v>
      </c>
      <c r="G1256" s="20" t="str">
        <f>IFERROR(__xludf.DUMMYFUNCTION("""COMPUTED_VALUE"""),"Uncle Sams Cider (11/12/2021) 02")</f>
        <v>Uncle Sams Cider (11/12/2021) 02</v>
      </c>
      <c r="H1256" s="19"/>
    </row>
    <row r="1257">
      <c r="A1257" s="9"/>
      <c r="B1257" s="15"/>
      <c r="C1257" s="9">
        <f>IFERROR(__xludf.DUMMYFUNCTION("""COMPUTED_VALUE"""),44592.4508136574)</f>
        <v>44592.45081</v>
      </c>
      <c r="D1257" s="15">
        <f>IFERROR(__xludf.DUMMYFUNCTION("""COMPUTED_VALUE"""),1.005)</f>
        <v>1.005</v>
      </c>
      <c r="E1257" s="16">
        <f>IFERROR(__xludf.DUMMYFUNCTION("""COMPUTED_VALUE"""),63.0)</f>
        <v>63</v>
      </c>
      <c r="F1257" s="19" t="str">
        <f>IFERROR(__xludf.DUMMYFUNCTION("""COMPUTED_VALUE"""),"BLACK")</f>
        <v>BLACK</v>
      </c>
      <c r="G1257" s="20" t="str">
        <f>IFERROR(__xludf.DUMMYFUNCTION("""COMPUTED_VALUE"""),"Uncle Sams Cider (11/12/2021) 02")</f>
        <v>Uncle Sams Cider (11/12/2021) 02</v>
      </c>
      <c r="H1257" s="19"/>
    </row>
    <row r="1258">
      <c r="A1258" s="9"/>
      <c r="B1258" s="15"/>
      <c r="C1258" s="9">
        <f>IFERROR(__xludf.DUMMYFUNCTION("""COMPUTED_VALUE"""),44592.4403927662)</f>
        <v>44592.44039</v>
      </c>
      <c r="D1258" s="15">
        <f>IFERROR(__xludf.DUMMYFUNCTION("""COMPUTED_VALUE"""),1.005)</f>
        <v>1.005</v>
      </c>
      <c r="E1258" s="16">
        <f>IFERROR(__xludf.DUMMYFUNCTION("""COMPUTED_VALUE"""),63.0)</f>
        <v>63</v>
      </c>
      <c r="F1258" s="19" t="str">
        <f>IFERROR(__xludf.DUMMYFUNCTION("""COMPUTED_VALUE"""),"BLACK")</f>
        <v>BLACK</v>
      </c>
      <c r="G1258" s="20" t="str">
        <f>IFERROR(__xludf.DUMMYFUNCTION("""COMPUTED_VALUE"""),"Uncle Sams Cider (11/12/2021) 02")</f>
        <v>Uncle Sams Cider (11/12/2021) 02</v>
      </c>
      <c r="H1258" s="19"/>
    </row>
    <row r="1259">
      <c r="A1259" s="9"/>
      <c r="B1259" s="15"/>
      <c r="C1259" s="9">
        <f>IFERROR(__xludf.DUMMYFUNCTION("""COMPUTED_VALUE"""),44592.4299467939)</f>
        <v>44592.42995</v>
      </c>
      <c r="D1259" s="15">
        <f>IFERROR(__xludf.DUMMYFUNCTION("""COMPUTED_VALUE"""),1.005)</f>
        <v>1.005</v>
      </c>
      <c r="E1259" s="16">
        <f>IFERROR(__xludf.DUMMYFUNCTION("""COMPUTED_VALUE"""),63.0)</f>
        <v>63</v>
      </c>
      <c r="F1259" s="19" t="str">
        <f>IFERROR(__xludf.DUMMYFUNCTION("""COMPUTED_VALUE"""),"BLACK")</f>
        <v>BLACK</v>
      </c>
      <c r="G1259" s="20" t="str">
        <f>IFERROR(__xludf.DUMMYFUNCTION("""COMPUTED_VALUE"""),"Uncle Sams Cider (11/12/2021) 02")</f>
        <v>Uncle Sams Cider (11/12/2021) 02</v>
      </c>
      <c r="H1259" s="19"/>
    </row>
    <row r="1260">
      <c r="A1260" s="9"/>
      <c r="B1260" s="15"/>
      <c r="C1260" s="9">
        <f>IFERROR(__xludf.DUMMYFUNCTION("""COMPUTED_VALUE"""),44592.4195257754)</f>
        <v>44592.41953</v>
      </c>
      <c r="D1260" s="15">
        <f>IFERROR(__xludf.DUMMYFUNCTION("""COMPUTED_VALUE"""),1.005)</f>
        <v>1.005</v>
      </c>
      <c r="E1260" s="16">
        <f>IFERROR(__xludf.DUMMYFUNCTION("""COMPUTED_VALUE"""),63.0)</f>
        <v>63</v>
      </c>
      <c r="F1260" s="19" t="str">
        <f>IFERROR(__xludf.DUMMYFUNCTION("""COMPUTED_VALUE"""),"BLACK")</f>
        <v>BLACK</v>
      </c>
      <c r="G1260" s="20" t="str">
        <f>IFERROR(__xludf.DUMMYFUNCTION("""COMPUTED_VALUE"""),"Uncle Sams Cider (11/12/2021) 02")</f>
        <v>Uncle Sams Cider (11/12/2021) 02</v>
      </c>
      <c r="H1260" s="19"/>
    </row>
    <row r="1261">
      <c r="A1261" s="9"/>
      <c r="B1261" s="15"/>
      <c r="C1261" s="9">
        <f>IFERROR(__xludf.DUMMYFUNCTION("""COMPUTED_VALUE"""),44592.4090699189)</f>
        <v>44592.40907</v>
      </c>
      <c r="D1261" s="15">
        <f>IFERROR(__xludf.DUMMYFUNCTION("""COMPUTED_VALUE"""),1.005)</f>
        <v>1.005</v>
      </c>
      <c r="E1261" s="16">
        <f>IFERROR(__xludf.DUMMYFUNCTION("""COMPUTED_VALUE"""),63.0)</f>
        <v>63</v>
      </c>
      <c r="F1261" s="19" t="str">
        <f>IFERROR(__xludf.DUMMYFUNCTION("""COMPUTED_VALUE"""),"BLACK")</f>
        <v>BLACK</v>
      </c>
      <c r="G1261" s="20" t="str">
        <f>IFERROR(__xludf.DUMMYFUNCTION("""COMPUTED_VALUE"""),"Uncle Sams Cider (11/12/2021) 02")</f>
        <v>Uncle Sams Cider (11/12/2021) 02</v>
      </c>
      <c r="H1261" s="19"/>
    </row>
    <row r="1262">
      <c r="A1262" s="9"/>
      <c r="B1262" s="15"/>
      <c r="C1262" s="9">
        <f>IFERROR(__xludf.DUMMYFUNCTION("""COMPUTED_VALUE"""),44592.3986500463)</f>
        <v>44592.39865</v>
      </c>
      <c r="D1262" s="15">
        <f>IFERROR(__xludf.DUMMYFUNCTION("""COMPUTED_VALUE"""),1.005)</f>
        <v>1.005</v>
      </c>
      <c r="E1262" s="16">
        <f>IFERROR(__xludf.DUMMYFUNCTION("""COMPUTED_VALUE"""),63.0)</f>
        <v>63</v>
      </c>
      <c r="F1262" s="19" t="str">
        <f>IFERROR(__xludf.DUMMYFUNCTION("""COMPUTED_VALUE"""),"BLACK")</f>
        <v>BLACK</v>
      </c>
      <c r="G1262" s="20" t="str">
        <f>IFERROR(__xludf.DUMMYFUNCTION("""COMPUTED_VALUE"""),"Uncle Sams Cider (11/12/2021) 02")</f>
        <v>Uncle Sams Cider (11/12/2021) 02</v>
      </c>
      <c r="H1262" s="19"/>
    </row>
    <row r="1263">
      <c r="A1263" s="9"/>
      <c r="B1263" s="15"/>
      <c r="C1263" s="9">
        <f>IFERROR(__xludf.DUMMYFUNCTION("""COMPUTED_VALUE"""),44592.3882277546)</f>
        <v>44592.38823</v>
      </c>
      <c r="D1263" s="15">
        <f>IFERROR(__xludf.DUMMYFUNCTION("""COMPUTED_VALUE"""),1.005)</f>
        <v>1.005</v>
      </c>
      <c r="E1263" s="16">
        <f>IFERROR(__xludf.DUMMYFUNCTION("""COMPUTED_VALUE"""),63.0)</f>
        <v>63</v>
      </c>
      <c r="F1263" s="19" t="str">
        <f>IFERROR(__xludf.DUMMYFUNCTION("""COMPUTED_VALUE"""),"BLACK")</f>
        <v>BLACK</v>
      </c>
      <c r="G1263" s="20" t="str">
        <f>IFERROR(__xludf.DUMMYFUNCTION("""COMPUTED_VALUE"""),"Uncle Sams Cider (11/12/2021) 02")</f>
        <v>Uncle Sams Cider (11/12/2021) 02</v>
      </c>
      <c r="H1263" s="19"/>
    </row>
    <row r="1264">
      <c r="A1264" s="9"/>
      <c r="B1264" s="15"/>
      <c r="C1264" s="9">
        <f>IFERROR(__xludf.DUMMYFUNCTION("""COMPUTED_VALUE"""),44592.3777838773)</f>
        <v>44592.37778</v>
      </c>
      <c r="D1264" s="15">
        <f>IFERROR(__xludf.DUMMYFUNCTION("""COMPUTED_VALUE"""),1.005)</f>
        <v>1.005</v>
      </c>
      <c r="E1264" s="16">
        <f>IFERROR(__xludf.DUMMYFUNCTION("""COMPUTED_VALUE"""),63.0)</f>
        <v>63</v>
      </c>
      <c r="F1264" s="19" t="str">
        <f>IFERROR(__xludf.DUMMYFUNCTION("""COMPUTED_VALUE"""),"BLACK")</f>
        <v>BLACK</v>
      </c>
      <c r="G1264" s="20" t="str">
        <f>IFERROR(__xludf.DUMMYFUNCTION("""COMPUTED_VALUE"""),"Uncle Sams Cider (11/12/2021) 02")</f>
        <v>Uncle Sams Cider (11/12/2021) 02</v>
      </c>
      <c r="H1264" s="19"/>
    </row>
    <row r="1265">
      <c r="A1265" s="9"/>
      <c r="B1265" s="15"/>
      <c r="C1265" s="9">
        <f>IFERROR(__xludf.DUMMYFUNCTION("""COMPUTED_VALUE"""),44592.3673393171)</f>
        <v>44592.36734</v>
      </c>
      <c r="D1265" s="15">
        <f>IFERROR(__xludf.DUMMYFUNCTION("""COMPUTED_VALUE"""),1.005)</f>
        <v>1.005</v>
      </c>
      <c r="E1265" s="16">
        <f>IFERROR(__xludf.DUMMYFUNCTION("""COMPUTED_VALUE"""),63.0)</f>
        <v>63</v>
      </c>
      <c r="F1265" s="19" t="str">
        <f>IFERROR(__xludf.DUMMYFUNCTION("""COMPUTED_VALUE"""),"BLACK")</f>
        <v>BLACK</v>
      </c>
      <c r="G1265" s="20" t="str">
        <f>IFERROR(__xludf.DUMMYFUNCTION("""COMPUTED_VALUE"""),"Uncle Sams Cider (11/12/2021) 02")</f>
        <v>Uncle Sams Cider (11/12/2021) 02</v>
      </c>
      <c r="H1265" s="19"/>
    </row>
    <row r="1266">
      <c r="A1266" s="9"/>
      <c r="B1266" s="15"/>
      <c r="C1266" s="9">
        <f>IFERROR(__xludf.DUMMYFUNCTION("""COMPUTED_VALUE"""),44592.3568952199)</f>
        <v>44592.3569</v>
      </c>
      <c r="D1266" s="15">
        <f>IFERROR(__xludf.DUMMYFUNCTION("""COMPUTED_VALUE"""),1.005)</f>
        <v>1.005</v>
      </c>
      <c r="E1266" s="16">
        <f>IFERROR(__xludf.DUMMYFUNCTION("""COMPUTED_VALUE"""),63.0)</f>
        <v>63</v>
      </c>
      <c r="F1266" s="19" t="str">
        <f>IFERROR(__xludf.DUMMYFUNCTION("""COMPUTED_VALUE"""),"BLACK")</f>
        <v>BLACK</v>
      </c>
      <c r="G1266" s="20" t="str">
        <f>IFERROR(__xludf.DUMMYFUNCTION("""COMPUTED_VALUE"""),"Uncle Sams Cider (11/12/2021) 02")</f>
        <v>Uncle Sams Cider (11/12/2021) 02</v>
      </c>
      <c r="H1266" s="19"/>
    </row>
    <row r="1267">
      <c r="A1267" s="9"/>
      <c r="B1267" s="15"/>
      <c r="C1267" s="9">
        <f>IFERROR(__xludf.DUMMYFUNCTION("""COMPUTED_VALUE"""),44592.3464735532)</f>
        <v>44592.34647</v>
      </c>
      <c r="D1267" s="15">
        <f>IFERROR(__xludf.DUMMYFUNCTION("""COMPUTED_VALUE"""),1.004)</f>
        <v>1.004</v>
      </c>
      <c r="E1267" s="16">
        <f>IFERROR(__xludf.DUMMYFUNCTION("""COMPUTED_VALUE"""),63.0)</f>
        <v>63</v>
      </c>
      <c r="F1267" s="19" t="str">
        <f>IFERROR(__xludf.DUMMYFUNCTION("""COMPUTED_VALUE"""),"BLACK")</f>
        <v>BLACK</v>
      </c>
      <c r="G1267" s="20" t="str">
        <f>IFERROR(__xludf.DUMMYFUNCTION("""COMPUTED_VALUE"""),"Uncle Sams Cider (11/12/2021) 02")</f>
        <v>Uncle Sams Cider (11/12/2021) 02</v>
      </c>
      <c r="H1267" s="19"/>
    </row>
    <row r="1268">
      <c r="A1268" s="9"/>
      <c r="B1268" s="15"/>
      <c r="C1268" s="9">
        <f>IFERROR(__xludf.DUMMYFUNCTION("""COMPUTED_VALUE"""),44592.3360525347)</f>
        <v>44592.33605</v>
      </c>
      <c r="D1268" s="15">
        <f>IFERROR(__xludf.DUMMYFUNCTION("""COMPUTED_VALUE"""),1.005)</f>
        <v>1.005</v>
      </c>
      <c r="E1268" s="16">
        <f>IFERROR(__xludf.DUMMYFUNCTION("""COMPUTED_VALUE"""),63.0)</f>
        <v>63</v>
      </c>
      <c r="F1268" s="19" t="str">
        <f>IFERROR(__xludf.DUMMYFUNCTION("""COMPUTED_VALUE"""),"BLACK")</f>
        <v>BLACK</v>
      </c>
      <c r="G1268" s="20" t="str">
        <f>IFERROR(__xludf.DUMMYFUNCTION("""COMPUTED_VALUE"""),"Uncle Sams Cider (11/12/2021) 02")</f>
        <v>Uncle Sams Cider (11/12/2021) 02</v>
      </c>
      <c r="H1268" s="19"/>
    </row>
    <row r="1269">
      <c r="A1269" s="9"/>
      <c r="B1269" s="15"/>
      <c r="C1269" s="9">
        <f>IFERROR(__xludf.DUMMYFUNCTION("""COMPUTED_VALUE"""),44592.3255509953)</f>
        <v>44592.32555</v>
      </c>
      <c r="D1269" s="15">
        <f>IFERROR(__xludf.DUMMYFUNCTION("""COMPUTED_VALUE"""),1.004)</f>
        <v>1.004</v>
      </c>
      <c r="E1269" s="16">
        <f>IFERROR(__xludf.DUMMYFUNCTION("""COMPUTED_VALUE"""),63.0)</f>
        <v>63</v>
      </c>
      <c r="F1269" s="19" t="str">
        <f>IFERROR(__xludf.DUMMYFUNCTION("""COMPUTED_VALUE"""),"BLACK")</f>
        <v>BLACK</v>
      </c>
      <c r="G1269" s="20" t="str">
        <f>IFERROR(__xludf.DUMMYFUNCTION("""COMPUTED_VALUE"""),"Uncle Sams Cider (11/12/2021) 02")</f>
        <v>Uncle Sams Cider (11/12/2021) 02</v>
      </c>
      <c r="H1269" s="19"/>
    </row>
    <row r="1270">
      <c r="A1270" s="9"/>
      <c r="B1270" s="15"/>
      <c r="C1270" s="9">
        <f>IFERROR(__xludf.DUMMYFUNCTION("""COMPUTED_VALUE"""),44592.3151301504)</f>
        <v>44592.31513</v>
      </c>
      <c r="D1270" s="15">
        <f>IFERROR(__xludf.DUMMYFUNCTION("""COMPUTED_VALUE"""),1.004)</f>
        <v>1.004</v>
      </c>
      <c r="E1270" s="16">
        <f>IFERROR(__xludf.DUMMYFUNCTION("""COMPUTED_VALUE"""),63.0)</f>
        <v>63</v>
      </c>
      <c r="F1270" s="19" t="str">
        <f>IFERROR(__xludf.DUMMYFUNCTION("""COMPUTED_VALUE"""),"BLACK")</f>
        <v>BLACK</v>
      </c>
      <c r="G1270" s="20" t="str">
        <f>IFERROR(__xludf.DUMMYFUNCTION("""COMPUTED_VALUE"""),"Uncle Sams Cider (11/12/2021) 02")</f>
        <v>Uncle Sams Cider (11/12/2021) 02</v>
      </c>
      <c r="H1270" s="19"/>
    </row>
    <row r="1271">
      <c r="A1271" s="9"/>
      <c r="B1271" s="15"/>
      <c r="C1271" s="9">
        <f>IFERROR(__xludf.DUMMYFUNCTION("""COMPUTED_VALUE"""),44592.3046511458)</f>
        <v>44592.30465</v>
      </c>
      <c r="D1271" s="15">
        <f>IFERROR(__xludf.DUMMYFUNCTION("""COMPUTED_VALUE"""),1.004)</f>
        <v>1.004</v>
      </c>
      <c r="E1271" s="16">
        <f>IFERROR(__xludf.DUMMYFUNCTION("""COMPUTED_VALUE"""),63.0)</f>
        <v>63</v>
      </c>
      <c r="F1271" s="19" t="str">
        <f>IFERROR(__xludf.DUMMYFUNCTION("""COMPUTED_VALUE"""),"BLACK")</f>
        <v>BLACK</v>
      </c>
      <c r="G1271" s="20" t="str">
        <f>IFERROR(__xludf.DUMMYFUNCTION("""COMPUTED_VALUE"""),"Uncle Sams Cider (11/12/2021) 02")</f>
        <v>Uncle Sams Cider (11/12/2021) 02</v>
      </c>
      <c r="H1271" s="19"/>
    </row>
    <row r="1272">
      <c r="A1272" s="9"/>
      <c r="B1272" s="15"/>
      <c r="C1272" s="9">
        <f>IFERROR(__xludf.DUMMYFUNCTION("""COMPUTED_VALUE"""),44592.2941847453)</f>
        <v>44592.29418</v>
      </c>
      <c r="D1272" s="15">
        <f>IFERROR(__xludf.DUMMYFUNCTION("""COMPUTED_VALUE"""),1.004)</f>
        <v>1.004</v>
      </c>
      <c r="E1272" s="16">
        <f>IFERROR(__xludf.DUMMYFUNCTION("""COMPUTED_VALUE"""),63.0)</f>
        <v>63</v>
      </c>
      <c r="F1272" s="19" t="str">
        <f>IFERROR(__xludf.DUMMYFUNCTION("""COMPUTED_VALUE"""),"BLACK")</f>
        <v>BLACK</v>
      </c>
      <c r="G1272" s="20" t="str">
        <f>IFERROR(__xludf.DUMMYFUNCTION("""COMPUTED_VALUE"""),"Uncle Sams Cider (11/12/2021) 02")</f>
        <v>Uncle Sams Cider (11/12/2021) 02</v>
      </c>
      <c r="H1272" s="19"/>
    </row>
    <row r="1273">
      <c r="A1273" s="9"/>
      <c r="B1273" s="15"/>
      <c r="C1273" s="9">
        <f>IFERROR(__xludf.DUMMYFUNCTION("""COMPUTED_VALUE"""),44592.2837386574)</f>
        <v>44592.28374</v>
      </c>
      <c r="D1273" s="15">
        <f>IFERROR(__xludf.DUMMYFUNCTION("""COMPUTED_VALUE"""),1.005)</f>
        <v>1.005</v>
      </c>
      <c r="E1273" s="16">
        <f>IFERROR(__xludf.DUMMYFUNCTION("""COMPUTED_VALUE"""),63.0)</f>
        <v>63</v>
      </c>
      <c r="F1273" s="19" t="str">
        <f>IFERROR(__xludf.DUMMYFUNCTION("""COMPUTED_VALUE"""),"BLACK")</f>
        <v>BLACK</v>
      </c>
      <c r="G1273" s="20" t="str">
        <f>IFERROR(__xludf.DUMMYFUNCTION("""COMPUTED_VALUE"""),"Uncle Sams Cider (11/12/2021) 02")</f>
        <v>Uncle Sams Cider (11/12/2021) 02</v>
      </c>
      <c r="H1273" s="19"/>
    </row>
    <row r="1274">
      <c r="A1274" s="9"/>
      <c r="B1274" s="15"/>
      <c r="C1274" s="9">
        <f>IFERROR(__xludf.DUMMYFUNCTION("""COMPUTED_VALUE"""),44592.2733046296)</f>
        <v>44592.2733</v>
      </c>
      <c r="D1274" s="15">
        <f>IFERROR(__xludf.DUMMYFUNCTION("""COMPUTED_VALUE"""),1.004)</f>
        <v>1.004</v>
      </c>
      <c r="E1274" s="16">
        <f>IFERROR(__xludf.DUMMYFUNCTION("""COMPUTED_VALUE"""),63.0)</f>
        <v>63</v>
      </c>
      <c r="F1274" s="19" t="str">
        <f>IFERROR(__xludf.DUMMYFUNCTION("""COMPUTED_VALUE"""),"BLACK")</f>
        <v>BLACK</v>
      </c>
      <c r="G1274" s="20" t="str">
        <f>IFERROR(__xludf.DUMMYFUNCTION("""COMPUTED_VALUE"""),"Uncle Sams Cider (11/12/2021) 02")</f>
        <v>Uncle Sams Cider (11/12/2021) 02</v>
      </c>
      <c r="H1274" s="19"/>
    </row>
    <row r="1275">
      <c r="A1275" s="9"/>
      <c r="B1275" s="15"/>
      <c r="C1275" s="9">
        <f>IFERROR(__xludf.DUMMYFUNCTION("""COMPUTED_VALUE"""),44592.2628385069)</f>
        <v>44592.26284</v>
      </c>
      <c r="D1275" s="15">
        <f>IFERROR(__xludf.DUMMYFUNCTION("""COMPUTED_VALUE"""),1.005)</f>
        <v>1.005</v>
      </c>
      <c r="E1275" s="16">
        <f>IFERROR(__xludf.DUMMYFUNCTION("""COMPUTED_VALUE"""),63.0)</f>
        <v>63</v>
      </c>
      <c r="F1275" s="19" t="str">
        <f>IFERROR(__xludf.DUMMYFUNCTION("""COMPUTED_VALUE"""),"BLACK")</f>
        <v>BLACK</v>
      </c>
      <c r="G1275" s="20" t="str">
        <f>IFERROR(__xludf.DUMMYFUNCTION("""COMPUTED_VALUE"""),"Uncle Sams Cider (11/12/2021) 02")</f>
        <v>Uncle Sams Cider (11/12/2021) 02</v>
      </c>
      <c r="H1275" s="19"/>
    </row>
    <row r="1276">
      <c r="A1276" s="9"/>
      <c r="B1276" s="15"/>
      <c r="C1276" s="9">
        <f>IFERROR(__xludf.DUMMYFUNCTION("""COMPUTED_VALUE"""),44592.2524190856)</f>
        <v>44592.25242</v>
      </c>
      <c r="D1276" s="15">
        <f>IFERROR(__xludf.DUMMYFUNCTION("""COMPUTED_VALUE"""),1.004)</f>
        <v>1.004</v>
      </c>
      <c r="E1276" s="16">
        <f>IFERROR(__xludf.DUMMYFUNCTION("""COMPUTED_VALUE"""),63.0)</f>
        <v>63</v>
      </c>
      <c r="F1276" s="19" t="str">
        <f>IFERROR(__xludf.DUMMYFUNCTION("""COMPUTED_VALUE"""),"BLACK")</f>
        <v>BLACK</v>
      </c>
      <c r="G1276" s="20" t="str">
        <f>IFERROR(__xludf.DUMMYFUNCTION("""COMPUTED_VALUE"""),"Uncle Sams Cider (11/12/2021) 02")</f>
        <v>Uncle Sams Cider (11/12/2021) 02</v>
      </c>
      <c r="H1276" s="19"/>
    </row>
    <row r="1277">
      <c r="A1277" s="9"/>
      <c r="B1277" s="15"/>
      <c r="C1277" s="9">
        <f>IFERROR(__xludf.DUMMYFUNCTION("""COMPUTED_VALUE"""),44592.2419965162)</f>
        <v>44592.242</v>
      </c>
      <c r="D1277" s="15">
        <f>IFERROR(__xludf.DUMMYFUNCTION("""COMPUTED_VALUE"""),1.005)</f>
        <v>1.005</v>
      </c>
      <c r="E1277" s="16">
        <f>IFERROR(__xludf.DUMMYFUNCTION("""COMPUTED_VALUE"""),63.0)</f>
        <v>63</v>
      </c>
      <c r="F1277" s="19" t="str">
        <f>IFERROR(__xludf.DUMMYFUNCTION("""COMPUTED_VALUE"""),"BLACK")</f>
        <v>BLACK</v>
      </c>
      <c r="G1277" s="20" t="str">
        <f>IFERROR(__xludf.DUMMYFUNCTION("""COMPUTED_VALUE"""),"Uncle Sams Cider (11/12/2021) 02")</f>
        <v>Uncle Sams Cider (11/12/2021) 02</v>
      </c>
      <c r="H1277" s="19"/>
    </row>
    <row r="1278">
      <c r="A1278" s="9"/>
      <c r="B1278" s="15"/>
      <c r="C1278" s="9">
        <f>IFERROR(__xludf.DUMMYFUNCTION("""COMPUTED_VALUE"""),44592.2315751041)</f>
        <v>44592.23158</v>
      </c>
      <c r="D1278" s="15">
        <f>IFERROR(__xludf.DUMMYFUNCTION("""COMPUTED_VALUE"""),1.005)</f>
        <v>1.005</v>
      </c>
      <c r="E1278" s="16">
        <f>IFERROR(__xludf.DUMMYFUNCTION("""COMPUTED_VALUE"""),63.0)</f>
        <v>63</v>
      </c>
      <c r="F1278" s="19" t="str">
        <f>IFERROR(__xludf.DUMMYFUNCTION("""COMPUTED_VALUE"""),"BLACK")</f>
        <v>BLACK</v>
      </c>
      <c r="G1278" s="20" t="str">
        <f>IFERROR(__xludf.DUMMYFUNCTION("""COMPUTED_VALUE"""),"Uncle Sams Cider (11/12/2021) 02")</f>
        <v>Uncle Sams Cider (11/12/2021) 02</v>
      </c>
      <c r="H1278" s="19"/>
    </row>
    <row r="1279">
      <c r="A1279" s="9"/>
      <c r="B1279" s="15"/>
      <c r="C1279" s="9">
        <f>IFERROR(__xludf.DUMMYFUNCTION("""COMPUTED_VALUE"""),44592.2211549768)</f>
        <v>44592.22115</v>
      </c>
      <c r="D1279" s="15">
        <f>IFERROR(__xludf.DUMMYFUNCTION("""COMPUTED_VALUE"""),1.004)</f>
        <v>1.004</v>
      </c>
      <c r="E1279" s="16">
        <f>IFERROR(__xludf.DUMMYFUNCTION("""COMPUTED_VALUE"""),63.0)</f>
        <v>63</v>
      </c>
      <c r="F1279" s="19" t="str">
        <f>IFERROR(__xludf.DUMMYFUNCTION("""COMPUTED_VALUE"""),"BLACK")</f>
        <v>BLACK</v>
      </c>
      <c r="G1279" s="20" t="str">
        <f>IFERROR(__xludf.DUMMYFUNCTION("""COMPUTED_VALUE"""),"Uncle Sams Cider (11/12/2021) 02")</f>
        <v>Uncle Sams Cider (11/12/2021) 02</v>
      </c>
      <c r="H1279" s="19"/>
    </row>
    <row r="1280">
      <c r="A1280" s="9"/>
      <c r="B1280" s="15"/>
      <c r="C1280" s="9">
        <f>IFERROR(__xludf.DUMMYFUNCTION("""COMPUTED_VALUE"""),44592.2107346875)</f>
        <v>44592.21073</v>
      </c>
      <c r="D1280" s="15">
        <f>IFERROR(__xludf.DUMMYFUNCTION("""COMPUTED_VALUE"""),1.005)</f>
        <v>1.005</v>
      </c>
      <c r="E1280" s="16">
        <f>IFERROR(__xludf.DUMMYFUNCTION("""COMPUTED_VALUE"""),63.0)</f>
        <v>63</v>
      </c>
      <c r="F1280" s="19" t="str">
        <f>IFERROR(__xludf.DUMMYFUNCTION("""COMPUTED_VALUE"""),"BLACK")</f>
        <v>BLACK</v>
      </c>
      <c r="G1280" s="20" t="str">
        <f>IFERROR(__xludf.DUMMYFUNCTION("""COMPUTED_VALUE"""),"Uncle Sams Cider (11/12/2021) 02")</f>
        <v>Uncle Sams Cider (11/12/2021) 02</v>
      </c>
      <c r="H1280" s="19"/>
    </row>
    <row r="1281">
      <c r="A1281" s="9"/>
      <c r="B1281" s="15"/>
      <c r="C1281" s="9">
        <f>IFERROR(__xludf.DUMMYFUNCTION("""COMPUTED_VALUE"""),44592.2002668518)</f>
        <v>44592.20027</v>
      </c>
      <c r="D1281" s="15">
        <f>IFERROR(__xludf.DUMMYFUNCTION("""COMPUTED_VALUE"""),1.004)</f>
        <v>1.004</v>
      </c>
      <c r="E1281" s="16">
        <f>IFERROR(__xludf.DUMMYFUNCTION("""COMPUTED_VALUE"""),63.0)</f>
        <v>63</v>
      </c>
      <c r="F1281" s="19" t="str">
        <f>IFERROR(__xludf.DUMMYFUNCTION("""COMPUTED_VALUE"""),"BLACK")</f>
        <v>BLACK</v>
      </c>
      <c r="G1281" s="20" t="str">
        <f>IFERROR(__xludf.DUMMYFUNCTION("""COMPUTED_VALUE"""),"Uncle Sams Cider (11/12/2021) 02")</f>
        <v>Uncle Sams Cider (11/12/2021) 02</v>
      </c>
      <c r="H1281" s="19"/>
    </row>
    <row r="1282">
      <c r="A1282" s="9"/>
      <c r="B1282" s="15"/>
      <c r="C1282" s="9">
        <f>IFERROR(__xludf.DUMMYFUNCTION("""COMPUTED_VALUE"""),44592.189834375)</f>
        <v>44592.18983</v>
      </c>
      <c r="D1282" s="15">
        <f>IFERROR(__xludf.DUMMYFUNCTION("""COMPUTED_VALUE"""),1.004)</f>
        <v>1.004</v>
      </c>
      <c r="E1282" s="16">
        <f>IFERROR(__xludf.DUMMYFUNCTION("""COMPUTED_VALUE"""),63.0)</f>
        <v>63</v>
      </c>
      <c r="F1282" s="19" t="str">
        <f>IFERROR(__xludf.DUMMYFUNCTION("""COMPUTED_VALUE"""),"BLACK")</f>
        <v>BLACK</v>
      </c>
      <c r="G1282" s="20" t="str">
        <f>IFERROR(__xludf.DUMMYFUNCTION("""COMPUTED_VALUE"""),"Uncle Sams Cider (11/12/2021) 02")</f>
        <v>Uncle Sams Cider (11/12/2021) 02</v>
      </c>
      <c r="H1282" s="19"/>
    </row>
    <row r="1283">
      <c r="A1283" s="9"/>
      <c r="B1283" s="15"/>
      <c r="C1283" s="9">
        <f>IFERROR(__xludf.DUMMYFUNCTION("""COMPUTED_VALUE"""),44592.1794120717)</f>
        <v>44592.17941</v>
      </c>
      <c r="D1283" s="15">
        <f>IFERROR(__xludf.DUMMYFUNCTION("""COMPUTED_VALUE"""),1.005)</f>
        <v>1.005</v>
      </c>
      <c r="E1283" s="16">
        <f>IFERROR(__xludf.DUMMYFUNCTION("""COMPUTED_VALUE"""),63.0)</f>
        <v>63</v>
      </c>
      <c r="F1283" s="19" t="str">
        <f>IFERROR(__xludf.DUMMYFUNCTION("""COMPUTED_VALUE"""),"BLACK")</f>
        <v>BLACK</v>
      </c>
      <c r="G1283" s="20" t="str">
        <f>IFERROR(__xludf.DUMMYFUNCTION("""COMPUTED_VALUE"""),"Uncle Sams Cider (11/12/2021) 02")</f>
        <v>Uncle Sams Cider (11/12/2021) 02</v>
      </c>
      <c r="H1283" s="19"/>
    </row>
    <row r="1284">
      <c r="A1284" s="9"/>
      <c r="B1284" s="15"/>
      <c r="C1284" s="9">
        <f>IFERROR(__xludf.DUMMYFUNCTION("""COMPUTED_VALUE"""),44592.1689903125)</f>
        <v>44592.16899</v>
      </c>
      <c r="D1284" s="15">
        <f>IFERROR(__xludf.DUMMYFUNCTION("""COMPUTED_VALUE"""),1.004)</f>
        <v>1.004</v>
      </c>
      <c r="E1284" s="16">
        <f>IFERROR(__xludf.DUMMYFUNCTION("""COMPUTED_VALUE"""),63.0)</f>
        <v>63</v>
      </c>
      <c r="F1284" s="19" t="str">
        <f>IFERROR(__xludf.DUMMYFUNCTION("""COMPUTED_VALUE"""),"BLACK")</f>
        <v>BLACK</v>
      </c>
      <c r="G1284" s="20" t="str">
        <f>IFERROR(__xludf.DUMMYFUNCTION("""COMPUTED_VALUE"""),"Uncle Sams Cider (11/12/2021) 02")</f>
        <v>Uncle Sams Cider (11/12/2021) 02</v>
      </c>
      <c r="H1284" s="19"/>
    </row>
    <row r="1285">
      <c r="A1285" s="9"/>
      <c r="B1285" s="15"/>
      <c r="C1285" s="9">
        <f>IFERROR(__xludf.DUMMYFUNCTION("""COMPUTED_VALUE"""),44592.1585324537)</f>
        <v>44592.15853</v>
      </c>
      <c r="D1285" s="15">
        <f>IFERROR(__xludf.DUMMYFUNCTION("""COMPUTED_VALUE"""),1.004)</f>
        <v>1.004</v>
      </c>
      <c r="E1285" s="16">
        <f>IFERROR(__xludf.DUMMYFUNCTION("""COMPUTED_VALUE"""),63.0)</f>
        <v>63</v>
      </c>
      <c r="F1285" s="19" t="str">
        <f>IFERROR(__xludf.DUMMYFUNCTION("""COMPUTED_VALUE"""),"BLACK")</f>
        <v>BLACK</v>
      </c>
      <c r="G1285" s="20" t="str">
        <f>IFERROR(__xludf.DUMMYFUNCTION("""COMPUTED_VALUE"""),"Uncle Sams Cider (11/12/2021) 02")</f>
        <v>Uncle Sams Cider (11/12/2021) 02</v>
      </c>
      <c r="H1285" s="19"/>
    </row>
    <row r="1286">
      <c r="A1286" s="9"/>
      <c r="B1286" s="15"/>
      <c r="C1286" s="9">
        <f>IFERROR(__xludf.DUMMYFUNCTION("""COMPUTED_VALUE"""),44592.1481114004)</f>
        <v>44592.14811</v>
      </c>
      <c r="D1286" s="15">
        <f>IFERROR(__xludf.DUMMYFUNCTION("""COMPUTED_VALUE"""),1.005)</f>
        <v>1.005</v>
      </c>
      <c r="E1286" s="16">
        <f>IFERROR(__xludf.DUMMYFUNCTION("""COMPUTED_VALUE"""),63.0)</f>
        <v>63</v>
      </c>
      <c r="F1286" s="19" t="str">
        <f>IFERROR(__xludf.DUMMYFUNCTION("""COMPUTED_VALUE"""),"BLACK")</f>
        <v>BLACK</v>
      </c>
      <c r="G1286" s="20" t="str">
        <f>IFERROR(__xludf.DUMMYFUNCTION("""COMPUTED_VALUE"""),"Uncle Sams Cider (11/12/2021) 02")</f>
        <v>Uncle Sams Cider (11/12/2021) 02</v>
      </c>
      <c r="H1286" s="19"/>
    </row>
    <row r="1287">
      <c r="A1287" s="9"/>
      <c r="B1287" s="15"/>
      <c r="C1287" s="9">
        <f>IFERROR(__xludf.DUMMYFUNCTION("""COMPUTED_VALUE"""),44592.1376904282)</f>
        <v>44592.13769</v>
      </c>
      <c r="D1287" s="15">
        <f>IFERROR(__xludf.DUMMYFUNCTION("""COMPUTED_VALUE"""),1.005)</f>
        <v>1.005</v>
      </c>
      <c r="E1287" s="16">
        <f>IFERROR(__xludf.DUMMYFUNCTION("""COMPUTED_VALUE"""),63.0)</f>
        <v>63</v>
      </c>
      <c r="F1287" s="19" t="str">
        <f>IFERROR(__xludf.DUMMYFUNCTION("""COMPUTED_VALUE"""),"BLACK")</f>
        <v>BLACK</v>
      </c>
      <c r="G1287" s="20" t="str">
        <f>IFERROR(__xludf.DUMMYFUNCTION("""COMPUTED_VALUE"""),"Uncle Sams Cider (11/12/2021) 02")</f>
        <v>Uncle Sams Cider (11/12/2021) 02</v>
      </c>
      <c r="H1287" s="19"/>
    </row>
    <row r="1288">
      <c r="A1288" s="9"/>
      <c r="B1288" s="15"/>
      <c r="C1288" s="9">
        <f>IFERROR(__xludf.DUMMYFUNCTION("""COMPUTED_VALUE"""),44592.1272475578)</f>
        <v>44592.12725</v>
      </c>
      <c r="D1288" s="15">
        <f>IFERROR(__xludf.DUMMYFUNCTION("""COMPUTED_VALUE"""),1.004)</f>
        <v>1.004</v>
      </c>
      <c r="E1288" s="16">
        <f>IFERROR(__xludf.DUMMYFUNCTION("""COMPUTED_VALUE"""),63.0)</f>
        <v>63</v>
      </c>
      <c r="F1288" s="19" t="str">
        <f>IFERROR(__xludf.DUMMYFUNCTION("""COMPUTED_VALUE"""),"BLACK")</f>
        <v>BLACK</v>
      </c>
      <c r="G1288" s="20" t="str">
        <f>IFERROR(__xludf.DUMMYFUNCTION("""COMPUTED_VALUE"""),"Uncle Sams Cider (11/12/2021) 02")</f>
        <v>Uncle Sams Cider (11/12/2021) 02</v>
      </c>
      <c r="H1288" s="19"/>
    </row>
    <row r="1289">
      <c r="A1289" s="9"/>
      <c r="B1289" s="15"/>
      <c r="C1289" s="9">
        <f>IFERROR(__xludf.DUMMYFUNCTION("""COMPUTED_VALUE"""),44592.1168265162)</f>
        <v>44592.11683</v>
      </c>
      <c r="D1289" s="15">
        <f>IFERROR(__xludf.DUMMYFUNCTION("""COMPUTED_VALUE"""),1.004)</f>
        <v>1.004</v>
      </c>
      <c r="E1289" s="16">
        <f>IFERROR(__xludf.DUMMYFUNCTION("""COMPUTED_VALUE"""),64.0)</f>
        <v>64</v>
      </c>
      <c r="F1289" s="19" t="str">
        <f>IFERROR(__xludf.DUMMYFUNCTION("""COMPUTED_VALUE"""),"BLACK")</f>
        <v>BLACK</v>
      </c>
      <c r="G1289" s="20" t="str">
        <f>IFERROR(__xludf.DUMMYFUNCTION("""COMPUTED_VALUE"""),"Uncle Sams Cider (11/12/2021) 02")</f>
        <v>Uncle Sams Cider (11/12/2021) 02</v>
      </c>
      <c r="H1289" s="19"/>
    </row>
    <row r="1290">
      <c r="A1290" s="9"/>
      <c r="B1290" s="15"/>
      <c r="C1290" s="9">
        <f>IFERROR(__xludf.DUMMYFUNCTION("""COMPUTED_VALUE"""),44592.1064056597)</f>
        <v>44592.10641</v>
      </c>
      <c r="D1290" s="15">
        <f>IFERROR(__xludf.DUMMYFUNCTION("""COMPUTED_VALUE"""),1.005)</f>
        <v>1.005</v>
      </c>
      <c r="E1290" s="16">
        <f>IFERROR(__xludf.DUMMYFUNCTION("""COMPUTED_VALUE"""),64.0)</f>
        <v>64</v>
      </c>
      <c r="F1290" s="19" t="str">
        <f>IFERROR(__xludf.DUMMYFUNCTION("""COMPUTED_VALUE"""),"BLACK")</f>
        <v>BLACK</v>
      </c>
      <c r="G1290" s="20" t="str">
        <f>IFERROR(__xludf.DUMMYFUNCTION("""COMPUTED_VALUE"""),"Uncle Sams Cider (11/12/2021) 02")</f>
        <v>Uncle Sams Cider (11/12/2021) 02</v>
      </c>
      <c r="H1290" s="19"/>
    </row>
    <row r="1291">
      <c r="A1291" s="9"/>
      <c r="B1291" s="15"/>
      <c r="C1291" s="9">
        <f>IFERROR(__xludf.DUMMYFUNCTION("""COMPUTED_VALUE"""),44592.0959728588)</f>
        <v>44592.09597</v>
      </c>
      <c r="D1291" s="15">
        <f>IFERROR(__xludf.DUMMYFUNCTION("""COMPUTED_VALUE"""),1.005)</f>
        <v>1.005</v>
      </c>
      <c r="E1291" s="16">
        <f>IFERROR(__xludf.DUMMYFUNCTION("""COMPUTED_VALUE"""),64.0)</f>
        <v>64</v>
      </c>
      <c r="F1291" s="19" t="str">
        <f>IFERROR(__xludf.DUMMYFUNCTION("""COMPUTED_VALUE"""),"BLACK")</f>
        <v>BLACK</v>
      </c>
      <c r="G1291" s="20" t="str">
        <f>IFERROR(__xludf.DUMMYFUNCTION("""COMPUTED_VALUE"""),"Uncle Sams Cider (11/12/2021) 02")</f>
        <v>Uncle Sams Cider (11/12/2021) 02</v>
      </c>
      <c r="H1291" s="19"/>
    </row>
    <row r="1292">
      <c r="A1292" s="9"/>
      <c r="B1292" s="15"/>
      <c r="C1292" s="9">
        <f>IFERROR(__xludf.DUMMYFUNCTION("""COMPUTED_VALUE"""),44592.0855518981)</f>
        <v>44592.08555</v>
      </c>
      <c r="D1292" s="15">
        <f>IFERROR(__xludf.DUMMYFUNCTION("""COMPUTED_VALUE"""),1.004)</f>
        <v>1.004</v>
      </c>
      <c r="E1292" s="16">
        <f>IFERROR(__xludf.DUMMYFUNCTION("""COMPUTED_VALUE"""),64.0)</f>
        <v>64</v>
      </c>
      <c r="F1292" s="19" t="str">
        <f>IFERROR(__xludf.DUMMYFUNCTION("""COMPUTED_VALUE"""),"BLACK")</f>
        <v>BLACK</v>
      </c>
      <c r="G1292" s="20" t="str">
        <f>IFERROR(__xludf.DUMMYFUNCTION("""COMPUTED_VALUE"""),"Uncle Sams Cider (11/12/2021) 02")</f>
        <v>Uncle Sams Cider (11/12/2021) 02</v>
      </c>
      <c r="H1292" s="19"/>
    </row>
    <row r="1293">
      <c r="A1293" s="9"/>
      <c r="B1293" s="15"/>
      <c r="C1293" s="9">
        <f>IFERROR(__xludf.DUMMYFUNCTION("""COMPUTED_VALUE"""),44592.0751301388)</f>
        <v>44592.07513</v>
      </c>
      <c r="D1293" s="15">
        <f>IFERROR(__xludf.DUMMYFUNCTION("""COMPUTED_VALUE"""),1.005)</f>
        <v>1.005</v>
      </c>
      <c r="E1293" s="16">
        <f>IFERROR(__xludf.DUMMYFUNCTION("""COMPUTED_VALUE"""),64.0)</f>
        <v>64</v>
      </c>
      <c r="F1293" s="19" t="str">
        <f>IFERROR(__xludf.DUMMYFUNCTION("""COMPUTED_VALUE"""),"BLACK")</f>
        <v>BLACK</v>
      </c>
      <c r="G1293" s="20" t="str">
        <f>IFERROR(__xludf.DUMMYFUNCTION("""COMPUTED_VALUE"""),"Uncle Sams Cider (11/12/2021) 02")</f>
        <v>Uncle Sams Cider (11/12/2021) 02</v>
      </c>
      <c r="H1293" s="19"/>
    </row>
    <row r="1294">
      <c r="A1294" s="9"/>
      <c r="B1294" s="15"/>
      <c r="C1294" s="9">
        <f>IFERROR(__xludf.DUMMYFUNCTION("""COMPUTED_VALUE"""),44592.0646952083)</f>
        <v>44592.0647</v>
      </c>
      <c r="D1294" s="15">
        <f>IFERROR(__xludf.DUMMYFUNCTION("""COMPUTED_VALUE"""),1.005)</f>
        <v>1.005</v>
      </c>
      <c r="E1294" s="16">
        <f>IFERROR(__xludf.DUMMYFUNCTION("""COMPUTED_VALUE"""),64.0)</f>
        <v>64</v>
      </c>
      <c r="F1294" s="19" t="str">
        <f>IFERROR(__xludf.DUMMYFUNCTION("""COMPUTED_VALUE"""),"BLACK")</f>
        <v>BLACK</v>
      </c>
      <c r="G1294" s="20" t="str">
        <f>IFERROR(__xludf.DUMMYFUNCTION("""COMPUTED_VALUE"""),"Uncle Sams Cider (11/12/2021) 02")</f>
        <v>Uncle Sams Cider (11/12/2021) 02</v>
      </c>
      <c r="H1294" s="19"/>
    </row>
    <row r="1295">
      <c r="A1295" s="9"/>
      <c r="B1295" s="15"/>
      <c r="C1295" s="9">
        <f>IFERROR(__xludf.DUMMYFUNCTION("""COMPUTED_VALUE"""),44592.0542515625)</f>
        <v>44592.05425</v>
      </c>
      <c r="D1295" s="15">
        <f>IFERROR(__xludf.DUMMYFUNCTION("""COMPUTED_VALUE"""),1.005)</f>
        <v>1.005</v>
      </c>
      <c r="E1295" s="16">
        <f>IFERROR(__xludf.DUMMYFUNCTION("""COMPUTED_VALUE"""),64.0)</f>
        <v>64</v>
      </c>
      <c r="F1295" s="19" t="str">
        <f>IFERROR(__xludf.DUMMYFUNCTION("""COMPUTED_VALUE"""),"BLACK")</f>
        <v>BLACK</v>
      </c>
      <c r="G1295" s="20" t="str">
        <f>IFERROR(__xludf.DUMMYFUNCTION("""COMPUTED_VALUE"""),"Uncle Sams Cider (11/12/2021) 02")</f>
        <v>Uncle Sams Cider (11/12/2021) 02</v>
      </c>
      <c r="H1295" s="19"/>
    </row>
    <row r="1296">
      <c r="A1296" s="9"/>
      <c r="B1296" s="15"/>
      <c r="C1296" s="9">
        <f>IFERROR(__xludf.DUMMYFUNCTION("""COMPUTED_VALUE"""),44592.0438198148)</f>
        <v>44592.04382</v>
      </c>
      <c r="D1296" s="15">
        <f>IFERROR(__xludf.DUMMYFUNCTION("""COMPUTED_VALUE"""),1.005)</f>
        <v>1.005</v>
      </c>
      <c r="E1296" s="16">
        <f>IFERROR(__xludf.DUMMYFUNCTION("""COMPUTED_VALUE"""),64.0)</f>
        <v>64</v>
      </c>
      <c r="F1296" s="19" t="str">
        <f>IFERROR(__xludf.DUMMYFUNCTION("""COMPUTED_VALUE"""),"BLACK")</f>
        <v>BLACK</v>
      </c>
      <c r="G1296" s="20" t="str">
        <f>IFERROR(__xludf.DUMMYFUNCTION("""COMPUTED_VALUE"""),"Uncle Sams Cider (11/12/2021) 02")</f>
        <v>Uncle Sams Cider (11/12/2021) 02</v>
      </c>
      <c r="H1296" s="19"/>
    </row>
    <row r="1297">
      <c r="A1297" s="9"/>
      <c r="B1297" s="15"/>
      <c r="C1297" s="9">
        <f>IFERROR(__xludf.DUMMYFUNCTION("""COMPUTED_VALUE"""),44592.0333999537)</f>
        <v>44592.0334</v>
      </c>
      <c r="D1297" s="15">
        <f>IFERROR(__xludf.DUMMYFUNCTION("""COMPUTED_VALUE"""),1.005)</f>
        <v>1.005</v>
      </c>
      <c r="E1297" s="16">
        <f>IFERROR(__xludf.DUMMYFUNCTION("""COMPUTED_VALUE"""),64.0)</f>
        <v>64</v>
      </c>
      <c r="F1297" s="19" t="str">
        <f>IFERROR(__xludf.DUMMYFUNCTION("""COMPUTED_VALUE"""),"BLACK")</f>
        <v>BLACK</v>
      </c>
      <c r="G1297" s="20" t="str">
        <f>IFERROR(__xludf.DUMMYFUNCTION("""COMPUTED_VALUE"""),"Uncle Sams Cider (11/12/2021) 02")</f>
        <v>Uncle Sams Cider (11/12/2021) 02</v>
      </c>
      <c r="H1297" s="19"/>
    </row>
    <row r="1298">
      <c r="A1298" s="9"/>
      <c r="B1298" s="15"/>
      <c r="C1298" s="9">
        <f>IFERROR(__xludf.DUMMYFUNCTION("""COMPUTED_VALUE"""),44592.0229783449)</f>
        <v>44592.02298</v>
      </c>
      <c r="D1298" s="15">
        <f>IFERROR(__xludf.DUMMYFUNCTION("""COMPUTED_VALUE"""),1.005)</f>
        <v>1.005</v>
      </c>
      <c r="E1298" s="16">
        <f>IFERROR(__xludf.DUMMYFUNCTION("""COMPUTED_VALUE"""),64.0)</f>
        <v>64</v>
      </c>
      <c r="F1298" s="19" t="str">
        <f>IFERROR(__xludf.DUMMYFUNCTION("""COMPUTED_VALUE"""),"BLACK")</f>
        <v>BLACK</v>
      </c>
      <c r="G1298" s="20" t="str">
        <f>IFERROR(__xludf.DUMMYFUNCTION("""COMPUTED_VALUE"""),"Uncle Sams Cider (11/12/2021) 02")</f>
        <v>Uncle Sams Cider (11/12/2021) 02</v>
      </c>
      <c r="H1298" s="19"/>
    </row>
    <row r="1299">
      <c r="A1299" s="9"/>
      <c r="B1299" s="15"/>
      <c r="C1299" s="9">
        <f>IFERROR(__xludf.DUMMYFUNCTION("""COMPUTED_VALUE"""),44592.0125572569)</f>
        <v>44592.01256</v>
      </c>
      <c r="D1299" s="15">
        <f>IFERROR(__xludf.DUMMYFUNCTION("""COMPUTED_VALUE"""),1.005)</f>
        <v>1.005</v>
      </c>
      <c r="E1299" s="16">
        <f>IFERROR(__xludf.DUMMYFUNCTION("""COMPUTED_VALUE"""),64.0)</f>
        <v>64</v>
      </c>
      <c r="F1299" s="19" t="str">
        <f>IFERROR(__xludf.DUMMYFUNCTION("""COMPUTED_VALUE"""),"BLACK")</f>
        <v>BLACK</v>
      </c>
      <c r="G1299" s="20" t="str">
        <f>IFERROR(__xludf.DUMMYFUNCTION("""COMPUTED_VALUE"""),"Uncle Sams Cider (11/12/2021) 02")</f>
        <v>Uncle Sams Cider (11/12/2021) 02</v>
      </c>
      <c r="H1299" s="19"/>
    </row>
    <row r="1300">
      <c r="A1300" s="9"/>
      <c r="B1300" s="15"/>
      <c r="C1300" s="9">
        <f>IFERROR(__xludf.DUMMYFUNCTION("""COMPUTED_VALUE"""),44592.0021342361)</f>
        <v>44592.00213</v>
      </c>
      <c r="D1300" s="15">
        <f>IFERROR(__xludf.DUMMYFUNCTION("""COMPUTED_VALUE"""),1.005)</f>
        <v>1.005</v>
      </c>
      <c r="E1300" s="16">
        <f>IFERROR(__xludf.DUMMYFUNCTION("""COMPUTED_VALUE"""),64.0)</f>
        <v>64</v>
      </c>
      <c r="F1300" s="19" t="str">
        <f>IFERROR(__xludf.DUMMYFUNCTION("""COMPUTED_VALUE"""),"BLACK")</f>
        <v>BLACK</v>
      </c>
      <c r="G1300" s="20" t="str">
        <f>IFERROR(__xludf.DUMMYFUNCTION("""COMPUTED_VALUE"""),"Uncle Sams Cider (11/12/2021) 02")</f>
        <v>Uncle Sams Cider (11/12/2021) 02</v>
      </c>
      <c r="H1300" s="19"/>
    </row>
    <row r="1301">
      <c r="A1301" s="9"/>
      <c r="B1301" s="15"/>
      <c r="C1301" s="9">
        <f>IFERROR(__xludf.DUMMYFUNCTION("""COMPUTED_VALUE"""),44591.9917135763)</f>
        <v>44591.99171</v>
      </c>
      <c r="D1301" s="15">
        <f>IFERROR(__xludf.DUMMYFUNCTION("""COMPUTED_VALUE"""),1.005)</f>
        <v>1.005</v>
      </c>
      <c r="E1301" s="16">
        <f>IFERROR(__xludf.DUMMYFUNCTION("""COMPUTED_VALUE"""),64.0)</f>
        <v>64</v>
      </c>
      <c r="F1301" s="19" t="str">
        <f>IFERROR(__xludf.DUMMYFUNCTION("""COMPUTED_VALUE"""),"BLACK")</f>
        <v>BLACK</v>
      </c>
      <c r="G1301" s="20" t="str">
        <f>IFERROR(__xludf.DUMMYFUNCTION("""COMPUTED_VALUE"""),"Uncle Sams Cider (11/12/2021) 02")</f>
        <v>Uncle Sams Cider (11/12/2021) 02</v>
      </c>
      <c r="H1301" s="19"/>
    </row>
    <row r="1302">
      <c r="A1302" s="9"/>
      <c r="B1302" s="15"/>
      <c r="C1302" s="9">
        <f>IFERROR(__xludf.DUMMYFUNCTION("""COMPUTED_VALUE"""),44591.9812692939)</f>
        <v>44591.98127</v>
      </c>
      <c r="D1302" s="15">
        <f>IFERROR(__xludf.DUMMYFUNCTION("""COMPUTED_VALUE"""),1.005)</f>
        <v>1.005</v>
      </c>
      <c r="E1302" s="16">
        <f>IFERROR(__xludf.DUMMYFUNCTION("""COMPUTED_VALUE"""),64.0)</f>
        <v>64</v>
      </c>
      <c r="F1302" s="19" t="str">
        <f>IFERROR(__xludf.DUMMYFUNCTION("""COMPUTED_VALUE"""),"BLACK")</f>
        <v>BLACK</v>
      </c>
      <c r="G1302" s="20" t="str">
        <f>IFERROR(__xludf.DUMMYFUNCTION("""COMPUTED_VALUE"""),"Uncle Sams Cider (11/12/2021) 02")</f>
        <v>Uncle Sams Cider (11/12/2021) 02</v>
      </c>
      <c r="H1302" s="19"/>
    </row>
    <row r="1303">
      <c r="A1303" s="9"/>
      <c r="B1303" s="15"/>
      <c r="C1303" s="9">
        <f>IFERROR(__xludf.DUMMYFUNCTION("""COMPUTED_VALUE"""),44591.9708369097)</f>
        <v>44591.97084</v>
      </c>
      <c r="D1303" s="15">
        <f>IFERROR(__xludf.DUMMYFUNCTION("""COMPUTED_VALUE"""),1.005)</f>
        <v>1.005</v>
      </c>
      <c r="E1303" s="16">
        <f>IFERROR(__xludf.DUMMYFUNCTION("""COMPUTED_VALUE"""),64.0)</f>
        <v>64</v>
      </c>
      <c r="F1303" s="19" t="str">
        <f>IFERROR(__xludf.DUMMYFUNCTION("""COMPUTED_VALUE"""),"BLACK")</f>
        <v>BLACK</v>
      </c>
      <c r="G1303" s="20" t="str">
        <f>IFERROR(__xludf.DUMMYFUNCTION("""COMPUTED_VALUE"""),"Uncle Sams Cider (11/12/2021) 02")</f>
        <v>Uncle Sams Cider (11/12/2021) 02</v>
      </c>
      <c r="H1303" s="19"/>
    </row>
    <row r="1304">
      <c r="A1304" s="9"/>
      <c r="B1304" s="15"/>
      <c r="C1304" s="9">
        <f>IFERROR(__xludf.DUMMYFUNCTION("""COMPUTED_VALUE"""),44591.9604043981)</f>
        <v>44591.9604</v>
      </c>
      <c r="D1304" s="15">
        <f>IFERROR(__xludf.DUMMYFUNCTION("""COMPUTED_VALUE"""),1.005)</f>
        <v>1.005</v>
      </c>
      <c r="E1304" s="16">
        <f>IFERROR(__xludf.DUMMYFUNCTION("""COMPUTED_VALUE"""),64.0)</f>
        <v>64</v>
      </c>
      <c r="F1304" s="19" t="str">
        <f>IFERROR(__xludf.DUMMYFUNCTION("""COMPUTED_VALUE"""),"BLACK")</f>
        <v>BLACK</v>
      </c>
      <c r="G1304" s="20" t="str">
        <f>IFERROR(__xludf.DUMMYFUNCTION("""COMPUTED_VALUE"""),"Uncle Sams Cider (11/12/2021) 02")</f>
        <v>Uncle Sams Cider (11/12/2021) 02</v>
      </c>
      <c r="H1304" s="19"/>
    </row>
    <row r="1305">
      <c r="A1305" s="9"/>
      <c r="B1305" s="15"/>
      <c r="C1305" s="9">
        <f>IFERROR(__xludf.DUMMYFUNCTION("""COMPUTED_VALUE"""),44591.9499814583)</f>
        <v>44591.94998</v>
      </c>
      <c r="D1305" s="15">
        <f>IFERROR(__xludf.DUMMYFUNCTION("""COMPUTED_VALUE"""),1.005)</f>
        <v>1.005</v>
      </c>
      <c r="E1305" s="16">
        <f>IFERROR(__xludf.DUMMYFUNCTION("""COMPUTED_VALUE"""),64.0)</f>
        <v>64</v>
      </c>
      <c r="F1305" s="19" t="str">
        <f>IFERROR(__xludf.DUMMYFUNCTION("""COMPUTED_VALUE"""),"BLACK")</f>
        <v>BLACK</v>
      </c>
      <c r="G1305" s="20" t="str">
        <f>IFERROR(__xludf.DUMMYFUNCTION("""COMPUTED_VALUE"""),"Uncle Sams Cider (11/12/2021) 02")</f>
        <v>Uncle Sams Cider (11/12/2021) 02</v>
      </c>
      <c r="H1305" s="19"/>
    </row>
    <row r="1306">
      <c r="A1306" s="9"/>
      <c r="B1306" s="15"/>
      <c r="C1306" s="9">
        <f>IFERROR(__xludf.DUMMYFUNCTION("""COMPUTED_VALUE"""),44591.939548368)</f>
        <v>44591.93955</v>
      </c>
      <c r="D1306" s="15">
        <f>IFERROR(__xludf.DUMMYFUNCTION("""COMPUTED_VALUE"""),1.005)</f>
        <v>1.005</v>
      </c>
      <c r="E1306" s="16">
        <f>IFERROR(__xludf.DUMMYFUNCTION("""COMPUTED_VALUE"""),64.0)</f>
        <v>64</v>
      </c>
      <c r="F1306" s="19" t="str">
        <f>IFERROR(__xludf.DUMMYFUNCTION("""COMPUTED_VALUE"""),"BLACK")</f>
        <v>BLACK</v>
      </c>
      <c r="G1306" s="20" t="str">
        <f>IFERROR(__xludf.DUMMYFUNCTION("""COMPUTED_VALUE"""),"Uncle Sams Cider (11/12/2021) 02")</f>
        <v>Uncle Sams Cider (11/12/2021) 02</v>
      </c>
      <c r="H1306" s="19"/>
    </row>
    <row r="1307">
      <c r="A1307" s="9"/>
      <c r="B1307" s="15"/>
      <c r="C1307" s="9">
        <f>IFERROR(__xludf.DUMMYFUNCTION("""COMPUTED_VALUE"""),44591.9291164699)</f>
        <v>44591.92912</v>
      </c>
      <c r="D1307" s="15">
        <f>IFERROR(__xludf.DUMMYFUNCTION("""COMPUTED_VALUE"""),1.005)</f>
        <v>1.005</v>
      </c>
      <c r="E1307" s="16">
        <f>IFERROR(__xludf.DUMMYFUNCTION("""COMPUTED_VALUE"""),64.0)</f>
        <v>64</v>
      </c>
      <c r="F1307" s="19" t="str">
        <f>IFERROR(__xludf.DUMMYFUNCTION("""COMPUTED_VALUE"""),"BLACK")</f>
        <v>BLACK</v>
      </c>
      <c r="G1307" s="20" t="str">
        <f>IFERROR(__xludf.DUMMYFUNCTION("""COMPUTED_VALUE"""),"Uncle Sams Cider (11/12/2021) 02")</f>
        <v>Uncle Sams Cider (11/12/2021) 02</v>
      </c>
      <c r="H1307" s="19"/>
    </row>
    <row r="1308">
      <c r="A1308" s="9"/>
      <c r="B1308" s="15"/>
      <c r="C1308" s="9">
        <f>IFERROR(__xludf.DUMMYFUNCTION("""COMPUTED_VALUE"""),44591.9186934027)</f>
        <v>44591.91869</v>
      </c>
      <c r="D1308" s="15">
        <f>IFERROR(__xludf.DUMMYFUNCTION("""COMPUTED_VALUE"""),1.005)</f>
        <v>1.005</v>
      </c>
      <c r="E1308" s="16">
        <f>IFERROR(__xludf.DUMMYFUNCTION("""COMPUTED_VALUE"""),64.0)</f>
        <v>64</v>
      </c>
      <c r="F1308" s="19" t="str">
        <f>IFERROR(__xludf.DUMMYFUNCTION("""COMPUTED_VALUE"""),"BLACK")</f>
        <v>BLACK</v>
      </c>
      <c r="G1308" s="20" t="str">
        <f>IFERROR(__xludf.DUMMYFUNCTION("""COMPUTED_VALUE"""),"Uncle Sams Cider (11/12/2021) 02")</f>
        <v>Uncle Sams Cider (11/12/2021) 02</v>
      </c>
      <c r="H1308" s="19"/>
    </row>
    <row r="1309">
      <c r="A1309" s="9"/>
      <c r="B1309" s="15"/>
      <c r="C1309" s="9">
        <f>IFERROR(__xludf.DUMMYFUNCTION("""COMPUTED_VALUE"""),44591.9082243634)</f>
        <v>44591.90822</v>
      </c>
      <c r="D1309" s="15">
        <f>IFERROR(__xludf.DUMMYFUNCTION("""COMPUTED_VALUE"""),1.005)</f>
        <v>1.005</v>
      </c>
      <c r="E1309" s="16">
        <f>IFERROR(__xludf.DUMMYFUNCTION("""COMPUTED_VALUE"""),64.0)</f>
        <v>64</v>
      </c>
      <c r="F1309" s="19" t="str">
        <f>IFERROR(__xludf.DUMMYFUNCTION("""COMPUTED_VALUE"""),"BLACK")</f>
        <v>BLACK</v>
      </c>
      <c r="G1309" s="20" t="str">
        <f>IFERROR(__xludf.DUMMYFUNCTION("""COMPUTED_VALUE"""),"Uncle Sams Cider (11/12/2021) 02")</f>
        <v>Uncle Sams Cider (11/12/2021) 02</v>
      </c>
      <c r="H1309" s="19"/>
    </row>
    <row r="1310">
      <c r="A1310" s="9"/>
      <c r="B1310" s="15"/>
      <c r="C1310" s="9">
        <f>IFERROR(__xludf.DUMMYFUNCTION("""COMPUTED_VALUE"""),44591.8977554398)</f>
        <v>44591.89776</v>
      </c>
      <c r="D1310" s="15">
        <f>IFERROR(__xludf.DUMMYFUNCTION("""COMPUTED_VALUE"""),1.005)</f>
        <v>1.005</v>
      </c>
      <c r="E1310" s="16">
        <f>IFERROR(__xludf.DUMMYFUNCTION("""COMPUTED_VALUE"""),64.0)</f>
        <v>64</v>
      </c>
      <c r="F1310" s="19" t="str">
        <f>IFERROR(__xludf.DUMMYFUNCTION("""COMPUTED_VALUE"""),"BLACK")</f>
        <v>BLACK</v>
      </c>
      <c r="G1310" s="20" t="str">
        <f>IFERROR(__xludf.DUMMYFUNCTION("""COMPUTED_VALUE"""),"Uncle Sams Cider (11/12/2021) 02")</f>
        <v>Uncle Sams Cider (11/12/2021) 02</v>
      </c>
      <c r="H1310" s="19"/>
    </row>
    <row r="1311">
      <c r="A1311" s="9"/>
      <c r="B1311" s="15"/>
      <c r="C1311" s="9">
        <f>IFERROR(__xludf.DUMMYFUNCTION("""COMPUTED_VALUE"""),44591.8873099768)</f>
        <v>44591.88731</v>
      </c>
      <c r="D1311" s="15">
        <f>IFERROR(__xludf.DUMMYFUNCTION("""COMPUTED_VALUE"""),1.005)</f>
        <v>1.005</v>
      </c>
      <c r="E1311" s="16">
        <f>IFERROR(__xludf.DUMMYFUNCTION("""COMPUTED_VALUE"""),64.0)</f>
        <v>64</v>
      </c>
      <c r="F1311" s="19" t="str">
        <f>IFERROR(__xludf.DUMMYFUNCTION("""COMPUTED_VALUE"""),"BLACK")</f>
        <v>BLACK</v>
      </c>
      <c r="G1311" s="20" t="str">
        <f>IFERROR(__xludf.DUMMYFUNCTION("""COMPUTED_VALUE"""),"Uncle Sams Cider (11/12/2021) 02")</f>
        <v>Uncle Sams Cider (11/12/2021) 02</v>
      </c>
      <c r="H1311" s="19"/>
    </row>
    <row r="1312">
      <c r="A1312" s="9"/>
      <c r="B1312" s="15"/>
      <c r="C1312" s="9">
        <f>IFERROR(__xludf.DUMMYFUNCTION("""COMPUTED_VALUE"""),44591.8768196412)</f>
        <v>44591.87682</v>
      </c>
      <c r="D1312" s="15">
        <f>IFERROR(__xludf.DUMMYFUNCTION("""COMPUTED_VALUE"""),1.005)</f>
        <v>1.005</v>
      </c>
      <c r="E1312" s="16">
        <f>IFERROR(__xludf.DUMMYFUNCTION("""COMPUTED_VALUE"""),64.0)</f>
        <v>64</v>
      </c>
      <c r="F1312" s="19" t="str">
        <f>IFERROR(__xludf.DUMMYFUNCTION("""COMPUTED_VALUE"""),"BLACK")</f>
        <v>BLACK</v>
      </c>
      <c r="G1312" s="20" t="str">
        <f>IFERROR(__xludf.DUMMYFUNCTION("""COMPUTED_VALUE"""),"Uncle Sams Cider (11/12/2021) 02")</f>
        <v>Uncle Sams Cider (11/12/2021) 02</v>
      </c>
      <c r="H1312" s="19"/>
    </row>
    <row r="1313">
      <c r="A1313" s="9"/>
      <c r="B1313" s="15"/>
      <c r="C1313" s="9">
        <f>IFERROR(__xludf.DUMMYFUNCTION("""COMPUTED_VALUE"""),44591.866388831)</f>
        <v>44591.86639</v>
      </c>
      <c r="D1313" s="15">
        <f>IFERROR(__xludf.DUMMYFUNCTION("""COMPUTED_VALUE"""),1.004)</f>
        <v>1.004</v>
      </c>
      <c r="E1313" s="16">
        <f>IFERROR(__xludf.DUMMYFUNCTION("""COMPUTED_VALUE"""),64.0)</f>
        <v>64</v>
      </c>
      <c r="F1313" s="19" t="str">
        <f>IFERROR(__xludf.DUMMYFUNCTION("""COMPUTED_VALUE"""),"BLACK")</f>
        <v>BLACK</v>
      </c>
      <c r="G1313" s="20" t="str">
        <f>IFERROR(__xludf.DUMMYFUNCTION("""COMPUTED_VALUE"""),"Uncle Sams Cider (11/12/2021) 02")</f>
        <v>Uncle Sams Cider (11/12/2021) 02</v>
      </c>
      <c r="H1313" s="19"/>
    </row>
    <row r="1314">
      <c r="A1314" s="9"/>
      <c r="B1314" s="15"/>
      <c r="C1314" s="9">
        <f>IFERROR(__xludf.DUMMYFUNCTION("""COMPUTED_VALUE"""),44591.8559549305)</f>
        <v>44591.85595</v>
      </c>
      <c r="D1314" s="15">
        <f>IFERROR(__xludf.DUMMYFUNCTION("""COMPUTED_VALUE"""),1.004)</f>
        <v>1.004</v>
      </c>
      <c r="E1314" s="16">
        <f>IFERROR(__xludf.DUMMYFUNCTION("""COMPUTED_VALUE"""),65.0)</f>
        <v>65</v>
      </c>
      <c r="F1314" s="19" t="str">
        <f>IFERROR(__xludf.DUMMYFUNCTION("""COMPUTED_VALUE"""),"BLACK")</f>
        <v>BLACK</v>
      </c>
      <c r="G1314" s="20" t="str">
        <f>IFERROR(__xludf.DUMMYFUNCTION("""COMPUTED_VALUE"""),"Uncle Sams Cider (11/12/2021) 02")</f>
        <v>Uncle Sams Cider (11/12/2021) 02</v>
      </c>
      <c r="H1314" s="19"/>
    </row>
    <row r="1315">
      <c r="A1315" s="9"/>
      <c r="B1315" s="15"/>
      <c r="C1315" s="9">
        <f>IFERROR(__xludf.DUMMYFUNCTION("""COMPUTED_VALUE"""),44591.8455325694)</f>
        <v>44591.84553</v>
      </c>
      <c r="D1315" s="15">
        <f>IFERROR(__xludf.DUMMYFUNCTION("""COMPUTED_VALUE"""),1.004)</f>
        <v>1.004</v>
      </c>
      <c r="E1315" s="16">
        <f>IFERROR(__xludf.DUMMYFUNCTION("""COMPUTED_VALUE"""),65.0)</f>
        <v>65</v>
      </c>
      <c r="F1315" s="19" t="str">
        <f>IFERROR(__xludf.DUMMYFUNCTION("""COMPUTED_VALUE"""),"BLACK")</f>
        <v>BLACK</v>
      </c>
      <c r="G1315" s="20" t="str">
        <f>IFERROR(__xludf.DUMMYFUNCTION("""COMPUTED_VALUE"""),"Uncle Sams Cider (11/12/2021) 02")</f>
        <v>Uncle Sams Cider (11/12/2021) 02</v>
      </c>
      <c r="H1315" s="19"/>
    </row>
    <row r="1316">
      <c r="A1316" s="9"/>
      <c r="B1316" s="15"/>
      <c r="C1316" s="9">
        <f>IFERROR(__xludf.DUMMYFUNCTION("""COMPUTED_VALUE"""),44591.835111956)</f>
        <v>44591.83511</v>
      </c>
      <c r="D1316" s="15">
        <f>IFERROR(__xludf.DUMMYFUNCTION("""COMPUTED_VALUE"""),1.004)</f>
        <v>1.004</v>
      </c>
      <c r="E1316" s="16">
        <f>IFERROR(__xludf.DUMMYFUNCTION("""COMPUTED_VALUE"""),65.0)</f>
        <v>65</v>
      </c>
      <c r="F1316" s="19" t="str">
        <f>IFERROR(__xludf.DUMMYFUNCTION("""COMPUTED_VALUE"""),"BLACK")</f>
        <v>BLACK</v>
      </c>
      <c r="G1316" s="20" t="str">
        <f>IFERROR(__xludf.DUMMYFUNCTION("""COMPUTED_VALUE"""),"Uncle Sams Cider (11/12/2021) 02")</f>
        <v>Uncle Sams Cider (11/12/2021) 02</v>
      </c>
      <c r="H1316" s="19"/>
    </row>
    <row r="1317">
      <c r="A1317" s="9"/>
      <c r="B1317" s="15"/>
      <c r="C1317" s="9">
        <f>IFERROR(__xludf.DUMMYFUNCTION("""COMPUTED_VALUE"""),44591.8246791898)</f>
        <v>44591.82468</v>
      </c>
      <c r="D1317" s="15">
        <f>IFERROR(__xludf.DUMMYFUNCTION("""COMPUTED_VALUE"""),1.004)</f>
        <v>1.004</v>
      </c>
      <c r="E1317" s="16">
        <f>IFERROR(__xludf.DUMMYFUNCTION("""COMPUTED_VALUE"""),65.0)</f>
        <v>65</v>
      </c>
      <c r="F1317" s="19" t="str">
        <f>IFERROR(__xludf.DUMMYFUNCTION("""COMPUTED_VALUE"""),"BLACK")</f>
        <v>BLACK</v>
      </c>
      <c r="G1317" s="20" t="str">
        <f>IFERROR(__xludf.DUMMYFUNCTION("""COMPUTED_VALUE"""),"Uncle Sams Cider (11/12/2021) 02")</f>
        <v>Uncle Sams Cider (11/12/2021) 02</v>
      </c>
      <c r="H1317" s="19"/>
    </row>
    <row r="1318">
      <c r="A1318" s="9"/>
      <c r="B1318" s="15"/>
      <c r="C1318" s="9">
        <f>IFERROR(__xludf.DUMMYFUNCTION("""COMPUTED_VALUE"""),44591.8142474074)</f>
        <v>44591.81425</v>
      </c>
      <c r="D1318" s="15">
        <f>IFERROR(__xludf.DUMMYFUNCTION("""COMPUTED_VALUE"""),1.005)</f>
        <v>1.005</v>
      </c>
      <c r="E1318" s="16">
        <f>IFERROR(__xludf.DUMMYFUNCTION("""COMPUTED_VALUE"""),65.0)</f>
        <v>65</v>
      </c>
      <c r="F1318" s="19" t="str">
        <f>IFERROR(__xludf.DUMMYFUNCTION("""COMPUTED_VALUE"""),"BLACK")</f>
        <v>BLACK</v>
      </c>
      <c r="G1318" s="20" t="str">
        <f>IFERROR(__xludf.DUMMYFUNCTION("""COMPUTED_VALUE"""),"Uncle Sams Cider (11/12/2021) 02")</f>
        <v>Uncle Sams Cider (11/12/2021) 02</v>
      </c>
      <c r="H1318" s="19"/>
    </row>
    <row r="1319">
      <c r="A1319" s="9"/>
      <c r="B1319" s="15"/>
      <c r="C1319" s="9">
        <f>IFERROR(__xludf.DUMMYFUNCTION("""COMPUTED_VALUE"""),44591.8038025231)</f>
        <v>44591.8038</v>
      </c>
      <c r="D1319" s="15">
        <f>IFERROR(__xludf.DUMMYFUNCTION("""COMPUTED_VALUE"""),1.005)</f>
        <v>1.005</v>
      </c>
      <c r="E1319" s="16">
        <f>IFERROR(__xludf.DUMMYFUNCTION("""COMPUTED_VALUE"""),65.0)</f>
        <v>65</v>
      </c>
      <c r="F1319" s="19" t="str">
        <f>IFERROR(__xludf.DUMMYFUNCTION("""COMPUTED_VALUE"""),"BLACK")</f>
        <v>BLACK</v>
      </c>
      <c r="G1319" s="20" t="str">
        <f>IFERROR(__xludf.DUMMYFUNCTION("""COMPUTED_VALUE"""),"Uncle Sams Cider (11/12/2021) 02")</f>
        <v>Uncle Sams Cider (11/12/2021) 02</v>
      </c>
      <c r="H1319" s="19"/>
    </row>
    <row r="1320">
      <c r="A1320" s="9"/>
      <c r="B1320" s="15"/>
      <c r="C1320" s="9">
        <f>IFERROR(__xludf.DUMMYFUNCTION("""COMPUTED_VALUE"""),44591.7933805786)</f>
        <v>44591.79338</v>
      </c>
      <c r="D1320" s="15">
        <f>IFERROR(__xludf.DUMMYFUNCTION("""COMPUTED_VALUE"""),1.005)</f>
        <v>1.005</v>
      </c>
      <c r="E1320" s="16">
        <f>IFERROR(__xludf.DUMMYFUNCTION("""COMPUTED_VALUE"""),65.0)</f>
        <v>65</v>
      </c>
      <c r="F1320" s="19" t="str">
        <f>IFERROR(__xludf.DUMMYFUNCTION("""COMPUTED_VALUE"""),"BLACK")</f>
        <v>BLACK</v>
      </c>
      <c r="G1320" s="20" t="str">
        <f>IFERROR(__xludf.DUMMYFUNCTION("""COMPUTED_VALUE"""),"Uncle Sams Cider (11/12/2021) 02")</f>
        <v>Uncle Sams Cider (11/12/2021) 02</v>
      </c>
      <c r="H1320" s="19"/>
    </row>
    <row r="1321">
      <c r="A1321" s="9"/>
      <c r="B1321" s="15"/>
      <c r="C1321" s="9">
        <f>IFERROR(__xludf.DUMMYFUNCTION("""COMPUTED_VALUE"""),44591.782947662)</f>
        <v>44591.78295</v>
      </c>
      <c r="D1321" s="15">
        <f>IFERROR(__xludf.DUMMYFUNCTION("""COMPUTED_VALUE"""),1.005)</f>
        <v>1.005</v>
      </c>
      <c r="E1321" s="16">
        <f>IFERROR(__xludf.DUMMYFUNCTION("""COMPUTED_VALUE"""),65.0)</f>
        <v>65</v>
      </c>
      <c r="F1321" s="19" t="str">
        <f>IFERROR(__xludf.DUMMYFUNCTION("""COMPUTED_VALUE"""),"BLACK")</f>
        <v>BLACK</v>
      </c>
      <c r="G1321" s="20" t="str">
        <f>IFERROR(__xludf.DUMMYFUNCTION("""COMPUTED_VALUE"""),"Uncle Sams Cider (11/12/2021) 02")</f>
        <v>Uncle Sams Cider (11/12/2021) 02</v>
      </c>
      <c r="H1321" s="19"/>
    </row>
    <row r="1322">
      <c r="A1322" s="9"/>
      <c r="B1322" s="15"/>
      <c r="C1322" s="9">
        <f>IFERROR(__xludf.DUMMYFUNCTION("""COMPUTED_VALUE"""),44591.7725032291)</f>
        <v>44591.7725</v>
      </c>
      <c r="D1322" s="15">
        <f>IFERROR(__xludf.DUMMYFUNCTION("""COMPUTED_VALUE"""),1.005)</f>
        <v>1.005</v>
      </c>
      <c r="E1322" s="16">
        <f>IFERROR(__xludf.DUMMYFUNCTION("""COMPUTED_VALUE"""),65.0)</f>
        <v>65</v>
      </c>
      <c r="F1322" s="19" t="str">
        <f>IFERROR(__xludf.DUMMYFUNCTION("""COMPUTED_VALUE"""),"BLACK")</f>
        <v>BLACK</v>
      </c>
      <c r="G1322" s="20" t="str">
        <f>IFERROR(__xludf.DUMMYFUNCTION("""COMPUTED_VALUE"""),"Uncle Sams Cider (11/12/2021) 02")</f>
        <v>Uncle Sams Cider (11/12/2021) 02</v>
      </c>
      <c r="H1322" s="19"/>
    </row>
    <row r="1323">
      <c r="A1323" s="9"/>
      <c r="B1323" s="15"/>
      <c r="C1323" s="9">
        <f>IFERROR(__xludf.DUMMYFUNCTION("""COMPUTED_VALUE"""),44591.7620805787)</f>
        <v>44591.76208</v>
      </c>
      <c r="D1323" s="15">
        <f>IFERROR(__xludf.DUMMYFUNCTION("""COMPUTED_VALUE"""),1.005)</f>
        <v>1.005</v>
      </c>
      <c r="E1323" s="16">
        <f>IFERROR(__xludf.DUMMYFUNCTION("""COMPUTED_VALUE"""),65.0)</f>
        <v>65</v>
      </c>
      <c r="F1323" s="19" t="str">
        <f>IFERROR(__xludf.DUMMYFUNCTION("""COMPUTED_VALUE"""),"BLACK")</f>
        <v>BLACK</v>
      </c>
      <c r="G1323" s="20" t="str">
        <f>IFERROR(__xludf.DUMMYFUNCTION("""COMPUTED_VALUE"""),"Uncle Sams Cider (11/12/2021) 02")</f>
        <v>Uncle Sams Cider (11/12/2021) 02</v>
      </c>
      <c r="H1323" s="19"/>
    </row>
    <row r="1324">
      <c r="A1324" s="9"/>
      <c r="B1324" s="15"/>
      <c r="C1324" s="9">
        <f>IFERROR(__xludf.DUMMYFUNCTION("""COMPUTED_VALUE"""),44591.7516600578)</f>
        <v>44591.75166</v>
      </c>
      <c r="D1324" s="15">
        <f>IFERROR(__xludf.DUMMYFUNCTION("""COMPUTED_VALUE"""),1.005)</f>
        <v>1.005</v>
      </c>
      <c r="E1324" s="16">
        <f>IFERROR(__xludf.DUMMYFUNCTION("""COMPUTED_VALUE"""),65.0)</f>
        <v>65</v>
      </c>
      <c r="F1324" s="19" t="str">
        <f>IFERROR(__xludf.DUMMYFUNCTION("""COMPUTED_VALUE"""),"BLACK")</f>
        <v>BLACK</v>
      </c>
      <c r="G1324" s="20" t="str">
        <f>IFERROR(__xludf.DUMMYFUNCTION("""COMPUTED_VALUE"""),"Uncle Sams Cider (11/12/2021) 02")</f>
        <v>Uncle Sams Cider (11/12/2021) 02</v>
      </c>
      <c r="H1324" s="19"/>
    </row>
    <row r="1325">
      <c r="A1325" s="9"/>
      <c r="B1325" s="15"/>
      <c r="C1325" s="9">
        <f>IFERROR(__xludf.DUMMYFUNCTION("""COMPUTED_VALUE"""),44591.7412393518)</f>
        <v>44591.74124</v>
      </c>
      <c r="D1325" s="15">
        <f>IFERROR(__xludf.DUMMYFUNCTION("""COMPUTED_VALUE"""),1.005)</f>
        <v>1.005</v>
      </c>
      <c r="E1325" s="16">
        <f>IFERROR(__xludf.DUMMYFUNCTION("""COMPUTED_VALUE"""),65.0)</f>
        <v>65</v>
      </c>
      <c r="F1325" s="19" t="str">
        <f>IFERROR(__xludf.DUMMYFUNCTION("""COMPUTED_VALUE"""),"BLACK")</f>
        <v>BLACK</v>
      </c>
      <c r="G1325" s="20" t="str">
        <f>IFERROR(__xludf.DUMMYFUNCTION("""COMPUTED_VALUE"""),"Uncle Sams Cider (11/12/2021) 02")</f>
        <v>Uncle Sams Cider (11/12/2021) 02</v>
      </c>
      <c r="H1325" s="19"/>
    </row>
    <row r="1326">
      <c r="A1326" s="9"/>
      <c r="B1326" s="15"/>
      <c r="C1326" s="9">
        <f>IFERROR(__xludf.DUMMYFUNCTION("""COMPUTED_VALUE"""),44591.7308176736)</f>
        <v>44591.73082</v>
      </c>
      <c r="D1326" s="15">
        <f>IFERROR(__xludf.DUMMYFUNCTION("""COMPUTED_VALUE"""),1.004)</f>
        <v>1.004</v>
      </c>
      <c r="E1326" s="16">
        <f>IFERROR(__xludf.DUMMYFUNCTION("""COMPUTED_VALUE"""),65.0)</f>
        <v>65</v>
      </c>
      <c r="F1326" s="19" t="str">
        <f>IFERROR(__xludf.DUMMYFUNCTION("""COMPUTED_VALUE"""),"BLACK")</f>
        <v>BLACK</v>
      </c>
      <c r="G1326" s="20" t="str">
        <f>IFERROR(__xludf.DUMMYFUNCTION("""COMPUTED_VALUE"""),"Uncle Sams Cider (11/12/2021) 02")</f>
        <v>Uncle Sams Cider (11/12/2021) 02</v>
      </c>
      <c r="H1326" s="19"/>
    </row>
    <row r="1327">
      <c r="A1327" s="9"/>
      <c r="B1327" s="15"/>
      <c r="C1327" s="9">
        <f>IFERROR(__xludf.DUMMYFUNCTION("""COMPUTED_VALUE"""),44591.7203947106)</f>
        <v>44591.72039</v>
      </c>
      <c r="D1327" s="15">
        <f>IFERROR(__xludf.DUMMYFUNCTION("""COMPUTED_VALUE"""),1.005)</f>
        <v>1.005</v>
      </c>
      <c r="E1327" s="16">
        <f>IFERROR(__xludf.DUMMYFUNCTION("""COMPUTED_VALUE"""),65.0)</f>
        <v>65</v>
      </c>
      <c r="F1327" s="19" t="str">
        <f>IFERROR(__xludf.DUMMYFUNCTION("""COMPUTED_VALUE"""),"BLACK")</f>
        <v>BLACK</v>
      </c>
      <c r="G1327" s="20" t="str">
        <f>IFERROR(__xludf.DUMMYFUNCTION("""COMPUTED_VALUE"""),"Uncle Sams Cider (11/12/2021) 02")</f>
        <v>Uncle Sams Cider (11/12/2021) 02</v>
      </c>
      <c r="H1327" s="19"/>
    </row>
    <row r="1328">
      <c r="A1328" s="9"/>
      <c r="B1328" s="15"/>
      <c r="C1328" s="9">
        <f>IFERROR(__xludf.DUMMYFUNCTION("""COMPUTED_VALUE"""),44591.7099645254)</f>
        <v>44591.70996</v>
      </c>
      <c r="D1328" s="15">
        <f>IFERROR(__xludf.DUMMYFUNCTION("""COMPUTED_VALUE"""),1.004)</f>
        <v>1.004</v>
      </c>
      <c r="E1328" s="16">
        <f>IFERROR(__xludf.DUMMYFUNCTION("""COMPUTED_VALUE"""),65.0)</f>
        <v>65</v>
      </c>
      <c r="F1328" s="19" t="str">
        <f>IFERROR(__xludf.DUMMYFUNCTION("""COMPUTED_VALUE"""),"BLACK")</f>
        <v>BLACK</v>
      </c>
      <c r="G1328" s="20" t="str">
        <f>IFERROR(__xludf.DUMMYFUNCTION("""COMPUTED_VALUE"""),"Uncle Sams Cider (11/12/2021) 02")</f>
        <v>Uncle Sams Cider (11/12/2021) 02</v>
      </c>
      <c r="H1328" s="19"/>
    </row>
    <row r="1329">
      <c r="A1329" s="9"/>
      <c r="B1329" s="15"/>
      <c r="C1329" s="9">
        <f>IFERROR(__xludf.DUMMYFUNCTION("""COMPUTED_VALUE"""),44591.6995426851)</f>
        <v>44591.69954</v>
      </c>
      <c r="D1329" s="15">
        <f>IFERROR(__xludf.DUMMYFUNCTION("""COMPUTED_VALUE"""),1.005)</f>
        <v>1.005</v>
      </c>
      <c r="E1329" s="16">
        <f>IFERROR(__xludf.DUMMYFUNCTION("""COMPUTED_VALUE"""),65.0)</f>
        <v>65</v>
      </c>
      <c r="F1329" s="19" t="str">
        <f>IFERROR(__xludf.DUMMYFUNCTION("""COMPUTED_VALUE"""),"BLACK")</f>
        <v>BLACK</v>
      </c>
      <c r="G1329" s="20" t="str">
        <f>IFERROR(__xludf.DUMMYFUNCTION("""COMPUTED_VALUE"""),"Uncle Sams Cider (11/12/2021) 02")</f>
        <v>Uncle Sams Cider (11/12/2021) 02</v>
      </c>
      <c r="H1329" s="19"/>
    </row>
    <row r="1330">
      <c r="A1330" s="9"/>
      <c r="B1330" s="15"/>
      <c r="C1330" s="9">
        <f>IFERROR(__xludf.DUMMYFUNCTION("""COMPUTED_VALUE"""),44591.6891213425)</f>
        <v>44591.68912</v>
      </c>
      <c r="D1330" s="15">
        <f>IFERROR(__xludf.DUMMYFUNCTION("""COMPUTED_VALUE"""),1.005)</f>
        <v>1.005</v>
      </c>
      <c r="E1330" s="16">
        <f>IFERROR(__xludf.DUMMYFUNCTION("""COMPUTED_VALUE"""),65.0)</f>
        <v>65</v>
      </c>
      <c r="F1330" s="19" t="str">
        <f>IFERROR(__xludf.DUMMYFUNCTION("""COMPUTED_VALUE"""),"BLACK")</f>
        <v>BLACK</v>
      </c>
      <c r="G1330" s="20" t="str">
        <f>IFERROR(__xludf.DUMMYFUNCTION("""COMPUTED_VALUE"""),"Uncle Sams Cider (11/12/2021) 02")</f>
        <v>Uncle Sams Cider (11/12/2021) 02</v>
      </c>
      <c r="H1330" s="19"/>
    </row>
    <row r="1331">
      <c r="A1331" s="9"/>
      <c r="B1331" s="15"/>
      <c r="C1331" s="9">
        <f>IFERROR(__xludf.DUMMYFUNCTION("""COMPUTED_VALUE"""),44591.67869978)</f>
        <v>44591.6787</v>
      </c>
      <c r="D1331" s="15">
        <f>IFERROR(__xludf.DUMMYFUNCTION("""COMPUTED_VALUE"""),1.005)</f>
        <v>1.005</v>
      </c>
      <c r="E1331" s="16">
        <f>IFERROR(__xludf.DUMMYFUNCTION("""COMPUTED_VALUE"""),65.0)</f>
        <v>65</v>
      </c>
      <c r="F1331" s="19" t="str">
        <f>IFERROR(__xludf.DUMMYFUNCTION("""COMPUTED_VALUE"""),"BLACK")</f>
        <v>BLACK</v>
      </c>
      <c r="G1331" s="20" t="str">
        <f>IFERROR(__xludf.DUMMYFUNCTION("""COMPUTED_VALUE"""),"Uncle Sams Cider (11/12/2021) 02")</f>
        <v>Uncle Sams Cider (11/12/2021) 02</v>
      </c>
      <c r="H1331" s="19"/>
    </row>
    <row r="1332">
      <c r="A1332" s="9"/>
      <c r="B1332" s="15"/>
      <c r="C1332" s="9">
        <f>IFERROR(__xludf.DUMMYFUNCTION("""COMPUTED_VALUE"""),44591.6682787615)</f>
        <v>44591.66828</v>
      </c>
      <c r="D1332" s="15">
        <f>IFERROR(__xludf.DUMMYFUNCTION("""COMPUTED_VALUE"""),1.005)</f>
        <v>1.005</v>
      </c>
      <c r="E1332" s="16">
        <f>IFERROR(__xludf.DUMMYFUNCTION("""COMPUTED_VALUE"""),65.0)</f>
        <v>65</v>
      </c>
      <c r="F1332" s="19" t="str">
        <f>IFERROR(__xludf.DUMMYFUNCTION("""COMPUTED_VALUE"""),"BLACK")</f>
        <v>BLACK</v>
      </c>
      <c r="G1332" s="20" t="str">
        <f>IFERROR(__xludf.DUMMYFUNCTION("""COMPUTED_VALUE"""),"Uncle Sams Cider (11/12/2021) 02")</f>
        <v>Uncle Sams Cider (11/12/2021) 02</v>
      </c>
      <c r="H1332" s="19"/>
    </row>
    <row r="1333">
      <c r="A1333" s="9"/>
      <c r="B1333" s="15"/>
      <c r="C1333" s="9">
        <f>IFERROR(__xludf.DUMMYFUNCTION("""COMPUTED_VALUE"""),44591.6578571064)</f>
        <v>44591.65786</v>
      </c>
      <c r="D1333" s="15">
        <f>IFERROR(__xludf.DUMMYFUNCTION("""COMPUTED_VALUE"""),1.004)</f>
        <v>1.004</v>
      </c>
      <c r="E1333" s="16">
        <f>IFERROR(__xludf.DUMMYFUNCTION("""COMPUTED_VALUE"""),65.0)</f>
        <v>65</v>
      </c>
      <c r="F1333" s="19" t="str">
        <f>IFERROR(__xludf.DUMMYFUNCTION("""COMPUTED_VALUE"""),"BLACK")</f>
        <v>BLACK</v>
      </c>
      <c r="G1333" s="20" t="str">
        <f>IFERROR(__xludf.DUMMYFUNCTION("""COMPUTED_VALUE"""),"Uncle Sams Cider (11/12/2021) 02")</f>
        <v>Uncle Sams Cider (11/12/2021) 02</v>
      </c>
      <c r="H1333" s="19"/>
    </row>
    <row r="1334">
      <c r="A1334" s="9"/>
      <c r="B1334" s="15"/>
      <c r="C1334" s="9">
        <f>IFERROR(__xludf.DUMMYFUNCTION("""COMPUTED_VALUE"""),44591.6474341435)</f>
        <v>44591.64743</v>
      </c>
      <c r="D1334" s="15">
        <f>IFERROR(__xludf.DUMMYFUNCTION("""COMPUTED_VALUE"""),1.005)</f>
        <v>1.005</v>
      </c>
      <c r="E1334" s="16">
        <f>IFERROR(__xludf.DUMMYFUNCTION("""COMPUTED_VALUE"""),65.0)</f>
        <v>65</v>
      </c>
      <c r="F1334" s="19" t="str">
        <f>IFERROR(__xludf.DUMMYFUNCTION("""COMPUTED_VALUE"""),"BLACK")</f>
        <v>BLACK</v>
      </c>
      <c r="G1334" s="20" t="str">
        <f>IFERROR(__xludf.DUMMYFUNCTION("""COMPUTED_VALUE"""),"Uncle Sams Cider (11/12/2021) 02")</f>
        <v>Uncle Sams Cider (11/12/2021) 02</v>
      </c>
      <c r="H1334" s="19"/>
    </row>
    <row r="1335">
      <c r="A1335" s="9"/>
      <c r="B1335" s="15"/>
      <c r="C1335" s="9">
        <f>IFERROR(__xludf.DUMMYFUNCTION("""COMPUTED_VALUE"""),44591.6370135185)</f>
        <v>44591.63701</v>
      </c>
      <c r="D1335" s="15">
        <f>IFERROR(__xludf.DUMMYFUNCTION("""COMPUTED_VALUE"""),1.005)</f>
        <v>1.005</v>
      </c>
      <c r="E1335" s="16">
        <f>IFERROR(__xludf.DUMMYFUNCTION("""COMPUTED_VALUE"""),65.0)</f>
        <v>65</v>
      </c>
      <c r="F1335" s="19" t="str">
        <f>IFERROR(__xludf.DUMMYFUNCTION("""COMPUTED_VALUE"""),"BLACK")</f>
        <v>BLACK</v>
      </c>
      <c r="G1335" s="20" t="str">
        <f>IFERROR(__xludf.DUMMYFUNCTION("""COMPUTED_VALUE"""),"Uncle Sams Cider (11/12/2021) 02")</f>
        <v>Uncle Sams Cider (11/12/2021) 02</v>
      </c>
      <c r="H1335" s="19"/>
    </row>
    <row r="1336">
      <c r="A1336" s="9"/>
      <c r="B1336" s="15"/>
      <c r="C1336" s="9">
        <f>IFERROR(__xludf.DUMMYFUNCTION("""COMPUTED_VALUE"""),44591.626578912)</f>
        <v>44591.62658</v>
      </c>
      <c r="D1336" s="15">
        <f>IFERROR(__xludf.DUMMYFUNCTION("""COMPUTED_VALUE"""),1.005)</f>
        <v>1.005</v>
      </c>
      <c r="E1336" s="16">
        <f>IFERROR(__xludf.DUMMYFUNCTION("""COMPUTED_VALUE"""),65.0)</f>
        <v>65</v>
      </c>
      <c r="F1336" s="19" t="str">
        <f>IFERROR(__xludf.DUMMYFUNCTION("""COMPUTED_VALUE"""),"BLACK")</f>
        <v>BLACK</v>
      </c>
      <c r="G1336" s="20" t="str">
        <f>IFERROR(__xludf.DUMMYFUNCTION("""COMPUTED_VALUE"""),"Uncle Sams Cider (11/12/2021) 02")</f>
        <v>Uncle Sams Cider (11/12/2021) 02</v>
      </c>
      <c r="H1336" s="19"/>
    </row>
    <row r="1337">
      <c r="A1337" s="9"/>
      <c r="B1337" s="15"/>
      <c r="C1337" s="9">
        <f>IFERROR(__xludf.DUMMYFUNCTION("""COMPUTED_VALUE"""),44591.6161452199)</f>
        <v>44591.61615</v>
      </c>
      <c r="D1337" s="15">
        <f>IFERROR(__xludf.DUMMYFUNCTION("""COMPUTED_VALUE"""),1.004)</f>
        <v>1.004</v>
      </c>
      <c r="E1337" s="16">
        <f>IFERROR(__xludf.DUMMYFUNCTION("""COMPUTED_VALUE"""),65.0)</f>
        <v>65</v>
      </c>
      <c r="F1337" s="19" t="str">
        <f>IFERROR(__xludf.DUMMYFUNCTION("""COMPUTED_VALUE"""),"BLACK")</f>
        <v>BLACK</v>
      </c>
      <c r="G1337" s="20" t="str">
        <f>IFERROR(__xludf.DUMMYFUNCTION("""COMPUTED_VALUE"""),"Uncle Sams Cider (11/12/2021) 02")</f>
        <v>Uncle Sams Cider (11/12/2021) 02</v>
      </c>
      <c r="H1337" s="19"/>
    </row>
    <row r="1338">
      <c r="A1338" s="9"/>
      <c r="B1338" s="15"/>
      <c r="C1338" s="9">
        <f>IFERROR(__xludf.DUMMYFUNCTION("""COMPUTED_VALUE"""),44591.6056878703)</f>
        <v>44591.60569</v>
      </c>
      <c r="D1338" s="15">
        <f>IFERROR(__xludf.DUMMYFUNCTION("""COMPUTED_VALUE"""),1.004)</f>
        <v>1.004</v>
      </c>
      <c r="E1338" s="16">
        <f>IFERROR(__xludf.DUMMYFUNCTION("""COMPUTED_VALUE"""),65.0)</f>
        <v>65</v>
      </c>
      <c r="F1338" s="19" t="str">
        <f>IFERROR(__xludf.DUMMYFUNCTION("""COMPUTED_VALUE"""),"BLACK")</f>
        <v>BLACK</v>
      </c>
      <c r="G1338" s="20" t="str">
        <f>IFERROR(__xludf.DUMMYFUNCTION("""COMPUTED_VALUE"""),"Uncle Sams Cider (11/12/2021) 02")</f>
        <v>Uncle Sams Cider (11/12/2021) 02</v>
      </c>
      <c r="H1338" s="19"/>
    </row>
    <row r="1339">
      <c r="A1339" s="9"/>
      <c r="B1339" s="15"/>
      <c r="C1339" s="9">
        <f>IFERROR(__xludf.DUMMYFUNCTION("""COMPUTED_VALUE"""),44591.5952672222)</f>
        <v>44591.59527</v>
      </c>
      <c r="D1339" s="15">
        <f>IFERROR(__xludf.DUMMYFUNCTION("""COMPUTED_VALUE"""),1.005)</f>
        <v>1.005</v>
      </c>
      <c r="E1339" s="16">
        <f>IFERROR(__xludf.DUMMYFUNCTION("""COMPUTED_VALUE"""),66.0)</f>
        <v>66</v>
      </c>
      <c r="F1339" s="19" t="str">
        <f>IFERROR(__xludf.DUMMYFUNCTION("""COMPUTED_VALUE"""),"BLACK")</f>
        <v>BLACK</v>
      </c>
      <c r="G1339" s="20" t="str">
        <f>IFERROR(__xludf.DUMMYFUNCTION("""COMPUTED_VALUE"""),"Uncle Sams Cider (11/12/2021) 02")</f>
        <v>Uncle Sams Cider (11/12/2021) 02</v>
      </c>
      <c r="H1339" s="19"/>
    </row>
    <row r="1340">
      <c r="A1340" s="9"/>
      <c r="B1340" s="15"/>
      <c r="C1340" s="9">
        <f>IFERROR(__xludf.DUMMYFUNCTION("""COMPUTED_VALUE"""),44591.5848456365)</f>
        <v>44591.58485</v>
      </c>
      <c r="D1340" s="15">
        <f>IFERROR(__xludf.DUMMYFUNCTION("""COMPUTED_VALUE"""),1.005)</f>
        <v>1.005</v>
      </c>
      <c r="E1340" s="16">
        <f>IFERROR(__xludf.DUMMYFUNCTION("""COMPUTED_VALUE"""),66.0)</f>
        <v>66</v>
      </c>
      <c r="F1340" s="19" t="str">
        <f>IFERROR(__xludf.DUMMYFUNCTION("""COMPUTED_VALUE"""),"BLACK")</f>
        <v>BLACK</v>
      </c>
      <c r="G1340" s="20" t="str">
        <f>IFERROR(__xludf.DUMMYFUNCTION("""COMPUTED_VALUE"""),"Uncle Sams Cider (11/12/2021) 02")</f>
        <v>Uncle Sams Cider (11/12/2021) 02</v>
      </c>
      <c r="H1340" s="19"/>
    </row>
    <row r="1341">
      <c r="A1341" s="9"/>
      <c r="B1341" s="15"/>
      <c r="C1341" s="9">
        <f>IFERROR(__xludf.DUMMYFUNCTION("""COMPUTED_VALUE"""),44591.5744236921)</f>
        <v>44591.57442</v>
      </c>
      <c r="D1341" s="15">
        <f>IFERROR(__xludf.DUMMYFUNCTION("""COMPUTED_VALUE"""),1.005)</f>
        <v>1.005</v>
      </c>
      <c r="E1341" s="16">
        <f>IFERROR(__xludf.DUMMYFUNCTION("""COMPUTED_VALUE"""),66.0)</f>
        <v>66</v>
      </c>
      <c r="F1341" s="19" t="str">
        <f>IFERROR(__xludf.DUMMYFUNCTION("""COMPUTED_VALUE"""),"BLACK")</f>
        <v>BLACK</v>
      </c>
      <c r="G1341" s="20" t="str">
        <f>IFERROR(__xludf.DUMMYFUNCTION("""COMPUTED_VALUE"""),"Uncle Sams Cider (11/12/2021) 02")</f>
        <v>Uncle Sams Cider (11/12/2021) 02</v>
      </c>
      <c r="H1341" s="19"/>
    </row>
    <row r="1342">
      <c r="A1342" s="9"/>
      <c r="B1342" s="15"/>
      <c r="C1342" s="9">
        <f>IFERROR(__xludf.DUMMYFUNCTION("""COMPUTED_VALUE"""),44591.5640019328)</f>
        <v>44591.564</v>
      </c>
      <c r="D1342" s="15">
        <f>IFERROR(__xludf.DUMMYFUNCTION("""COMPUTED_VALUE"""),1.005)</f>
        <v>1.005</v>
      </c>
      <c r="E1342" s="16">
        <f>IFERROR(__xludf.DUMMYFUNCTION("""COMPUTED_VALUE"""),66.0)</f>
        <v>66</v>
      </c>
      <c r="F1342" s="19" t="str">
        <f>IFERROR(__xludf.DUMMYFUNCTION("""COMPUTED_VALUE"""),"BLACK")</f>
        <v>BLACK</v>
      </c>
      <c r="G1342" s="20" t="str">
        <f>IFERROR(__xludf.DUMMYFUNCTION("""COMPUTED_VALUE"""),"Uncle Sams Cider (11/12/2021) 02")</f>
        <v>Uncle Sams Cider (11/12/2021) 02</v>
      </c>
      <c r="H1342" s="19"/>
    </row>
    <row r="1343">
      <c r="A1343" s="9"/>
      <c r="B1343" s="15"/>
      <c r="C1343" s="9">
        <f>IFERROR(__xludf.DUMMYFUNCTION("""COMPUTED_VALUE"""),44591.5535685069)</f>
        <v>44591.55357</v>
      </c>
      <c r="D1343" s="15">
        <f>IFERROR(__xludf.DUMMYFUNCTION("""COMPUTED_VALUE"""),1.005)</f>
        <v>1.005</v>
      </c>
      <c r="E1343" s="16">
        <f>IFERROR(__xludf.DUMMYFUNCTION("""COMPUTED_VALUE"""),66.0)</f>
        <v>66</v>
      </c>
      <c r="F1343" s="19" t="str">
        <f>IFERROR(__xludf.DUMMYFUNCTION("""COMPUTED_VALUE"""),"BLACK")</f>
        <v>BLACK</v>
      </c>
      <c r="G1343" s="20" t="str">
        <f>IFERROR(__xludf.DUMMYFUNCTION("""COMPUTED_VALUE"""),"Uncle Sams Cider (11/12/2021) 02")</f>
        <v>Uncle Sams Cider (11/12/2021) 02</v>
      </c>
      <c r="H1343" s="19"/>
    </row>
    <row r="1344">
      <c r="A1344" s="9"/>
      <c r="B1344" s="15"/>
      <c r="C1344" s="9">
        <f>IFERROR(__xludf.DUMMYFUNCTION("""COMPUTED_VALUE"""),44591.5431453819)</f>
        <v>44591.54315</v>
      </c>
      <c r="D1344" s="15">
        <f>IFERROR(__xludf.DUMMYFUNCTION("""COMPUTED_VALUE"""),1.004)</f>
        <v>1.004</v>
      </c>
      <c r="E1344" s="16">
        <f>IFERROR(__xludf.DUMMYFUNCTION("""COMPUTED_VALUE"""),66.0)</f>
        <v>66</v>
      </c>
      <c r="F1344" s="19" t="str">
        <f>IFERROR(__xludf.DUMMYFUNCTION("""COMPUTED_VALUE"""),"BLACK")</f>
        <v>BLACK</v>
      </c>
      <c r="G1344" s="20" t="str">
        <f>IFERROR(__xludf.DUMMYFUNCTION("""COMPUTED_VALUE"""),"Uncle Sams Cider (11/12/2021) 02")</f>
        <v>Uncle Sams Cider (11/12/2021) 02</v>
      </c>
      <c r="H1344" s="19"/>
    </row>
    <row r="1345">
      <c r="A1345" s="9"/>
      <c r="B1345" s="15"/>
      <c r="C1345" s="9">
        <f>IFERROR(__xludf.DUMMYFUNCTION("""COMPUTED_VALUE"""),44591.5327129976)</f>
        <v>44591.53271</v>
      </c>
      <c r="D1345" s="15">
        <f>IFERROR(__xludf.DUMMYFUNCTION("""COMPUTED_VALUE"""),1.005)</f>
        <v>1.005</v>
      </c>
      <c r="E1345" s="16">
        <f>IFERROR(__xludf.DUMMYFUNCTION("""COMPUTED_VALUE"""),66.0)</f>
        <v>66</v>
      </c>
      <c r="F1345" s="19" t="str">
        <f>IFERROR(__xludf.DUMMYFUNCTION("""COMPUTED_VALUE"""),"BLACK")</f>
        <v>BLACK</v>
      </c>
      <c r="G1345" s="20" t="str">
        <f>IFERROR(__xludf.DUMMYFUNCTION("""COMPUTED_VALUE"""),"Uncle Sams Cider (11/12/2021) 02")</f>
        <v>Uncle Sams Cider (11/12/2021) 02</v>
      </c>
      <c r="H1345" s="19"/>
    </row>
    <row r="1346">
      <c r="A1346" s="9"/>
      <c r="B1346" s="15"/>
      <c r="C1346" s="9">
        <f>IFERROR(__xludf.DUMMYFUNCTION("""COMPUTED_VALUE"""),44591.5222811342)</f>
        <v>44591.52228</v>
      </c>
      <c r="D1346" s="15">
        <f>IFERROR(__xludf.DUMMYFUNCTION("""COMPUTED_VALUE"""),1.005)</f>
        <v>1.005</v>
      </c>
      <c r="E1346" s="16">
        <f>IFERROR(__xludf.DUMMYFUNCTION("""COMPUTED_VALUE"""),66.0)</f>
        <v>66</v>
      </c>
      <c r="F1346" s="19" t="str">
        <f>IFERROR(__xludf.DUMMYFUNCTION("""COMPUTED_VALUE"""),"BLACK")</f>
        <v>BLACK</v>
      </c>
      <c r="G1346" s="20" t="str">
        <f>IFERROR(__xludf.DUMMYFUNCTION("""COMPUTED_VALUE"""),"Uncle Sams Cider (11/12/2021) 02")</f>
        <v>Uncle Sams Cider (11/12/2021) 02</v>
      </c>
      <c r="H1346" s="19"/>
    </row>
    <row r="1347">
      <c r="A1347" s="9"/>
      <c r="B1347" s="15"/>
      <c r="C1347" s="9">
        <f>IFERROR(__xludf.DUMMYFUNCTION("""COMPUTED_VALUE"""),44591.5118350115)</f>
        <v>44591.51184</v>
      </c>
      <c r="D1347" s="15">
        <f>IFERROR(__xludf.DUMMYFUNCTION("""COMPUTED_VALUE"""),1.004)</f>
        <v>1.004</v>
      </c>
      <c r="E1347" s="16">
        <f>IFERROR(__xludf.DUMMYFUNCTION("""COMPUTED_VALUE"""),66.0)</f>
        <v>66</v>
      </c>
      <c r="F1347" s="19" t="str">
        <f>IFERROR(__xludf.DUMMYFUNCTION("""COMPUTED_VALUE"""),"BLACK")</f>
        <v>BLACK</v>
      </c>
      <c r="G1347" s="20" t="str">
        <f>IFERROR(__xludf.DUMMYFUNCTION("""COMPUTED_VALUE"""),"Uncle Sams Cider (11/12/2021) 02")</f>
        <v>Uncle Sams Cider (11/12/2021) 02</v>
      </c>
      <c r="H1347" s="19"/>
    </row>
    <row r="1348">
      <c r="A1348" s="9"/>
      <c r="B1348" s="15"/>
      <c r="C1348" s="9">
        <f>IFERROR(__xludf.DUMMYFUNCTION("""COMPUTED_VALUE"""),44591.5014036689)</f>
        <v>44591.5014</v>
      </c>
      <c r="D1348" s="15">
        <f>IFERROR(__xludf.DUMMYFUNCTION("""COMPUTED_VALUE"""),1.005)</f>
        <v>1.005</v>
      </c>
      <c r="E1348" s="16">
        <f>IFERROR(__xludf.DUMMYFUNCTION("""COMPUTED_VALUE"""),66.0)</f>
        <v>66</v>
      </c>
      <c r="F1348" s="19" t="str">
        <f>IFERROR(__xludf.DUMMYFUNCTION("""COMPUTED_VALUE"""),"BLACK")</f>
        <v>BLACK</v>
      </c>
      <c r="G1348" s="20" t="str">
        <f>IFERROR(__xludf.DUMMYFUNCTION("""COMPUTED_VALUE"""),"Uncle Sams Cider (11/12/2021) 02")</f>
        <v>Uncle Sams Cider (11/12/2021) 02</v>
      </c>
      <c r="H1348" s="19"/>
    </row>
    <row r="1349">
      <c r="A1349" s="9"/>
      <c r="B1349" s="15"/>
      <c r="C1349" s="9">
        <f>IFERROR(__xludf.DUMMYFUNCTION("""COMPUTED_VALUE"""),44591.4909819097)</f>
        <v>44591.49098</v>
      </c>
      <c r="D1349" s="15">
        <f>IFERROR(__xludf.DUMMYFUNCTION("""COMPUTED_VALUE"""),1.004)</f>
        <v>1.004</v>
      </c>
      <c r="E1349" s="16">
        <f>IFERROR(__xludf.DUMMYFUNCTION("""COMPUTED_VALUE"""),66.0)</f>
        <v>66</v>
      </c>
      <c r="F1349" s="19" t="str">
        <f>IFERROR(__xludf.DUMMYFUNCTION("""COMPUTED_VALUE"""),"BLACK")</f>
        <v>BLACK</v>
      </c>
      <c r="G1349" s="20" t="str">
        <f>IFERROR(__xludf.DUMMYFUNCTION("""COMPUTED_VALUE"""),"Uncle Sams Cider (11/12/2021) 02")</f>
        <v>Uncle Sams Cider (11/12/2021) 02</v>
      </c>
      <c r="H1349" s="19"/>
    </row>
    <row r="1350">
      <c r="A1350" s="9"/>
      <c r="B1350" s="15"/>
      <c r="C1350" s="9">
        <f>IFERROR(__xludf.DUMMYFUNCTION("""COMPUTED_VALUE"""),44591.4805604513)</f>
        <v>44591.48056</v>
      </c>
      <c r="D1350" s="15">
        <f>IFERROR(__xludf.DUMMYFUNCTION("""COMPUTED_VALUE"""),1.004)</f>
        <v>1.004</v>
      </c>
      <c r="E1350" s="16">
        <f>IFERROR(__xludf.DUMMYFUNCTION("""COMPUTED_VALUE"""),66.0)</f>
        <v>66</v>
      </c>
      <c r="F1350" s="19" t="str">
        <f>IFERROR(__xludf.DUMMYFUNCTION("""COMPUTED_VALUE"""),"BLACK")</f>
        <v>BLACK</v>
      </c>
      <c r="G1350" s="20" t="str">
        <f>IFERROR(__xludf.DUMMYFUNCTION("""COMPUTED_VALUE"""),"Uncle Sams Cider (11/12/2021) 02")</f>
        <v>Uncle Sams Cider (11/12/2021) 02</v>
      </c>
      <c r="H1350" s="19"/>
    </row>
    <row r="1351">
      <c r="A1351" s="9"/>
      <c r="B1351" s="15"/>
      <c r="C1351" s="9">
        <f>IFERROR(__xludf.DUMMYFUNCTION("""COMPUTED_VALUE"""),44591.4701375231)</f>
        <v>44591.47014</v>
      </c>
      <c r="D1351" s="15">
        <f>IFERROR(__xludf.DUMMYFUNCTION("""COMPUTED_VALUE"""),1.005)</f>
        <v>1.005</v>
      </c>
      <c r="E1351" s="16">
        <f>IFERROR(__xludf.DUMMYFUNCTION("""COMPUTED_VALUE"""),66.0)</f>
        <v>66</v>
      </c>
      <c r="F1351" s="19" t="str">
        <f>IFERROR(__xludf.DUMMYFUNCTION("""COMPUTED_VALUE"""),"BLACK")</f>
        <v>BLACK</v>
      </c>
      <c r="G1351" s="20" t="str">
        <f>IFERROR(__xludf.DUMMYFUNCTION("""COMPUTED_VALUE"""),"Uncle Sams Cider (11/12/2021) 02")</f>
        <v>Uncle Sams Cider (11/12/2021) 02</v>
      </c>
      <c r="H1351" s="19"/>
    </row>
    <row r="1352">
      <c r="A1352" s="9"/>
      <c r="B1352" s="15"/>
      <c r="C1352" s="9">
        <f>IFERROR(__xludf.DUMMYFUNCTION("""COMPUTED_VALUE"""),44591.4597163425)</f>
        <v>44591.45972</v>
      </c>
      <c r="D1352" s="15">
        <f>IFERROR(__xludf.DUMMYFUNCTION("""COMPUTED_VALUE"""),1.004)</f>
        <v>1.004</v>
      </c>
      <c r="E1352" s="16">
        <f>IFERROR(__xludf.DUMMYFUNCTION("""COMPUTED_VALUE"""),66.0)</f>
        <v>66</v>
      </c>
      <c r="F1352" s="19" t="str">
        <f>IFERROR(__xludf.DUMMYFUNCTION("""COMPUTED_VALUE"""),"BLACK")</f>
        <v>BLACK</v>
      </c>
      <c r="G1352" s="20" t="str">
        <f>IFERROR(__xludf.DUMMYFUNCTION("""COMPUTED_VALUE"""),"Uncle Sams Cider (11/12/2021) 02")</f>
        <v>Uncle Sams Cider (11/12/2021) 02</v>
      </c>
      <c r="H1352" s="19"/>
    </row>
    <row r="1353">
      <c r="A1353" s="9"/>
      <c r="B1353" s="15"/>
      <c r="C1353" s="9">
        <f>IFERROR(__xludf.DUMMYFUNCTION("""COMPUTED_VALUE"""),44591.449280868)</f>
        <v>44591.44928</v>
      </c>
      <c r="D1353" s="15">
        <f>IFERROR(__xludf.DUMMYFUNCTION("""COMPUTED_VALUE"""),1.005)</f>
        <v>1.005</v>
      </c>
      <c r="E1353" s="16">
        <f>IFERROR(__xludf.DUMMYFUNCTION("""COMPUTED_VALUE"""),66.0)</f>
        <v>66</v>
      </c>
      <c r="F1353" s="19" t="str">
        <f>IFERROR(__xludf.DUMMYFUNCTION("""COMPUTED_VALUE"""),"BLACK")</f>
        <v>BLACK</v>
      </c>
      <c r="G1353" s="20" t="str">
        <f>IFERROR(__xludf.DUMMYFUNCTION("""COMPUTED_VALUE"""),"Uncle Sams Cider (11/12/2021) 02")</f>
        <v>Uncle Sams Cider (11/12/2021) 02</v>
      </c>
      <c r="H1353" s="19"/>
    </row>
    <row r="1354">
      <c r="A1354" s="9"/>
      <c r="B1354" s="15"/>
      <c r="C1354" s="9">
        <f>IFERROR(__xludf.DUMMYFUNCTION("""COMPUTED_VALUE"""),44591.4388385185)</f>
        <v>44591.43884</v>
      </c>
      <c r="D1354" s="15">
        <f>IFERROR(__xludf.DUMMYFUNCTION("""COMPUTED_VALUE"""),1.005)</f>
        <v>1.005</v>
      </c>
      <c r="E1354" s="16">
        <f>IFERROR(__xludf.DUMMYFUNCTION("""COMPUTED_VALUE"""),66.0)</f>
        <v>66</v>
      </c>
      <c r="F1354" s="19" t="str">
        <f>IFERROR(__xludf.DUMMYFUNCTION("""COMPUTED_VALUE"""),"BLACK")</f>
        <v>BLACK</v>
      </c>
      <c r="G1354" s="20" t="str">
        <f>IFERROR(__xludf.DUMMYFUNCTION("""COMPUTED_VALUE"""),"Uncle Sams Cider (11/12/2021) 02")</f>
        <v>Uncle Sams Cider (11/12/2021) 02</v>
      </c>
      <c r="H1354" s="19"/>
    </row>
    <row r="1355">
      <c r="A1355" s="9"/>
      <c r="B1355" s="15"/>
      <c r="C1355" s="9">
        <f>IFERROR(__xludf.DUMMYFUNCTION("""COMPUTED_VALUE"""),44591.4284172106)</f>
        <v>44591.42842</v>
      </c>
      <c r="D1355" s="15">
        <f>IFERROR(__xludf.DUMMYFUNCTION("""COMPUTED_VALUE"""),1.005)</f>
        <v>1.005</v>
      </c>
      <c r="E1355" s="16">
        <f>IFERROR(__xludf.DUMMYFUNCTION("""COMPUTED_VALUE"""),66.0)</f>
        <v>66</v>
      </c>
      <c r="F1355" s="19" t="str">
        <f>IFERROR(__xludf.DUMMYFUNCTION("""COMPUTED_VALUE"""),"BLACK")</f>
        <v>BLACK</v>
      </c>
      <c r="G1355" s="20" t="str">
        <f>IFERROR(__xludf.DUMMYFUNCTION("""COMPUTED_VALUE"""),"Uncle Sams Cider (11/12/2021) 02")</f>
        <v>Uncle Sams Cider (11/12/2021) 02</v>
      </c>
      <c r="H1355" s="19"/>
    </row>
    <row r="1356">
      <c r="A1356" s="9"/>
      <c r="B1356" s="15"/>
      <c r="C1356" s="9">
        <f>IFERROR(__xludf.DUMMYFUNCTION("""COMPUTED_VALUE"""),44591.4179832175)</f>
        <v>44591.41798</v>
      </c>
      <c r="D1356" s="15">
        <f>IFERROR(__xludf.DUMMYFUNCTION("""COMPUTED_VALUE"""),1.004)</f>
        <v>1.004</v>
      </c>
      <c r="E1356" s="16">
        <f>IFERROR(__xludf.DUMMYFUNCTION("""COMPUTED_VALUE"""),66.0)</f>
        <v>66</v>
      </c>
      <c r="F1356" s="19" t="str">
        <f>IFERROR(__xludf.DUMMYFUNCTION("""COMPUTED_VALUE"""),"BLACK")</f>
        <v>BLACK</v>
      </c>
      <c r="G1356" s="20" t="str">
        <f>IFERROR(__xludf.DUMMYFUNCTION("""COMPUTED_VALUE"""),"Uncle Sams Cider (11/12/2021) 02")</f>
        <v>Uncle Sams Cider (11/12/2021) 02</v>
      </c>
      <c r="H1356" s="19"/>
    </row>
    <row r="1357">
      <c r="A1357" s="9"/>
      <c r="B1357" s="15"/>
      <c r="C1357" s="9">
        <f>IFERROR(__xludf.DUMMYFUNCTION("""COMPUTED_VALUE"""),44591.4075613657)</f>
        <v>44591.40756</v>
      </c>
      <c r="D1357" s="15">
        <f>IFERROR(__xludf.DUMMYFUNCTION("""COMPUTED_VALUE"""),1.005)</f>
        <v>1.005</v>
      </c>
      <c r="E1357" s="16">
        <f>IFERROR(__xludf.DUMMYFUNCTION("""COMPUTED_VALUE"""),66.0)</f>
        <v>66</v>
      </c>
      <c r="F1357" s="19" t="str">
        <f>IFERROR(__xludf.DUMMYFUNCTION("""COMPUTED_VALUE"""),"BLACK")</f>
        <v>BLACK</v>
      </c>
      <c r="G1357" s="20" t="str">
        <f>IFERROR(__xludf.DUMMYFUNCTION("""COMPUTED_VALUE"""),"Uncle Sams Cider (11/12/2021) 02")</f>
        <v>Uncle Sams Cider (11/12/2021) 02</v>
      </c>
      <c r="H1357" s="19"/>
    </row>
    <row r="1358">
      <c r="A1358" s="9"/>
      <c r="B1358" s="15"/>
      <c r="C1358" s="9">
        <f>IFERROR(__xludf.DUMMYFUNCTION("""COMPUTED_VALUE"""),44591.3971409953)</f>
        <v>44591.39714</v>
      </c>
      <c r="D1358" s="15">
        <f>IFERROR(__xludf.DUMMYFUNCTION("""COMPUTED_VALUE"""),1.004)</f>
        <v>1.004</v>
      </c>
      <c r="E1358" s="16">
        <f>IFERROR(__xludf.DUMMYFUNCTION("""COMPUTED_VALUE"""),66.0)</f>
        <v>66</v>
      </c>
      <c r="F1358" s="19" t="str">
        <f>IFERROR(__xludf.DUMMYFUNCTION("""COMPUTED_VALUE"""),"BLACK")</f>
        <v>BLACK</v>
      </c>
      <c r="G1358" s="20" t="str">
        <f>IFERROR(__xludf.DUMMYFUNCTION("""COMPUTED_VALUE"""),"Uncle Sams Cider (11/12/2021) 02")</f>
        <v>Uncle Sams Cider (11/12/2021) 02</v>
      </c>
      <c r="H1358" s="19"/>
    </row>
    <row r="1359">
      <c r="A1359" s="9"/>
      <c r="B1359" s="15"/>
      <c r="C1359" s="9">
        <f>IFERROR(__xludf.DUMMYFUNCTION("""COMPUTED_VALUE"""),44591.3867090972)</f>
        <v>44591.38671</v>
      </c>
      <c r="D1359" s="15">
        <f>IFERROR(__xludf.DUMMYFUNCTION("""COMPUTED_VALUE"""),1.004)</f>
        <v>1.004</v>
      </c>
      <c r="E1359" s="16">
        <f>IFERROR(__xludf.DUMMYFUNCTION("""COMPUTED_VALUE"""),66.0)</f>
        <v>66</v>
      </c>
      <c r="F1359" s="19" t="str">
        <f>IFERROR(__xludf.DUMMYFUNCTION("""COMPUTED_VALUE"""),"BLACK")</f>
        <v>BLACK</v>
      </c>
      <c r="G1359" s="20" t="str">
        <f>IFERROR(__xludf.DUMMYFUNCTION("""COMPUTED_VALUE"""),"Uncle Sams Cider (11/12/2021) 02")</f>
        <v>Uncle Sams Cider (11/12/2021) 02</v>
      </c>
      <c r="H1359" s="19"/>
    </row>
    <row r="1360">
      <c r="A1360" s="9"/>
      <c r="B1360" s="15"/>
      <c r="C1360" s="9">
        <f>IFERROR(__xludf.DUMMYFUNCTION("""COMPUTED_VALUE"""),44591.3762877777)</f>
        <v>44591.37629</v>
      </c>
      <c r="D1360" s="15">
        <f>IFERROR(__xludf.DUMMYFUNCTION("""COMPUTED_VALUE"""),1.004)</f>
        <v>1.004</v>
      </c>
      <c r="E1360" s="16">
        <f>IFERROR(__xludf.DUMMYFUNCTION("""COMPUTED_VALUE"""),66.0)</f>
        <v>66</v>
      </c>
      <c r="F1360" s="19" t="str">
        <f>IFERROR(__xludf.DUMMYFUNCTION("""COMPUTED_VALUE"""),"BLACK")</f>
        <v>BLACK</v>
      </c>
      <c r="G1360" s="20" t="str">
        <f>IFERROR(__xludf.DUMMYFUNCTION("""COMPUTED_VALUE"""),"Uncle Sams Cider (11/12/2021) 02")</f>
        <v>Uncle Sams Cider (11/12/2021) 02</v>
      </c>
      <c r="H1360" s="19"/>
    </row>
    <row r="1361">
      <c r="A1361" s="9"/>
      <c r="B1361" s="15"/>
      <c r="C1361" s="9">
        <f>IFERROR(__xludf.DUMMYFUNCTION("""COMPUTED_VALUE"""),44591.3658530208)</f>
        <v>44591.36585</v>
      </c>
      <c r="D1361" s="15">
        <f>IFERROR(__xludf.DUMMYFUNCTION("""COMPUTED_VALUE"""),1.005)</f>
        <v>1.005</v>
      </c>
      <c r="E1361" s="16">
        <f>IFERROR(__xludf.DUMMYFUNCTION("""COMPUTED_VALUE"""),66.0)</f>
        <v>66</v>
      </c>
      <c r="F1361" s="19" t="str">
        <f>IFERROR(__xludf.DUMMYFUNCTION("""COMPUTED_VALUE"""),"BLACK")</f>
        <v>BLACK</v>
      </c>
      <c r="G1361" s="20" t="str">
        <f>IFERROR(__xludf.DUMMYFUNCTION("""COMPUTED_VALUE"""),"Uncle Sams Cider (11/12/2021) 02")</f>
        <v>Uncle Sams Cider (11/12/2021) 02</v>
      </c>
      <c r="H1361" s="19"/>
    </row>
    <row r="1362">
      <c r="A1362" s="9"/>
      <c r="B1362" s="15"/>
      <c r="C1362" s="9">
        <f>IFERROR(__xludf.DUMMYFUNCTION("""COMPUTED_VALUE"""),44591.3554203935)</f>
        <v>44591.35542</v>
      </c>
      <c r="D1362" s="15">
        <f>IFERROR(__xludf.DUMMYFUNCTION("""COMPUTED_VALUE"""),1.004)</f>
        <v>1.004</v>
      </c>
      <c r="E1362" s="16">
        <f>IFERROR(__xludf.DUMMYFUNCTION("""COMPUTED_VALUE"""),67.0)</f>
        <v>67</v>
      </c>
      <c r="F1362" s="19" t="str">
        <f>IFERROR(__xludf.DUMMYFUNCTION("""COMPUTED_VALUE"""),"BLACK")</f>
        <v>BLACK</v>
      </c>
      <c r="G1362" s="20" t="str">
        <f>IFERROR(__xludf.DUMMYFUNCTION("""COMPUTED_VALUE"""),"Uncle Sams Cider (11/12/2021) 02")</f>
        <v>Uncle Sams Cider (11/12/2021) 02</v>
      </c>
      <c r="H1362" s="19"/>
    </row>
    <row r="1363">
      <c r="A1363" s="9"/>
      <c r="B1363" s="15"/>
      <c r="C1363" s="9">
        <f>IFERROR(__xludf.DUMMYFUNCTION("""COMPUTED_VALUE"""),44591.3449992476)</f>
        <v>44591.345</v>
      </c>
      <c r="D1363" s="15">
        <f>IFERROR(__xludf.DUMMYFUNCTION("""COMPUTED_VALUE"""),1.004)</f>
        <v>1.004</v>
      </c>
      <c r="E1363" s="16">
        <f>IFERROR(__xludf.DUMMYFUNCTION("""COMPUTED_VALUE"""),67.0)</f>
        <v>67</v>
      </c>
      <c r="F1363" s="19" t="str">
        <f>IFERROR(__xludf.DUMMYFUNCTION("""COMPUTED_VALUE"""),"BLACK")</f>
        <v>BLACK</v>
      </c>
      <c r="G1363" s="20" t="str">
        <f>IFERROR(__xludf.DUMMYFUNCTION("""COMPUTED_VALUE"""),"Uncle Sams Cider (11/12/2021) 02")</f>
        <v>Uncle Sams Cider (11/12/2021) 02</v>
      </c>
      <c r="H1363" s="19"/>
    </row>
    <row r="1364">
      <c r="A1364" s="9"/>
      <c r="B1364" s="15"/>
      <c r="C1364" s="9">
        <f>IFERROR(__xludf.DUMMYFUNCTION("""COMPUTED_VALUE"""),44591.3345443055)</f>
        <v>44591.33454</v>
      </c>
      <c r="D1364" s="15">
        <f>IFERROR(__xludf.DUMMYFUNCTION("""COMPUTED_VALUE"""),1.004)</f>
        <v>1.004</v>
      </c>
      <c r="E1364" s="16">
        <f>IFERROR(__xludf.DUMMYFUNCTION("""COMPUTED_VALUE"""),67.0)</f>
        <v>67</v>
      </c>
      <c r="F1364" s="19" t="str">
        <f>IFERROR(__xludf.DUMMYFUNCTION("""COMPUTED_VALUE"""),"BLACK")</f>
        <v>BLACK</v>
      </c>
      <c r="G1364" s="20" t="str">
        <f>IFERROR(__xludf.DUMMYFUNCTION("""COMPUTED_VALUE"""),"Uncle Sams Cider (11/12/2021) 02")</f>
        <v>Uncle Sams Cider (11/12/2021) 02</v>
      </c>
      <c r="H1364" s="19"/>
    </row>
    <row r="1365">
      <c r="A1365" s="9"/>
      <c r="B1365" s="15"/>
      <c r="C1365" s="9">
        <f>IFERROR(__xludf.DUMMYFUNCTION("""COMPUTED_VALUE"""),44591.3241230787)</f>
        <v>44591.32412</v>
      </c>
      <c r="D1365" s="15">
        <f>IFERROR(__xludf.DUMMYFUNCTION("""COMPUTED_VALUE"""),1.004)</f>
        <v>1.004</v>
      </c>
      <c r="E1365" s="16">
        <f>IFERROR(__xludf.DUMMYFUNCTION("""COMPUTED_VALUE"""),67.0)</f>
        <v>67</v>
      </c>
      <c r="F1365" s="19" t="str">
        <f>IFERROR(__xludf.DUMMYFUNCTION("""COMPUTED_VALUE"""),"BLACK")</f>
        <v>BLACK</v>
      </c>
      <c r="G1365" s="20" t="str">
        <f>IFERROR(__xludf.DUMMYFUNCTION("""COMPUTED_VALUE"""),"Uncle Sams Cider (11/12/2021) 02")</f>
        <v>Uncle Sams Cider (11/12/2021) 02</v>
      </c>
      <c r="H1365" s="19"/>
    </row>
    <row r="1366">
      <c r="A1366" s="9"/>
      <c r="B1366" s="15"/>
      <c r="C1366" s="9">
        <f>IFERROR(__xludf.DUMMYFUNCTION("""COMPUTED_VALUE"""),44591.3136662847)</f>
        <v>44591.31367</v>
      </c>
      <c r="D1366" s="15">
        <f>IFERROR(__xludf.DUMMYFUNCTION("""COMPUTED_VALUE"""),1.005)</f>
        <v>1.005</v>
      </c>
      <c r="E1366" s="16">
        <f>IFERROR(__xludf.DUMMYFUNCTION("""COMPUTED_VALUE"""),67.0)</f>
        <v>67</v>
      </c>
      <c r="F1366" s="19" t="str">
        <f>IFERROR(__xludf.DUMMYFUNCTION("""COMPUTED_VALUE"""),"BLACK")</f>
        <v>BLACK</v>
      </c>
      <c r="G1366" s="20" t="str">
        <f>IFERROR(__xludf.DUMMYFUNCTION("""COMPUTED_VALUE"""),"Uncle Sams Cider (11/12/2021) 02")</f>
        <v>Uncle Sams Cider (11/12/2021) 02</v>
      </c>
      <c r="H1366" s="19"/>
    </row>
    <row r="1367">
      <c r="A1367" s="9"/>
      <c r="B1367" s="15"/>
      <c r="C1367" s="9">
        <f>IFERROR(__xludf.DUMMYFUNCTION("""COMPUTED_VALUE"""),44591.303246331)</f>
        <v>44591.30325</v>
      </c>
      <c r="D1367" s="15">
        <f>IFERROR(__xludf.DUMMYFUNCTION("""COMPUTED_VALUE"""),1.004)</f>
        <v>1.004</v>
      </c>
      <c r="E1367" s="16">
        <f>IFERROR(__xludf.DUMMYFUNCTION("""COMPUTED_VALUE"""),67.0)</f>
        <v>67</v>
      </c>
      <c r="F1367" s="19" t="str">
        <f>IFERROR(__xludf.DUMMYFUNCTION("""COMPUTED_VALUE"""),"BLACK")</f>
        <v>BLACK</v>
      </c>
      <c r="G1367" s="20" t="str">
        <f>IFERROR(__xludf.DUMMYFUNCTION("""COMPUTED_VALUE"""),"Uncle Sams Cider (11/12/2021) 02")</f>
        <v>Uncle Sams Cider (11/12/2021) 02</v>
      </c>
      <c r="H1367" s="19"/>
    </row>
    <row r="1368">
      <c r="A1368" s="9"/>
      <c r="B1368" s="15"/>
      <c r="C1368" s="9">
        <f>IFERROR(__xludf.DUMMYFUNCTION("""COMPUTED_VALUE"""),44591.2928240277)</f>
        <v>44591.29282</v>
      </c>
      <c r="D1368" s="15">
        <f>IFERROR(__xludf.DUMMYFUNCTION("""COMPUTED_VALUE"""),1.005)</f>
        <v>1.005</v>
      </c>
      <c r="E1368" s="16">
        <f>IFERROR(__xludf.DUMMYFUNCTION("""COMPUTED_VALUE"""),67.0)</f>
        <v>67</v>
      </c>
      <c r="F1368" s="19" t="str">
        <f>IFERROR(__xludf.DUMMYFUNCTION("""COMPUTED_VALUE"""),"BLACK")</f>
        <v>BLACK</v>
      </c>
      <c r="G1368" s="20" t="str">
        <f>IFERROR(__xludf.DUMMYFUNCTION("""COMPUTED_VALUE"""),"Uncle Sams Cider (11/12/2021) 02")</f>
        <v>Uncle Sams Cider (11/12/2021) 02</v>
      </c>
      <c r="H1368" s="19"/>
    </row>
    <row r="1369">
      <c r="A1369" s="9"/>
      <c r="B1369" s="15"/>
      <c r="C1369" s="9">
        <f>IFERROR(__xludf.DUMMYFUNCTION("""COMPUTED_VALUE"""),44591.2823932523)</f>
        <v>44591.28239</v>
      </c>
      <c r="D1369" s="15">
        <f>IFERROR(__xludf.DUMMYFUNCTION("""COMPUTED_VALUE"""),1.004)</f>
        <v>1.004</v>
      </c>
      <c r="E1369" s="16">
        <f>IFERROR(__xludf.DUMMYFUNCTION("""COMPUTED_VALUE"""),67.0)</f>
        <v>67</v>
      </c>
      <c r="F1369" s="19" t="str">
        <f>IFERROR(__xludf.DUMMYFUNCTION("""COMPUTED_VALUE"""),"BLACK")</f>
        <v>BLACK</v>
      </c>
      <c r="G1369" s="20" t="str">
        <f>IFERROR(__xludf.DUMMYFUNCTION("""COMPUTED_VALUE"""),"Uncle Sams Cider (11/12/2021) 02")</f>
        <v>Uncle Sams Cider (11/12/2021) 02</v>
      </c>
      <c r="H1369" s="19"/>
    </row>
    <row r="1370">
      <c r="A1370" s="9"/>
      <c r="B1370" s="15"/>
      <c r="C1370" s="9">
        <f>IFERROR(__xludf.DUMMYFUNCTION("""COMPUTED_VALUE"""),44591.2719593055)</f>
        <v>44591.27196</v>
      </c>
      <c r="D1370" s="15">
        <f>IFERROR(__xludf.DUMMYFUNCTION("""COMPUTED_VALUE"""),1.004)</f>
        <v>1.004</v>
      </c>
      <c r="E1370" s="16">
        <f>IFERROR(__xludf.DUMMYFUNCTION("""COMPUTED_VALUE"""),67.0)</f>
        <v>67</v>
      </c>
      <c r="F1370" s="19" t="str">
        <f>IFERROR(__xludf.DUMMYFUNCTION("""COMPUTED_VALUE"""),"BLACK")</f>
        <v>BLACK</v>
      </c>
      <c r="G1370" s="20" t="str">
        <f>IFERROR(__xludf.DUMMYFUNCTION("""COMPUTED_VALUE"""),"Uncle Sams Cider (11/12/2021) 02")</f>
        <v>Uncle Sams Cider (11/12/2021) 02</v>
      </c>
      <c r="H1370" s="19"/>
    </row>
    <row r="1371">
      <c r="A1371" s="9"/>
      <c r="B1371" s="15"/>
      <c r="C1371" s="9">
        <f>IFERROR(__xludf.DUMMYFUNCTION("""COMPUTED_VALUE"""),44591.2615395601)</f>
        <v>44591.26154</v>
      </c>
      <c r="D1371" s="15">
        <f>IFERROR(__xludf.DUMMYFUNCTION("""COMPUTED_VALUE"""),1.004)</f>
        <v>1.004</v>
      </c>
      <c r="E1371" s="16">
        <f>IFERROR(__xludf.DUMMYFUNCTION("""COMPUTED_VALUE"""),67.0)</f>
        <v>67</v>
      </c>
      <c r="F1371" s="19" t="str">
        <f>IFERROR(__xludf.DUMMYFUNCTION("""COMPUTED_VALUE"""),"BLACK")</f>
        <v>BLACK</v>
      </c>
      <c r="G1371" s="20" t="str">
        <f>IFERROR(__xludf.DUMMYFUNCTION("""COMPUTED_VALUE"""),"Uncle Sams Cider (11/12/2021) 02")</f>
        <v>Uncle Sams Cider (11/12/2021) 02</v>
      </c>
      <c r="H1371" s="19"/>
    </row>
    <row r="1372">
      <c r="A1372" s="9"/>
      <c r="B1372" s="15"/>
      <c r="C1372" s="9">
        <f>IFERROR(__xludf.DUMMYFUNCTION("""COMPUTED_VALUE"""),44591.2511193402)</f>
        <v>44591.25112</v>
      </c>
      <c r="D1372" s="15">
        <f>IFERROR(__xludf.DUMMYFUNCTION("""COMPUTED_VALUE"""),1.004)</f>
        <v>1.004</v>
      </c>
      <c r="E1372" s="16">
        <f>IFERROR(__xludf.DUMMYFUNCTION("""COMPUTED_VALUE"""),67.0)</f>
        <v>67</v>
      </c>
      <c r="F1372" s="19" t="str">
        <f>IFERROR(__xludf.DUMMYFUNCTION("""COMPUTED_VALUE"""),"BLACK")</f>
        <v>BLACK</v>
      </c>
      <c r="G1372" s="20" t="str">
        <f>IFERROR(__xludf.DUMMYFUNCTION("""COMPUTED_VALUE"""),"Uncle Sams Cider (11/12/2021) 02")</f>
        <v>Uncle Sams Cider (11/12/2021) 02</v>
      </c>
      <c r="H1372" s="19"/>
    </row>
    <row r="1373">
      <c r="A1373" s="9"/>
      <c r="B1373" s="15"/>
      <c r="C1373" s="9">
        <f>IFERROR(__xludf.DUMMYFUNCTION("""COMPUTED_VALUE"""),44591.2406750115)</f>
        <v>44591.24068</v>
      </c>
      <c r="D1373" s="15">
        <f>IFERROR(__xludf.DUMMYFUNCTION("""COMPUTED_VALUE"""),1.004)</f>
        <v>1.004</v>
      </c>
      <c r="E1373" s="16">
        <f>IFERROR(__xludf.DUMMYFUNCTION("""COMPUTED_VALUE"""),67.0)</f>
        <v>67</v>
      </c>
      <c r="F1373" s="19" t="str">
        <f>IFERROR(__xludf.DUMMYFUNCTION("""COMPUTED_VALUE"""),"BLACK")</f>
        <v>BLACK</v>
      </c>
      <c r="G1373" s="20" t="str">
        <f>IFERROR(__xludf.DUMMYFUNCTION("""COMPUTED_VALUE"""),"Uncle Sams Cider (11/12/2021) 02")</f>
        <v>Uncle Sams Cider (11/12/2021) 02</v>
      </c>
      <c r="H1373" s="19"/>
    </row>
    <row r="1374">
      <c r="A1374" s="9"/>
      <c r="B1374" s="15"/>
      <c r="C1374" s="9">
        <f>IFERROR(__xludf.DUMMYFUNCTION("""COMPUTED_VALUE"""),44591.2302552546)</f>
        <v>44591.23026</v>
      </c>
      <c r="D1374" s="15">
        <f>IFERROR(__xludf.DUMMYFUNCTION("""COMPUTED_VALUE"""),1.004)</f>
        <v>1.004</v>
      </c>
      <c r="E1374" s="16">
        <f>IFERROR(__xludf.DUMMYFUNCTION("""COMPUTED_VALUE"""),67.0)</f>
        <v>67</v>
      </c>
      <c r="F1374" s="19" t="str">
        <f>IFERROR(__xludf.DUMMYFUNCTION("""COMPUTED_VALUE"""),"BLACK")</f>
        <v>BLACK</v>
      </c>
      <c r="G1374" s="20" t="str">
        <f>IFERROR(__xludf.DUMMYFUNCTION("""COMPUTED_VALUE"""),"Uncle Sams Cider (11/12/2021) 02")</f>
        <v>Uncle Sams Cider (11/12/2021) 02</v>
      </c>
      <c r="H1374" s="19"/>
    </row>
    <row r="1375">
      <c r="A1375" s="9"/>
      <c r="B1375" s="15"/>
      <c r="C1375" s="9">
        <f>IFERROR(__xludf.DUMMYFUNCTION("""COMPUTED_VALUE"""),44591.2197991898)</f>
        <v>44591.2198</v>
      </c>
      <c r="D1375" s="15">
        <f>IFERROR(__xludf.DUMMYFUNCTION("""COMPUTED_VALUE"""),1.005)</f>
        <v>1.005</v>
      </c>
      <c r="E1375" s="16">
        <f>IFERROR(__xludf.DUMMYFUNCTION("""COMPUTED_VALUE"""),67.0)</f>
        <v>67</v>
      </c>
      <c r="F1375" s="19" t="str">
        <f>IFERROR(__xludf.DUMMYFUNCTION("""COMPUTED_VALUE"""),"BLACK")</f>
        <v>BLACK</v>
      </c>
      <c r="G1375" s="20" t="str">
        <f>IFERROR(__xludf.DUMMYFUNCTION("""COMPUTED_VALUE"""),"Uncle Sams Cider (11/12/2021) 02")</f>
        <v>Uncle Sams Cider (11/12/2021) 02</v>
      </c>
      <c r="H1375" s="19"/>
    </row>
    <row r="1376">
      <c r="A1376" s="9"/>
      <c r="B1376" s="15"/>
      <c r="C1376" s="9">
        <f>IFERROR(__xludf.DUMMYFUNCTION("""COMPUTED_VALUE"""),44591.2093776273)</f>
        <v>44591.20938</v>
      </c>
      <c r="D1376" s="15">
        <f>IFERROR(__xludf.DUMMYFUNCTION("""COMPUTED_VALUE"""),1.004)</f>
        <v>1.004</v>
      </c>
      <c r="E1376" s="16">
        <f>IFERROR(__xludf.DUMMYFUNCTION("""COMPUTED_VALUE"""),67.0)</f>
        <v>67</v>
      </c>
      <c r="F1376" s="19" t="str">
        <f>IFERROR(__xludf.DUMMYFUNCTION("""COMPUTED_VALUE"""),"BLACK")</f>
        <v>BLACK</v>
      </c>
      <c r="G1376" s="20" t="str">
        <f>IFERROR(__xludf.DUMMYFUNCTION("""COMPUTED_VALUE"""),"Uncle Sams Cider (11/12/2021) 02")</f>
        <v>Uncle Sams Cider (11/12/2021) 02</v>
      </c>
      <c r="H1376" s="19"/>
    </row>
    <row r="1377">
      <c r="A1377" s="9"/>
      <c r="B1377" s="15"/>
      <c r="C1377" s="9">
        <f>IFERROR(__xludf.DUMMYFUNCTION("""COMPUTED_VALUE"""),44591.1989097106)</f>
        <v>44591.19891</v>
      </c>
      <c r="D1377" s="15">
        <f>IFERROR(__xludf.DUMMYFUNCTION("""COMPUTED_VALUE"""),1.004)</f>
        <v>1.004</v>
      </c>
      <c r="E1377" s="16">
        <f>IFERROR(__xludf.DUMMYFUNCTION("""COMPUTED_VALUE"""),67.0)</f>
        <v>67</v>
      </c>
      <c r="F1377" s="19" t="str">
        <f>IFERROR(__xludf.DUMMYFUNCTION("""COMPUTED_VALUE"""),"BLACK")</f>
        <v>BLACK</v>
      </c>
      <c r="G1377" s="20" t="str">
        <f>IFERROR(__xludf.DUMMYFUNCTION("""COMPUTED_VALUE"""),"Uncle Sams Cider (11/12/2021) 02")</f>
        <v>Uncle Sams Cider (11/12/2021) 02</v>
      </c>
      <c r="H1377" s="19"/>
    </row>
    <row r="1378">
      <c r="A1378" s="9"/>
      <c r="B1378" s="15"/>
      <c r="C1378" s="9">
        <f>IFERROR(__xludf.DUMMYFUNCTION("""COMPUTED_VALUE"""),44591.1884645138)</f>
        <v>44591.18846</v>
      </c>
      <c r="D1378" s="15">
        <f>IFERROR(__xludf.DUMMYFUNCTION("""COMPUTED_VALUE"""),1.004)</f>
        <v>1.004</v>
      </c>
      <c r="E1378" s="16">
        <f>IFERROR(__xludf.DUMMYFUNCTION("""COMPUTED_VALUE"""),67.0)</f>
        <v>67</v>
      </c>
      <c r="F1378" s="19" t="str">
        <f>IFERROR(__xludf.DUMMYFUNCTION("""COMPUTED_VALUE"""),"BLACK")</f>
        <v>BLACK</v>
      </c>
      <c r="G1378" s="20" t="str">
        <f>IFERROR(__xludf.DUMMYFUNCTION("""COMPUTED_VALUE"""),"Uncle Sams Cider (11/12/2021) 02")</f>
        <v>Uncle Sams Cider (11/12/2021) 02</v>
      </c>
      <c r="H1378" s="19"/>
    </row>
    <row r="1379">
      <c r="A1379" s="9"/>
      <c r="B1379" s="15"/>
      <c r="C1379" s="9">
        <f>IFERROR(__xludf.DUMMYFUNCTION("""COMPUTED_VALUE"""),44591.1779965509)</f>
        <v>44591.178</v>
      </c>
      <c r="D1379" s="15">
        <f>IFERROR(__xludf.DUMMYFUNCTION("""COMPUTED_VALUE"""),1.004)</f>
        <v>1.004</v>
      </c>
      <c r="E1379" s="16">
        <f>IFERROR(__xludf.DUMMYFUNCTION("""COMPUTED_VALUE"""),67.0)</f>
        <v>67</v>
      </c>
      <c r="F1379" s="19" t="str">
        <f>IFERROR(__xludf.DUMMYFUNCTION("""COMPUTED_VALUE"""),"BLACK")</f>
        <v>BLACK</v>
      </c>
      <c r="G1379" s="20" t="str">
        <f>IFERROR(__xludf.DUMMYFUNCTION("""COMPUTED_VALUE"""),"Uncle Sams Cider (11/12/2021) 02")</f>
        <v>Uncle Sams Cider (11/12/2021) 02</v>
      </c>
      <c r="H1379" s="19"/>
    </row>
    <row r="1380">
      <c r="A1380" s="9"/>
      <c r="B1380" s="15"/>
      <c r="C1380" s="9">
        <f>IFERROR(__xludf.DUMMYFUNCTION("""COMPUTED_VALUE"""),44591.1675632407)</f>
        <v>44591.16756</v>
      </c>
      <c r="D1380" s="15">
        <f>IFERROR(__xludf.DUMMYFUNCTION("""COMPUTED_VALUE"""),1.004)</f>
        <v>1.004</v>
      </c>
      <c r="E1380" s="16">
        <f>IFERROR(__xludf.DUMMYFUNCTION("""COMPUTED_VALUE"""),67.0)</f>
        <v>67</v>
      </c>
      <c r="F1380" s="19" t="str">
        <f>IFERROR(__xludf.DUMMYFUNCTION("""COMPUTED_VALUE"""),"BLACK")</f>
        <v>BLACK</v>
      </c>
      <c r="G1380" s="20" t="str">
        <f>IFERROR(__xludf.DUMMYFUNCTION("""COMPUTED_VALUE"""),"Uncle Sams Cider (11/12/2021) 02")</f>
        <v>Uncle Sams Cider (11/12/2021) 02</v>
      </c>
      <c r="H1380" s="19"/>
    </row>
    <row r="1381">
      <c r="A1381" s="9"/>
      <c r="B1381" s="15"/>
      <c r="C1381" s="9">
        <f>IFERROR(__xludf.DUMMYFUNCTION("""COMPUTED_VALUE"""),44591.1571189351)</f>
        <v>44591.15712</v>
      </c>
      <c r="D1381" s="15">
        <f>IFERROR(__xludf.DUMMYFUNCTION("""COMPUTED_VALUE"""),1.004)</f>
        <v>1.004</v>
      </c>
      <c r="E1381" s="16">
        <f>IFERROR(__xludf.DUMMYFUNCTION("""COMPUTED_VALUE"""),67.0)</f>
        <v>67</v>
      </c>
      <c r="F1381" s="19" t="str">
        <f>IFERROR(__xludf.DUMMYFUNCTION("""COMPUTED_VALUE"""),"BLACK")</f>
        <v>BLACK</v>
      </c>
      <c r="G1381" s="20" t="str">
        <f>IFERROR(__xludf.DUMMYFUNCTION("""COMPUTED_VALUE"""),"Uncle Sams Cider (11/12/2021) 02")</f>
        <v>Uncle Sams Cider (11/12/2021) 02</v>
      </c>
      <c r="H1381" s="19"/>
    </row>
    <row r="1382">
      <c r="A1382" s="9"/>
      <c r="B1382" s="15"/>
      <c r="C1382" s="9">
        <f>IFERROR(__xludf.DUMMYFUNCTION("""COMPUTED_VALUE"""),44591.14669625)</f>
        <v>44591.1467</v>
      </c>
      <c r="D1382" s="15">
        <f>IFERROR(__xludf.DUMMYFUNCTION("""COMPUTED_VALUE"""),1.004)</f>
        <v>1.004</v>
      </c>
      <c r="E1382" s="16">
        <f>IFERROR(__xludf.DUMMYFUNCTION("""COMPUTED_VALUE"""),67.0)</f>
        <v>67</v>
      </c>
      <c r="F1382" s="19" t="str">
        <f>IFERROR(__xludf.DUMMYFUNCTION("""COMPUTED_VALUE"""),"BLACK")</f>
        <v>BLACK</v>
      </c>
      <c r="G1382" s="20" t="str">
        <f>IFERROR(__xludf.DUMMYFUNCTION("""COMPUTED_VALUE"""),"Uncle Sams Cider (11/12/2021) 02")</f>
        <v>Uncle Sams Cider (11/12/2021) 02</v>
      </c>
      <c r="H1382" s="19"/>
    </row>
    <row r="1383">
      <c r="A1383" s="9"/>
      <c r="B1383" s="15"/>
      <c r="C1383" s="9">
        <f>IFERROR(__xludf.DUMMYFUNCTION("""COMPUTED_VALUE"""),44591.1362500462)</f>
        <v>44591.13625</v>
      </c>
      <c r="D1383" s="15">
        <f>IFERROR(__xludf.DUMMYFUNCTION("""COMPUTED_VALUE"""),1.004)</f>
        <v>1.004</v>
      </c>
      <c r="E1383" s="16">
        <f>IFERROR(__xludf.DUMMYFUNCTION("""COMPUTED_VALUE"""),67.0)</f>
        <v>67</v>
      </c>
      <c r="F1383" s="19" t="str">
        <f>IFERROR(__xludf.DUMMYFUNCTION("""COMPUTED_VALUE"""),"BLACK")</f>
        <v>BLACK</v>
      </c>
      <c r="G1383" s="20" t="str">
        <f>IFERROR(__xludf.DUMMYFUNCTION("""COMPUTED_VALUE"""),"Uncle Sams Cider (11/12/2021) 02")</f>
        <v>Uncle Sams Cider (11/12/2021) 02</v>
      </c>
      <c r="H1383" s="19"/>
    </row>
    <row r="1384">
      <c r="A1384" s="9"/>
      <c r="B1384" s="15"/>
      <c r="C1384" s="9">
        <f>IFERROR(__xludf.DUMMYFUNCTION("""COMPUTED_VALUE"""),44591.1258278819)</f>
        <v>44591.12583</v>
      </c>
      <c r="D1384" s="15">
        <f>IFERROR(__xludf.DUMMYFUNCTION("""COMPUTED_VALUE"""),1.005)</f>
        <v>1.005</v>
      </c>
      <c r="E1384" s="16">
        <f>IFERROR(__xludf.DUMMYFUNCTION("""COMPUTED_VALUE"""),67.0)</f>
        <v>67</v>
      </c>
      <c r="F1384" s="19" t="str">
        <f>IFERROR(__xludf.DUMMYFUNCTION("""COMPUTED_VALUE"""),"BLACK")</f>
        <v>BLACK</v>
      </c>
      <c r="G1384" s="20" t="str">
        <f>IFERROR(__xludf.DUMMYFUNCTION("""COMPUTED_VALUE"""),"Uncle Sams Cider (11/12/2021) 02")</f>
        <v>Uncle Sams Cider (11/12/2021) 02</v>
      </c>
      <c r="H1384" s="19"/>
    </row>
    <row r="1385">
      <c r="A1385" s="9"/>
      <c r="B1385" s="15"/>
      <c r="C1385" s="9">
        <f>IFERROR(__xludf.DUMMYFUNCTION("""COMPUTED_VALUE"""),44591.1153949999)</f>
        <v>44591.11539</v>
      </c>
      <c r="D1385" s="15">
        <f>IFERROR(__xludf.DUMMYFUNCTION("""COMPUTED_VALUE"""),1.004)</f>
        <v>1.004</v>
      </c>
      <c r="E1385" s="16">
        <f>IFERROR(__xludf.DUMMYFUNCTION("""COMPUTED_VALUE"""),68.0)</f>
        <v>68</v>
      </c>
      <c r="F1385" s="19" t="str">
        <f>IFERROR(__xludf.DUMMYFUNCTION("""COMPUTED_VALUE"""),"BLACK")</f>
        <v>BLACK</v>
      </c>
      <c r="G1385" s="20" t="str">
        <f>IFERROR(__xludf.DUMMYFUNCTION("""COMPUTED_VALUE"""),"Uncle Sams Cider (11/12/2021) 02")</f>
        <v>Uncle Sams Cider (11/12/2021) 02</v>
      </c>
      <c r="H1385" s="19"/>
    </row>
    <row r="1386">
      <c r="A1386" s="9"/>
      <c r="B1386" s="15"/>
      <c r="C1386" s="9">
        <f>IFERROR(__xludf.DUMMYFUNCTION("""COMPUTED_VALUE"""),44591.094472037)</f>
        <v>44591.09447</v>
      </c>
      <c r="D1386" s="15">
        <f>IFERROR(__xludf.DUMMYFUNCTION("""COMPUTED_VALUE"""),1.004)</f>
        <v>1.004</v>
      </c>
      <c r="E1386" s="16">
        <f>IFERROR(__xludf.DUMMYFUNCTION("""COMPUTED_VALUE"""),68.0)</f>
        <v>68</v>
      </c>
      <c r="F1386" s="19" t="str">
        <f>IFERROR(__xludf.DUMMYFUNCTION("""COMPUTED_VALUE"""),"BLACK")</f>
        <v>BLACK</v>
      </c>
      <c r="G1386" s="20" t="str">
        <f>IFERROR(__xludf.DUMMYFUNCTION("""COMPUTED_VALUE"""),"Uncle Sams Cider (11/12/2021) 02")</f>
        <v>Uncle Sams Cider (11/12/2021) 02</v>
      </c>
      <c r="H1386" s="19"/>
    </row>
    <row r="1387">
      <c r="A1387" s="9"/>
      <c r="B1387" s="15"/>
      <c r="C1387" s="9">
        <f>IFERROR(__xludf.DUMMYFUNCTION("""COMPUTED_VALUE"""),44591.0840403587)</f>
        <v>44591.08404</v>
      </c>
      <c r="D1387" s="15">
        <f>IFERROR(__xludf.DUMMYFUNCTION("""COMPUTED_VALUE"""),1.004)</f>
        <v>1.004</v>
      </c>
      <c r="E1387" s="16">
        <f>IFERROR(__xludf.DUMMYFUNCTION("""COMPUTED_VALUE"""),68.0)</f>
        <v>68</v>
      </c>
      <c r="F1387" s="19" t="str">
        <f>IFERROR(__xludf.DUMMYFUNCTION("""COMPUTED_VALUE"""),"BLACK")</f>
        <v>BLACK</v>
      </c>
      <c r="G1387" s="20" t="str">
        <f>IFERROR(__xludf.DUMMYFUNCTION("""COMPUTED_VALUE"""),"Uncle Sams Cider (11/12/2021) 02")</f>
        <v>Uncle Sams Cider (11/12/2021) 02</v>
      </c>
      <c r="H1387" s="19"/>
    </row>
    <row r="1388">
      <c r="A1388" s="9"/>
      <c r="B1388" s="15"/>
      <c r="C1388" s="9">
        <f>IFERROR(__xludf.DUMMYFUNCTION("""COMPUTED_VALUE"""),44591.073620081)</f>
        <v>44591.07362</v>
      </c>
      <c r="D1388" s="15">
        <f>IFERROR(__xludf.DUMMYFUNCTION("""COMPUTED_VALUE"""),1.004)</f>
        <v>1.004</v>
      </c>
      <c r="E1388" s="16">
        <f>IFERROR(__xludf.DUMMYFUNCTION("""COMPUTED_VALUE"""),68.0)</f>
        <v>68</v>
      </c>
      <c r="F1388" s="19" t="str">
        <f>IFERROR(__xludf.DUMMYFUNCTION("""COMPUTED_VALUE"""),"BLACK")</f>
        <v>BLACK</v>
      </c>
      <c r="G1388" s="20" t="str">
        <f>IFERROR(__xludf.DUMMYFUNCTION("""COMPUTED_VALUE"""),"Uncle Sams Cider (11/12/2021) 02")</f>
        <v>Uncle Sams Cider (11/12/2021) 02</v>
      </c>
      <c r="H1388" s="19"/>
    </row>
    <row r="1389">
      <c r="A1389" s="9"/>
      <c r="B1389" s="15"/>
      <c r="C1389" s="9">
        <f>IFERROR(__xludf.DUMMYFUNCTION("""COMPUTED_VALUE"""),44591.0632002199)</f>
        <v>44591.0632</v>
      </c>
      <c r="D1389" s="15">
        <f>IFERROR(__xludf.DUMMYFUNCTION("""COMPUTED_VALUE"""),1.004)</f>
        <v>1.004</v>
      </c>
      <c r="E1389" s="16">
        <f>IFERROR(__xludf.DUMMYFUNCTION("""COMPUTED_VALUE"""),68.0)</f>
        <v>68</v>
      </c>
      <c r="F1389" s="19" t="str">
        <f>IFERROR(__xludf.DUMMYFUNCTION("""COMPUTED_VALUE"""),"BLACK")</f>
        <v>BLACK</v>
      </c>
      <c r="G1389" s="20" t="str">
        <f>IFERROR(__xludf.DUMMYFUNCTION("""COMPUTED_VALUE"""),"Uncle Sams Cider (11/12/2021) 02")</f>
        <v>Uncle Sams Cider (11/12/2021) 02</v>
      </c>
      <c r="H1389" s="19"/>
    </row>
    <row r="1390">
      <c r="A1390" s="9"/>
      <c r="B1390" s="15"/>
      <c r="C1390" s="9">
        <f>IFERROR(__xludf.DUMMYFUNCTION("""COMPUTED_VALUE"""),44591.052754155)</f>
        <v>44591.05275</v>
      </c>
      <c r="D1390" s="15">
        <f>IFERROR(__xludf.DUMMYFUNCTION("""COMPUTED_VALUE"""),1.004)</f>
        <v>1.004</v>
      </c>
      <c r="E1390" s="16">
        <f>IFERROR(__xludf.DUMMYFUNCTION("""COMPUTED_VALUE"""),68.0)</f>
        <v>68</v>
      </c>
      <c r="F1390" s="19" t="str">
        <f>IFERROR(__xludf.DUMMYFUNCTION("""COMPUTED_VALUE"""),"BLACK")</f>
        <v>BLACK</v>
      </c>
      <c r="G1390" s="20" t="str">
        <f>IFERROR(__xludf.DUMMYFUNCTION("""COMPUTED_VALUE"""),"Uncle Sams Cider (11/12/2021) 02")</f>
        <v>Uncle Sams Cider (11/12/2021) 02</v>
      </c>
      <c r="H1390" s="19"/>
    </row>
    <row r="1391">
      <c r="A1391" s="9"/>
      <c r="B1391" s="15"/>
      <c r="C1391" s="9">
        <f>IFERROR(__xludf.DUMMYFUNCTION("""COMPUTED_VALUE"""),44591.0423096064)</f>
        <v>44591.04231</v>
      </c>
      <c r="D1391" s="15">
        <f>IFERROR(__xludf.DUMMYFUNCTION("""COMPUTED_VALUE"""),1.004)</f>
        <v>1.004</v>
      </c>
      <c r="E1391" s="16">
        <f>IFERROR(__xludf.DUMMYFUNCTION("""COMPUTED_VALUE"""),68.0)</f>
        <v>68</v>
      </c>
      <c r="F1391" s="19" t="str">
        <f>IFERROR(__xludf.DUMMYFUNCTION("""COMPUTED_VALUE"""),"BLACK")</f>
        <v>BLACK</v>
      </c>
      <c r="G1391" s="20" t="str">
        <f>IFERROR(__xludf.DUMMYFUNCTION("""COMPUTED_VALUE"""),"Uncle Sams Cider (11/12/2021) 02")</f>
        <v>Uncle Sams Cider (11/12/2021) 02</v>
      </c>
      <c r="H1391" s="19"/>
    </row>
    <row r="1392">
      <c r="A1392" s="9"/>
      <c r="B1392" s="15"/>
      <c r="C1392" s="9">
        <f>IFERROR(__xludf.DUMMYFUNCTION("""COMPUTED_VALUE"""),44591.0318891087)</f>
        <v>44591.03189</v>
      </c>
      <c r="D1392" s="15">
        <f>IFERROR(__xludf.DUMMYFUNCTION("""COMPUTED_VALUE"""),1.004)</f>
        <v>1.004</v>
      </c>
      <c r="E1392" s="16">
        <f>IFERROR(__xludf.DUMMYFUNCTION("""COMPUTED_VALUE"""),68.0)</f>
        <v>68</v>
      </c>
      <c r="F1392" s="19" t="str">
        <f>IFERROR(__xludf.DUMMYFUNCTION("""COMPUTED_VALUE"""),"BLACK")</f>
        <v>BLACK</v>
      </c>
      <c r="G1392" s="20" t="str">
        <f>IFERROR(__xludf.DUMMYFUNCTION("""COMPUTED_VALUE"""),"Uncle Sams Cider (11/12/2021) 02")</f>
        <v>Uncle Sams Cider (11/12/2021) 02</v>
      </c>
      <c r="H1392" s="19"/>
    </row>
    <row r="1393">
      <c r="A1393" s="9"/>
      <c r="B1393" s="15"/>
      <c r="C1393" s="9">
        <f>IFERROR(__xludf.DUMMYFUNCTION("""COMPUTED_VALUE"""),44591.0214678125)</f>
        <v>44591.02147</v>
      </c>
      <c r="D1393" s="15">
        <f>IFERROR(__xludf.DUMMYFUNCTION("""COMPUTED_VALUE"""),1.004)</f>
        <v>1.004</v>
      </c>
      <c r="E1393" s="16">
        <f>IFERROR(__xludf.DUMMYFUNCTION("""COMPUTED_VALUE"""),68.0)</f>
        <v>68</v>
      </c>
      <c r="F1393" s="19" t="str">
        <f>IFERROR(__xludf.DUMMYFUNCTION("""COMPUTED_VALUE"""),"BLACK")</f>
        <v>BLACK</v>
      </c>
      <c r="G1393" s="20" t="str">
        <f>IFERROR(__xludf.DUMMYFUNCTION("""COMPUTED_VALUE"""),"Uncle Sams Cider (11/12/2021) 02")</f>
        <v>Uncle Sams Cider (11/12/2021) 02</v>
      </c>
      <c r="H1393" s="19"/>
    </row>
    <row r="1394">
      <c r="A1394" s="9"/>
      <c r="B1394" s="15"/>
      <c r="C1394" s="9">
        <f>IFERROR(__xludf.DUMMYFUNCTION("""COMPUTED_VALUE"""),44591.0110354629)</f>
        <v>44591.01104</v>
      </c>
      <c r="D1394" s="15">
        <f>IFERROR(__xludf.DUMMYFUNCTION("""COMPUTED_VALUE"""),1.004)</f>
        <v>1.004</v>
      </c>
      <c r="E1394" s="16">
        <f>IFERROR(__xludf.DUMMYFUNCTION("""COMPUTED_VALUE"""),68.0)</f>
        <v>68</v>
      </c>
      <c r="F1394" s="19" t="str">
        <f>IFERROR(__xludf.DUMMYFUNCTION("""COMPUTED_VALUE"""),"BLACK")</f>
        <v>BLACK</v>
      </c>
      <c r="G1394" s="20" t="str">
        <f>IFERROR(__xludf.DUMMYFUNCTION("""COMPUTED_VALUE"""),"Uncle Sams Cider (11/12/2021) 02")</f>
        <v>Uncle Sams Cider (11/12/2021) 02</v>
      </c>
      <c r="H1394" s="19"/>
    </row>
    <row r="1395">
      <c r="A1395" s="9"/>
      <c r="B1395" s="15"/>
      <c r="C1395" s="9">
        <f>IFERROR(__xludf.DUMMYFUNCTION("""COMPUTED_VALUE"""),44591.0006149999)</f>
        <v>44591.00061</v>
      </c>
      <c r="D1395" s="15">
        <f>IFERROR(__xludf.DUMMYFUNCTION("""COMPUTED_VALUE"""),1.004)</f>
        <v>1.004</v>
      </c>
      <c r="E1395" s="16">
        <f>IFERROR(__xludf.DUMMYFUNCTION("""COMPUTED_VALUE"""),68.0)</f>
        <v>68</v>
      </c>
      <c r="F1395" s="19" t="str">
        <f>IFERROR(__xludf.DUMMYFUNCTION("""COMPUTED_VALUE"""),"BLACK")</f>
        <v>BLACK</v>
      </c>
      <c r="G1395" s="20" t="str">
        <f>IFERROR(__xludf.DUMMYFUNCTION("""COMPUTED_VALUE"""),"Uncle Sams Cider (11/12/2021) 02")</f>
        <v>Uncle Sams Cider (11/12/2021) 02</v>
      </c>
      <c r="H1395" s="19"/>
    </row>
    <row r="1396">
      <c r="A1396" s="9"/>
      <c r="B1396" s="15"/>
      <c r="C1396" s="9">
        <f>IFERROR(__xludf.DUMMYFUNCTION("""COMPUTED_VALUE"""),44590.9901927083)</f>
        <v>44590.99019</v>
      </c>
      <c r="D1396" s="15">
        <f>IFERROR(__xludf.DUMMYFUNCTION("""COMPUTED_VALUE"""),1.004)</f>
        <v>1.004</v>
      </c>
      <c r="E1396" s="16">
        <f>IFERROR(__xludf.DUMMYFUNCTION("""COMPUTED_VALUE"""),67.0)</f>
        <v>67</v>
      </c>
      <c r="F1396" s="19" t="str">
        <f>IFERROR(__xludf.DUMMYFUNCTION("""COMPUTED_VALUE"""),"BLACK")</f>
        <v>BLACK</v>
      </c>
      <c r="G1396" s="20" t="str">
        <f>IFERROR(__xludf.DUMMYFUNCTION("""COMPUTED_VALUE"""),"Uncle Sams Cider (11/12/2021) 02")</f>
        <v>Uncle Sams Cider (11/12/2021) 02</v>
      </c>
      <c r="H1396" s="19"/>
    </row>
    <row r="1397">
      <c r="A1397" s="9"/>
      <c r="B1397" s="15"/>
      <c r="C1397" s="9">
        <f>IFERROR(__xludf.DUMMYFUNCTION("""COMPUTED_VALUE"""),44590.9797742129)</f>
        <v>44590.97977</v>
      </c>
      <c r="D1397" s="15">
        <f>IFERROR(__xludf.DUMMYFUNCTION("""COMPUTED_VALUE"""),1.004)</f>
        <v>1.004</v>
      </c>
      <c r="E1397" s="16">
        <f>IFERROR(__xludf.DUMMYFUNCTION("""COMPUTED_VALUE"""),67.0)</f>
        <v>67</v>
      </c>
      <c r="F1397" s="19" t="str">
        <f>IFERROR(__xludf.DUMMYFUNCTION("""COMPUTED_VALUE"""),"BLACK")</f>
        <v>BLACK</v>
      </c>
      <c r="G1397" s="20" t="str">
        <f>IFERROR(__xludf.DUMMYFUNCTION("""COMPUTED_VALUE"""),"Uncle Sams Cider (11/12/2021) 02")</f>
        <v>Uncle Sams Cider (11/12/2021) 02</v>
      </c>
      <c r="H1397" s="19"/>
    </row>
    <row r="1398">
      <c r="A1398" s="9"/>
      <c r="B1398" s="15"/>
      <c r="C1398" s="9">
        <f>IFERROR(__xludf.DUMMYFUNCTION("""COMPUTED_VALUE"""),44590.9693400231)</f>
        <v>44590.96934</v>
      </c>
      <c r="D1398" s="15">
        <f>IFERROR(__xludf.DUMMYFUNCTION("""COMPUTED_VALUE"""),1.005)</f>
        <v>1.005</v>
      </c>
      <c r="E1398" s="16">
        <f>IFERROR(__xludf.DUMMYFUNCTION("""COMPUTED_VALUE"""),66.0)</f>
        <v>66</v>
      </c>
      <c r="F1398" s="19" t="str">
        <f>IFERROR(__xludf.DUMMYFUNCTION("""COMPUTED_VALUE"""),"BLACK")</f>
        <v>BLACK</v>
      </c>
      <c r="G1398" s="20" t="str">
        <f>IFERROR(__xludf.DUMMYFUNCTION("""COMPUTED_VALUE"""),"Uncle Sams Cider (11/12/2021) 02")</f>
        <v>Uncle Sams Cider (11/12/2021) 02</v>
      </c>
      <c r="H1398" s="19"/>
    </row>
    <row r="1399">
      <c r="A1399" s="9"/>
      <c r="B1399" s="15"/>
      <c r="C1399" s="9">
        <f>IFERROR(__xludf.DUMMYFUNCTION("""COMPUTED_VALUE"""),44590.9589183217)</f>
        <v>44590.95892</v>
      </c>
      <c r="D1399" s="15">
        <f>IFERROR(__xludf.DUMMYFUNCTION("""COMPUTED_VALUE"""),1.005)</f>
        <v>1.005</v>
      </c>
      <c r="E1399" s="16">
        <f>IFERROR(__xludf.DUMMYFUNCTION("""COMPUTED_VALUE"""),66.0)</f>
        <v>66</v>
      </c>
      <c r="F1399" s="19" t="str">
        <f>IFERROR(__xludf.DUMMYFUNCTION("""COMPUTED_VALUE"""),"BLACK")</f>
        <v>BLACK</v>
      </c>
      <c r="G1399" s="20" t="str">
        <f>IFERROR(__xludf.DUMMYFUNCTION("""COMPUTED_VALUE"""),"Uncle Sams Cider (11/12/2021) 02")</f>
        <v>Uncle Sams Cider (11/12/2021) 02</v>
      </c>
      <c r="H1399" s="19"/>
    </row>
    <row r="1400">
      <c r="A1400" s="9"/>
      <c r="B1400" s="15"/>
      <c r="C1400" s="9">
        <f>IFERROR(__xludf.DUMMYFUNCTION("""COMPUTED_VALUE"""),44590.9484843981)</f>
        <v>44590.94848</v>
      </c>
      <c r="D1400" s="15">
        <f>IFERROR(__xludf.DUMMYFUNCTION("""COMPUTED_VALUE"""),1.004)</f>
        <v>1.004</v>
      </c>
      <c r="E1400" s="16">
        <f>IFERROR(__xludf.DUMMYFUNCTION("""COMPUTED_VALUE"""),66.0)</f>
        <v>66</v>
      </c>
      <c r="F1400" s="19" t="str">
        <f>IFERROR(__xludf.DUMMYFUNCTION("""COMPUTED_VALUE"""),"BLACK")</f>
        <v>BLACK</v>
      </c>
      <c r="G1400" s="20" t="str">
        <f>IFERROR(__xludf.DUMMYFUNCTION("""COMPUTED_VALUE"""),"Uncle Sams Cider (11/12/2021) 02")</f>
        <v>Uncle Sams Cider (11/12/2021) 02</v>
      </c>
      <c r="H1400" s="19"/>
    </row>
    <row r="1401">
      <c r="A1401" s="9"/>
      <c r="B1401" s="15"/>
      <c r="C1401" s="9">
        <f>IFERROR(__xludf.DUMMYFUNCTION("""COMPUTED_VALUE"""),44590.9380617361)</f>
        <v>44590.93806</v>
      </c>
      <c r="D1401" s="15">
        <f>IFERROR(__xludf.DUMMYFUNCTION("""COMPUTED_VALUE"""),1.004)</f>
        <v>1.004</v>
      </c>
      <c r="E1401" s="16">
        <f>IFERROR(__xludf.DUMMYFUNCTION("""COMPUTED_VALUE"""),65.0)</f>
        <v>65</v>
      </c>
      <c r="F1401" s="19" t="str">
        <f>IFERROR(__xludf.DUMMYFUNCTION("""COMPUTED_VALUE"""),"BLACK")</f>
        <v>BLACK</v>
      </c>
      <c r="G1401" s="20" t="str">
        <f>IFERROR(__xludf.DUMMYFUNCTION("""COMPUTED_VALUE"""),"Uncle Sams Cider (11/12/2021) 02")</f>
        <v>Uncle Sams Cider (11/12/2021) 02</v>
      </c>
      <c r="H1401" s="19"/>
    </row>
    <row r="1402">
      <c r="A1402" s="9"/>
      <c r="B1402" s="15"/>
      <c r="C1402" s="9">
        <f>IFERROR(__xludf.DUMMYFUNCTION("""COMPUTED_VALUE"""),44590.9276390162)</f>
        <v>44590.92764</v>
      </c>
      <c r="D1402" s="15">
        <f>IFERROR(__xludf.DUMMYFUNCTION("""COMPUTED_VALUE"""),1.005)</f>
        <v>1.005</v>
      </c>
      <c r="E1402" s="16">
        <f>IFERROR(__xludf.DUMMYFUNCTION("""COMPUTED_VALUE"""),65.0)</f>
        <v>65</v>
      </c>
      <c r="F1402" s="19" t="str">
        <f>IFERROR(__xludf.DUMMYFUNCTION("""COMPUTED_VALUE"""),"BLACK")</f>
        <v>BLACK</v>
      </c>
      <c r="G1402" s="20" t="str">
        <f>IFERROR(__xludf.DUMMYFUNCTION("""COMPUTED_VALUE"""),"Uncle Sams Cider (11/12/2021) 02")</f>
        <v>Uncle Sams Cider (11/12/2021) 02</v>
      </c>
      <c r="H1402" s="19"/>
    </row>
    <row r="1403">
      <c r="A1403" s="9"/>
      <c r="B1403" s="15"/>
      <c r="C1403" s="9">
        <f>IFERROR(__xludf.DUMMYFUNCTION("""COMPUTED_VALUE"""),44590.9172168287)</f>
        <v>44590.91722</v>
      </c>
      <c r="D1403" s="15">
        <f>IFERROR(__xludf.DUMMYFUNCTION("""COMPUTED_VALUE"""),1.004)</f>
        <v>1.004</v>
      </c>
      <c r="E1403" s="16">
        <f>IFERROR(__xludf.DUMMYFUNCTION("""COMPUTED_VALUE"""),64.0)</f>
        <v>64</v>
      </c>
      <c r="F1403" s="19" t="str">
        <f>IFERROR(__xludf.DUMMYFUNCTION("""COMPUTED_VALUE"""),"BLACK")</f>
        <v>BLACK</v>
      </c>
      <c r="G1403" s="20" t="str">
        <f>IFERROR(__xludf.DUMMYFUNCTION("""COMPUTED_VALUE"""),"Uncle Sams Cider (11/12/2021) 02")</f>
        <v>Uncle Sams Cider (11/12/2021) 02</v>
      </c>
      <c r="H1403" s="19"/>
    </row>
    <row r="1404">
      <c r="A1404" s="9"/>
      <c r="B1404" s="15"/>
      <c r="C1404" s="9">
        <f>IFERROR(__xludf.DUMMYFUNCTION("""COMPUTED_VALUE"""),44590.9067977893)</f>
        <v>44590.9068</v>
      </c>
      <c r="D1404" s="15">
        <f>IFERROR(__xludf.DUMMYFUNCTION("""COMPUTED_VALUE"""),1.005)</f>
        <v>1.005</v>
      </c>
      <c r="E1404" s="16">
        <f>IFERROR(__xludf.DUMMYFUNCTION("""COMPUTED_VALUE"""),64.0)</f>
        <v>64</v>
      </c>
      <c r="F1404" s="19" t="str">
        <f>IFERROR(__xludf.DUMMYFUNCTION("""COMPUTED_VALUE"""),"BLACK")</f>
        <v>BLACK</v>
      </c>
      <c r="G1404" s="20" t="str">
        <f>IFERROR(__xludf.DUMMYFUNCTION("""COMPUTED_VALUE"""),"Uncle Sams Cider (11/12/2021) 02")</f>
        <v>Uncle Sams Cider (11/12/2021) 02</v>
      </c>
      <c r="H1404" s="19"/>
    </row>
    <row r="1405">
      <c r="A1405" s="9"/>
      <c r="B1405" s="15"/>
      <c r="C1405" s="9">
        <f>IFERROR(__xludf.DUMMYFUNCTION("""COMPUTED_VALUE"""),44590.8963758796)</f>
        <v>44590.89638</v>
      </c>
      <c r="D1405" s="15">
        <f>IFERROR(__xludf.DUMMYFUNCTION("""COMPUTED_VALUE"""),1.005)</f>
        <v>1.005</v>
      </c>
      <c r="E1405" s="16">
        <f>IFERROR(__xludf.DUMMYFUNCTION("""COMPUTED_VALUE"""),63.0)</f>
        <v>63</v>
      </c>
      <c r="F1405" s="19" t="str">
        <f>IFERROR(__xludf.DUMMYFUNCTION("""COMPUTED_VALUE"""),"BLACK")</f>
        <v>BLACK</v>
      </c>
      <c r="G1405" s="20" t="str">
        <f>IFERROR(__xludf.DUMMYFUNCTION("""COMPUTED_VALUE"""),"Uncle Sams Cider (11/12/2021) 02")</f>
        <v>Uncle Sams Cider (11/12/2021) 02</v>
      </c>
      <c r="H1405" s="19"/>
    </row>
    <row r="1406">
      <c r="A1406" s="9"/>
      <c r="B1406" s="15"/>
      <c r="C1406" s="9">
        <f>IFERROR(__xludf.DUMMYFUNCTION("""COMPUTED_VALUE"""),44590.8859540972)</f>
        <v>44590.88595</v>
      </c>
      <c r="D1406" s="15">
        <f>IFERROR(__xludf.DUMMYFUNCTION("""COMPUTED_VALUE"""),1.005)</f>
        <v>1.005</v>
      </c>
      <c r="E1406" s="16">
        <f>IFERROR(__xludf.DUMMYFUNCTION("""COMPUTED_VALUE"""),63.0)</f>
        <v>63</v>
      </c>
      <c r="F1406" s="19" t="str">
        <f>IFERROR(__xludf.DUMMYFUNCTION("""COMPUTED_VALUE"""),"BLACK")</f>
        <v>BLACK</v>
      </c>
      <c r="G1406" s="20" t="str">
        <f>IFERROR(__xludf.DUMMYFUNCTION("""COMPUTED_VALUE"""),"Uncle Sams Cider (11/12/2021) 02")</f>
        <v>Uncle Sams Cider (11/12/2021) 02</v>
      </c>
      <c r="H1406" s="19"/>
    </row>
    <row r="1407">
      <c r="A1407" s="9"/>
      <c r="B1407" s="15"/>
      <c r="C1407" s="9">
        <f>IFERROR(__xludf.DUMMYFUNCTION("""COMPUTED_VALUE"""),44590.8755330902)</f>
        <v>44590.87553</v>
      </c>
      <c r="D1407" s="15">
        <f>IFERROR(__xludf.DUMMYFUNCTION("""COMPUTED_VALUE"""),1.005)</f>
        <v>1.005</v>
      </c>
      <c r="E1407" s="16">
        <f>IFERROR(__xludf.DUMMYFUNCTION("""COMPUTED_VALUE"""),63.0)</f>
        <v>63</v>
      </c>
      <c r="F1407" s="19" t="str">
        <f>IFERROR(__xludf.DUMMYFUNCTION("""COMPUTED_VALUE"""),"BLACK")</f>
        <v>BLACK</v>
      </c>
      <c r="G1407" s="20" t="str">
        <f>IFERROR(__xludf.DUMMYFUNCTION("""COMPUTED_VALUE"""),"Uncle Sams Cider (11/12/2021) 02")</f>
        <v>Uncle Sams Cider (11/12/2021) 02</v>
      </c>
      <c r="H1407" s="19"/>
    </row>
    <row r="1408">
      <c r="A1408" s="9"/>
      <c r="B1408" s="15"/>
      <c r="C1408" s="9">
        <f>IFERROR(__xludf.DUMMYFUNCTION("""COMPUTED_VALUE"""),44590.8651117361)</f>
        <v>44590.86511</v>
      </c>
      <c r="D1408" s="15">
        <f>IFERROR(__xludf.DUMMYFUNCTION("""COMPUTED_VALUE"""),1.005)</f>
        <v>1.005</v>
      </c>
      <c r="E1408" s="16">
        <f>IFERROR(__xludf.DUMMYFUNCTION("""COMPUTED_VALUE"""),63.0)</f>
        <v>63</v>
      </c>
      <c r="F1408" s="19" t="str">
        <f>IFERROR(__xludf.DUMMYFUNCTION("""COMPUTED_VALUE"""),"BLACK")</f>
        <v>BLACK</v>
      </c>
      <c r="G1408" s="20" t="str">
        <f>IFERROR(__xludf.DUMMYFUNCTION("""COMPUTED_VALUE"""),"Uncle Sams Cider (11/12/2021) 02")</f>
        <v>Uncle Sams Cider (11/12/2021) 02</v>
      </c>
      <c r="H1408" s="19"/>
    </row>
    <row r="1409">
      <c r="A1409" s="9"/>
      <c r="B1409" s="15"/>
      <c r="C1409" s="9">
        <f>IFERROR(__xludf.DUMMYFUNCTION("""COMPUTED_VALUE"""),44590.8546771412)</f>
        <v>44590.85468</v>
      </c>
      <c r="D1409" s="15">
        <f>IFERROR(__xludf.DUMMYFUNCTION("""COMPUTED_VALUE"""),1.005)</f>
        <v>1.005</v>
      </c>
      <c r="E1409" s="16">
        <f>IFERROR(__xludf.DUMMYFUNCTION("""COMPUTED_VALUE"""),63.0)</f>
        <v>63</v>
      </c>
      <c r="F1409" s="19" t="str">
        <f>IFERROR(__xludf.DUMMYFUNCTION("""COMPUTED_VALUE"""),"BLACK")</f>
        <v>BLACK</v>
      </c>
      <c r="G1409" s="20" t="str">
        <f>IFERROR(__xludf.DUMMYFUNCTION("""COMPUTED_VALUE"""),"Uncle Sams Cider (11/12/2021) 02")</f>
        <v>Uncle Sams Cider (11/12/2021) 02</v>
      </c>
      <c r="H1409" s="19"/>
    </row>
    <row r="1410">
      <c r="A1410" s="9"/>
      <c r="B1410" s="15"/>
      <c r="C1410" s="9">
        <f>IFERROR(__xludf.DUMMYFUNCTION("""COMPUTED_VALUE"""),44590.844245868)</f>
        <v>44590.84425</v>
      </c>
      <c r="D1410" s="15">
        <f>IFERROR(__xludf.DUMMYFUNCTION("""COMPUTED_VALUE"""),1.005)</f>
        <v>1.005</v>
      </c>
      <c r="E1410" s="16">
        <f>IFERROR(__xludf.DUMMYFUNCTION("""COMPUTED_VALUE"""),63.0)</f>
        <v>63</v>
      </c>
      <c r="F1410" s="19" t="str">
        <f>IFERROR(__xludf.DUMMYFUNCTION("""COMPUTED_VALUE"""),"BLACK")</f>
        <v>BLACK</v>
      </c>
      <c r="G1410" s="20" t="str">
        <f>IFERROR(__xludf.DUMMYFUNCTION("""COMPUTED_VALUE"""),"Uncle Sams Cider (11/12/2021) 02")</f>
        <v>Uncle Sams Cider (11/12/2021) 02</v>
      </c>
      <c r="H1410" s="19"/>
    </row>
    <row r="1411">
      <c r="A1411" s="9"/>
      <c r="B1411" s="15"/>
      <c r="C1411" s="9">
        <f>IFERROR(__xludf.DUMMYFUNCTION("""COMPUTED_VALUE"""),44590.8338237037)</f>
        <v>44590.83382</v>
      </c>
      <c r="D1411" s="15">
        <f>IFERROR(__xludf.DUMMYFUNCTION("""COMPUTED_VALUE"""),1.005)</f>
        <v>1.005</v>
      </c>
      <c r="E1411" s="16">
        <f>IFERROR(__xludf.DUMMYFUNCTION("""COMPUTED_VALUE"""),63.0)</f>
        <v>63</v>
      </c>
      <c r="F1411" s="19" t="str">
        <f>IFERROR(__xludf.DUMMYFUNCTION("""COMPUTED_VALUE"""),"BLACK")</f>
        <v>BLACK</v>
      </c>
      <c r="G1411" s="20" t="str">
        <f>IFERROR(__xludf.DUMMYFUNCTION("""COMPUTED_VALUE"""),"Uncle Sams Cider (11/12/2021) 02")</f>
        <v>Uncle Sams Cider (11/12/2021) 02</v>
      </c>
      <c r="H1411" s="19"/>
    </row>
    <row r="1412">
      <c r="A1412" s="9"/>
      <c r="B1412" s="15"/>
      <c r="C1412" s="9">
        <f>IFERROR(__xludf.DUMMYFUNCTION("""COMPUTED_VALUE"""),44590.8234021296)</f>
        <v>44590.8234</v>
      </c>
      <c r="D1412" s="15">
        <f>IFERROR(__xludf.DUMMYFUNCTION("""COMPUTED_VALUE"""),1.005)</f>
        <v>1.005</v>
      </c>
      <c r="E1412" s="16">
        <f>IFERROR(__xludf.DUMMYFUNCTION("""COMPUTED_VALUE"""),63.0)</f>
        <v>63</v>
      </c>
      <c r="F1412" s="19" t="str">
        <f>IFERROR(__xludf.DUMMYFUNCTION("""COMPUTED_VALUE"""),"BLACK")</f>
        <v>BLACK</v>
      </c>
      <c r="G1412" s="20" t="str">
        <f>IFERROR(__xludf.DUMMYFUNCTION("""COMPUTED_VALUE"""),"Uncle Sams Cider (11/12/2021) 02")</f>
        <v>Uncle Sams Cider (11/12/2021) 02</v>
      </c>
      <c r="H1412" s="19"/>
    </row>
    <row r="1413">
      <c r="A1413" s="9"/>
      <c r="B1413" s="15"/>
      <c r="C1413" s="9">
        <f>IFERROR(__xludf.DUMMYFUNCTION("""COMPUTED_VALUE"""),44590.8129707523)</f>
        <v>44590.81297</v>
      </c>
      <c r="D1413" s="15">
        <f>IFERROR(__xludf.DUMMYFUNCTION("""COMPUTED_VALUE"""),1.005)</f>
        <v>1.005</v>
      </c>
      <c r="E1413" s="16">
        <f>IFERROR(__xludf.DUMMYFUNCTION("""COMPUTED_VALUE"""),63.0)</f>
        <v>63</v>
      </c>
      <c r="F1413" s="19" t="str">
        <f>IFERROR(__xludf.DUMMYFUNCTION("""COMPUTED_VALUE"""),"BLACK")</f>
        <v>BLACK</v>
      </c>
      <c r="G1413" s="20" t="str">
        <f>IFERROR(__xludf.DUMMYFUNCTION("""COMPUTED_VALUE"""),"Uncle Sams Cider (11/12/2021) 02")</f>
        <v>Uncle Sams Cider (11/12/2021) 02</v>
      </c>
      <c r="H1413" s="19"/>
    </row>
    <row r="1414">
      <c r="A1414" s="9"/>
      <c r="B1414" s="15"/>
      <c r="C1414" s="9">
        <f>IFERROR(__xludf.DUMMYFUNCTION("""COMPUTED_VALUE"""),44590.8025498842)</f>
        <v>44590.80255</v>
      </c>
      <c r="D1414" s="15">
        <f>IFERROR(__xludf.DUMMYFUNCTION("""COMPUTED_VALUE"""),1.005)</f>
        <v>1.005</v>
      </c>
      <c r="E1414" s="16">
        <f>IFERROR(__xludf.DUMMYFUNCTION("""COMPUTED_VALUE"""),63.0)</f>
        <v>63</v>
      </c>
      <c r="F1414" s="19" t="str">
        <f>IFERROR(__xludf.DUMMYFUNCTION("""COMPUTED_VALUE"""),"BLACK")</f>
        <v>BLACK</v>
      </c>
      <c r="G1414" s="20" t="str">
        <f>IFERROR(__xludf.DUMMYFUNCTION("""COMPUTED_VALUE"""),"Uncle Sams Cider (11/12/2021) 02")</f>
        <v>Uncle Sams Cider (11/12/2021) 02</v>
      </c>
      <c r="H1414" s="19"/>
    </row>
    <row r="1415">
      <c r="A1415" s="9"/>
      <c r="B1415" s="15"/>
      <c r="C1415" s="9">
        <f>IFERROR(__xludf.DUMMYFUNCTION("""COMPUTED_VALUE"""),44590.7921164004)</f>
        <v>44590.79212</v>
      </c>
      <c r="D1415" s="15">
        <f>IFERROR(__xludf.DUMMYFUNCTION("""COMPUTED_VALUE"""),1.005)</f>
        <v>1.005</v>
      </c>
      <c r="E1415" s="16">
        <f>IFERROR(__xludf.DUMMYFUNCTION("""COMPUTED_VALUE"""),63.0)</f>
        <v>63</v>
      </c>
      <c r="F1415" s="19" t="str">
        <f>IFERROR(__xludf.DUMMYFUNCTION("""COMPUTED_VALUE"""),"BLACK")</f>
        <v>BLACK</v>
      </c>
      <c r="G1415" s="20" t="str">
        <f>IFERROR(__xludf.DUMMYFUNCTION("""COMPUTED_VALUE"""),"Uncle Sams Cider (11/12/2021) 02")</f>
        <v>Uncle Sams Cider (11/12/2021) 02</v>
      </c>
      <c r="H1415" s="19"/>
    </row>
    <row r="1416">
      <c r="A1416" s="9"/>
      <c r="B1416" s="15"/>
      <c r="C1416" s="9">
        <f>IFERROR(__xludf.DUMMYFUNCTION("""COMPUTED_VALUE"""),44590.7816967476)</f>
        <v>44590.7817</v>
      </c>
      <c r="D1416" s="15">
        <f>IFERROR(__xludf.DUMMYFUNCTION("""COMPUTED_VALUE"""),1.005)</f>
        <v>1.005</v>
      </c>
      <c r="E1416" s="16">
        <f>IFERROR(__xludf.DUMMYFUNCTION("""COMPUTED_VALUE"""),63.0)</f>
        <v>63</v>
      </c>
      <c r="F1416" s="19" t="str">
        <f>IFERROR(__xludf.DUMMYFUNCTION("""COMPUTED_VALUE"""),"BLACK")</f>
        <v>BLACK</v>
      </c>
      <c r="G1416" s="20" t="str">
        <f>IFERROR(__xludf.DUMMYFUNCTION("""COMPUTED_VALUE"""),"Uncle Sams Cider (11/12/2021) 02")</f>
        <v>Uncle Sams Cider (11/12/2021) 02</v>
      </c>
      <c r="H1416" s="19"/>
    </row>
    <row r="1417">
      <c r="A1417" s="9"/>
      <c r="B1417" s="15"/>
      <c r="C1417" s="9">
        <f>IFERROR(__xludf.DUMMYFUNCTION("""COMPUTED_VALUE"""),44590.7712748263)</f>
        <v>44590.77127</v>
      </c>
      <c r="D1417" s="15">
        <f>IFERROR(__xludf.DUMMYFUNCTION("""COMPUTED_VALUE"""),1.005)</f>
        <v>1.005</v>
      </c>
      <c r="E1417" s="16">
        <f>IFERROR(__xludf.DUMMYFUNCTION("""COMPUTED_VALUE"""),63.0)</f>
        <v>63</v>
      </c>
      <c r="F1417" s="19" t="str">
        <f>IFERROR(__xludf.DUMMYFUNCTION("""COMPUTED_VALUE"""),"BLACK")</f>
        <v>BLACK</v>
      </c>
      <c r="G1417" s="20" t="str">
        <f>IFERROR(__xludf.DUMMYFUNCTION("""COMPUTED_VALUE"""),"Uncle Sams Cider (11/12/2021) 02")</f>
        <v>Uncle Sams Cider (11/12/2021) 02</v>
      </c>
      <c r="H1417" s="19"/>
    </row>
    <row r="1418">
      <c r="A1418" s="9"/>
      <c r="B1418" s="15"/>
      <c r="C1418" s="9">
        <f>IFERROR(__xludf.DUMMYFUNCTION("""COMPUTED_VALUE"""),44590.7608409837)</f>
        <v>44590.76084</v>
      </c>
      <c r="D1418" s="15">
        <f>IFERROR(__xludf.DUMMYFUNCTION("""COMPUTED_VALUE"""),1.005)</f>
        <v>1.005</v>
      </c>
      <c r="E1418" s="16">
        <f>IFERROR(__xludf.DUMMYFUNCTION("""COMPUTED_VALUE"""),63.0)</f>
        <v>63</v>
      </c>
      <c r="F1418" s="19" t="str">
        <f>IFERROR(__xludf.DUMMYFUNCTION("""COMPUTED_VALUE"""),"BLACK")</f>
        <v>BLACK</v>
      </c>
      <c r="G1418" s="20" t="str">
        <f>IFERROR(__xludf.DUMMYFUNCTION("""COMPUTED_VALUE"""),"Uncle Sams Cider (11/12/2021) 02")</f>
        <v>Uncle Sams Cider (11/12/2021) 02</v>
      </c>
      <c r="H1418" s="19"/>
    </row>
    <row r="1419">
      <c r="A1419" s="9"/>
      <c r="B1419" s="15"/>
      <c r="C1419" s="9">
        <f>IFERROR(__xludf.DUMMYFUNCTION("""COMPUTED_VALUE"""),44590.7503842245)</f>
        <v>44590.75038</v>
      </c>
      <c r="D1419" s="15">
        <f>IFERROR(__xludf.DUMMYFUNCTION("""COMPUTED_VALUE"""),1.005)</f>
        <v>1.005</v>
      </c>
      <c r="E1419" s="16">
        <f>IFERROR(__xludf.DUMMYFUNCTION("""COMPUTED_VALUE"""),63.0)</f>
        <v>63</v>
      </c>
      <c r="F1419" s="19" t="str">
        <f>IFERROR(__xludf.DUMMYFUNCTION("""COMPUTED_VALUE"""),"BLACK")</f>
        <v>BLACK</v>
      </c>
      <c r="G1419" s="20" t="str">
        <f>IFERROR(__xludf.DUMMYFUNCTION("""COMPUTED_VALUE"""),"Uncle Sams Cider (11/12/2021) 02")</f>
        <v>Uncle Sams Cider (11/12/2021) 02</v>
      </c>
      <c r="H1419" s="19"/>
    </row>
    <row r="1420">
      <c r="A1420" s="9"/>
      <c r="B1420" s="15"/>
      <c r="C1420" s="9">
        <f>IFERROR(__xludf.DUMMYFUNCTION("""COMPUTED_VALUE"""),44590.7399632291)</f>
        <v>44590.73996</v>
      </c>
      <c r="D1420" s="15">
        <f>IFERROR(__xludf.DUMMYFUNCTION("""COMPUTED_VALUE"""),1.005)</f>
        <v>1.005</v>
      </c>
      <c r="E1420" s="16">
        <f>IFERROR(__xludf.DUMMYFUNCTION("""COMPUTED_VALUE"""),63.0)</f>
        <v>63</v>
      </c>
      <c r="F1420" s="19" t="str">
        <f>IFERROR(__xludf.DUMMYFUNCTION("""COMPUTED_VALUE"""),"BLACK")</f>
        <v>BLACK</v>
      </c>
      <c r="G1420" s="20" t="str">
        <f>IFERROR(__xludf.DUMMYFUNCTION("""COMPUTED_VALUE"""),"Uncle Sams Cider (11/12/2021) 02")</f>
        <v>Uncle Sams Cider (11/12/2021) 02</v>
      </c>
      <c r="H1420" s="19"/>
    </row>
    <row r="1421">
      <c r="A1421" s="9"/>
      <c r="B1421" s="15"/>
      <c r="C1421" s="9">
        <f>IFERROR(__xludf.DUMMYFUNCTION("""COMPUTED_VALUE"""),44590.729531412)</f>
        <v>44590.72953</v>
      </c>
      <c r="D1421" s="15">
        <f>IFERROR(__xludf.DUMMYFUNCTION("""COMPUTED_VALUE"""),1.005)</f>
        <v>1.005</v>
      </c>
      <c r="E1421" s="16">
        <f>IFERROR(__xludf.DUMMYFUNCTION("""COMPUTED_VALUE"""),63.0)</f>
        <v>63</v>
      </c>
      <c r="F1421" s="19" t="str">
        <f>IFERROR(__xludf.DUMMYFUNCTION("""COMPUTED_VALUE"""),"BLACK")</f>
        <v>BLACK</v>
      </c>
      <c r="G1421" s="20" t="str">
        <f>IFERROR(__xludf.DUMMYFUNCTION("""COMPUTED_VALUE"""),"Uncle Sams Cider (11/12/2021) 02")</f>
        <v>Uncle Sams Cider (11/12/2021) 02</v>
      </c>
      <c r="H1421" s="19"/>
    </row>
    <row r="1422">
      <c r="A1422" s="9"/>
      <c r="B1422" s="15"/>
      <c r="C1422" s="9">
        <f>IFERROR(__xludf.DUMMYFUNCTION("""COMPUTED_VALUE"""),44590.7191118865)</f>
        <v>44590.71911</v>
      </c>
      <c r="D1422" s="15">
        <f>IFERROR(__xludf.DUMMYFUNCTION("""COMPUTED_VALUE"""),1.005)</f>
        <v>1.005</v>
      </c>
      <c r="E1422" s="16">
        <f>IFERROR(__xludf.DUMMYFUNCTION("""COMPUTED_VALUE"""),63.0)</f>
        <v>63</v>
      </c>
      <c r="F1422" s="19" t="str">
        <f>IFERROR(__xludf.DUMMYFUNCTION("""COMPUTED_VALUE"""),"BLACK")</f>
        <v>BLACK</v>
      </c>
      <c r="G1422" s="20" t="str">
        <f>IFERROR(__xludf.DUMMYFUNCTION("""COMPUTED_VALUE"""),"Uncle Sams Cider (11/12/2021) 02")</f>
        <v>Uncle Sams Cider (11/12/2021) 02</v>
      </c>
      <c r="H1422" s="19"/>
    </row>
    <row r="1423">
      <c r="A1423" s="9"/>
      <c r="B1423" s="15"/>
      <c r="C1423" s="9">
        <f>IFERROR(__xludf.DUMMYFUNCTION("""COMPUTED_VALUE"""),44590.7086913657)</f>
        <v>44590.70869</v>
      </c>
      <c r="D1423" s="15">
        <f>IFERROR(__xludf.DUMMYFUNCTION("""COMPUTED_VALUE"""),1.005)</f>
        <v>1.005</v>
      </c>
      <c r="E1423" s="16">
        <f>IFERROR(__xludf.DUMMYFUNCTION("""COMPUTED_VALUE"""),63.0)</f>
        <v>63</v>
      </c>
      <c r="F1423" s="19" t="str">
        <f>IFERROR(__xludf.DUMMYFUNCTION("""COMPUTED_VALUE"""),"BLACK")</f>
        <v>BLACK</v>
      </c>
      <c r="G1423" s="20" t="str">
        <f>IFERROR(__xludf.DUMMYFUNCTION("""COMPUTED_VALUE"""),"Uncle Sams Cider (11/12/2021) 02")</f>
        <v>Uncle Sams Cider (11/12/2021) 02</v>
      </c>
      <c r="H1423" s="19"/>
    </row>
    <row r="1424">
      <c r="A1424" s="9"/>
      <c r="B1424" s="15"/>
      <c r="C1424" s="9">
        <f>IFERROR(__xludf.DUMMYFUNCTION("""COMPUTED_VALUE"""),44590.6982707523)</f>
        <v>44590.69827</v>
      </c>
      <c r="D1424" s="15">
        <f>IFERROR(__xludf.DUMMYFUNCTION("""COMPUTED_VALUE"""),1.005)</f>
        <v>1.005</v>
      </c>
      <c r="E1424" s="16">
        <f>IFERROR(__xludf.DUMMYFUNCTION("""COMPUTED_VALUE"""),63.0)</f>
        <v>63</v>
      </c>
      <c r="F1424" s="19" t="str">
        <f>IFERROR(__xludf.DUMMYFUNCTION("""COMPUTED_VALUE"""),"BLACK")</f>
        <v>BLACK</v>
      </c>
      <c r="G1424" s="20" t="str">
        <f>IFERROR(__xludf.DUMMYFUNCTION("""COMPUTED_VALUE"""),"Uncle Sams Cider (11/12/2021) 02")</f>
        <v>Uncle Sams Cider (11/12/2021) 02</v>
      </c>
      <c r="H1424" s="19"/>
    </row>
    <row r="1425">
      <c r="A1425" s="9"/>
      <c r="B1425" s="15"/>
      <c r="C1425" s="9">
        <f>IFERROR(__xludf.DUMMYFUNCTION("""COMPUTED_VALUE"""),44590.6878141319)</f>
        <v>44590.68781</v>
      </c>
      <c r="D1425" s="15">
        <f>IFERROR(__xludf.DUMMYFUNCTION("""COMPUTED_VALUE"""),1.005)</f>
        <v>1.005</v>
      </c>
      <c r="E1425" s="16">
        <f>IFERROR(__xludf.DUMMYFUNCTION("""COMPUTED_VALUE"""),63.0)</f>
        <v>63</v>
      </c>
      <c r="F1425" s="19" t="str">
        <f>IFERROR(__xludf.DUMMYFUNCTION("""COMPUTED_VALUE"""),"BLACK")</f>
        <v>BLACK</v>
      </c>
      <c r="G1425" s="20" t="str">
        <f>IFERROR(__xludf.DUMMYFUNCTION("""COMPUTED_VALUE"""),"Uncle Sams Cider (11/12/2021) 02")</f>
        <v>Uncle Sams Cider (11/12/2021) 02</v>
      </c>
      <c r="H1425" s="19"/>
    </row>
    <row r="1426">
      <c r="A1426" s="9"/>
      <c r="B1426" s="15"/>
      <c r="C1426" s="9">
        <f>IFERROR(__xludf.DUMMYFUNCTION("""COMPUTED_VALUE"""),44590.6773810532)</f>
        <v>44590.67738</v>
      </c>
      <c r="D1426" s="15">
        <f>IFERROR(__xludf.DUMMYFUNCTION("""COMPUTED_VALUE"""),1.005)</f>
        <v>1.005</v>
      </c>
      <c r="E1426" s="16">
        <f>IFERROR(__xludf.DUMMYFUNCTION("""COMPUTED_VALUE"""),63.0)</f>
        <v>63</v>
      </c>
      <c r="F1426" s="19" t="str">
        <f>IFERROR(__xludf.DUMMYFUNCTION("""COMPUTED_VALUE"""),"BLACK")</f>
        <v>BLACK</v>
      </c>
      <c r="G1426" s="20" t="str">
        <f>IFERROR(__xludf.DUMMYFUNCTION("""COMPUTED_VALUE"""),"Uncle Sams Cider (11/12/2021) 02")</f>
        <v>Uncle Sams Cider (11/12/2021) 02</v>
      </c>
      <c r="H1426" s="19"/>
    </row>
    <row r="1427">
      <c r="A1427" s="9"/>
      <c r="B1427" s="15"/>
      <c r="C1427" s="9">
        <f>IFERROR(__xludf.DUMMYFUNCTION("""COMPUTED_VALUE"""),44590.6669603819)</f>
        <v>44590.66696</v>
      </c>
      <c r="D1427" s="15">
        <f>IFERROR(__xludf.DUMMYFUNCTION("""COMPUTED_VALUE"""),1.005)</f>
        <v>1.005</v>
      </c>
      <c r="E1427" s="16">
        <f>IFERROR(__xludf.DUMMYFUNCTION("""COMPUTED_VALUE"""),63.0)</f>
        <v>63</v>
      </c>
      <c r="F1427" s="19" t="str">
        <f>IFERROR(__xludf.DUMMYFUNCTION("""COMPUTED_VALUE"""),"BLACK")</f>
        <v>BLACK</v>
      </c>
      <c r="G1427" s="20" t="str">
        <f>IFERROR(__xludf.DUMMYFUNCTION("""COMPUTED_VALUE"""),"Uncle Sams Cider (11/12/2021) 02")</f>
        <v>Uncle Sams Cider (11/12/2021) 02</v>
      </c>
      <c r="H1427" s="19"/>
    </row>
    <row r="1428">
      <c r="A1428" s="9"/>
      <c r="B1428" s="15"/>
      <c r="C1428" s="9">
        <f>IFERROR(__xludf.DUMMYFUNCTION("""COMPUTED_VALUE"""),44590.6565391898)</f>
        <v>44590.65654</v>
      </c>
      <c r="D1428" s="15">
        <f>IFERROR(__xludf.DUMMYFUNCTION("""COMPUTED_VALUE"""),1.005)</f>
        <v>1.005</v>
      </c>
      <c r="E1428" s="16">
        <f>IFERROR(__xludf.DUMMYFUNCTION("""COMPUTED_VALUE"""),63.0)</f>
        <v>63</v>
      </c>
      <c r="F1428" s="19" t="str">
        <f>IFERROR(__xludf.DUMMYFUNCTION("""COMPUTED_VALUE"""),"BLACK")</f>
        <v>BLACK</v>
      </c>
      <c r="G1428" s="20" t="str">
        <f>IFERROR(__xludf.DUMMYFUNCTION("""COMPUTED_VALUE"""),"Uncle Sams Cider (11/12/2021) 02")</f>
        <v>Uncle Sams Cider (11/12/2021) 02</v>
      </c>
      <c r="H1428" s="19"/>
    </row>
    <row r="1429">
      <c r="A1429" s="9"/>
      <c r="B1429" s="15"/>
      <c r="C1429" s="9">
        <f>IFERROR(__xludf.DUMMYFUNCTION("""COMPUTED_VALUE"""),44590.6461181828)</f>
        <v>44590.64612</v>
      </c>
      <c r="D1429" s="15">
        <f>IFERROR(__xludf.DUMMYFUNCTION("""COMPUTED_VALUE"""),1.005)</f>
        <v>1.005</v>
      </c>
      <c r="E1429" s="16">
        <f>IFERROR(__xludf.DUMMYFUNCTION("""COMPUTED_VALUE"""),63.0)</f>
        <v>63</v>
      </c>
      <c r="F1429" s="19" t="str">
        <f>IFERROR(__xludf.DUMMYFUNCTION("""COMPUTED_VALUE"""),"BLACK")</f>
        <v>BLACK</v>
      </c>
      <c r="G1429" s="20" t="str">
        <f>IFERROR(__xludf.DUMMYFUNCTION("""COMPUTED_VALUE"""),"Uncle Sams Cider (11/12/2021) 02")</f>
        <v>Uncle Sams Cider (11/12/2021) 02</v>
      </c>
      <c r="H1429" s="19"/>
    </row>
    <row r="1430">
      <c r="A1430" s="9"/>
      <c r="B1430" s="15"/>
      <c r="C1430" s="9">
        <f>IFERROR(__xludf.DUMMYFUNCTION("""COMPUTED_VALUE"""),44590.6356845138)</f>
        <v>44590.63568</v>
      </c>
      <c r="D1430" s="15">
        <f>IFERROR(__xludf.DUMMYFUNCTION("""COMPUTED_VALUE"""),1.005)</f>
        <v>1.005</v>
      </c>
      <c r="E1430" s="16">
        <f>IFERROR(__xludf.DUMMYFUNCTION("""COMPUTED_VALUE"""),63.0)</f>
        <v>63</v>
      </c>
      <c r="F1430" s="19" t="str">
        <f>IFERROR(__xludf.DUMMYFUNCTION("""COMPUTED_VALUE"""),"BLACK")</f>
        <v>BLACK</v>
      </c>
      <c r="G1430" s="20" t="str">
        <f>IFERROR(__xludf.DUMMYFUNCTION("""COMPUTED_VALUE"""),"Uncle Sams Cider (11/12/2021) 02")</f>
        <v>Uncle Sams Cider (11/12/2021) 02</v>
      </c>
      <c r="H1430" s="19"/>
    </row>
    <row r="1431">
      <c r="A1431" s="9"/>
      <c r="B1431" s="15"/>
      <c r="C1431" s="9">
        <f>IFERROR(__xludf.DUMMYFUNCTION("""COMPUTED_VALUE"""),44590.6252388888)</f>
        <v>44590.62524</v>
      </c>
      <c r="D1431" s="15">
        <f>IFERROR(__xludf.DUMMYFUNCTION("""COMPUTED_VALUE"""),1.005)</f>
        <v>1.005</v>
      </c>
      <c r="E1431" s="16">
        <f>IFERROR(__xludf.DUMMYFUNCTION("""COMPUTED_VALUE"""),63.0)</f>
        <v>63</v>
      </c>
      <c r="F1431" s="19" t="str">
        <f>IFERROR(__xludf.DUMMYFUNCTION("""COMPUTED_VALUE"""),"BLACK")</f>
        <v>BLACK</v>
      </c>
      <c r="G1431" s="20" t="str">
        <f>IFERROR(__xludf.DUMMYFUNCTION("""COMPUTED_VALUE"""),"Uncle Sams Cider (11/12/2021) 02")</f>
        <v>Uncle Sams Cider (11/12/2021) 02</v>
      </c>
      <c r="H1431" s="19"/>
    </row>
    <row r="1432">
      <c r="A1432" s="9"/>
      <c r="B1432" s="15"/>
      <c r="C1432" s="9">
        <f>IFERROR(__xludf.DUMMYFUNCTION("""COMPUTED_VALUE"""),44590.6147813773)</f>
        <v>44590.61478</v>
      </c>
      <c r="D1432" s="15">
        <f>IFERROR(__xludf.DUMMYFUNCTION("""COMPUTED_VALUE"""),1.005)</f>
        <v>1.005</v>
      </c>
      <c r="E1432" s="16">
        <f>IFERROR(__xludf.DUMMYFUNCTION("""COMPUTED_VALUE"""),63.0)</f>
        <v>63</v>
      </c>
      <c r="F1432" s="19" t="str">
        <f>IFERROR(__xludf.DUMMYFUNCTION("""COMPUTED_VALUE"""),"BLACK")</f>
        <v>BLACK</v>
      </c>
      <c r="G1432" s="20" t="str">
        <f>IFERROR(__xludf.DUMMYFUNCTION("""COMPUTED_VALUE"""),"Uncle Sams Cider (11/12/2021) 02")</f>
        <v>Uncle Sams Cider (11/12/2021) 02</v>
      </c>
      <c r="H1432" s="19"/>
    </row>
    <row r="1433">
      <c r="A1433" s="9"/>
      <c r="B1433" s="15"/>
      <c r="C1433" s="9">
        <f>IFERROR(__xludf.DUMMYFUNCTION("""COMPUTED_VALUE"""),44590.6043491782)</f>
        <v>44590.60435</v>
      </c>
      <c r="D1433" s="15">
        <f>IFERROR(__xludf.DUMMYFUNCTION("""COMPUTED_VALUE"""),1.005)</f>
        <v>1.005</v>
      </c>
      <c r="E1433" s="16">
        <f>IFERROR(__xludf.DUMMYFUNCTION("""COMPUTED_VALUE"""),63.0)</f>
        <v>63</v>
      </c>
      <c r="F1433" s="19" t="str">
        <f>IFERROR(__xludf.DUMMYFUNCTION("""COMPUTED_VALUE"""),"BLACK")</f>
        <v>BLACK</v>
      </c>
      <c r="G1433" s="20" t="str">
        <f>IFERROR(__xludf.DUMMYFUNCTION("""COMPUTED_VALUE"""),"Uncle Sams Cider (11/12/2021) 02")</f>
        <v>Uncle Sams Cider (11/12/2021) 02</v>
      </c>
      <c r="H1433" s="19"/>
    </row>
    <row r="1434">
      <c r="A1434" s="9"/>
      <c r="B1434" s="15"/>
      <c r="C1434" s="9">
        <f>IFERROR(__xludf.DUMMYFUNCTION("""COMPUTED_VALUE"""),44590.5939278009)</f>
        <v>44590.59393</v>
      </c>
      <c r="D1434" s="15">
        <f>IFERROR(__xludf.DUMMYFUNCTION("""COMPUTED_VALUE"""),1.005)</f>
        <v>1.005</v>
      </c>
      <c r="E1434" s="16">
        <f>IFERROR(__xludf.DUMMYFUNCTION("""COMPUTED_VALUE"""),63.0)</f>
        <v>63</v>
      </c>
      <c r="F1434" s="19" t="str">
        <f>IFERROR(__xludf.DUMMYFUNCTION("""COMPUTED_VALUE"""),"BLACK")</f>
        <v>BLACK</v>
      </c>
      <c r="G1434" s="20" t="str">
        <f>IFERROR(__xludf.DUMMYFUNCTION("""COMPUTED_VALUE"""),"Uncle Sams Cider (11/12/2021) 02")</f>
        <v>Uncle Sams Cider (11/12/2021) 02</v>
      </c>
      <c r="H1434" s="19"/>
    </row>
    <row r="1435">
      <c r="A1435" s="9"/>
      <c r="B1435" s="15"/>
      <c r="C1435" s="9">
        <f>IFERROR(__xludf.DUMMYFUNCTION("""COMPUTED_VALUE"""),44590.5834951157)</f>
        <v>44590.5835</v>
      </c>
      <c r="D1435" s="15">
        <f>IFERROR(__xludf.DUMMYFUNCTION("""COMPUTED_VALUE"""),1.005)</f>
        <v>1.005</v>
      </c>
      <c r="E1435" s="16">
        <f>IFERROR(__xludf.DUMMYFUNCTION("""COMPUTED_VALUE"""),63.0)</f>
        <v>63</v>
      </c>
      <c r="F1435" s="19" t="str">
        <f>IFERROR(__xludf.DUMMYFUNCTION("""COMPUTED_VALUE"""),"BLACK")</f>
        <v>BLACK</v>
      </c>
      <c r="G1435" s="20" t="str">
        <f>IFERROR(__xludf.DUMMYFUNCTION("""COMPUTED_VALUE"""),"Uncle Sams Cider (11/12/2021) 02")</f>
        <v>Uncle Sams Cider (11/12/2021) 02</v>
      </c>
      <c r="H1435" s="19"/>
    </row>
    <row r="1436">
      <c r="A1436" s="9"/>
      <c r="B1436" s="15"/>
      <c r="C1436" s="9">
        <f>IFERROR(__xludf.DUMMYFUNCTION("""COMPUTED_VALUE"""),44590.5730368171)</f>
        <v>44590.57304</v>
      </c>
      <c r="D1436" s="15">
        <f>IFERROR(__xludf.DUMMYFUNCTION("""COMPUTED_VALUE"""),1.005)</f>
        <v>1.005</v>
      </c>
      <c r="E1436" s="16">
        <f>IFERROR(__xludf.DUMMYFUNCTION("""COMPUTED_VALUE"""),63.0)</f>
        <v>63</v>
      </c>
      <c r="F1436" s="19" t="str">
        <f>IFERROR(__xludf.DUMMYFUNCTION("""COMPUTED_VALUE"""),"BLACK")</f>
        <v>BLACK</v>
      </c>
      <c r="G1436" s="20" t="str">
        <f>IFERROR(__xludf.DUMMYFUNCTION("""COMPUTED_VALUE"""),"Uncle Sams Cider (11/12/2021) 02")</f>
        <v>Uncle Sams Cider (11/12/2021) 02</v>
      </c>
      <c r="H1436" s="19"/>
    </row>
    <row r="1437">
      <c r="A1437" s="9"/>
      <c r="B1437" s="15"/>
      <c r="C1437" s="9">
        <f>IFERROR(__xludf.DUMMYFUNCTION("""COMPUTED_VALUE"""),44590.5626148263)</f>
        <v>44590.56261</v>
      </c>
      <c r="D1437" s="15">
        <f>IFERROR(__xludf.DUMMYFUNCTION("""COMPUTED_VALUE"""),1.005)</f>
        <v>1.005</v>
      </c>
      <c r="E1437" s="16">
        <f>IFERROR(__xludf.DUMMYFUNCTION("""COMPUTED_VALUE"""),63.0)</f>
        <v>63</v>
      </c>
      <c r="F1437" s="19" t="str">
        <f>IFERROR(__xludf.DUMMYFUNCTION("""COMPUTED_VALUE"""),"BLACK")</f>
        <v>BLACK</v>
      </c>
      <c r="G1437" s="20" t="str">
        <f>IFERROR(__xludf.DUMMYFUNCTION("""COMPUTED_VALUE"""),"Uncle Sams Cider (11/12/2021) 02")</f>
        <v>Uncle Sams Cider (11/12/2021) 02</v>
      </c>
      <c r="H1437" s="19"/>
    </row>
    <row r="1438">
      <c r="A1438" s="9"/>
      <c r="B1438" s="15"/>
      <c r="C1438" s="9">
        <f>IFERROR(__xludf.DUMMYFUNCTION("""COMPUTED_VALUE"""),44590.5521826736)</f>
        <v>44590.55218</v>
      </c>
      <c r="D1438" s="15">
        <f>IFERROR(__xludf.DUMMYFUNCTION("""COMPUTED_VALUE"""),1.005)</f>
        <v>1.005</v>
      </c>
      <c r="E1438" s="16">
        <f>IFERROR(__xludf.DUMMYFUNCTION("""COMPUTED_VALUE"""),63.0)</f>
        <v>63</v>
      </c>
      <c r="F1438" s="19" t="str">
        <f>IFERROR(__xludf.DUMMYFUNCTION("""COMPUTED_VALUE"""),"BLACK")</f>
        <v>BLACK</v>
      </c>
      <c r="G1438" s="20" t="str">
        <f>IFERROR(__xludf.DUMMYFUNCTION("""COMPUTED_VALUE"""),"Uncle Sams Cider (11/12/2021) 02")</f>
        <v>Uncle Sams Cider (11/12/2021) 02</v>
      </c>
      <c r="H1438" s="19"/>
    </row>
    <row r="1439">
      <c r="A1439" s="9"/>
      <c r="B1439" s="15"/>
      <c r="C1439" s="9">
        <f>IFERROR(__xludf.DUMMYFUNCTION("""COMPUTED_VALUE"""),44590.5417612731)</f>
        <v>44590.54176</v>
      </c>
      <c r="D1439" s="15">
        <f>IFERROR(__xludf.DUMMYFUNCTION("""COMPUTED_VALUE"""),1.005)</f>
        <v>1.005</v>
      </c>
      <c r="E1439" s="16">
        <f>IFERROR(__xludf.DUMMYFUNCTION("""COMPUTED_VALUE"""),63.0)</f>
        <v>63</v>
      </c>
      <c r="F1439" s="19" t="str">
        <f>IFERROR(__xludf.DUMMYFUNCTION("""COMPUTED_VALUE"""),"BLACK")</f>
        <v>BLACK</v>
      </c>
      <c r="G1439" s="20" t="str">
        <f>IFERROR(__xludf.DUMMYFUNCTION("""COMPUTED_VALUE"""),"Uncle Sams Cider (11/12/2021) 02")</f>
        <v>Uncle Sams Cider (11/12/2021) 02</v>
      </c>
      <c r="H1439" s="19"/>
    </row>
    <row r="1440">
      <c r="A1440" s="9"/>
      <c r="B1440" s="15"/>
      <c r="C1440" s="9">
        <f>IFERROR(__xludf.DUMMYFUNCTION("""COMPUTED_VALUE"""),44590.5312243634)</f>
        <v>44590.53122</v>
      </c>
      <c r="D1440" s="15">
        <f>IFERROR(__xludf.DUMMYFUNCTION("""COMPUTED_VALUE"""),1.005)</f>
        <v>1.005</v>
      </c>
      <c r="E1440" s="16">
        <f>IFERROR(__xludf.DUMMYFUNCTION("""COMPUTED_VALUE"""),63.0)</f>
        <v>63</v>
      </c>
      <c r="F1440" s="19" t="str">
        <f>IFERROR(__xludf.DUMMYFUNCTION("""COMPUTED_VALUE"""),"BLACK")</f>
        <v>BLACK</v>
      </c>
      <c r="G1440" s="20" t="str">
        <f>IFERROR(__xludf.DUMMYFUNCTION("""COMPUTED_VALUE"""),"Uncle Sams Cider (11/12/2021) 02")</f>
        <v>Uncle Sams Cider (11/12/2021) 02</v>
      </c>
      <c r="H1440" s="19"/>
    </row>
    <row r="1441">
      <c r="A1441" s="9"/>
      <c r="B1441" s="15"/>
      <c r="C1441" s="9">
        <f>IFERROR(__xludf.DUMMYFUNCTION("""COMPUTED_VALUE"""),44590.5208023148)</f>
        <v>44590.5208</v>
      </c>
      <c r="D1441" s="15">
        <f>IFERROR(__xludf.DUMMYFUNCTION("""COMPUTED_VALUE"""),1.005)</f>
        <v>1.005</v>
      </c>
      <c r="E1441" s="16">
        <f>IFERROR(__xludf.DUMMYFUNCTION("""COMPUTED_VALUE"""),63.0)</f>
        <v>63</v>
      </c>
      <c r="F1441" s="19" t="str">
        <f>IFERROR(__xludf.DUMMYFUNCTION("""COMPUTED_VALUE"""),"BLACK")</f>
        <v>BLACK</v>
      </c>
      <c r="G1441" s="20" t="str">
        <f>IFERROR(__xludf.DUMMYFUNCTION("""COMPUTED_VALUE"""),"Uncle Sams Cider (11/12/2021) 02")</f>
        <v>Uncle Sams Cider (11/12/2021) 02</v>
      </c>
      <c r="H1441" s="19"/>
    </row>
    <row r="1442">
      <c r="A1442" s="9"/>
      <c r="B1442" s="15"/>
      <c r="C1442" s="9">
        <f>IFERROR(__xludf.DUMMYFUNCTION("""COMPUTED_VALUE"""),44590.5103807407)</f>
        <v>44590.51038</v>
      </c>
      <c r="D1442" s="15">
        <f>IFERROR(__xludf.DUMMYFUNCTION("""COMPUTED_VALUE"""),1.005)</f>
        <v>1.005</v>
      </c>
      <c r="E1442" s="16">
        <f>IFERROR(__xludf.DUMMYFUNCTION("""COMPUTED_VALUE"""),63.0)</f>
        <v>63</v>
      </c>
      <c r="F1442" s="19" t="str">
        <f>IFERROR(__xludf.DUMMYFUNCTION("""COMPUTED_VALUE"""),"BLACK")</f>
        <v>BLACK</v>
      </c>
      <c r="G1442" s="20" t="str">
        <f>IFERROR(__xludf.DUMMYFUNCTION("""COMPUTED_VALUE"""),"Uncle Sams Cider (11/12/2021) 02")</f>
        <v>Uncle Sams Cider (11/12/2021) 02</v>
      </c>
      <c r="H1442" s="19"/>
    </row>
    <row r="1443">
      <c r="A1443" s="9"/>
      <c r="B1443" s="15"/>
      <c r="C1443" s="9">
        <f>IFERROR(__xludf.DUMMYFUNCTION("""COMPUTED_VALUE"""),44590.4999475115)</f>
        <v>44590.49995</v>
      </c>
      <c r="D1443" s="15">
        <f>IFERROR(__xludf.DUMMYFUNCTION("""COMPUTED_VALUE"""),1.005)</f>
        <v>1.005</v>
      </c>
      <c r="E1443" s="16">
        <f>IFERROR(__xludf.DUMMYFUNCTION("""COMPUTED_VALUE"""),63.0)</f>
        <v>63</v>
      </c>
      <c r="F1443" s="19" t="str">
        <f>IFERROR(__xludf.DUMMYFUNCTION("""COMPUTED_VALUE"""),"BLACK")</f>
        <v>BLACK</v>
      </c>
      <c r="G1443" s="20" t="str">
        <f>IFERROR(__xludf.DUMMYFUNCTION("""COMPUTED_VALUE"""),"Uncle Sams Cider (11/12/2021) 02")</f>
        <v>Uncle Sams Cider (11/12/2021) 02</v>
      </c>
      <c r="H1443" s="19"/>
    </row>
    <row r="1444">
      <c r="A1444" s="9"/>
      <c r="B1444" s="15"/>
      <c r="C1444" s="9">
        <f>IFERROR(__xludf.DUMMYFUNCTION("""COMPUTED_VALUE"""),44590.489527824)</f>
        <v>44590.48953</v>
      </c>
      <c r="D1444" s="15">
        <f>IFERROR(__xludf.DUMMYFUNCTION("""COMPUTED_VALUE"""),1.005)</f>
        <v>1.005</v>
      </c>
      <c r="E1444" s="16">
        <f>IFERROR(__xludf.DUMMYFUNCTION("""COMPUTED_VALUE"""),64.0)</f>
        <v>64</v>
      </c>
      <c r="F1444" s="19" t="str">
        <f>IFERROR(__xludf.DUMMYFUNCTION("""COMPUTED_VALUE"""),"BLACK")</f>
        <v>BLACK</v>
      </c>
      <c r="G1444" s="20" t="str">
        <f>IFERROR(__xludf.DUMMYFUNCTION("""COMPUTED_VALUE"""),"Uncle Sams Cider (11/12/2021) 02")</f>
        <v>Uncle Sams Cider (11/12/2021) 02</v>
      </c>
      <c r="H1444" s="19"/>
    </row>
    <row r="1445">
      <c r="A1445" s="9"/>
      <c r="B1445" s="15"/>
      <c r="C1445" s="9">
        <f>IFERROR(__xludf.DUMMYFUNCTION("""COMPUTED_VALUE"""),44590.4791061111)</f>
        <v>44590.47911</v>
      </c>
      <c r="D1445" s="15">
        <f>IFERROR(__xludf.DUMMYFUNCTION("""COMPUTED_VALUE"""),1.005)</f>
        <v>1.005</v>
      </c>
      <c r="E1445" s="16">
        <f>IFERROR(__xludf.DUMMYFUNCTION("""COMPUTED_VALUE"""),63.0)</f>
        <v>63</v>
      </c>
      <c r="F1445" s="19" t="str">
        <f>IFERROR(__xludf.DUMMYFUNCTION("""COMPUTED_VALUE"""),"BLACK")</f>
        <v>BLACK</v>
      </c>
      <c r="G1445" s="20" t="str">
        <f>IFERROR(__xludf.DUMMYFUNCTION("""COMPUTED_VALUE"""),"Uncle Sams Cider (11/12/2021) 02")</f>
        <v>Uncle Sams Cider (11/12/2021) 02</v>
      </c>
      <c r="H1445" s="19"/>
    </row>
    <row r="1446">
      <c r="A1446" s="9"/>
      <c r="B1446" s="15"/>
      <c r="C1446" s="9">
        <f>IFERROR(__xludf.DUMMYFUNCTION("""COMPUTED_VALUE"""),44590.468685)</f>
        <v>44590.46869</v>
      </c>
      <c r="D1446" s="15">
        <f>IFERROR(__xludf.DUMMYFUNCTION("""COMPUTED_VALUE"""),1.005)</f>
        <v>1.005</v>
      </c>
      <c r="E1446" s="16">
        <f>IFERROR(__xludf.DUMMYFUNCTION("""COMPUTED_VALUE"""),64.0)</f>
        <v>64</v>
      </c>
      <c r="F1446" s="19" t="str">
        <f>IFERROR(__xludf.DUMMYFUNCTION("""COMPUTED_VALUE"""),"BLACK")</f>
        <v>BLACK</v>
      </c>
      <c r="G1446" s="20" t="str">
        <f>IFERROR(__xludf.DUMMYFUNCTION("""COMPUTED_VALUE"""),"Uncle Sams Cider (11/12/2021) 02")</f>
        <v>Uncle Sams Cider (11/12/2021) 02</v>
      </c>
      <c r="H1446" s="19"/>
    </row>
    <row r="1447">
      <c r="A1447" s="9"/>
      <c r="B1447" s="15"/>
      <c r="C1447" s="9">
        <f>IFERROR(__xludf.DUMMYFUNCTION("""COMPUTED_VALUE"""),44590.4582630902)</f>
        <v>44590.45826</v>
      </c>
      <c r="D1447" s="15">
        <f>IFERROR(__xludf.DUMMYFUNCTION("""COMPUTED_VALUE"""),1.005)</f>
        <v>1.005</v>
      </c>
      <c r="E1447" s="16">
        <f>IFERROR(__xludf.DUMMYFUNCTION("""COMPUTED_VALUE"""),64.0)</f>
        <v>64</v>
      </c>
      <c r="F1447" s="19" t="str">
        <f>IFERROR(__xludf.DUMMYFUNCTION("""COMPUTED_VALUE"""),"BLACK")</f>
        <v>BLACK</v>
      </c>
      <c r="G1447" s="20" t="str">
        <f>IFERROR(__xludf.DUMMYFUNCTION("""COMPUTED_VALUE"""),"Uncle Sams Cider (11/12/2021) 02")</f>
        <v>Uncle Sams Cider (11/12/2021) 02</v>
      </c>
      <c r="H1447" s="19"/>
    </row>
    <row r="1448">
      <c r="A1448" s="9"/>
      <c r="B1448" s="15"/>
      <c r="C1448" s="9">
        <f>IFERROR(__xludf.DUMMYFUNCTION("""COMPUTED_VALUE"""),44590.4478429513)</f>
        <v>44590.44784</v>
      </c>
      <c r="D1448" s="15">
        <f>IFERROR(__xludf.DUMMYFUNCTION("""COMPUTED_VALUE"""),1.005)</f>
        <v>1.005</v>
      </c>
      <c r="E1448" s="16">
        <f>IFERROR(__xludf.DUMMYFUNCTION("""COMPUTED_VALUE"""),64.0)</f>
        <v>64</v>
      </c>
      <c r="F1448" s="19" t="str">
        <f>IFERROR(__xludf.DUMMYFUNCTION("""COMPUTED_VALUE"""),"BLACK")</f>
        <v>BLACK</v>
      </c>
      <c r="G1448" s="20" t="str">
        <f>IFERROR(__xludf.DUMMYFUNCTION("""COMPUTED_VALUE"""),"Uncle Sams Cider (11/12/2021) 02")</f>
        <v>Uncle Sams Cider (11/12/2021) 02</v>
      </c>
      <c r="H1448" s="19"/>
    </row>
    <row r="1449">
      <c r="A1449" s="9"/>
      <c r="B1449" s="15"/>
      <c r="C1449" s="9">
        <f>IFERROR(__xludf.DUMMYFUNCTION("""COMPUTED_VALUE"""),44590.4374217939)</f>
        <v>44590.43742</v>
      </c>
      <c r="D1449" s="15">
        <f>IFERROR(__xludf.DUMMYFUNCTION("""COMPUTED_VALUE"""),1.005)</f>
        <v>1.005</v>
      </c>
      <c r="E1449" s="16">
        <f>IFERROR(__xludf.DUMMYFUNCTION("""COMPUTED_VALUE"""),64.0)</f>
        <v>64</v>
      </c>
      <c r="F1449" s="19" t="str">
        <f>IFERROR(__xludf.DUMMYFUNCTION("""COMPUTED_VALUE"""),"BLACK")</f>
        <v>BLACK</v>
      </c>
      <c r="G1449" s="20" t="str">
        <f>IFERROR(__xludf.DUMMYFUNCTION("""COMPUTED_VALUE"""),"Uncle Sams Cider (11/12/2021) 02")</f>
        <v>Uncle Sams Cider (11/12/2021) 02</v>
      </c>
      <c r="H1449" s="19"/>
    </row>
    <row r="1450">
      <c r="A1450" s="9"/>
      <c r="B1450" s="15"/>
      <c r="C1450" s="9">
        <f>IFERROR(__xludf.DUMMYFUNCTION("""COMPUTED_VALUE"""),44590.4269911226)</f>
        <v>44590.42699</v>
      </c>
      <c r="D1450" s="15">
        <f>IFERROR(__xludf.DUMMYFUNCTION("""COMPUTED_VALUE"""),1.005)</f>
        <v>1.005</v>
      </c>
      <c r="E1450" s="16">
        <f>IFERROR(__xludf.DUMMYFUNCTION("""COMPUTED_VALUE"""),64.0)</f>
        <v>64</v>
      </c>
      <c r="F1450" s="19" t="str">
        <f>IFERROR(__xludf.DUMMYFUNCTION("""COMPUTED_VALUE"""),"BLACK")</f>
        <v>BLACK</v>
      </c>
      <c r="G1450" s="20" t="str">
        <f>IFERROR(__xludf.DUMMYFUNCTION("""COMPUTED_VALUE"""),"Uncle Sams Cider (11/12/2021) 02")</f>
        <v>Uncle Sams Cider (11/12/2021) 02</v>
      </c>
      <c r="H1450" s="19"/>
    </row>
    <row r="1451">
      <c r="A1451" s="9"/>
      <c r="B1451" s="15"/>
      <c r="C1451" s="9">
        <f>IFERROR(__xludf.DUMMYFUNCTION("""COMPUTED_VALUE"""),44590.4165707291)</f>
        <v>44590.41657</v>
      </c>
      <c r="D1451" s="15">
        <f>IFERROR(__xludf.DUMMYFUNCTION("""COMPUTED_VALUE"""),1.005)</f>
        <v>1.005</v>
      </c>
      <c r="E1451" s="16">
        <f>IFERROR(__xludf.DUMMYFUNCTION("""COMPUTED_VALUE"""),64.0)</f>
        <v>64</v>
      </c>
      <c r="F1451" s="19" t="str">
        <f>IFERROR(__xludf.DUMMYFUNCTION("""COMPUTED_VALUE"""),"BLACK")</f>
        <v>BLACK</v>
      </c>
      <c r="G1451" s="20" t="str">
        <f>IFERROR(__xludf.DUMMYFUNCTION("""COMPUTED_VALUE"""),"Uncle Sams Cider (11/12/2021) 02")</f>
        <v>Uncle Sams Cider (11/12/2021) 02</v>
      </c>
      <c r="H1451" s="19"/>
    </row>
    <row r="1452">
      <c r="A1452" s="9"/>
      <c r="B1452" s="15"/>
      <c r="C1452" s="9">
        <f>IFERROR(__xludf.DUMMYFUNCTION("""COMPUTED_VALUE"""),44590.4061250925)</f>
        <v>44590.40613</v>
      </c>
      <c r="D1452" s="15">
        <f>IFERROR(__xludf.DUMMYFUNCTION("""COMPUTED_VALUE"""),1.005)</f>
        <v>1.005</v>
      </c>
      <c r="E1452" s="16">
        <f>IFERROR(__xludf.DUMMYFUNCTION("""COMPUTED_VALUE"""),64.0)</f>
        <v>64</v>
      </c>
      <c r="F1452" s="19" t="str">
        <f>IFERROR(__xludf.DUMMYFUNCTION("""COMPUTED_VALUE"""),"BLACK")</f>
        <v>BLACK</v>
      </c>
      <c r="G1452" s="20" t="str">
        <f>IFERROR(__xludf.DUMMYFUNCTION("""COMPUTED_VALUE"""),"Uncle Sams Cider (11/12/2021) 02")</f>
        <v>Uncle Sams Cider (11/12/2021) 02</v>
      </c>
      <c r="H1452" s="19"/>
    </row>
    <row r="1453">
      <c r="A1453" s="9"/>
      <c r="B1453" s="15"/>
      <c r="C1453" s="9">
        <f>IFERROR(__xludf.DUMMYFUNCTION("""COMPUTED_VALUE"""),44590.3957035532)</f>
        <v>44590.3957</v>
      </c>
      <c r="D1453" s="15">
        <f>IFERROR(__xludf.DUMMYFUNCTION("""COMPUTED_VALUE"""),1.005)</f>
        <v>1.005</v>
      </c>
      <c r="E1453" s="16">
        <f>IFERROR(__xludf.DUMMYFUNCTION("""COMPUTED_VALUE"""),64.0)</f>
        <v>64</v>
      </c>
      <c r="F1453" s="19" t="str">
        <f>IFERROR(__xludf.DUMMYFUNCTION("""COMPUTED_VALUE"""),"BLACK")</f>
        <v>BLACK</v>
      </c>
      <c r="G1453" s="20" t="str">
        <f>IFERROR(__xludf.DUMMYFUNCTION("""COMPUTED_VALUE"""),"Uncle Sams Cider (11/12/2021) 02")</f>
        <v>Uncle Sams Cider (11/12/2021) 02</v>
      </c>
      <c r="H1453" s="19"/>
    </row>
    <row r="1454">
      <c r="A1454" s="9"/>
      <c r="B1454" s="15"/>
      <c r="C1454" s="9">
        <f>IFERROR(__xludf.DUMMYFUNCTION("""COMPUTED_VALUE"""),44590.3852820601)</f>
        <v>44590.38528</v>
      </c>
      <c r="D1454" s="15">
        <f>IFERROR(__xludf.DUMMYFUNCTION("""COMPUTED_VALUE"""),1.005)</f>
        <v>1.005</v>
      </c>
      <c r="E1454" s="16">
        <f>IFERROR(__xludf.DUMMYFUNCTION("""COMPUTED_VALUE"""),64.0)</f>
        <v>64</v>
      </c>
      <c r="F1454" s="19" t="str">
        <f>IFERROR(__xludf.DUMMYFUNCTION("""COMPUTED_VALUE"""),"BLACK")</f>
        <v>BLACK</v>
      </c>
      <c r="G1454" s="20" t="str">
        <f>IFERROR(__xludf.DUMMYFUNCTION("""COMPUTED_VALUE"""),"Uncle Sams Cider (11/12/2021) 02")</f>
        <v>Uncle Sams Cider (11/12/2021) 02</v>
      </c>
      <c r="H1454" s="19"/>
    </row>
    <row r="1455">
      <c r="A1455" s="9"/>
      <c r="B1455" s="15"/>
      <c r="C1455" s="9">
        <f>IFERROR(__xludf.DUMMYFUNCTION("""COMPUTED_VALUE"""),44590.3748617592)</f>
        <v>44590.37486</v>
      </c>
      <c r="D1455" s="15">
        <f>IFERROR(__xludf.DUMMYFUNCTION("""COMPUTED_VALUE"""),1.005)</f>
        <v>1.005</v>
      </c>
      <c r="E1455" s="16">
        <f>IFERROR(__xludf.DUMMYFUNCTION("""COMPUTED_VALUE"""),64.0)</f>
        <v>64</v>
      </c>
      <c r="F1455" s="19" t="str">
        <f>IFERROR(__xludf.DUMMYFUNCTION("""COMPUTED_VALUE"""),"BLACK")</f>
        <v>BLACK</v>
      </c>
      <c r="G1455" s="20" t="str">
        <f>IFERROR(__xludf.DUMMYFUNCTION("""COMPUTED_VALUE"""),"Uncle Sams Cider (11/12/2021) 02")</f>
        <v>Uncle Sams Cider (11/12/2021) 02</v>
      </c>
      <c r="H1455" s="19"/>
    </row>
    <row r="1456">
      <c r="A1456" s="9"/>
      <c r="B1456" s="15"/>
      <c r="C1456" s="9">
        <f>IFERROR(__xludf.DUMMYFUNCTION("""COMPUTED_VALUE"""),44590.3644290393)</f>
        <v>44590.36443</v>
      </c>
      <c r="D1456" s="15">
        <f>IFERROR(__xludf.DUMMYFUNCTION("""COMPUTED_VALUE"""),1.005)</f>
        <v>1.005</v>
      </c>
      <c r="E1456" s="16">
        <f>IFERROR(__xludf.DUMMYFUNCTION("""COMPUTED_VALUE"""),64.0)</f>
        <v>64</v>
      </c>
      <c r="F1456" s="19" t="str">
        <f>IFERROR(__xludf.DUMMYFUNCTION("""COMPUTED_VALUE"""),"BLACK")</f>
        <v>BLACK</v>
      </c>
      <c r="G1456" s="20" t="str">
        <f>IFERROR(__xludf.DUMMYFUNCTION("""COMPUTED_VALUE"""),"Uncle Sams Cider (11/12/2021) 02")</f>
        <v>Uncle Sams Cider (11/12/2021) 02</v>
      </c>
      <c r="H1456" s="19"/>
    </row>
    <row r="1457">
      <c r="A1457" s="9"/>
      <c r="B1457" s="15"/>
      <c r="C1457" s="9">
        <f>IFERROR(__xludf.DUMMYFUNCTION("""COMPUTED_VALUE"""),44590.3540073379)</f>
        <v>44590.35401</v>
      </c>
      <c r="D1457" s="15">
        <f>IFERROR(__xludf.DUMMYFUNCTION("""COMPUTED_VALUE"""),1.005)</f>
        <v>1.005</v>
      </c>
      <c r="E1457" s="16">
        <f>IFERROR(__xludf.DUMMYFUNCTION("""COMPUTED_VALUE"""),64.0)</f>
        <v>64</v>
      </c>
      <c r="F1457" s="19" t="str">
        <f>IFERROR(__xludf.DUMMYFUNCTION("""COMPUTED_VALUE"""),"BLACK")</f>
        <v>BLACK</v>
      </c>
      <c r="G1457" s="20" t="str">
        <f>IFERROR(__xludf.DUMMYFUNCTION("""COMPUTED_VALUE"""),"Uncle Sams Cider (11/12/2021) 02")</f>
        <v>Uncle Sams Cider (11/12/2021) 02</v>
      </c>
      <c r="H1457" s="19"/>
    </row>
    <row r="1458">
      <c r="A1458" s="9"/>
      <c r="B1458" s="15"/>
      <c r="C1458" s="9">
        <f>IFERROR(__xludf.DUMMYFUNCTION("""COMPUTED_VALUE"""),44590.3435745601)</f>
        <v>44590.34357</v>
      </c>
      <c r="D1458" s="15">
        <f>IFERROR(__xludf.DUMMYFUNCTION("""COMPUTED_VALUE"""),1.005)</f>
        <v>1.005</v>
      </c>
      <c r="E1458" s="16">
        <f>IFERROR(__xludf.DUMMYFUNCTION("""COMPUTED_VALUE"""),64.0)</f>
        <v>64</v>
      </c>
      <c r="F1458" s="19" t="str">
        <f>IFERROR(__xludf.DUMMYFUNCTION("""COMPUTED_VALUE"""),"BLACK")</f>
        <v>BLACK</v>
      </c>
      <c r="G1458" s="20" t="str">
        <f>IFERROR(__xludf.DUMMYFUNCTION("""COMPUTED_VALUE"""),"Uncle Sams Cider (11/12/2021) 02")</f>
        <v>Uncle Sams Cider (11/12/2021) 02</v>
      </c>
      <c r="H1458" s="19"/>
    </row>
    <row r="1459">
      <c r="A1459" s="9"/>
      <c r="B1459" s="15"/>
      <c r="C1459" s="9">
        <f>IFERROR(__xludf.DUMMYFUNCTION("""COMPUTED_VALUE"""),44590.3331510879)</f>
        <v>44590.33315</v>
      </c>
      <c r="D1459" s="15">
        <f>IFERROR(__xludf.DUMMYFUNCTION("""COMPUTED_VALUE"""),1.004)</f>
        <v>1.004</v>
      </c>
      <c r="E1459" s="16">
        <f>IFERROR(__xludf.DUMMYFUNCTION("""COMPUTED_VALUE"""),64.0)</f>
        <v>64</v>
      </c>
      <c r="F1459" s="19" t="str">
        <f>IFERROR(__xludf.DUMMYFUNCTION("""COMPUTED_VALUE"""),"BLACK")</f>
        <v>BLACK</v>
      </c>
      <c r="G1459" s="20" t="str">
        <f>IFERROR(__xludf.DUMMYFUNCTION("""COMPUTED_VALUE"""),"Uncle Sams Cider (11/12/2021) 02")</f>
        <v>Uncle Sams Cider (11/12/2021) 02</v>
      </c>
      <c r="H1459" s="19"/>
    </row>
    <row r="1460">
      <c r="A1460" s="9"/>
      <c r="B1460" s="15"/>
      <c r="C1460" s="9">
        <f>IFERROR(__xludf.DUMMYFUNCTION("""COMPUTED_VALUE"""),44590.3227299189)</f>
        <v>44590.32273</v>
      </c>
      <c r="D1460" s="15">
        <f>IFERROR(__xludf.DUMMYFUNCTION("""COMPUTED_VALUE"""),1.005)</f>
        <v>1.005</v>
      </c>
      <c r="E1460" s="16">
        <f>IFERROR(__xludf.DUMMYFUNCTION("""COMPUTED_VALUE"""),64.0)</f>
        <v>64</v>
      </c>
      <c r="F1460" s="19" t="str">
        <f>IFERROR(__xludf.DUMMYFUNCTION("""COMPUTED_VALUE"""),"BLACK")</f>
        <v>BLACK</v>
      </c>
      <c r="G1460" s="20" t="str">
        <f>IFERROR(__xludf.DUMMYFUNCTION("""COMPUTED_VALUE"""),"Uncle Sams Cider (11/12/2021) 02")</f>
        <v>Uncle Sams Cider (11/12/2021) 02</v>
      </c>
      <c r="H1460" s="19"/>
    </row>
    <row r="1461">
      <c r="A1461" s="9"/>
      <c r="B1461" s="15"/>
      <c r="C1461" s="9">
        <f>IFERROR(__xludf.DUMMYFUNCTION("""COMPUTED_VALUE"""),44590.3123097106)</f>
        <v>44590.31231</v>
      </c>
      <c r="D1461" s="15">
        <f>IFERROR(__xludf.DUMMYFUNCTION("""COMPUTED_VALUE"""),1.005)</f>
        <v>1.005</v>
      </c>
      <c r="E1461" s="16">
        <f>IFERROR(__xludf.DUMMYFUNCTION("""COMPUTED_VALUE"""),64.0)</f>
        <v>64</v>
      </c>
      <c r="F1461" s="19" t="str">
        <f>IFERROR(__xludf.DUMMYFUNCTION("""COMPUTED_VALUE"""),"BLACK")</f>
        <v>BLACK</v>
      </c>
      <c r="G1461" s="20" t="str">
        <f>IFERROR(__xludf.DUMMYFUNCTION("""COMPUTED_VALUE"""),"Uncle Sams Cider (11/12/2021) 02")</f>
        <v>Uncle Sams Cider (11/12/2021) 02</v>
      </c>
      <c r="H1461" s="19"/>
    </row>
    <row r="1462">
      <c r="A1462" s="9"/>
      <c r="B1462" s="15"/>
      <c r="C1462" s="9">
        <f>IFERROR(__xludf.DUMMYFUNCTION("""COMPUTED_VALUE"""),44590.3018753935)</f>
        <v>44590.30188</v>
      </c>
      <c r="D1462" s="15">
        <f>IFERROR(__xludf.DUMMYFUNCTION("""COMPUTED_VALUE"""),1.005)</f>
        <v>1.005</v>
      </c>
      <c r="E1462" s="16">
        <f>IFERROR(__xludf.DUMMYFUNCTION("""COMPUTED_VALUE"""),64.0)</f>
        <v>64</v>
      </c>
      <c r="F1462" s="19" t="str">
        <f>IFERROR(__xludf.DUMMYFUNCTION("""COMPUTED_VALUE"""),"BLACK")</f>
        <v>BLACK</v>
      </c>
      <c r="G1462" s="20" t="str">
        <f>IFERROR(__xludf.DUMMYFUNCTION("""COMPUTED_VALUE"""),"Uncle Sams Cider (11/12/2021) 02")</f>
        <v>Uncle Sams Cider (11/12/2021) 02</v>
      </c>
      <c r="H1462" s="19"/>
    </row>
    <row r="1463">
      <c r="A1463" s="9"/>
      <c r="B1463" s="15"/>
      <c r="C1463" s="9">
        <f>IFERROR(__xludf.DUMMYFUNCTION("""COMPUTED_VALUE"""),44590.291454074)</f>
        <v>44590.29145</v>
      </c>
      <c r="D1463" s="15">
        <f>IFERROR(__xludf.DUMMYFUNCTION("""COMPUTED_VALUE"""),1.005)</f>
        <v>1.005</v>
      </c>
      <c r="E1463" s="16">
        <f>IFERROR(__xludf.DUMMYFUNCTION("""COMPUTED_VALUE"""),64.0)</f>
        <v>64</v>
      </c>
      <c r="F1463" s="19" t="str">
        <f>IFERROR(__xludf.DUMMYFUNCTION("""COMPUTED_VALUE"""),"BLACK")</f>
        <v>BLACK</v>
      </c>
      <c r="G1463" s="20" t="str">
        <f>IFERROR(__xludf.DUMMYFUNCTION("""COMPUTED_VALUE"""),"Uncle Sams Cider (11/12/2021) 02")</f>
        <v>Uncle Sams Cider (11/12/2021) 02</v>
      </c>
      <c r="H1463" s="19"/>
    </row>
    <row r="1464">
      <c r="A1464" s="9"/>
      <c r="B1464" s="15"/>
      <c r="C1464" s="9">
        <f>IFERROR(__xludf.DUMMYFUNCTION("""COMPUTED_VALUE"""),44590.2810326967)</f>
        <v>44590.28103</v>
      </c>
      <c r="D1464" s="15">
        <f>IFERROR(__xludf.DUMMYFUNCTION("""COMPUTED_VALUE"""),1.005)</f>
        <v>1.005</v>
      </c>
      <c r="E1464" s="16">
        <f>IFERROR(__xludf.DUMMYFUNCTION("""COMPUTED_VALUE"""),64.0)</f>
        <v>64</v>
      </c>
      <c r="F1464" s="19" t="str">
        <f>IFERROR(__xludf.DUMMYFUNCTION("""COMPUTED_VALUE"""),"BLACK")</f>
        <v>BLACK</v>
      </c>
      <c r="G1464" s="20" t="str">
        <f>IFERROR(__xludf.DUMMYFUNCTION("""COMPUTED_VALUE"""),"Uncle Sams Cider (11/12/2021) 02")</f>
        <v>Uncle Sams Cider (11/12/2021) 02</v>
      </c>
      <c r="H1464" s="19"/>
    </row>
    <row r="1465">
      <c r="A1465" s="9"/>
      <c r="B1465" s="15"/>
      <c r="C1465" s="9">
        <f>IFERROR(__xludf.DUMMYFUNCTION("""COMPUTED_VALUE"""),44590.2706117245)</f>
        <v>44590.27061</v>
      </c>
      <c r="D1465" s="15">
        <f>IFERROR(__xludf.DUMMYFUNCTION("""COMPUTED_VALUE"""),1.005)</f>
        <v>1.005</v>
      </c>
      <c r="E1465" s="16">
        <f>IFERROR(__xludf.DUMMYFUNCTION("""COMPUTED_VALUE"""),64.0)</f>
        <v>64</v>
      </c>
      <c r="F1465" s="19" t="str">
        <f>IFERROR(__xludf.DUMMYFUNCTION("""COMPUTED_VALUE"""),"BLACK")</f>
        <v>BLACK</v>
      </c>
      <c r="G1465" s="20" t="str">
        <f>IFERROR(__xludf.DUMMYFUNCTION("""COMPUTED_VALUE"""),"Uncle Sams Cider (11/12/2021) 02")</f>
        <v>Uncle Sams Cider (11/12/2021) 02</v>
      </c>
      <c r="H1465" s="19"/>
    </row>
    <row r="1466">
      <c r="A1466" s="9"/>
      <c r="B1466" s="15"/>
      <c r="C1466" s="9">
        <f>IFERROR(__xludf.DUMMYFUNCTION("""COMPUTED_VALUE"""),44590.2601795486)</f>
        <v>44590.26018</v>
      </c>
      <c r="D1466" s="15">
        <f>IFERROR(__xludf.DUMMYFUNCTION("""COMPUTED_VALUE"""),1.005)</f>
        <v>1.005</v>
      </c>
      <c r="E1466" s="16">
        <f>IFERROR(__xludf.DUMMYFUNCTION("""COMPUTED_VALUE"""),64.0)</f>
        <v>64</v>
      </c>
      <c r="F1466" s="19" t="str">
        <f>IFERROR(__xludf.DUMMYFUNCTION("""COMPUTED_VALUE"""),"BLACK")</f>
        <v>BLACK</v>
      </c>
      <c r="G1466" s="20" t="str">
        <f>IFERROR(__xludf.DUMMYFUNCTION("""COMPUTED_VALUE"""),"Uncle Sams Cider (11/12/2021) 02")</f>
        <v>Uncle Sams Cider (11/12/2021) 02</v>
      </c>
      <c r="H1466" s="19"/>
    </row>
    <row r="1467">
      <c r="A1467" s="9"/>
      <c r="B1467" s="15"/>
      <c r="C1467" s="9">
        <f>IFERROR(__xludf.DUMMYFUNCTION("""COMPUTED_VALUE"""),44590.2497593287)</f>
        <v>44590.24976</v>
      </c>
      <c r="D1467" s="15">
        <f>IFERROR(__xludf.DUMMYFUNCTION("""COMPUTED_VALUE"""),1.005)</f>
        <v>1.005</v>
      </c>
      <c r="E1467" s="16">
        <f>IFERROR(__xludf.DUMMYFUNCTION("""COMPUTED_VALUE"""),64.0)</f>
        <v>64</v>
      </c>
      <c r="F1467" s="19" t="str">
        <f>IFERROR(__xludf.DUMMYFUNCTION("""COMPUTED_VALUE"""),"BLACK")</f>
        <v>BLACK</v>
      </c>
      <c r="G1467" s="20" t="str">
        <f>IFERROR(__xludf.DUMMYFUNCTION("""COMPUTED_VALUE"""),"Uncle Sams Cider (11/12/2021) 02")</f>
        <v>Uncle Sams Cider (11/12/2021) 02</v>
      </c>
      <c r="H1467" s="19"/>
    </row>
    <row r="1468">
      <c r="A1468" s="9"/>
      <c r="B1468" s="15"/>
      <c r="C1468" s="9">
        <f>IFERROR(__xludf.DUMMYFUNCTION("""COMPUTED_VALUE"""),44590.2393393171)</f>
        <v>44590.23934</v>
      </c>
      <c r="D1468" s="15">
        <f>IFERROR(__xludf.DUMMYFUNCTION("""COMPUTED_VALUE"""),1.005)</f>
        <v>1.005</v>
      </c>
      <c r="E1468" s="16">
        <f>IFERROR(__xludf.DUMMYFUNCTION("""COMPUTED_VALUE"""),64.0)</f>
        <v>64</v>
      </c>
      <c r="F1468" s="19" t="str">
        <f>IFERROR(__xludf.DUMMYFUNCTION("""COMPUTED_VALUE"""),"BLACK")</f>
        <v>BLACK</v>
      </c>
      <c r="G1468" s="20" t="str">
        <f>IFERROR(__xludf.DUMMYFUNCTION("""COMPUTED_VALUE"""),"Uncle Sams Cider (11/12/2021) 02")</f>
        <v>Uncle Sams Cider (11/12/2021) 02</v>
      </c>
      <c r="H1468" s="19"/>
    </row>
    <row r="1469">
      <c r="A1469" s="9"/>
      <c r="B1469" s="15"/>
      <c r="C1469" s="9">
        <f>IFERROR(__xludf.DUMMYFUNCTION("""COMPUTED_VALUE"""),44590.2289174305)</f>
        <v>44590.22892</v>
      </c>
      <c r="D1469" s="15">
        <f>IFERROR(__xludf.DUMMYFUNCTION("""COMPUTED_VALUE"""),1.005)</f>
        <v>1.005</v>
      </c>
      <c r="E1469" s="16">
        <f>IFERROR(__xludf.DUMMYFUNCTION("""COMPUTED_VALUE"""),64.0)</f>
        <v>64</v>
      </c>
      <c r="F1469" s="19" t="str">
        <f>IFERROR(__xludf.DUMMYFUNCTION("""COMPUTED_VALUE"""),"BLACK")</f>
        <v>BLACK</v>
      </c>
      <c r="G1469" s="20" t="str">
        <f>IFERROR(__xludf.DUMMYFUNCTION("""COMPUTED_VALUE"""),"Uncle Sams Cider (11/12/2021) 02")</f>
        <v>Uncle Sams Cider (11/12/2021) 02</v>
      </c>
      <c r="H1469" s="19"/>
    </row>
    <row r="1470">
      <c r="A1470" s="9"/>
      <c r="B1470" s="15"/>
      <c r="C1470" s="9">
        <f>IFERROR(__xludf.DUMMYFUNCTION("""COMPUTED_VALUE"""),44590.218495405)</f>
        <v>44590.2185</v>
      </c>
      <c r="D1470" s="15">
        <f>IFERROR(__xludf.DUMMYFUNCTION("""COMPUTED_VALUE"""),1.005)</f>
        <v>1.005</v>
      </c>
      <c r="E1470" s="16">
        <f>IFERROR(__xludf.DUMMYFUNCTION("""COMPUTED_VALUE"""),64.0)</f>
        <v>64</v>
      </c>
      <c r="F1470" s="19" t="str">
        <f>IFERROR(__xludf.DUMMYFUNCTION("""COMPUTED_VALUE"""),"BLACK")</f>
        <v>BLACK</v>
      </c>
      <c r="G1470" s="20" t="str">
        <f>IFERROR(__xludf.DUMMYFUNCTION("""COMPUTED_VALUE"""),"Uncle Sams Cider (11/12/2021) 02")</f>
        <v>Uncle Sams Cider (11/12/2021) 02</v>
      </c>
      <c r="H1470" s="19"/>
    </row>
    <row r="1471">
      <c r="A1471" s="9"/>
      <c r="B1471" s="15"/>
      <c r="C1471" s="9">
        <f>IFERROR(__xludf.DUMMYFUNCTION("""COMPUTED_VALUE"""),44590.2080278587)</f>
        <v>44590.20803</v>
      </c>
      <c r="D1471" s="15">
        <f>IFERROR(__xludf.DUMMYFUNCTION("""COMPUTED_VALUE"""),1.005)</f>
        <v>1.005</v>
      </c>
      <c r="E1471" s="16">
        <f>IFERROR(__xludf.DUMMYFUNCTION("""COMPUTED_VALUE"""),64.0)</f>
        <v>64</v>
      </c>
      <c r="F1471" s="19" t="str">
        <f>IFERROR(__xludf.DUMMYFUNCTION("""COMPUTED_VALUE"""),"BLACK")</f>
        <v>BLACK</v>
      </c>
      <c r="G1471" s="20" t="str">
        <f>IFERROR(__xludf.DUMMYFUNCTION("""COMPUTED_VALUE"""),"Uncle Sams Cider (11/12/2021) 02")</f>
        <v>Uncle Sams Cider (11/12/2021) 02</v>
      </c>
      <c r="H1471" s="19"/>
    </row>
    <row r="1472">
      <c r="A1472" s="9"/>
      <c r="B1472" s="15"/>
      <c r="C1472" s="9">
        <f>IFERROR(__xludf.DUMMYFUNCTION("""COMPUTED_VALUE"""),44590.197598287)</f>
        <v>44590.1976</v>
      </c>
      <c r="D1472" s="15">
        <f>IFERROR(__xludf.DUMMYFUNCTION("""COMPUTED_VALUE"""),1.005)</f>
        <v>1.005</v>
      </c>
      <c r="E1472" s="16">
        <f>IFERROR(__xludf.DUMMYFUNCTION("""COMPUTED_VALUE"""),64.0)</f>
        <v>64</v>
      </c>
      <c r="F1472" s="19" t="str">
        <f>IFERROR(__xludf.DUMMYFUNCTION("""COMPUTED_VALUE"""),"BLACK")</f>
        <v>BLACK</v>
      </c>
      <c r="G1472" s="20" t="str">
        <f>IFERROR(__xludf.DUMMYFUNCTION("""COMPUTED_VALUE"""),"Uncle Sams Cider (11/12/2021) 02")</f>
        <v>Uncle Sams Cider (11/12/2021) 02</v>
      </c>
      <c r="H1472" s="19"/>
    </row>
    <row r="1473">
      <c r="A1473" s="9"/>
      <c r="B1473" s="15"/>
      <c r="C1473" s="9">
        <f>IFERROR(__xludf.DUMMYFUNCTION("""COMPUTED_VALUE"""),44590.1871777199)</f>
        <v>44590.18718</v>
      </c>
      <c r="D1473" s="15">
        <f>IFERROR(__xludf.DUMMYFUNCTION("""COMPUTED_VALUE"""),1.005)</f>
        <v>1.005</v>
      </c>
      <c r="E1473" s="16">
        <f>IFERROR(__xludf.DUMMYFUNCTION("""COMPUTED_VALUE"""),64.0)</f>
        <v>64</v>
      </c>
      <c r="F1473" s="19" t="str">
        <f>IFERROR(__xludf.DUMMYFUNCTION("""COMPUTED_VALUE"""),"BLACK")</f>
        <v>BLACK</v>
      </c>
      <c r="G1473" s="20" t="str">
        <f>IFERROR(__xludf.DUMMYFUNCTION("""COMPUTED_VALUE"""),"Uncle Sams Cider (11/12/2021) 02")</f>
        <v>Uncle Sams Cider (11/12/2021) 02</v>
      </c>
      <c r="H1473" s="19"/>
    </row>
    <row r="1474">
      <c r="A1474" s="9"/>
      <c r="B1474" s="15"/>
      <c r="C1474" s="9">
        <f>IFERROR(__xludf.DUMMYFUNCTION("""COMPUTED_VALUE"""),44590.1767561342)</f>
        <v>44590.17676</v>
      </c>
      <c r="D1474" s="15">
        <f>IFERROR(__xludf.DUMMYFUNCTION("""COMPUTED_VALUE"""),1.005)</f>
        <v>1.005</v>
      </c>
      <c r="E1474" s="16">
        <f>IFERROR(__xludf.DUMMYFUNCTION("""COMPUTED_VALUE"""),64.0)</f>
        <v>64</v>
      </c>
      <c r="F1474" s="19" t="str">
        <f>IFERROR(__xludf.DUMMYFUNCTION("""COMPUTED_VALUE"""),"BLACK")</f>
        <v>BLACK</v>
      </c>
      <c r="G1474" s="20" t="str">
        <f>IFERROR(__xludf.DUMMYFUNCTION("""COMPUTED_VALUE"""),"Uncle Sams Cider (11/12/2021) 02")</f>
        <v>Uncle Sams Cider (11/12/2021) 02</v>
      </c>
      <c r="H1474" s="19"/>
    </row>
    <row r="1475">
      <c r="A1475" s="9"/>
      <c r="B1475" s="15"/>
      <c r="C1475" s="9">
        <f>IFERROR(__xludf.DUMMYFUNCTION("""COMPUTED_VALUE"""),44590.1663102314)</f>
        <v>44590.16631</v>
      </c>
      <c r="D1475" s="15">
        <f>IFERROR(__xludf.DUMMYFUNCTION("""COMPUTED_VALUE"""),1.005)</f>
        <v>1.005</v>
      </c>
      <c r="E1475" s="16">
        <f>IFERROR(__xludf.DUMMYFUNCTION("""COMPUTED_VALUE"""),64.0)</f>
        <v>64</v>
      </c>
      <c r="F1475" s="19" t="str">
        <f>IFERROR(__xludf.DUMMYFUNCTION("""COMPUTED_VALUE"""),"BLACK")</f>
        <v>BLACK</v>
      </c>
      <c r="G1475" s="20" t="str">
        <f>IFERROR(__xludf.DUMMYFUNCTION("""COMPUTED_VALUE"""),"Uncle Sams Cider (11/12/2021) 02")</f>
        <v>Uncle Sams Cider (11/12/2021) 02</v>
      </c>
      <c r="H1475" s="19"/>
    </row>
    <row r="1476">
      <c r="A1476" s="9"/>
      <c r="B1476" s="15"/>
      <c r="C1476" s="9">
        <f>IFERROR(__xludf.DUMMYFUNCTION("""COMPUTED_VALUE"""),44590.1558643981)</f>
        <v>44590.15586</v>
      </c>
      <c r="D1476" s="15">
        <f>IFERROR(__xludf.DUMMYFUNCTION("""COMPUTED_VALUE"""),1.005)</f>
        <v>1.005</v>
      </c>
      <c r="E1476" s="16">
        <f>IFERROR(__xludf.DUMMYFUNCTION("""COMPUTED_VALUE"""),65.0)</f>
        <v>65</v>
      </c>
      <c r="F1476" s="19" t="str">
        <f>IFERROR(__xludf.DUMMYFUNCTION("""COMPUTED_VALUE"""),"BLACK")</f>
        <v>BLACK</v>
      </c>
      <c r="G1476" s="20" t="str">
        <f>IFERROR(__xludf.DUMMYFUNCTION("""COMPUTED_VALUE"""),"Uncle Sams Cider (11/12/2021) 02")</f>
        <v>Uncle Sams Cider (11/12/2021) 02</v>
      </c>
      <c r="H1476" s="19"/>
    </row>
    <row r="1477">
      <c r="A1477" s="9"/>
      <c r="B1477" s="15"/>
      <c r="C1477" s="9">
        <f>IFERROR(__xludf.DUMMYFUNCTION("""COMPUTED_VALUE"""),44590.1454412268)</f>
        <v>44590.14544</v>
      </c>
      <c r="D1477" s="15">
        <f>IFERROR(__xludf.DUMMYFUNCTION("""COMPUTED_VALUE"""),1.005)</f>
        <v>1.005</v>
      </c>
      <c r="E1477" s="16">
        <f>IFERROR(__xludf.DUMMYFUNCTION("""COMPUTED_VALUE"""),65.0)</f>
        <v>65</v>
      </c>
      <c r="F1477" s="19" t="str">
        <f>IFERROR(__xludf.DUMMYFUNCTION("""COMPUTED_VALUE"""),"BLACK")</f>
        <v>BLACK</v>
      </c>
      <c r="G1477" s="20" t="str">
        <f>IFERROR(__xludf.DUMMYFUNCTION("""COMPUTED_VALUE"""),"Uncle Sams Cider (11/12/2021) 02")</f>
        <v>Uncle Sams Cider (11/12/2021) 02</v>
      </c>
      <c r="H1477" s="19"/>
    </row>
    <row r="1478">
      <c r="A1478" s="9"/>
      <c r="B1478" s="15"/>
      <c r="C1478" s="9">
        <f>IFERROR(__xludf.DUMMYFUNCTION("""COMPUTED_VALUE"""),44590.1350083796)</f>
        <v>44590.13501</v>
      </c>
      <c r="D1478" s="15">
        <f>IFERROR(__xludf.DUMMYFUNCTION("""COMPUTED_VALUE"""),1.005)</f>
        <v>1.005</v>
      </c>
      <c r="E1478" s="16">
        <f>IFERROR(__xludf.DUMMYFUNCTION("""COMPUTED_VALUE"""),65.0)</f>
        <v>65</v>
      </c>
      <c r="F1478" s="19" t="str">
        <f>IFERROR(__xludf.DUMMYFUNCTION("""COMPUTED_VALUE"""),"BLACK")</f>
        <v>BLACK</v>
      </c>
      <c r="G1478" s="20" t="str">
        <f>IFERROR(__xludf.DUMMYFUNCTION("""COMPUTED_VALUE"""),"Uncle Sams Cider (11/12/2021) 02")</f>
        <v>Uncle Sams Cider (11/12/2021) 02</v>
      </c>
      <c r="H1478" s="19"/>
    </row>
    <row r="1479">
      <c r="A1479" s="9"/>
      <c r="B1479" s="15"/>
      <c r="C1479" s="9">
        <f>IFERROR(__xludf.DUMMYFUNCTION("""COMPUTED_VALUE"""),44590.1245865162)</f>
        <v>44590.12459</v>
      </c>
      <c r="D1479" s="15">
        <f>IFERROR(__xludf.DUMMYFUNCTION("""COMPUTED_VALUE"""),1.005)</f>
        <v>1.005</v>
      </c>
      <c r="E1479" s="16">
        <f>IFERROR(__xludf.DUMMYFUNCTION("""COMPUTED_VALUE"""),65.0)</f>
        <v>65</v>
      </c>
      <c r="F1479" s="19" t="str">
        <f>IFERROR(__xludf.DUMMYFUNCTION("""COMPUTED_VALUE"""),"BLACK")</f>
        <v>BLACK</v>
      </c>
      <c r="G1479" s="20" t="str">
        <f>IFERROR(__xludf.DUMMYFUNCTION("""COMPUTED_VALUE"""),"Uncle Sams Cider (11/12/2021) 02")</f>
        <v>Uncle Sams Cider (11/12/2021) 02</v>
      </c>
      <c r="H1479" s="19"/>
    </row>
    <row r="1480">
      <c r="A1480" s="9"/>
      <c r="B1480" s="15"/>
      <c r="C1480" s="9">
        <f>IFERROR(__xludf.DUMMYFUNCTION("""COMPUTED_VALUE"""),44590.1141645254)</f>
        <v>44590.11416</v>
      </c>
      <c r="D1480" s="15">
        <f>IFERROR(__xludf.DUMMYFUNCTION("""COMPUTED_VALUE"""),1.005)</f>
        <v>1.005</v>
      </c>
      <c r="E1480" s="16">
        <f>IFERROR(__xludf.DUMMYFUNCTION("""COMPUTED_VALUE"""),65.0)</f>
        <v>65</v>
      </c>
      <c r="F1480" s="19" t="str">
        <f>IFERROR(__xludf.DUMMYFUNCTION("""COMPUTED_VALUE"""),"BLACK")</f>
        <v>BLACK</v>
      </c>
      <c r="G1480" s="20" t="str">
        <f>IFERROR(__xludf.DUMMYFUNCTION("""COMPUTED_VALUE"""),"Uncle Sams Cider (11/12/2021) 02")</f>
        <v>Uncle Sams Cider (11/12/2021) 02</v>
      </c>
      <c r="H1480" s="19"/>
    </row>
    <row r="1481">
      <c r="A1481" s="9"/>
      <c r="B1481" s="15"/>
      <c r="C1481" s="9">
        <f>IFERROR(__xludf.DUMMYFUNCTION("""COMPUTED_VALUE"""),44590.1037440509)</f>
        <v>44590.10374</v>
      </c>
      <c r="D1481" s="15">
        <f>IFERROR(__xludf.DUMMYFUNCTION("""COMPUTED_VALUE"""),1.005)</f>
        <v>1.005</v>
      </c>
      <c r="E1481" s="16">
        <f>IFERROR(__xludf.DUMMYFUNCTION("""COMPUTED_VALUE"""),65.0)</f>
        <v>65</v>
      </c>
      <c r="F1481" s="19" t="str">
        <f>IFERROR(__xludf.DUMMYFUNCTION("""COMPUTED_VALUE"""),"BLACK")</f>
        <v>BLACK</v>
      </c>
      <c r="G1481" s="20" t="str">
        <f>IFERROR(__xludf.DUMMYFUNCTION("""COMPUTED_VALUE"""),"Uncle Sams Cider (11/12/2021) 02")</f>
        <v>Uncle Sams Cider (11/12/2021) 02</v>
      </c>
      <c r="H1481" s="19"/>
    </row>
    <row r="1482">
      <c r="A1482" s="9"/>
      <c r="B1482" s="15"/>
      <c r="C1482" s="9">
        <f>IFERROR(__xludf.DUMMYFUNCTION("""COMPUTED_VALUE"""),44590.0933004398)</f>
        <v>44590.0933</v>
      </c>
      <c r="D1482" s="15">
        <f>IFERROR(__xludf.DUMMYFUNCTION("""COMPUTED_VALUE"""),1.005)</f>
        <v>1.005</v>
      </c>
      <c r="E1482" s="16">
        <f>IFERROR(__xludf.DUMMYFUNCTION("""COMPUTED_VALUE"""),65.0)</f>
        <v>65</v>
      </c>
      <c r="F1482" s="19" t="str">
        <f>IFERROR(__xludf.DUMMYFUNCTION("""COMPUTED_VALUE"""),"BLACK")</f>
        <v>BLACK</v>
      </c>
      <c r="G1482" s="20" t="str">
        <f>IFERROR(__xludf.DUMMYFUNCTION("""COMPUTED_VALUE"""),"Uncle Sams Cider (11/12/2021) 02")</f>
        <v>Uncle Sams Cider (11/12/2021) 02</v>
      </c>
      <c r="H1482" s="19"/>
    </row>
    <row r="1483">
      <c r="A1483" s="9"/>
      <c r="B1483" s="15"/>
      <c r="C1483" s="9">
        <f>IFERROR(__xludf.DUMMYFUNCTION("""COMPUTED_VALUE"""),44590.0828779745)</f>
        <v>44590.08288</v>
      </c>
      <c r="D1483" s="15">
        <f>IFERROR(__xludf.DUMMYFUNCTION("""COMPUTED_VALUE"""),1.005)</f>
        <v>1.005</v>
      </c>
      <c r="E1483" s="16">
        <f>IFERROR(__xludf.DUMMYFUNCTION("""COMPUTED_VALUE"""),65.0)</f>
        <v>65</v>
      </c>
      <c r="F1483" s="19" t="str">
        <f>IFERROR(__xludf.DUMMYFUNCTION("""COMPUTED_VALUE"""),"BLACK")</f>
        <v>BLACK</v>
      </c>
      <c r="G1483" s="20" t="str">
        <f>IFERROR(__xludf.DUMMYFUNCTION("""COMPUTED_VALUE"""),"Uncle Sams Cider (11/12/2021) 02")</f>
        <v>Uncle Sams Cider (11/12/2021) 02</v>
      </c>
      <c r="H1483" s="19"/>
    </row>
    <row r="1484">
      <c r="A1484" s="9"/>
      <c r="B1484" s="15"/>
      <c r="C1484" s="9">
        <f>IFERROR(__xludf.DUMMYFUNCTION("""COMPUTED_VALUE"""),44590.0723868402)</f>
        <v>44590.07239</v>
      </c>
      <c r="D1484" s="15">
        <f>IFERROR(__xludf.DUMMYFUNCTION("""COMPUTED_VALUE"""),1.005)</f>
        <v>1.005</v>
      </c>
      <c r="E1484" s="16">
        <f>IFERROR(__xludf.DUMMYFUNCTION("""COMPUTED_VALUE"""),65.0)</f>
        <v>65</v>
      </c>
      <c r="F1484" s="19" t="str">
        <f>IFERROR(__xludf.DUMMYFUNCTION("""COMPUTED_VALUE"""),"BLACK")</f>
        <v>BLACK</v>
      </c>
      <c r="G1484" s="20" t="str">
        <f>IFERROR(__xludf.DUMMYFUNCTION("""COMPUTED_VALUE"""),"Uncle Sams Cider (11/12/2021) 02")</f>
        <v>Uncle Sams Cider (11/12/2021) 02</v>
      </c>
      <c r="H1484" s="19"/>
    </row>
    <row r="1485">
      <c r="A1485" s="9"/>
      <c r="B1485" s="15"/>
      <c r="C1485" s="9">
        <f>IFERROR(__xludf.DUMMYFUNCTION("""COMPUTED_VALUE"""),44590.0619533333)</f>
        <v>44590.06195</v>
      </c>
      <c r="D1485" s="15">
        <f>IFERROR(__xludf.DUMMYFUNCTION("""COMPUTED_VALUE"""),1.005)</f>
        <v>1.005</v>
      </c>
      <c r="E1485" s="16">
        <f>IFERROR(__xludf.DUMMYFUNCTION("""COMPUTED_VALUE"""),65.0)</f>
        <v>65</v>
      </c>
      <c r="F1485" s="19" t="str">
        <f>IFERROR(__xludf.DUMMYFUNCTION("""COMPUTED_VALUE"""),"BLACK")</f>
        <v>BLACK</v>
      </c>
      <c r="G1485" s="20" t="str">
        <f>IFERROR(__xludf.DUMMYFUNCTION("""COMPUTED_VALUE"""),"Uncle Sams Cider (11/12/2021) 02")</f>
        <v>Uncle Sams Cider (11/12/2021) 02</v>
      </c>
      <c r="H1485" s="19"/>
    </row>
    <row r="1486">
      <c r="A1486" s="9"/>
      <c r="B1486" s="15"/>
      <c r="C1486" s="9">
        <f>IFERROR(__xludf.DUMMYFUNCTION("""COMPUTED_VALUE"""),44590.051531493)</f>
        <v>44590.05153</v>
      </c>
      <c r="D1486" s="15">
        <f>IFERROR(__xludf.DUMMYFUNCTION("""COMPUTED_VALUE"""),1.004)</f>
        <v>1.004</v>
      </c>
      <c r="E1486" s="16">
        <f>IFERROR(__xludf.DUMMYFUNCTION("""COMPUTED_VALUE"""),65.0)</f>
        <v>65</v>
      </c>
      <c r="F1486" s="19" t="str">
        <f>IFERROR(__xludf.DUMMYFUNCTION("""COMPUTED_VALUE"""),"BLACK")</f>
        <v>BLACK</v>
      </c>
      <c r="G1486" s="20" t="str">
        <f>IFERROR(__xludf.DUMMYFUNCTION("""COMPUTED_VALUE"""),"Uncle Sams Cider (11/12/2021) 02")</f>
        <v>Uncle Sams Cider (11/12/2021) 02</v>
      </c>
      <c r="H1486" s="19"/>
    </row>
    <row r="1487">
      <c r="A1487" s="9"/>
      <c r="B1487" s="15"/>
      <c r="C1487" s="9">
        <f>IFERROR(__xludf.DUMMYFUNCTION("""COMPUTED_VALUE"""),44590.0411102083)</f>
        <v>44590.04111</v>
      </c>
      <c r="D1487" s="15">
        <f>IFERROR(__xludf.DUMMYFUNCTION("""COMPUTED_VALUE"""),1.005)</f>
        <v>1.005</v>
      </c>
      <c r="E1487" s="16">
        <f>IFERROR(__xludf.DUMMYFUNCTION("""COMPUTED_VALUE"""),65.0)</f>
        <v>65</v>
      </c>
      <c r="F1487" s="19" t="str">
        <f>IFERROR(__xludf.DUMMYFUNCTION("""COMPUTED_VALUE"""),"BLACK")</f>
        <v>BLACK</v>
      </c>
      <c r="G1487" s="20" t="str">
        <f>IFERROR(__xludf.DUMMYFUNCTION("""COMPUTED_VALUE"""),"Uncle Sams Cider (11/12/2021) 02")</f>
        <v>Uncle Sams Cider (11/12/2021) 02</v>
      </c>
      <c r="H1487" s="19"/>
    </row>
    <row r="1488">
      <c r="A1488" s="9"/>
      <c r="B1488" s="15"/>
      <c r="C1488" s="9">
        <f>IFERROR(__xludf.DUMMYFUNCTION("""COMPUTED_VALUE"""),44590.0306779745)</f>
        <v>44590.03068</v>
      </c>
      <c r="D1488" s="15">
        <f>IFERROR(__xludf.DUMMYFUNCTION("""COMPUTED_VALUE"""),1.005)</f>
        <v>1.005</v>
      </c>
      <c r="E1488" s="16">
        <f>IFERROR(__xludf.DUMMYFUNCTION("""COMPUTED_VALUE"""),65.0)</f>
        <v>65</v>
      </c>
      <c r="F1488" s="19" t="str">
        <f>IFERROR(__xludf.DUMMYFUNCTION("""COMPUTED_VALUE"""),"BLACK")</f>
        <v>BLACK</v>
      </c>
      <c r="G1488" s="20" t="str">
        <f>IFERROR(__xludf.DUMMYFUNCTION("""COMPUTED_VALUE"""),"Uncle Sams Cider (11/12/2021) 02")</f>
        <v>Uncle Sams Cider (11/12/2021) 02</v>
      </c>
      <c r="H1488" s="19"/>
    </row>
    <row r="1489">
      <c r="A1489" s="9"/>
      <c r="B1489" s="15"/>
      <c r="C1489" s="9">
        <f>IFERROR(__xludf.DUMMYFUNCTION("""COMPUTED_VALUE"""),44590.0202587615)</f>
        <v>44590.02026</v>
      </c>
      <c r="D1489" s="15">
        <f>IFERROR(__xludf.DUMMYFUNCTION("""COMPUTED_VALUE"""),1.005)</f>
        <v>1.005</v>
      </c>
      <c r="E1489" s="16">
        <f>IFERROR(__xludf.DUMMYFUNCTION("""COMPUTED_VALUE"""),65.0)</f>
        <v>65</v>
      </c>
      <c r="F1489" s="19" t="str">
        <f>IFERROR(__xludf.DUMMYFUNCTION("""COMPUTED_VALUE"""),"BLACK")</f>
        <v>BLACK</v>
      </c>
      <c r="G1489" s="20" t="str">
        <f>IFERROR(__xludf.DUMMYFUNCTION("""COMPUTED_VALUE"""),"Uncle Sams Cider (11/12/2021) 02")</f>
        <v>Uncle Sams Cider (11/12/2021) 02</v>
      </c>
      <c r="H1489" s="19"/>
    </row>
    <row r="1490">
      <c r="A1490" s="9"/>
      <c r="B1490" s="15"/>
      <c r="C1490" s="9">
        <f>IFERROR(__xludf.DUMMYFUNCTION("""COMPUTED_VALUE"""),44590.0098365972)</f>
        <v>44590.00984</v>
      </c>
      <c r="D1490" s="15">
        <f>IFERROR(__xludf.DUMMYFUNCTION("""COMPUTED_VALUE"""),1.005)</f>
        <v>1.005</v>
      </c>
      <c r="E1490" s="16">
        <f>IFERROR(__xludf.DUMMYFUNCTION("""COMPUTED_VALUE"""),65.0)</f>
        <v>65</v>
      </c>
      <c r="F1490" s="19" t="str">
        <f>IFERROR(__xludf.DUMMYFUNCTION("""COMPUTED_VALUE"""),"BLACK")</f>
        <v>BLACK</v>
      </c>
      <c r="G1490" s="20" t="str">
        <f>IFERROR(__xludf.DUMMYFUNCTION("""COMPUTED_VALUE"""),"Uncle Sams Cider (11/12/2021) 02")</f>
        <v>Uncle Sams Cider (11/12/2021) 02</v>
      </c>
      <c r="H1490" s="19"/>
    </row>
    <row r="1491">
      <c r="A1491" s="9"/>
      <c r="B1491" s="15"/>
      <c r="C1491" s="9">
        <f>IFERROR(__xludf.DUMMYFUNCTION("""COMPUTED_VALUE"""),44589.9994166203)</f>
        <v>44589.99942</v>
      </c>
      <c r="D1491" s="15">
        <f>IFERROR(__xludf.DUMMYFUNCTION("""COMPUTED_VALUE"""),1.004)</f>
        <v>1.004</v>
      </c>
      <c r="E1491" s="16">
        <f>IFERROR(__xludf.DUMMYFUNCTION("""COMPUTED_VALUE"""),65.0)</f>
        <v>65</v>
      </c>
      <c r="F1491" s="19" t="str">
        <f>IFERROR(__xludf.DUMMYFUNCTION("""COMPUTED_VALUE"""),"BLACK")</f>
        <v>BLACK</v>
      </c>
      <c r="G1491" s="20" t="str">
        <f>IFERROR(__xludf.DUMMYFUNCTION("""COMPUTED_VALUE"""),"Uncle Sams Cider (11/12/2021) 02")</f>
        <v>Uncle Sams Cider (11/12/2021) 02</v>
      </c>
      <c r="H1491" s="19"/>
    </row>
    <row r="1492">
      <c r="A1492" s="9"/>
      <c r="B1492" s="15"/>
      <c r="C1492" s="9">
        <f>IFERROR(__xludf.DUMMYFUNCTION("""COMPUTED_VALUE"""),44589.9889841898)</f>
        <v>44589.98898</v>
      </c>
      <c r="D1492" s="15">
        <f>IFERROR(__xludf.DUMMYFUNCTION("""COMPUTED_VALUE"""),1.005)</f>
        <v>1.005</v>
      </c>
      <c r="E1492" s="16">
        <f>IFERROR(__xludf.DUMMYFUNCTION("""COMPUTED_VALUE"""),65.0)</f>
        <v>65</v>
      </c>
      <c r="F1492" s="19" t="str">
        <f>IFERROR(__xludf.DUMMYFUNCTION("""COMPUTED_VALUE"""),"BLACK")</f>
        <v>BLACK</v>
      </c>
      <c r="G1492" s="20" t="str">
        <f>IFERROR(__xludf.DUMMYFUNCTION("""COMPUTED_VALUE"""),"Uncle Sams Cider (11/12/2021) 02")</f>
        <v>Uncle Sams Cider (11/12/2021) 02</v>
      </c>
      <c r="H1492" s="19"/>
    </row>
    <row r="1493">
      <c r="A1493" s="9"/>
      <c r="B1493" s="15"/>
      <c r="C1493" s="9">
        <f>IFERROR(__xludf.DUMMYFUNCTION("""COMPUTED_VALUE"""),44589.9785614351)</f>
        <v>44589.97856</v>
      </c>
      <c r="D1493" s="15">
        <f>IFERROR(__xludf.DUMMYFUNCTION("""COMPUTED_VALUE"""),1.005)</f>
        <v>1.005</v>
      </c>
      <c r="E1493" s="16">
        <f>IFERROR(__xludf.DUMMYFUNCTION("""COMPUTED_VALUE"""),65.0)</f>
        <v>65</v>
      </c>
      <c r="F1493" s="19" t="str">
        <f>IFERROR(__xludf.DUMMYFUNCTION("""COMPUTED_VALUE"""),"BLACK")</f>
        <v>BLACK</v>
      </c>
      <c r="G1493" s="20" t="str">
        <f>IFERROR(__xludf.DUMMYFUNCTION("""COMPUTED_VALUE"""),"Uncle Sams Cider (11/12/2021) 02")</f>
        <v>Uncle Sams Cider (11/12/2021) 02</v>
      </c>
      <c r="H1493" s="19"/>
    </row>
    <row r="1494">
      <c r="A1494" s="9"/>
      <c r="B1494" s="15"/>
      <c r="C1494" s="9">
        <f>IFERROR(__xludf.DUMMYFUNCTION("""COMPUTED_VALUE"""),44589.9681405092)</f>
        <v>44589.96814</v>
      </c>
      <c r="D1494" s="15">
        <f>IFERROR(__xludf.DUMMYFUNCTION("""COMPUTED_VALUE"""),1.004)</f>
        <v>1.004</v>
      </c>
      <c r="E1494" s="16">
        <f>IFERROR(__xludf.DUMMYFUNCTION("""COMPUTED_VALUE"""),65.0)</f>
        <v>65</v>
      </c>
      <c r="F1494" s="19" t="str">
        <f>IFERROR(__xludf.DUMMYFUNCTION("""COMPUTED_VALUE"""),"BLACK")</f>
        <v>BLACK</v>
      </c>
      <c r="G1494" s="20" t="str">
        <f>IFERROR(__xludf.DUMMYFUNCTION("""COMPUTED_VALUE"""),"Uncle Sams Cider (11/12/2021) 02")</f>
        <v>Uncle Sams Cider (11/12/2021) 02</v>
      </c>
      <c r="H1494" s="19"/>
    </row>
    <row r="1495">
      <c r="A1495" s="9"/>
      <c r="B1495" s="15"/>
      <c r="C1495" s="9">
        <f>IFERROR(__xludf.DUMMYFUNCTION("""COMPUTED_VALUE"""),44589.9577197337)</f>
        <v>44589.95772</v>
      </c>
      <c r="D1495" s="15">
        <f>IFERROR(__xludf.DUMMYFUNCTION("""COMPUTED_VALUE"""),1.005)</f>
        <v>1.005</v>
      </c>
      <c r="E1495" s="16">
        <f>IFERROR(__xludf.DUMMYFUNCTION("""COMPUTED_VALUE"""),65.0)</f>
        <v>65</v>
      </c>
      <c r="F1495" s="19" t="str">
        <f>IFERROR(__xludf.DUMMYFUNCTION("""COMPUTED_VALUE"""),"BLACK")</f>
        <v>BLACK</v>
      </c>
      <c r="G1495" s="20" t="str">
        <f>IFERROR(__xludf.DUMMYFUNCTION("""COMPUTED_VALUE"""),"Uncle Sams Cider (11/12/2021) 02")</f>
        <v>Uncle Sams Cider (11/12/2021) 02</v>
      </c>
      <c r="H1495" s="19"/>
    </row>
    <row r="1496">
      <c r="A1496" s="9"/>
      <c r="B1496" s="15"/>
      <c r="C1496" s="9">
        <f>IFERROR(__xludf.DUMMYFUNCTION("""COMPUTED_VALUE"""),44589.9472987152)</f>
        <v>44589.9473</v>
      </c>
      <c r="D1496" s="15">
        <f>IFERROR(__xludf.DUMMYFUNCTION("""COMPUTED_VALUE"""),1.005)</f>
        <v>1.005</v>
      </c>
      <c r="E1496" s="16">
        <f>IFERROR(__xludf.DUMMYFUNCTION("""COMPUTED_VALUE"""),65.0)</f>
        <v>65</v>
      </c>
      <c r="F1496" s="19" t="str">
        <f>IFERROR(__xludf.DUMMYFUNCTION("""COMPUTED_VALUE"""),"BLACK")</f>
        <v>BLACK</v>
      </c>
      <c r="G1496" s="20" t="str">
        <f>IFERROR(__xludf.DUMMYFUNCTION("""COMPUTED_VALUE"""),"Uncle Sams Cider (11/12/2021) 02")</f>
        <v>Uncle Sams Cider (11/12/2021) 02</v>
      </c>
      <c r="H1496" s="19"/>
    </row>
    <row r="1497">
      <c r="A1497" s="9"/>
      <c r="B1497" s="15"/>
      <c r="C1497" s="9">
        <f>IFERROR(__xludf.DUMMYFUNCTION("""COMPUTED_VALUE"""),44589.9368762152)</f>
        <v>44589.93688</v>
      </c>
      <c r="D1497" s="15">
        <f>IFERROR(__xludf.DUMMYFUNCTION("""COMPUTED_VALUE"""),1.004)</f>
        <v>1.004</v>
      </c>
      <c r="E1497" s="16">
        <f>IFERROR(__xludf.DUMMYFUNCTION("""COMPUTED_VALUE"""),65.0)</f>
        <v>65</v>
      </c>
      <c r="F1497" s="19" t="str">
        <f>IFERROR(__xludf.DUMMYFUNCTION("""COMPUTED_VALUE"""),"BLACK")</f>
        <v>BLACK</v>
      </c>
      <c r="G1497" s="20" t="str">
        <f>IFERROR(__xludf.DUMMYFUNCTION("""COMPUTED_VALUE"""),"Uncle Sams Cider (11/12/2021) 02")</f>
        <v>Uncle Sams Cider (11/12/2021) 02</v>
      </c>
      <c r="H1497" s="19"/>
    </row>
    <row r="1498">
      <c r="A1498" s="9"/>
      <c r="B1498" s="15"/>
      <c r="C1498" s="9">
        <f>IFERROR(__xludf.DUMMYFUNCTION("""COMPUTED_VALUE"""),44589.9264426388)</f>
        <v>44589.92644</v>
      </c>
      <c r="D1498" s="15">
        <f>IFERROR(__xludf.DUMMYFUNCTION("""COMPUTED_VALUE"""),1.005)</f>
        <v>1.005</v>
      </c>
      <c r="E1498" s="16">
        <f>IFERROR(__xludf.DUMMYFUNCTION("""COMPUTED_VALUE"""),65.0)</f>
        <v>65</v>
      </c>
      <c r="F1498" s="19" t="str">
        <f>IFERROR(__xludf.DUMMYFUNCTION("""COMPUTED_VALUE"""),"BLACK")</f>
        <v>BLACK</v>
      </c>
      <c r="G1498" s="20" t="str">
        <f>IFERROR(__xludf.DUMMYFUNCTION("""COMPUTED_VALUE"""),"Uncle Sams Cider (11/12/2021) 02")</f>
        <v>Uncle Sams Cider (11/12/2021) 02</v>
      </c>
      <c r="H1498" s="19"/>
    </row>
    <row r="1499">
      <c r="A1499" s="9"/>
      <c r="B1499" s="15"/>
      <c r="C1499" s="9">
        <f>IFERROR(__xludf.DUMMYFUNCTION("""COMPUTED_VALUE"""),44589.9160210416)</f>
        <v>44589.91602</v>
      </c>
      <c r="D1499" s="15">
        <f>IFERROR(__xludf.DUMMYFUNCTION("""COMPUTED_VALUE"""),1.005)</f>
        <v>1.005</v>
      </c>
      <c r="E1499" s="16">
        <f>IFERROR(__xludf.DUMMYFUNCTION("""COMPUTED_VALUE"""),65.0)</f>
        <v>65</v>
      </c>
      <c r="F1499" s="19" t="str">
        <f>IFERROR(__xludf.DUMMYFUNCTION("""COMPUTED_VALUE"""),"BLACK")</f>
        <v>BLACK</v>
      </c>
      <c r="G1499" s="20" t="str">
        <f>IFERROR(__xludf.DUMMYFUNCTION("""COMPUTED_VALUE"""),"Uncle Sams Cider (11/12/2021) 02")</f>
        <v>Uncle Sams Cider (11/12/2021) 02</v>
      </c>
      <c r="H1499" s="19"/>
    </row>
    <row r="1500">
      <c r="A1500" s="9"/>
      <c r="B1500" s="15"/>
      <c r="C1500" s="9">
        <f>IFERROR(__xludf.DUMMYFUNCTION("""COMPUTED_VALUE"""),44589.9055993865)</f>
        <v>44589.9056</v>
      </c>
      <c r="D1500" s="15">
        <f>IFERROR(__xludf.DUMMYFUNCTION("""COMPUTED_VALUE"""),1.005)</f>
        <v>1.005</v>
      </c>
      <c r="E1500" s="16">
        <f>IFERROR(__xludf.DUMMYFUNCTION("""COMPUTED_VALUE"""),65.0)</f>
        <v>65</v>
      </c>
      <c r="F1500" s="19" t="str">
        <f>IFERROR(__xludf.DUMMYFUNCTION("""COMPUTED_VALUE"""),"BLACK")</f>
        <v>BLACK</v>
      </c>
      <c r="G1500" s="20" t="str">
        <f>IFERROR(__xludf.DUMMYFUNCTION("""COMPUTED_VALUE"""),"Uncle Sams Cider (11/12/2021) 02")</f>
        <v>Uncle Sams Cider (11/12/2021) 02</v>
      </c>
      <c r="H1500" s="19"/>
    </row>
    <row r="1501">
      <c r="A1501" s="9"/>
      <c r="B1501" s="15"/>
      <c r="C1501" s="9">
        <f>IFERROR(__xludf.DUMMYFUNCTION("""COMPUTED_VALUE"""),44589.8951786921)</f>
        <v>44589.89518</v>
      </c>
      <c r="D1501" s="15">
        <f>IFERROR(__xludf.DUMMYFUNCTION("""COMPUTED_VALUE"""),1.005)</f>
        <v>1.005</v>
      </c>
      <c r="E1501" s="16">
        <f>IFERROR(__xludf.DUMMYFUNCTION("""COMPUTED_VALUE"""),65.0)</f>
        <v>65</v>
      </c>
      <c r="F1501" s="19" t="str">
        <f>IFERROR(__xludf.DUMMYFUNCTION("""COMPUTED_VALUE"""),"BLACK")</f>
        <v>BLACK</v>
      </c>
      <c r="G1501" s="20" t="str">
        <f>IFERROR(__xludf.DUMMYFUNCTION("""COMPUTED_VALUE"""),"Uncle Sams Cider (11/12/2021) 02")</f>
        <v>Uncle Sams Cider (11/12/2021) 02</v>
      </c>
      <c r="H1501" s="19"/>
    </row>
    <row r="1502">
      <c r="A1502" s="9"/>
      <c r="B1502" s="15"/>
      <c r="C1502" s="9">
        <f>IFERROR(__xludf.DUMMYFUNCTION("""COMPUTED_VALUE"""),44589.8847459953)</f>
        <v>44589.88475</v>
      </c>
      <c r="D1502" s="15">
        <f>IFERROR(__xludf.DUMMYFUNCTION("""COMPUTED_VALUE"""),1.005)</f>
        <v>1.005</v>
      </c>
      <c r="E1502" s="16">
        <f>IFERROR(__xludf.DUMMYFUNCTION("""COMPUTED_VALUE"""),66.0)</f>
        <v>66</v>
      </c>
      <c r="F1502" s="19" t="str">
        <f>IFERROR(__xludf.DUMMYFUNCTION("""COMPUTED_VALUE"""),"BLACK")</f>
        <v>BLACK</v>
      </c>
      <c r="G1502" s="20" t="str">
        <f>IFERROR(__xludf.DUMMYFUNCTION("""COMPUTED_VALUE"""),"Uncle Sams Cider (11/12/2021) 02")</f>
        <v>Uncle Sams Cider (11/12/2021) 02</v>
      </c>
      <c r="H1502" s="19"/>
    </row>
    <row r="1503">
      <c r="A1503" s="9"/>
      <c r="B1503" s="15"/>
      <c r="C1503" s="9">
        <f>IFERROR(__xludf.DUMMYFUNCTION("""COMPUTED_VALUE"""),44589.8743263078)</f>
        <v>44589.87433</v>
      </c>
      <c r="D1503" s="15">
        <f>IFERROR(__xludf.DUMMYFUNCTION("""COMPUTED_VALUE"""),1.005)</f>
        <v>1.005</v>
      </c>
      <c r="E1503" s="16">
        <f>IFERROR(__xludf.DUMMYFUNCTION("""COMPUTED_VALUE"""),66.0)</f>
        <v>66</v>
      </c>
      <c r="F1503" s="19" t="str">
        <f>IFERROR(__xludf.DUMMYFUNCTION("""COMPUTED_VALUE"""),"BLACK")</f>
        <v>BLACK</v>
      </c>
      <c r="G1503" s="20" t="str">
        <f>IFERROR(__xludf.DUMMYFUNCTION("""COMPUTED_VALUE"""),"Uncle Sams Cider (11/12/2021) 02")</f>
        <v>Uncle Sams Cider (11/12/2021) 02</v>
      </c>
      <c r="H1503" s="19"/>
    </row>
    <row r="1504">
      <c r="A1504" s="9"/>
      <c r="B1504" s="15"/>
      <c r="C1504" s="9">
        <f>IFERROR(__xludf.DUMMYFUNCTION("""COMPUTED_VALUE"""),44589.8639048379)</f>
        <v>44589.8639</v>
      </c>
      <c r="D1504" s="15">
        <f>IFERROR(__xludf.DUMMYFUNCTION("""COMPUTED_VALUE"""),1.004)</f>
        <v>1.004</v>
      </c>
      <c r="E1504" s="16">
        <f>IFERROR(__xludf.DUMMYFUNCTION("""COMPUTED_VALUE"""),66.0)</f>
        <v>66</v>
      </c>
      <c r="F1504" s="19" t="str">
        <f>IFERROR(__xludf.DUMMYFUNCTION("""COMPUTED_VALUE"""),"BLACK")</f>
        <v>BLACK</v>
      </c>
      <c r="G1504" s="20" t="str">
        <f>IFERROR(__xludf.DUMMYFUNCTION("""COMPUTED_VALUE"""),"Uncle Sams Cider (11/12/2021) 02")</f>
        <v>Uncle Sams Cider (11/12/2021) 02</v>
      </c>
      <c r="H1504" s="19"/>
    </row>
    <row r="1505">
      <c r="A1505" s="9"/>
      <c r="B1505" s="15"/>
      <c r="C1505" s="9">
        <f>IFERROR(__xludf.DUMMYFUNCTION("""COMPUTED_VALUE"""),44589.8534722685)</f>
        <v>44589.85347</v>
      </c>
      <c r="D1505" s="15">
        <f>IFERROR(__xludf.DUMMYFUNCTION("""COMPUTED_VALUE"""),1.005)</f>
        <v>1.005</v>
      </c>
      <c r="E1505" s="16">
        <f>IFERROR(__xludf.DUMMYFUNCTION("""COMPUTED_VALUE"""),66.0)</f>
        <v>66</v>
      </c>
      <c r="F1505" s="19" t="str">
        <f>IFERROR(__xludf.DUMMYFUNCTION("""COMPUTED_VALUE"""),"BLACK")</f>
        <v>BLACK</v>
      </c>
      <c r="G1505" s="20" t="str">
        <f>IFERROR(__xludf.DUMMYFUNCTION("""COMPUTED_VALUE"""),"Uncle Sams Cider (11/12/2021) 02")</f>
        <v>Uncle Sams Cider (11/12/2021) 02</v>
      </c>
      <c r="H1505" s="19"/>
    </row>
    <row r="1506">
      <c r="A1506" s="9"/>
      <c r="B1506" s="15"/>
      <c r="C1506" s="9">
        <f>IFERROR(__xludf.DUMMYFUNCTION("""COMPUTED_VALUE"""),44589.8430388773)</f>
        <v>44589.84304</v>
      </c>
      <c r="D1506" s="15">
        <f>IFERROR(__xludf.DUMMYFUNCTION("""COMPUTED_VALUE"""),1.005)</f>
        <v>1.005</v>
      </c>
      <c r="E1506" s="16">
        <f>IFERROR(__xludf.DUMMYFUNCTION("""COMPUTED_VALUE"""),66.0)</f>
        <v>66</v>
      </c>
      <c r="F1506" s="19" t="str">
        <f>IFERROR(__xludf.DUMMYFUNCTION("""COMPUTED_VALUE"""),"BLACK")</f>
        <v>BLACK</v>
      </c>
      <c r="G1506" s="20" t="str">
        <f>IFERROR(__xludf.DUMMYFUNCTION("""COMPUTED_VALUE"""),"Uncle Sams Cider (11/12/2021) 02")</f>
        <v>Uncle Sams Cider (11/12/2021) 02</v>
      </c>
      <c r="H1506" s="19"/>
    </row>
    <row r="1507">
      <c r="A1507" s="9"/>
      <c r="B1507" s="15"/>
      <c r="C1507" s="9">
        <f>IFERROR(__xludf.DUMMYFUNCTION("""COMPUTED_VALUE"""),44589.8326068171)</f>
        <v>44589.83261</v>
      </c>
      <c r="D1507" s="15">
        <f>IFERROR(__xludf.DUMMYFUNCTION("""COMPUTED_VALUE"""),1.005)</f>
        <v>1.005</v>
      </c>
      <c r="E1507" s="16">
        <f>IFERROR(__xludf.DUMMYFUNCTION("""COMPUTED_VALUE"""),66.0)</f>
        <v>66</v>
      </c>
      <c r="F1507" s="19" t="str">
        <f>IFERROR(__xludf.DUMMYFUNCTION("""COMPUTED_VALUE"""),"BLACK")</f>
        <v>BLACK</v>
      </c>
      <c r="G1507" s="20" t="str">
        <f>IFERROR(__xludf.DUMMYFUNCTION("""COMPUTED_VALUE"""),"Uncle Sams Cider (11/12/2021) 02")</f>
        <v>Uncle Sams Cider (11/12/2021) 02</v>
      </c>
      <c r="H1507" s="19"/>
    </row>
    <row r="1508">
      <c r="A1508" s="9"/>
      <c r="B1508" s="15"/>
      <c r="C1508" s="9">
        <f>IFERROR(__xludf.DUMMYFUNCTION("""COMPUTED_VALUE"""),44589.8221848148)</f>
        <v>44589.82218</v>
      </c>
      <c r="D1508" s="15">
        <f>IFERROR(__xludf.DUMMYFUNCTION("""COMPUTED_VALUE"""),1.005)</f>
        <v>1.005</v>
      </c>
      <c r="E1508" s="16">
        <f>IFERROR(__xludf.DUMMYFUNCTION("""COMPUTED_VALUE"""),66.0)</f>
        <v>66</v>
      </c>
      <c r="F1508" s="19" t="str">
        <f>IFERROR(__xludf.DUMMYFUNCTION("""COMPUTED_VALUE"""),"BLACK")</f>
        <v>BLACK</v>
      </c>
      <c r="G1508" s="20" t="str">
        <f>IFERROR(__xludf.DUMMYFUNCTION("""COMPUTED_VALUE"""),"Uncle Sams Cider (11/12/2021) 02")</f>
        <v>Uncle Sams Cider (11/12/2021) 02</v>
      </c>
      <c r="H1508" s="19"/>
    </row>
    <row r="1509">
      <c r="A1509" s="9"/>
      <c r="B1509" s="15"/>
      <c r="C1509" s="9">
        <f>IFERROR(__xludf.DUMMYFUNCTION("""COMPUTED_VALUE"""),44589.8117638657)</f>
        <v>44589.81176</v>
      </c>
      <c r="D1509" s="15">
        <f>IFERROR(__xludf.DUMMYFUNCTION("""COMPUTED_VALUE"""),1.005)</f>
        <v>1.005</v>
      </c>
      <c r="E1509" s="16">
        <f>IFERROR(__xludf.DUMMYFUNCTION("""COMPUTED_VALUE"""),66.0)</f>
        <v>66</v>
      </c>
      <c r="F1509" s="19" t="str">
        <f>IFERROR(__xludf.DUMMYFUNCTION("""COMPUTED_VALUE"""),"BLACK")</f>
        <v>BLACK</v>
      </c>
      <c r="G1509" s="20" t="str">
        <f>IFERROR(__xludf.DUMMYFUNCTION("""COMPUTED_VALUE"""),"Uncle Sams Cider (11/12/2021) 02")</f>
        <v>Uncle Sams Cider (11/12/2021) 02</v>
      </c>
      <c r="H1509" s="19"/>
    </row>
    <row r="1510">
      <c r="A1510" s="9"/>
      <c r="B1510" s="15"/>
      <c r="C1510" s="9">
        <f>IFERROR(__xludf.DUMMYFUNCTION("""COMPUTED_VALUE"""),44589.801318831)</f>
        <v>44589.80132</v>
      </c>
      <c r="D1510" s="15">
        <f>IFERROR(__xludf.DUMMYFUNCTION("""COMPUTED_VALUE"""),1.005)</f>
        <v>1.005</v>
      </c>
      <c r="E1510" s="16">
        <f>IFERROR(__xludf.DUMMYFUNCTION("""COMPUTED_VALUE"""),66.0)</f>
        <v>66</v>
      </c>
      <c r="F1510" s="19" t="str">
        <f>IFERROR(__xludf.DUMMYFUNCTION("""COMPUTED_VALUE"""),"BLACK")</f>
        <v>BLACK</v>
      </c>
      <c r="G1510" s="20" t="str">
        <f>IFERROR(__xludf.DUMMYFUNCTION("""COMPUTED_VALUE"""),"Uncle Sams Cider (11/12/2021) 02")</f>
        <v>Uncle Sams Cider (11/12/2021) 02</v>
      </c>
      <c r="H1510" s="19"/>
    </row>
    <row r="1511">
      <c r="A1511" s="9"/>
      <c r="B1511" s="15"/>
      <c r="C1511" s="9">
        <f>IFERROR(__xludf.DUMMYFUNCTION("""COMPUTED_VALUE"""),44589.790896493)</f>
        <v>44589.7909</v>
      </c>
      <c r="D1511" s="15">
        <f>IFERROR(__xludf.DUMMYFUNCTION("""COMPUTED_VALUE"""),1.005)</f>
        <v>1.005</v>
      </c>
      <c r="E1511" s="16">
        <f>IFERROR(__xludf.DUMMYFUNCTION("""COMPUTED_VALUE"""),66.0)</f>
        <v>66</v>
      </c>
      <c r="F1511" s="19" t="str">
        <f>IFERROR(__xludf.DUMMYFUNCTION("""COMPUTED_VALUE"""),"BLACK")</f>
        <v>BLACK</v>
      </c>
      <c r="G1511" s="20" t="str">
        <f>IFERROR(__xludf.DUMMYFUNCTION("""COMPUTED_VALUE"""),"Uncle Sams Cider (11/12/2021) 02")</f>
        <v>Uncle Sams Cider (11/12/2021) 02</v>
      </c>
      <c r="H1511" s="19"/>
    </row>
    <row r="1512">
      <c r="A1512" s="9"/>
      <c r="B1512" s="15"/>
      <c r="C1512" s="9">
        <f>IFERROR(__xludf.DUMMYFUNCTION("""COMPUTED_VALUE"""),44589.7804749884)</f>
        <v>44589.78047</v>
      </c>
      <c r="D1512" s="15">
        <f>IFERROR(__xludf.DUMMYFUNCTION("""COMPUTED_VALUE"""),1.005)</f>
        <v>1.005</v>
      </c>
      <c r="E1512" s="16">
        <f>IFERROR(__xludf.DUMMYFUNCTION("""COMPUTED_VALUE"""),66.0)</f>
        <v>66</v>
      </c>
      <c r="F1512" s="19" t="str">
        <f>IFERROR(__xludf.DUMMYFUNCTION("""COMPUTED_VALUE"""),"BLACK")</f>
        <v>BLACK</v>
      </c>
      <c r="G1512" s="20" t="str">
        <f>IFERROR(__xludf.DUMMYFUNCTION("""COMPUTED_VALUE"""),"Uncle Sams Cider (11/12/2021) 02")</f>
        <v>Uncle Sams Cider (11/12/2021) 02</v>
      </c>
      <c r="H1512" s="19"/>
    </row>
    <row r="1513">
      <c r="A1513" s="9"/>
      <c r="B1513" s="15"/>
      <c r="C1513" s="9">
        <f>IFERROR(__xludf.DUMMYFUNCTION("""COMPUTED_VALUE"""),44589.7700550578)</f>
        <v>44589.77006</v>
      </c>
      <c r="D1513" s="15">
        <f>IFERROR(__xludf.DUMMYFUNCTION("""COMPUTED_VALUE"""),1.005)</f>
        <v>1.005</v>
      </c>
      <c r="E1513" s="16">
        <f>IFERROR(__xludf.DUMMYFUNCTION("""COMPUTED_VALUE"""),66.0)</f>
        <v>66</v>
      </c>
      <c r="F1513" s="19" t="str">
        <f>IFERROR(__xludf.DUMMYFUNCTION("""COMPUTED_VALUE"""),"BLACK")</f>
        <v>BLACK</v>
      </c>
      <c r="G1513" s="20" t="str">
        <f>IFERROR(__xludf.DUMMYFUNCTION("""COMPUTED_VALUE"""),"Uncle Sams Cider (11/12/2021) 02")</f>
        <v>Uncle Sams Cider (11/12/2021) 02</v>
      </c>
      <c r="H1513" s="19"/>
    </row>
    <row r="1514">
      <c r="A1514" s="9"/>
      <c r="B1514" s="15"/>
      <c r="C1514" s="9">
        <f>IFERROR(__xludf.DUMMYFUNCTION("""COMPUTED_VALUE"""),44589.759634537)</f>
        <v>44589.75963</v>
      </c>
      <c r="D1514" s="15">
        <f>IFERROR(__xludf.DUMMYFUNCTION("""COMPUTED_VALUE"""),1.005)</f>
        <v>1.005</v>
      </c>
      <c r="E1514" s="16">
        <f>IFERROR(__xludf.DUMMYFUNCTION("""COMPUTED_VALUE"""),66.0)</f>
        <v>66</v>
      </c>
      <c r="F1514" s="19" t="str">
        <f>IFERROR(__xludf.DUMMYFUNCTION("""COMPUTED_VALUE"""),"BLACK")</f>
        <v>BLACK</v>
      </c>
      <c r="G1514" s="20" t="str">
        <f>IFERROR(__xludf.DUMMYFUNCTION("""COMPUTED_VALUE"""),"Uncle Sams Cider (11/12/2021) 02")</f>
        <v>Uncle Sams Cider (11/12/2021) 02</v>
      </c>
      <c r="H1514" s="19"/>
    </row>
    <row r="1515">
      <c r="A1515" s="9"/>
      <c r="B1515" s="15"/>
      <c r="C1515" s="9">
        <f>IFERROR(__xludf.DUMMYFUNCTION("""COMPUTED_VALUE"""),44589.7492144328)</f>
        <v>44589.74921</v>
      </c>
      <c r="D1515" s="15">
        <f>IFERROR(__xludf.DUMMYFUNCTION("""COMPUTED_VALUE"""),1.005)</f>
        <v>1.005</v>
      </c>
      <c r="E1515" s="16">
        <f>IFERROR(__xludf.DUMMYFUNCTION("""COMPUTED_VALUE"""),66.0)</f>
        <v>66</v>
      </c>
      <c r="F1515" s="19" t="str">
        <f>IFERROR(__xludf.DUMMYFUNCTION("""COMPUTED_VALUE"""),"BLACK")</f>
        <v>BLACK</v>
      </c>
      <c r="G1515" s="20" t="str">
        <f>IFERROR(__xludf.DUMMYFUNCTION("""COMPUTED_VALUE"""),"Uncle Sams Cider (11/12/2021) 02")</f>
        <v>Uncle Sams Cider (11/12/2021) 02</v>
      </c>
      <c r="H1515" s="19"/>
    </row>
    <row r="1516">
      <c r="A1516" s="9"/>
      <c r="B1516" s="15"/>
      <c r="C1516" s="9">
        <f>IFERROR(__xludf.DUMMYFUNCTION("""COMPUTED_VALUE"""),44589.7387928009)</f>
        <v>44589.73879</v>
      </c>
      <c r="D1516" s="15">
        <f>IFERROR(__xludf.DUMMYFUNCTION("""COMPUTED_VALUE"""),1.005)</f>
        <v>1.005</v>
      </c>
      <c r="E1516" s="16">
        <f>IFERROR(__xludf.DUMMYFUNCTION("""COMPUTED_VALUE"""),66.0)</f>
        <v>66</v>
      </c>
      <c r="F1516" s="19" t="str">
        <f>IFERROR(__xludf.DUMMYFUNCTION("""COMPUTED_VALUE"""),"BLACK")</f>
        <v>BLACK</v>
      </c>
      <c r="G1516" s="20" t="str">
        <f>IFERROR(__xludf.DUMMYFUNCTION("""COMPUTED_VALUE"""),"Uncle Sams Cider (11/12/2021) 02")</f>
        <v>Uncle Sams Cider (11/12/2021) 02</v>
      </c>
      <c r="H1516" s="19"/>
    </row>
    <row r="1517">
      <c r="A1517" s="9"/>
      <c r="B1517" s="15"/>
      <c r="C1517" s="9">
        <f>IFERROR(__xludf.DUMMYFUNCTION("""COMPUTED_VALUE"""),44589.728369456)</f>
        <v>44589.72837</v>
      </c>
      <c r="D1517" s="15">
        <f>IFERROR(__xludf.DUMMYFUNCTION("""COMPUTED_VALUE"""),1.005)</f>
        <v>1.005</v>
      </c>
      <c r="E1517" s="16">
        <f>IFERROR(__xludf.DUMMYFUNCTION("""COMPUTED_VALUE"""),66.0)</f>
        <v>66</v>
      </c>
      <c r="F1517" s="19" t="str">
        <f>IFERROR(__xludf.DUMMYFUNCTION("""COMPUTED_VALUE"""),"BLACK")</f>
        <v>BLACK</v>
      </c>
      <c r="G1517" s="20" t="str">
        <f>IFERROR(__xludf.DUMMYFUNCTION("""COMPUTED_VALUE"""),"Uncle Sams Cider (11/12/2021) 02")</f>
        <v>Uncle Sams Cider (11/12/2021) 02</v>
      </c>
      <c r="H1517" s="19"/>
    </row>
    <row r="1518">
      <c r="A1518" s="9"/>
      <c r="B1518" s="15"/>
      <c r="C1518" s="9">
        <f>IFERROR(__xludf.DUMMYFUNCTION("""COMPUTED_VALUE"""),44589.7179027546)</f>
        <v>44589.7179</v>
      </c>
      <c r="D1518" s="15">
        <f>IFERROR(__xludf.DUMMYFUNCTION("""COMPUTED_VALUE"""),1.005)</f>
        <v>1.005</v>
      </c>
      <c r="E1518" s="16">
        <f>IFERROR(__xludf.DUMMYFUNCTION("""COMPUTED_VALUE"""),66.0)</f>
        <v>66</v>
      </c>
      <c r="F1518" s="19" t="str">
        <f>IFERROR(__xludf.DUMMYFUNCTION("""COMPUTED_VALUE"""),"BLACK")</f>
        <v>BLACK</v>
      </c>
      <c r="G1518" s="20" t="str">
        <f>IFERROR(__xludf.DUMMYFUNCTION("""COMPUTED_VALUE"""),"Uncle Sams Cider (11/12/2021) 02")</f>
        <v>Uncle Sams Cider (11/12/2021) 02</v>
      </c>
      <c r="H1518" s="19"/>
    </row>
    <row r="1519">
      <c r="A1519" s="9"/>
      <c r="B1519" s="15"/>
      <c r="C1519" s="9">
        <f>IFERROR(__xludf.DUMMYFUNCTION("""COMPUTED_VALUE"""),44589.7074833217)</f>
        <v>44589.70748</v>
      </c>
      <c r="D1519" s="15">
        <f>IFERROR(__xludf.DUMMYFUNCTION("""COMPUTED_VALUE"""),1.005)</f>
        <v>1.005</v>
      </c>
      <c r="E1519" s="16">
        <f>IFERROR(__xludf.DUMMYFUNCTION("""COMPUTED_VALUE"""),66.0)</f>
        <v>66</v>
      </c>
      <c r="F1519" s="19" t="str">
        <f>IFERROR(__xludf.DUMMYFUNCTION("""COMPUTED_VALUE"""),"BLACK")</f>
        <v>BLACK</v>
      </c>
      <c r="G1519" s="20" t="str">
        <f>IFERROR(__xludf.DUMMYFUNCTION("""COMPUTED_VALUE"""),"Uncle Sams Cider (11/12/2021) 02")</f>
        <v>Uncle Sams Cider (11/12/2021) 02</v>
      </c>
      <c r="H1519" s="19"/>
    </row>
    <row r="1520">
      <c r="A1520" s="9"/>
      <c r="B1520" s="15"/>
      <c r="C1520" s="9">
        <f>IFERROR(__xludf.DUMMYFUNCTION("""COMPUTED_VALUE"""),44589.6970632407)</f>
        <v>44589.69706</v>
      </c>
      <c r="D1520" s="15">
        <f>IFERROR(__xludf.DUMMYFUNCTION("""COMPUTED_VALUE"""),1.004)</f>
        <v>1.004</v>
      </c>
      <c r="E1520" s="16">
        <f>IFERROR(__xludf.DUMMYFUNCTION("""COMPUTED_VALUE"""),66.0)</f>
        <v>66</v>
      </c>
      <c r="F1520" s="19" t="str">
        <f>IFERROR(__xludf.DUMMYFUNCTION("""COMPUTED_VALUE"""),"BLACK")</f>
        <v>BLACK</v>
      </c>
      <c r="G1520" s="20" t="str">
        <f>IFERROR(__xludf.DUMMYFUNCTION("""COMPUTED_VALUE"""),"Uncle Sams Cider (11/12/2021) 02")</f>
        <v>Uncle Sams Cider (11/12/2021) 02</v>
      </c>
      <c r="H1520" s="19"/>
    </row>
    <row r="1521">
      <c r="A1521" s="9"/>
      <c r="B1521" s="15"/>
      <c r="C1521" s="9">
        <f>IFERROR(__xludf.DUMMYFUNCTION("""COMPUTED_VALUE"""),44589.6866435879)</f>
        <v>44589.68664</v>
      </c>
      <c r="D1521" s="15">
        <f>IFERROR(__xludf.DUMMYFUNCTION("""COMPUTED_VALUE"""),1.005)</f>
        <v>1.005</v>
      </c>
      <c r="E1521" s="16">
        <f>IFERROR(__xludf.DUMMYFUNCTION("""COMPUTED_VALUE"""),66.0)</f>
        <v>66</v>
      </c>
      <c r="F1521" s="19" t="str">
        <f>IFERROR(__xludf.DUMMYFUNCTION("""COMPUTED_VALUE"""),"BLACK")</f>
        <v>BLACK</v>
      </c>
      <c r="G1521" s="20" t="str">
        <f>IFERROR(__xludf.DUMMYFUNCTION("""COMPUTED_VALUE"""),"Uncle Sams Cider (11/12/2021) 02")</f>
        <v>Uncle Sams Cider (11/12/2021) 02</v>
      </c>
      <c r="H1521" s="19"/>
    </row>
    <row r="1522">
      <c r="A1522" s="9"/>
      <c r="B1522" s="15"/>
      <c r="C1522" s="9">
        <f>IFERROR(__xludf.DUMMYFUNCTION("""COMPUTED_VALUE"""),44589.6762218287)</f>
        <v>44589.67622</v>
      </c>
      <c r="D1522" s="15">
        <f>IFERROR(__xludf.DUMMYFUNCTION("""COMPUTED_VALUE"""),1.005)</f>
        <v>1.005</v>
      </c>
      <c r="E1522" s="16">
        <f>IFERROR(__xludf.DUMMYFUNCTION("""COMPUTED_VALUE"""),66.0)</f>
        <v>66</v>
      </c>
      <c r="F1522" s="19" t="str">
        <f>IFERROR(__xludf.DUMMYFUNCTION("""COMPUTED_VALUE"""),"BLACK")</f>
        <v>BLACK</v>
      </c>
      <c r="G1522" s="20" t="str">
        <f>IFERROR(__xludf.DUMMYFUNCTION("""COMPUTED_VALUE"""),"Uncle Sams Cider (11/12/2021) 02")</f>
        <v>Uncle Sams Cider (11/12/2021) 02</v>
      </c>
      <c r="H1522" s="19"/>
    </row>
    <row r="1523">
      <c r="A1523" s="9"/>
      <c r="B1523" s="15"/>
      <c r="C1523" s="9">
        <f>IFERROR(__xludf.DUMMYFUNCTION("""COMPUTED_VALUE"""),44589.6658004629)</f>
        <v>44589.6658</v>
      </c>
      <c r="D1523" s="15">
        <f>IFERROR(__xludf.DUMMYFUNCTION("""COMPUTED_VALUE"""),1.004)</f>
        <v>1.004</v>
      </c>
      <c r="E1523" s="16">
        <f>IFERROR(__xludf.DUMMYFUNCTION("""COMPUTED_VALUE"""),66.0)</f>
        <v>66</v>
      </c>
      <c r="F1523" s="19" t="str">
        <f>IFERROR(__xludf.DUMMYFUNCTION("""COMPUTED_VALUE"""),"BLACK")</f>
        <v>BLACK</v>
      </c>
      <c r="G1523" s="20" t="str">
        <f>IFERROR(__xludf.DUMMYFUNCTION("""COMPUTED_VALUE"""),"Uncle Sams Cider (11/12/2021) 02")</f>
        <v>Uncle Sams Cider (11/12/2021) 02</v>
      </c>
      <c r="H1523" s="19"/>
    </row>
    <row r="1524">
      <c r="A1524" s="9"/>
      <c r="B1524" s="15"/>
      <c r="C1524" s="9">
        <f>IFERROR(__xludf.DUMMYFUNCTION("""COMPUTED_VALUE"""),44589.6553785995)</f>
        <v>44589.65538</v>
      </c>
      <c r="D1524" s="15">
        <f>IFERROR(__xludf.DUMMYFUNCTION("""COMPUTED_VALUE"""),1.005)</f>
        <v>1.005</v>
      </c>
      <c r="E1524" s="16">
        <f>IFERROR(__xludf.DUMMYFUNCTION("""COMPUTED_VALUE"""),66.0)</f>
        <v>66</v>
      </c>
      <c r="F1524" s="19" t="str">
        <f>IFERROR(__xludf.DUMMYFUNCTION("""COMPUTED_VALUE"""),"BLACK")</f>
        <v>BLACK</v>
      </c>
      <c r="G1524" s="20" t="str">
        <f>IFERROR(__xludf.DUMMYFUNCTION("""COMPUTED_VALUE"""),"Uncle Sams Cider (11/12/2021) 02")</f>
        <v>Uncle Sams Cider (11/12/2021) 02</v>
      </c>
      <c r="H1524" s="19"/>
    </row>
    <row r="1525">
      <c r="A1525" s="9"/>
      <c r="B1525" s="15"/>
      <c r="C1525" s="9">
        <f>IFERROR(__xludf.DUMMYFUNCTION("""COMPUTED_VALUE"""),44589.6449555671)</f>
        <v>44589.64496</v>
      </c>
      <c r="D1525" s="15">
        <f>IFERROR(__xludf.DUMMYFUNCTION("""COMPUTED_VALUE"""),1.004)</f>
        <v>1.004</v>
      </c>
      <c r="E1525" s="16">
        <f>IFERROR(__xludf.DUMMYFUNCTION("""COMPUTED_VALUE"""),66.0)</f>
        <v>66</v>
      </c>
      <c r="F1525" s="19" t="str">
        <f>IFERROR(__xludf.DUMMYFUNCTION("""COMPUTED_VALUE"""),"BLACK")</f>
        <v>BLACK</v>
      </c>
      <c r="G1525" s="20" t="str">
        <f>IFERROR(__xludf.DUMMYFUNCTION("""COMPUTED_VALUE"""),"Uncle Sams Cider (11/12/2021) 02")</f>
        <v>Uncle Sams Cider (11/12/2021) 02</v>
      </c>
      <c r="H1525" s="19"/>
    </row>
    <row r="1526">
      <c r="A1526" s="9"/>
      <c r="B1526" s="15"/>
      <c r="C1526" s="9">
        <f>IFERROR(__xludf.DUMMYFUNCTION("""COMPUTED_VALUE"""),44589.6345230324)</f>
        <v>44589.63452</v>
      </c>
      <c r="D1526" s="15">
        <f>IFERROR(__xludf.DUMMYFUNCTION("""COMPUTED_VALUE"""),1.005)</f>
        <v>1.005</v>
      </c>
      <c r="E1526" s="16">
        <f>IFERROR(__xludf.DUMMYFUNCTION("""COMPUTED_VALUE"""),66.0)</f>
        <v>66</v>
      </c>
      <c r="F1526" s="19" t="str">
        <f>IFERROR(__xludf.DUMMYFUNCTION("""COMPUTED_VALUE"""),"BLACK")</f>
        <v>BLACK</v>
      </c>
      <c r="G1526" s="20" t="str">
        <f>IFERROR(__xludf.DUMMYFUNCTION("""COMPUTED_VALUE"""),"Uncle Sams Cider (11/12/2021) 02")</f>
        <v>Uncle Sams Cider (11/12/2021) 02</v>
      </c>
      <c r="H1526" s="19"/>
    </row>
    <row r="1527">
      <c r="A1527" s="9"/>
      <c r="B1527" s="15"/>
      <c r="C1527" s="9">
        <f>IFERROR(__xludf.DUMMYFUNCTION("""COMPUTED_VALUE"""),44589.6240666898)</f>
        <v>44589.62407</v>
      </c>
      <c r="D1527" s="15">
        <f>IFERROR(__xludf.DUMMYFUNCTION("""COMPUTED_VALUE"""),1.005)</f>
        <v>1.005</v>
      </c>
      <c r="E1527" s="16">
        <f>IFERROR(__xludf.DUMMYFUNCTION("""COMPUTED_VALUE"""),66.0)</f>
        <v>66</v>
      </c>
      <c r="F1527" s="19" t="str">
        <f>IFERROR(__xludf.DUMMYFUNCTION("""COMPUTED_VALUE"""),"BLACK")</f>
        <v>BLACK</v>
      </c>
      <c r="G1527" s="20" t="str">
        <f>IFERROR(__xludf.DUMMYFUNCTION("""COMPUTED_VALUE"""),"Uncle Sams Cider (11/12/2021) 02")</f>
        <v>Uncle Sams Cider (11/12/2021) 02</v>
      </c>
      <c r="H1527" s="19"/>
    </row>
    <row r="1528">
      <c r="A1528" s="9"/>
      <c r="B1528" s="15"/>
      <c r="C1528" s="9">
        <f>IFERROR(__xludf.DUMMYFUNCTION("""COMPUTED_VALUE"""),44589.613634618)</f>
        <v>44589.61363</v>
      </c>
      <c r="D1528" s="15">
        <f>IFERROR(__xludf.DUMMYFUNCTION("""COMPUTED_VALUE"""),1.004)</f>
        <v>1.004</v>
      </c>
      <c r="E1528" s="16">
        <f>IFERROR(__xludf.DUMMYFUNCTION("""COMPUTED_VALUE"""),67.0)</f>
        <v>67</v>
      </c>
      <c r="F1528" s="19" t="str">
        <f>IFERROR(__xludf.DUMMYFUNCTION("""COMPUTED_VALUE"""),"BLACK")</f>
        <v>BLACK</v>
      </c>
      <c r="G1528" s="20" t="str">
        <f>IFERROR(__xludf.DUMMYFUNCTION("""COMPUTED_VALUE"""),"Uncle Sams Cider (11/12/2021) 02")</f>
        <v>Uncle Sams Cider (11/12/2021) 02</v>
      </c>
      <c r="H1528" s="19"/>
    </row>
    <row r="1529">
      <c r="A1529" s="9"/>
      <c r="B1529" s="15"/>
      <c r="C1529" s="9">
        <f>IFERROR(__xludf.DUMMYFUNCTION("""COMPUTED_VALUE"""),44589.6032122106)</f>
        <v>44589.60321</v>
      </c>
      <c r="D1529" s="15">
        <f>IFERROR(__xludf.DUMMYFUNCTION("""COMPUTED_VALUE"""),1.005)</f>
        <v>1.005</v>
      </c>
      <c r="E1529" s="16">
        <f>IFERROR(__xludf.DUMMYFUNCTION("""COMPUTED_VALUE"""),67.0)</f>
        <v>67</v>
      </c>
      <c r="F1529" s="19" t="str">
        <f>IFERROR(__xludf.DUMMYFUNCTION("""COMPUTED_VALUE"""),"BLACK")</f>
        <v>BLACK</v>
      </c>
      <c r="G1529" s="20" t="str">
        <f>IFERROR(__xludf.DUMMYFUNCTION("""COMPUTED_VALUE"""),"Uncle Sams Cider (11/12/2021) 02")</f>
        <v>Uncle Sams Cider (11/12/2021) 02</v>
      </c>
      <c r="H1529" s="19"/>
    </row>
    <row r="1530">
      <c r="A1530" s="9"/>
      <c r="B1530" s="15"/>
      <c r="C1530" s="9">
        <f>IFERROR(__xludf.DUMMYFUNCTION("""COMPUTED_VALUE"""),44589.5927899768)</f>
        <v>44589.59279</v>
      </c>
      <c r="D1530" s="15">
        <f>IFERROR(__xludf.DUMMYFUNCTION("""COMPUTED_VALUE"""),1.005)</f>
        <v>1.005</v>
      </c>
      <c r="E1530" s="16">
        <f>IFERROR(__xludf.DUMMYFUNCTION("""COMPUTED_VALUE"""),67.0)</f>
        <v>67</v>
      </c>
      <c r="F1530" s="19" t="str">
        <f>IFERROR(__xludf.DUMMYFUNCTION("""COMPUTED_VALUE"""),"BLACK")</f>
        <v>BLACK</v>
      </c>
      <c r="G1530" s="20" t="str">
        <f>IFERROR(__xludf.DUMMYFUNCTION("""COMPUTED_VALUE"""),"Uncle Sams Cider (11/12/2021) 02")</f>
        <v>Uncle Sams Cider (11/12/2021) 02</v>
      </c>
      <c r="H1530" s="19"/>
    </row>
    <row r="1531">
      <c r="A1531" s="9"/>
      <c r="B1531" s="15"/>
      <c r="C1531" s="9">
        <f>IFERROR(__xludf.DUMMYFUNCTION("""COMPUTED_VALUE"""),44589.5823689351)</f>
        <v>44589.58237</v>
      </c>
      <c r="D1531" s="15">
        <f>IFERROR(__xludf.DUMMYFUNCTION("""COMPUTED_VALUE"""),1.005)</f>
        <v>1.005</v>
      </c>
      <c r="E1531" s="16">
        <f>IFERROR(__xludf.DUMMYFUNCTION("""COMPUTED_VALUE"""),67.0)</f>
        <v>67</v>
      </c>
      <c r="F1531" s="19" t="str">
        <f>IFERROR(__xludf.DUMMYFUNCTION("""COMPUTED_VALUE"""),"BLACK")</f>
        <v>BLACK</v>
      </c>
      <c r="G1531" s="20" t="str">
        <f>IFERROR(__xludf.DUMMYFUNCTION("""COMPUTED_VALUE"""),"Uncle Sams Cider (11/12/2021) 02")</f>
        <v>Uncle Sams Cider (11/12/2021) 02</v>
      </c>
      <c r="H1531" s="19"/>
    </row>
    <row r="1532">
      <c r="A1532" s="9"/>
      <c r="B1532" s="15"/>
      <c r="C1532" s="9">
        <f>IFERROR(__xludf.DUMMYFUNCTION("""COMPUTED_VALUE"""),44589.5719361111)</f>
        <v>44589.57194</v>
      </c>
      <c r="D1532" s="15">
        <f>IFERROR(__xludf.DUMMYFUNCTION("""COMPUTED_VALUE"""),1.005)</f>
        <v>1.005</v>
      </c>
      <c r="E1532" s="16">
        <f>IFERROR(__xludf.DUMMYFUNCTION("""COMPUTED_VALUE"""),67.0)</f>
        <v>67</v>
      </c>
      <c r="F1532" s="19" t="str">
        <f>IFERROR(__xludf.DUMMYFUNCTION("""COMPUTED_VALUE"""),"BLACK")</f>
        <v>BLACK</v>
      </c>
      <c r="G1532" s="20" t="str">
        <f>IFERROR(__xludf.DUMMYFUNCTION("""COMPUTED_VALUE"""),"Uncle Sams Cider (11/12/2021) 02")</f>
        <v>Uncle Sams Cider (11/12/2021) 02</v>
      </c>
      <c r="H1532" s="19"/>
    </row>
    <row r="1533">
      <c r="A1533" s="9"/>
      <c r="B1533" s="15"/>
      <c r="C1533" s="9">
        <f>IFERROR(__xludf.DUMMYFUNCTION("""COMPUTED_VALUE"""),44589.5615145949)</f>
        <v>44589.56151</v>
      </c>
      <c r="D1533" s="15">
        <f>IFERROR(__xludf.DUMMYFUNCTION("""COMPUTED_VALUE"""),1.005)</f>
        <v>1.005</v>
      </c>
      <c r="E1533" s="16">
        <f>IFERROR(__xludf.DUMMYFUNCTION("""COMPUTED_VALUE"""),67.0)</f>
        <v>67</v>
      </c>
      <c r="F1533" s="19" t="str">
        <f>IFERROR(__xludf.DUMMYFUNCTION("""COMPUTED_VALUE"""),"BLACK")</f>
        <v>BLACK</v>
      </c>
      <c r="G1533" s="20" t="str">
        <f>IFERROR(__xludf.DUMMYFUNCTION("""COMPUTED_VALUE"""),"Uncle Sams Cider (11/12/2021) 02")</f>
        <v>Uncle Sams Cider (11/12/2021) 02</v>
      </c>
      <c r="H1533" s="19"/>
    </row>
    <row r="1534">
      <c r="A1534" s="9"/>
      <c r="B1534" s="15"/>
      <c r="C1534" s="9">
        <f>IFERROR(__xludf.DUMMYFUNCTION("""COMPUTED_VALUE"""),44589.5510812384)</f>
        <v>44589.55108</v>
      </c>
      <c r="D1534" s="15">
        <f>IFERROR(__xludf.DUMMYFUNCTION("""COMPUTED_VALUE"""),1.004)</f>
        <v>1.004</v>
      </c>
      <c r="E1534" s="16">
        <f>IFERROR(__xludf.DUMMYFUNCTION("""COMPUTED_VALUE"""),67.0)</f>
        <v>67</v>
      </c>
      <c r="F1534" s="19" t="str">
        <f>IFERROR(__xludf.DUMMYFUNCTION("""COMPUTED_VALUE"""),"BLACK")</f>
        <v>BLACK</v>
      </c>
      <c r="G1534" s="20" t="str">
        <f>IFERROR(__xludf.DUMMYFUNCTION("""COMPUTED_VALUE"""),"Uncle Sams Cider (11/12/2021) 02")</f>
        <v>Uncle Sams Cider (11/12/2021) 02</v>
      </c>
      <c r="H1534" s="19"/>
    </row>
    <row r="1535">
      <c r="A1535" s="9"/>
      <c r="B1535" s="15"/>
      <c r="C1535" s="9">
        <f>IFERROR(__xludf.DUMMYFUNCTION("""COMPUTED_VALUE"""),44589.5406479166)</f>
        <v>44589.54065</v>
      </c>
      <c r="D1535" s="15">
        <f>IFERROR(__xludf.DUMMYFUNCTION("""COMPUTED_VALUE"""),1.005)</f>
        <v>1.005</v>
      </c>
      <c r="E1535" s="16">
        <f>IFERROR(__xludf.DUMMYFUNCTION("""COMPUTED_VALUE"""),67.0)</f>
        <v>67</v>
      </c>
      <c r="F1535" s="19" t="str">
        <f>IFERROR(__xludf.DUMMYFUNCTION("""COMPUTED_VALUE"""),"BLACK")</f>
        <v>BLACK</v>
      </c>
      <c r="G1535" s="20" t="str">
        <f>IFERROR(__xludf.DUMMYFUNCTION("""COMPUTED_VALUE"""),"Uncle Sams Cider (11/12/2021) 02")</f>
        <v>Uncle Sams Cider (11/12/2021) 02</v>
      </c>
      <c r="H1535" s="19"/>
    </row>
    <row r="1536">
      <c r="A1536" s="9"/>
      <c r="B1536" s="15"/>
      <c r="C1536" s="9">
        <f>IFERROR(__xludf.DUMMYFUNCTION("""COMPUTED_VALUE"""),44589.5302257175)</f>
        <v>44589.53023</v>
      </c>
      <c r="D1536" s="15">
        <f>IFERROR(__xludf.DUMMYFUNCTION("""COMPUTED_VALUE"""),1.005)</f>
        <v>1.005</v>
      </c>
      <c r="E1536" s="16">
        <f>IFERROR(__xludf.DUMMYFUNCTION("""COMPUTED_VALUE"""),67.0)</f>
        <v>67</v>
      </c>
      <c r="F1536" s="19" t="str">
        <f>IFERROR(__xludf.DUMMYFUNCTION("""COMPUTED_VALUE"""),"BLACK")</f>
        <v>BLACK</v>
      </c>
      <c r="G1536" s="20" t="str">
        <f>IFERROR(__xludf.DUMMYFUNCTION("""COMPUTED_VALUE"""),"Uncle Sams Cider (11/12/2021) 02")</f>
        <v>Uncle Sams Cider (11/12/2021) 02</v>
      </c>
      <c r="H1536" s="19"/>
    </row>
    <row r="1537">
      <c r="A1537" s="9"/>
      <c r="B1537" s="15"/>
      <c r="C1537" s="9">
        <f>IFERROR(__xludf.DUMMYFUNCTION("""COMPUTED_VALUE"""),44589.5198031597)</f>
        <v>44589.5198</v>
      </c>
      <c r="D1537" s="15">
        <f>IFERROR(__xludf.DUMMYFUNCTION("""COMPUTED_VALUE"""),1.005)</f>
        <v>1.005</v>
      </c>
      <c r="E1537" s="16">
        <f>IFERROR(__xludf.DUMMYFUNCTION("""COMPUTED_VALUE"""),67.0)</f>
        <v>67</v>
      </c>
      <c r="F1537" s="19" t="str">
        <f>IFERROR(__xludf.DUMMYFUNCTION("""COMPUTED_VALUE"""),"BLACK")</f>
        <v>BLACK</v>
      </c>
      <c r="G1537" s="20" t="str">
        <f>IFERROR(__xludf.DUMMYFUNCTION("""COMPUTED_VALUE"""),"Uncle Sams Cider (11/12/2021) 02")</f>
        <v>Uncle Sams Cider (11/12/2021) 02</v>
      </c>
      <c r="H1537" s="19"/>
    </row>
    <row r="1538">
      <c r="A1538" s="9"/>
      <c r="B1538" s="15"/>
      <c r="C1538" s="9">
        <f>IFERROR(__xludf.DUMMYFUNCTION("""COMPUTED_VALUE"""),44589.5093817939)</f>
        <v>44589.50938</v>
      </c>
      <c r="D1538" s="15">
        <f>IFERROR(__xludf.DUMMYFUNCTION("""COMPUTED_VALUE"""),1.005)</f>
        <v>1.005</v>
      </c>
      <c r="E1538" s="16">
        <f>IFERROR(__xludf.DUMMYFUNCTION("""COMPUTED_VALUE"""),67.0)</f>
        <v>67</v>
      </c>
      <c r="F1538" s="19" t="str">
        <f>IFERROR(__xludf.DUMMYFUNCTION("""COMPUTED_VALUE"""),"BLACK")</f>
        <v>BLACK</v>
      </c>
      <c r="G1538" s="20" t="str">
        <f>IFERROR(__xludf.DUMMYFUNCTION("""COMPUTED_VALUE"""),"Uncle Sams Cider (11/12/2021) 02")</f>
        <v>Uncle Sams Cider (11/12/2021) 02</v>
      </c>
      <c r="H1538" s="19"/>
    </row>
    <row r="1539">
      <c r="A1539" s="9"/>
      <c r="B1539" s="15"/>
      <c r="C1539" s="9">
        <f>IFERROR(__xludf.DUMMYFUNCTION("""COMPUTED_VALUE"""),44589.4989134837)</f>
        <v>44589.49891</v>
      </c>
      <c r="D1539" s="15">
        <f>IFERROR(__xludf.DUMMYFUNCTION("""COMPUTED_VALUE"""),1.004)</f>
        <v>1.004</v>
      </c>
      <c r="E1539" s="16">
        <f>IFERROR(__xludf.DUMMYFUNCTION("""COMPUTED_VALUE"""),67.0)</f>
        <v>67</v>
      </c>
      <c r="F1539" s="19" t="str">
        <f>IFERROR(__xludf.DUMMYFUNCTION("""COMPUTED_VALUE"""),"BLACK")</f>
        <v>BLACK</v>
      </c>
      <c r="G1539" s="20" t="str">
        <f>IFERROR(__xludf.DUMMYFUNCTION("""COMPUTED_VALUE"""),"Uncle Sams Cider (11/12/2021) 02")</f>
        <v>Uncle Sams Cider (11/12/2021) 02</v>
      </c>
      <c r="H1539" s="19"/>
    </row>
    <row r="1540">
      <c r="A1540" s="9"/>
      <c r="B1540" s="15"/>
      <c r="C1540" s="9">
        <f>IFERROR(__xludf.DUMMYFUNCTION("""COMPUTED_VALUE"""),44589.4884821759)</f>
        <v>44589.48848</v>
      </c>
      <c r="D1540" s="15">
        <f>IFERROR(__xludf.DUMMYFUNCTION("""COMPUTED_VALUE"""),1.005)</f>
        <v>1.005</v>
      </c>
      <c r="E1540" s="16">
        <f>IFERROR(__xludf.DUMMYFUNCTION("""COMPUTED_VALUE"""),67.0)</f>
        <v>67</v>
      </c>
      <c r="F1540" s="19" t="str">
        <f>IFERROR(__xludf.DUMMYFUNCTION("""COMPUTED_VALUE"""),"BLACK")</f>
        <v>BLACK</v>
      </c>
      <c r="G1540" s="20" t="str">
        <f>IFERROR(__xludf.DUMMYFUNCTION("""COMPUTED_VALUE"""),"Uncle Sams Cider (11/12/2021) 02")</f>
        <v>Uncle Sams Cider (11/12/2021) 02</v>
      </c>
      <c r="H1540" s="19"/>
    </row>
    <row r="1541">
      <c r="A1541" s="9"/>
      <c r="B1541" s="15"/>
      <c r="C1541" s="9">
        <f>IFERROR(__xludf.DUMMYFUNCTION("""COMPUTED_VALUE"""),44589.4780136574)</f>
        <v>44589.47801</v>
      </c>
      <c r="D1541" s="15">
        <f>IFERROR(__xludf.DUMMYFUNCTION("""COMPUTED_VALUE"""),1.005)</f>
        <v>1.005</v>
      </c>
      <c r="E1541" s="16">
        <f>IFERROR(__xludf.DUMMYFUNCTION("""COMPUTED_VALUE"""),67.0)</f>
        <v>67</v>
      </c>
      <c r="F1541" s="19" t="str">
        <f>IFERROR(__xludf.DUMMYFUNCTION("""COMPUTED_VALUE"""),"BLACK")</f>
        <v>BLACK</v>
      </c>
      <c r="G1541" s="20" t="str">
        <f>IFERROR(__xludf.DUMMYFUNCTION("""COMPUTED_VALUE"""),"Uncle Sams Cider (11/12/2021) 02")</f>
        <v>Uncle Sams Cider (11/12/2021) 02</v>
      </c>
      <c r="H1541" s="19"/>
    </row>
    <row r="1542">
      <c r="A1542" s="9"/>
      <c r="B1542" s="15"/>
      <c r="C1542" s="9">
        <f>IFERROR(__xludf.DUMMYFUNCTION("""COMPUTED_VALUE"""),44589.4675912152)</f>
        <v>44589.46759</v>
      </c>
      <c r="D1542" s="15">
        <f>IFERROR(__xludf.DUMMYFUNCTION("""COMPUTED_VALUE"""),1.005)</f>
        <v>1.005</v>
      </c>
      <c r="E1542" s="16">
        <f>IFERROR(__xludf.DUMMYFUNCTION("""COMPUTED_VALUE"""),67.0)</f>
        <v>67</v>
      </c>
      <c r="F1542" s="19" t="str">
        <f>IFERROR(__xludf.DUMMYFUNCTION("""COMPUTED_VALUE"""),"BLACK")</f>
        <v>BLACK</v>
      </c>
      <c r="G1542" s="20" t="str">
        <f>IFERROR(__xludf.DUMMYFUNCTION("""COMPUTED_VALUE"""),"Uncle Sams Cider (11/12/2021) 02")</f>
        <v>Uncle Sams Cider (11/12/2021) 02</v>
      </c>
      <c r="H1542" s="19"/>
    </row>
    <row r="1543">
      <c r="A1543" s="9"/>
      <c r="B1543" s="15"/>
      <c r="C1543" s="9">
        <f>IFERROR(__xludf.DUMMYFUNCTION("""COMPUTED_VALUE"""),44589.4571597453)</f>
        <v>44589.45716</v>
      </c>
      <c r="D1543" s="15">
        <f>IFERROR(__xludf.DUMMYFUNCTION("""COMPUTED_VALUE"""),1.004)</f>
        <v>1.004</v>
      </c>
      <c r="E1543" s="16">
        <f>IFERROR(__xludf.DUMMYFUNCTION("""COMPUTED_VALUE"""),67.0)</f>
        <v>67</v>
      </c>
      <c r="F1543" s="19" t="str">
        <f>IFERROR(__xludf.DUMMYFUNCTION("""COMPUTED_VALUE"""),"BLACK")</f>
        <v>BLACK</v>
      </c>
      <c r="G1543" s="20" t="str">
        <f>IFERROR(__xludf.DUMMYFUNCTION("""COMPUTED_VALUE"""),"Uncle Sams Cider (11/12/2021) 02")</f>
        <v>Uncle Sams Cider (11/12/2021) 02</v>
      </c>
      <c r="H1543" s="19"/>
    </row>
    <row r="1544">
      <c r="A1544" s="9"/>
      <c r="B1544" s="15"/>
      <c r="C1544" s="9">
        <f>IFERROR(__xludf.DUMMYFUNCTION("""COMPUTED_VALUE"""),44589.4467378356)</f>
        <v>44589.44674</v>
      </c>
      <c r="D1544" s="15">
        <f>IFERROR(__xludf.DUMMYFUNCTION("""COMPUTED_VALUE"""),1.005)</f>
        <v>1.005</v>
      </c>
      <c r="E1544" s="16">
        <f>IFERROR(__xludf.DUMMYFUNCTION("""COMPUTED_VALUE"""),67.0)</f>
        <v>67</v>
      </c>
      <c r="F1544" s="19" t="str">
        <f>IFERROR(__xludf.DUMMYFUNCTION("""COMPUTED_VALUE"""),"BLACK")</f>
        <v>BLACK</v>
      </c>
      <c r="G1544" s="20" t="str">
        <f>IFERROR(__xludf.DUMMYFUNCTION("""COMPUTED_VALUE"""),"Uncle Sams Cider (11/12/2021) 02")</f>
        <v>Uncle Sams Cider (11/12/2021) 02</v>
      </c>
      <c r="H1544" s="19"/>
    </row>
    <row r="1545">
      <c r="A1545" s="9"/>
      <c r="B1545" s="15"/>
      <c r="C1545" s="9">
        <f>IFERROR(__xludf.DUMMYFUNCTION("""COMPUTED_VALUE"""),44589.4363160879)</f>
        <v>44589.43632</v>
      </c>
      <c r="D1545" s="15">
        <f>IFERROR(__xludf.DUMMYFUNCTION("""COMPUTED_VALUE"""),1.004)</f>
        <v>1.004</v>
      </c>
      <c r="E1545" s="16">
        <f>IFERROR(__xludf.DUMMYFUNCTION("""COMPUTED_VALUE"""),67.0)</f>
        <v>67</v>
      </c>
      <c r="F1545" s="19" t="str">
        <f>IFERROR(__xludf.DUMMYFUNCTION("""COMPUTED_VALUE"""),"BLACK")</f>
        <v>BLACK</v>
      </c>
      <c r="G1545" s="20" t="str">
        <f>IFERROR(__xludf.DUMMYFUNCTION("""COMPUTED_VALUE"""),"Uncle Sams Cider (11/12/2021) 02")</f>
        <v>Uncle Sams Cider (11/12/2021) 02</v>
      </c>
      <c r="H1545" s="19"/>
    </row>
    <row r="1546">
      <c r="A1546" s="9"/>
      <c r="B1546" s="15"/>
      <c r="C1546" s="9">
        <f>IFERROR(__xludf.DUMMYFUNCTION("""COMPUTED_VALUE"""),44589.4258824652)</f>
        <v>44589.42588</v>
      </c>
      <c r="D1546" s="15">
        <f>IFERROR(__xludf.DUMMYFUNCTION("""COMPUTED_VALUE"""),1.005)</f>
        <v>1.005</v>
      </c>
      <c r="E1546" s="16">
        <f>IFERROR(__xludf.DUMMYFUNCTION("""COMPUTED_VALUE"""),67.0)</f>
        <v>67</v>
      </c>
      <c r="F1546" s="19" t="str">
        <f>IFERROR(__xludf.DUMMYFUNCTION("""COMPUTED_VALUE"""),"BLACK")</f>
        <v>BLACK</v>
      </c>
      <c r="G1546" s="20" t="str">
        <f>IFERROR(__xludf.DUMMYFUNCTION("""COMPUTED_VALUE"""),"Uncle Sams Cider (11/12/2021) 02")</f>
        <v>Uncle Sams Cider (11/12/2021) 02</v>
      </c>
      <c r="H1546" s="19"/>
    </row>
    <row r="1547">
      <c r="A1547" s="9"/>
      <c r="B1547" s="15"/>
      <c r="C1547" s="9">
        <f>IFERROR(__xludf.DUMMYFUNCTION("""COMPUTED_VALUE"""),44589.4154595717)</f>
        <v>44589.41546</v>
      </c>
      <c r="D1547" s="15">
        <f>IFERROR(__xludf.DUMMYFUNCTION("""COMPUTED_VALUE"""),1.005)</f>
        <v>1.005</v>
      </c>
      <c r="E1547" s="16">
        <f>IFERROR(__xludf.DUMMYFUNCTION("""COMPUTED_VALUE"""),67.0)</f>
        <v>67</v>
      </c>
      <c r="F1547" s="19" t="str">
        <f>IFERROR(__xludf.DUMMYFUNCTION("""COMPUTED_VALUE"""),"BLACK")</f>
        <v>BLACK</v>
      </c>
      <c r="G1547" s="20" t="str">
        <f>IFERROR(__xludf.DUMMYFUNCTION("""COMPUTED_VALUE"""),"Uncle Sams Cider (11/12/2021) 02")</f>
        <v>Uncle Sams Cider (11/12/2021) 02</v>
      </c>
      <c r="H1547" s="19"/>
    </row>
    <row r="1548">
      <c r="A1548" s="9"/>
      <c r="B1548" s="15"/>
      <c r="C1548" s="9">
        <f>IFERROR(__xludf.DUMMYFUNCTION("""COMPUTED_VALUE"""),44589.4050372222)</f>
        <v>44589.40504</v>
      </c>
      <c r="D1548" s="15">
        <f>IFERROR(__xludf.DUMMYFUNCTION("""COMPUTED_VALUE"""),1.004)</f>
        <v>1.004</v>
      </c>
      <c r="E1548" s="16">
        <f>IFERROR(__xludf.DUMMYFUNCTION("""COMPUTED_VALUE"""),67.0)</f>
        <v>67</v>
      </c>
      <c r="F1548" s="19" t="str">
        <f>IFERROR(__xludf.DUMMYFUNCTION("""COMPUTED_VALUE"""),"BLACK")</f>
        <v>BLACK</v>
      </c>
      <c r="G1548" s="20" t="str">
        <f>IFERROR(__xludf.DUMMYFUNCTION("""COMPUTED_VALUE"""),"Uncle Sams Cider (11/12/2021) 02")</f>
        <v>Uncle Sams Cider (11/12/2021) 02</v>
      </c>
      <c r="H1548" s="19"/>
    </row>
    <row r="1549">
      <c r="A1549" s="9"/>
      <c r="B1549" s="15"/>
      <c r="C1549" s="9">
        <f>IFERROR(__xludf.DUMMYFUNCTION("""COMPUTED_VALUE"""),44589.3946026388)</f>
        <v>44589.3946</v>
      </c>
      <c r="D1549" s="15">
        <f>IFERROR(__xludf.DUMMYFUNCTION("""COMPUTED_VALUE"""),1.005)</f>
        <v>1.005</v>
      </c>
      <c r="E1549" s="16">
        <f>IFERROR(__xludf.DUMMYFUNCTION("""COMPUTED_VALUE"""),67.0)</f>
        <v>67</v>
      </c>
      <c r="F1549" s="19" t="str">
        <f>IFERROR(__xludf.DUMMYFUNCTION("""COMPUTED_VALUE"""),"BLACK")</f>
        <v>BLACK</v>
      </c>
      <c r="G1549" s="20" t="str">
        <f>IFERROR(__xludf.DUMMYFUNCTION("""COMPUTED_VALUE"""),"Uncle Sams Cider (11/12/2021) 02")</f>
        <v>Uncle Sams Cider (11/12/2021) 02</v>
      </c>
      <c r="H1549" s="19"/>
    </row>
    <row r="1550">
      <c r="A1550" s="9"/>
      <c r="B1550" s="15"/>
      <c r="C1550" s="9">
        <f>IFERROR(__xludf.DUMMYFUNCTION("""COMPUTED_VALUE"""),44589.3841585763)</f>
        <v>44589.38416</v>
      </c>
      <c r="D1550" s="15">
        <f>IFERROR(__xludf.DUMMYFUNCTION("""COMPUTED_VALUE"""),1.004)</f>
        <v>1.004</v>
      </c>
      <c r="E1550" s="16">
        <f>IFERROR(__xludf.DUMMYFUNCTION("""COMPUTED_VALUE"""),67.0)</f>
        <v>67</v>
      </c>
      <c r="F1550" s="19" t="str">
        <f>IFERROR(__xludf.DUMMYFUNCTION("""COMPUTED_VALUE"""),"BLACK")</f>
        <v>BLACK</v>
      </c>
      <c r="G1550" s="20" t="str">
        <f>IFERROR(__xludf.DUMMYFUNCTION("""COMPUTED_VALUE"""),"Uncle Sams Cider (11/12/2021) 02")</f>
        <v>Uncle Sams Cider (11/12/2021) 02</v>
      </c>
      <c r="H1550" s="19"/>
    </row>
    <row r="1551">
      <c r="A1551" s="9"/>
      <c r="B1551" s="15"/>
      <c r="C1551" s="9">
        <f>IFERROR(__xludf.DUMMYFUNCTION("""COMPUTED_VALUE"""),44589.3736925462)</f>
        <v>44589.37369</v>
      </c>
      <c r="D1551" s="15">
        <f>IFERROR(__xludf.DUMMYFUNCTION("""COMPUTED_VALUE"""),1.005)</f>
        <v>1.005</v>
      </c>
      <c r="E1551" s="16">
        <f>IFERROR(__xludf.DUMMYFUNCTION("""COMPUTED_VALUE"""),67.0)</f>
        <v>67</v>
      </c>
      <c r="F1551" s="19" t="str">
        <f>IFERROR(__xludf.DUMMYFUNCTION("""COMPUTED_VALUE"""),"BLACK")</f>
        <v>BLACK</v>
      </c>
      <c r="G1551" s="20" t="str">
        <f>IFERROR(__xludf.DUMMYFUNCTION("""COMPUTED_VALUE"""),"Uncle Sams Cider (11/12/2021) 02")</f>
        <v>Uncle Sams Cider (11/12/2021) 02</v>
      </c>
      <c r="H1551" s="19"/>
    </row>
    <row r="1552">
      <c r="A1552" s="9"/>
      <c r="B1552" s="15"/>
      <c r="C1552" s="9">
        <f>IFERROR(__xludf.DUMMYFUNCTION("""COMPUTED_VALUE"""),44589.36325978)</f>
        <v>44589.36326</v>
      </c>
      <c r="D1552" s="15">
        <f>IFERROR(__xludf.DUMMYFUNCTION("""COMPUTED_VALUE"""),1.004)</f>
        <v>1.004</v>
      </c>
      <c r="E1552" s="16">
        <f>IFERROR(__xludf.DUMMYFUNCTION("""COMPUTED_VALUE"""),68.0)</f>
        <v>68</v>
      </c>
      <c r="F1552" s="19" t="str">
        <f>IFERROR(__xludf.DUMMYFUNCTION("""COMPUTED_VALUE"""),"BLACK")</f>
        <v>BLACK</v>
      </c>
      <c r="G1552" s="20" t="str">
        <f>IFERROR(__xludf.DUMMYFUNCTION("""COMPUTED_VALUE"""),"Uncle Sams Cider (11/12/2021) 02")</f>
        <v>Uncle Sams Cider (11/12/2021) 02</v>
      </c>
      <c r="H1552" s="19"/>
    </row>
    <row r="1553">
      <c r="A1553" s="9"/>
      <c r="B1553" s="15"/>
      <c r="C1553" s="9">
        <f>IFERROR(__xludf.DUMMYFUNCTION("""COMPUTED_VALUE"""),44589.3528388425)</f>
        <v>44589.35284</v>
      </c>
      <c r="D1553" s="15">
        <f>IFERROR(__xludf.DUMMYFUNCTION("""COMPUTED_VALUE"""),1.004)</f>
        <v>1.004</v>
      </c>
      <c r="E1553" s="16">
        <f>IFERROR(__xludf.DUMMYFUNCTION("""COMPUTED_VALUE"""),68.0)</f>
        <v>68</v>
      </c>
      <c r="F1553" s="19" t="str">
        <f>IFERROR(__xludf.DUMMYFUNCTION("""COMPUTED_VALUE"""),"BLACK")</f>
        <v>BLACK</v>
      </c>
      <c r="G1553" s="20" t="str">
        <f>IFERROR(__xludf.DUMMYFUNCTION("""COMPUTED_VALUE"""),"Uncle Sams Cider (11/12/2021) 02")</f>
        <v>Uncle Sams Cider (11/12/2021) 02</v>
      </c>
      <c r="H1553" s="19"/>
    </row>
    <row r="1554">
      <c r="A1554" s="9"/>
      <c r="B1554" s="15"/>
      <c r="C1554" s="9">
        <f>IFERROR(__xludf.DUMMYFUNCTION("""COMPUTED_VALUE"""),44589.3424070601)</f>
        <v>44589.34241</v>
      </c>
      <c r="D1554" s="15">
        <f>IFERROR(__xludf.DUMMYFUNCTION("""COMPUTED_VALUE"""),1.005)</f>
        <v>1.005</v>
      </c>
      <c r="E1554" s="16">
        <f>IFERROR(__xludf.DUMMYFUNCTION("""COMPUTED_VALUE"""),68.0)</f>
        <v>68</v>
      </c>
      <c r="F1554" s="19" t="str">
        <f>IFERROR(__xludf.DUMMYFUNCTION("""COMPUTED_VALUE"""),"BLACK")</f>
        <v>BLACK</v>
      </c>
      <c r="G1554" s="20" t="str">
        <f>IFERROR(__xludf.DUMMYFUNCTION("""COMPUTED_VALUE"""),"Uncle Sams Cider (11/12/2021) 02")</f>
        <v>Uncle Sams Cider (11/12/2021) 02</v>
      </c>
      <c r="H1554" s="19"/>
    </row>
    <row r="1555">
      <c r="A1555" s="9"/>
      <c r="B1555" s="15"/>
      <c r="C1555" s="9">
        <f>IFERROR(__xludf.DUMMYFUNCTION("""COMPUTED_VALUE"""),44589.3319857175)</f>
        <v>44589.33199</v>
      </c>
      <c r="D1555" s="15">
        <f>IFERROR(__xludf.DUMMYFUNCTION("""COMPUTED_VALUE"""),1.004)</f>
        <v>1.004</v>
      </c>
      <c r="E1555" s="16">
        <f>IFERROR(__xludf.DUMMYFUNCTION("""COMPUTED_VALUE"""),68.0)</f>
        <v>68</v>
      </c>
      <c r="F1555" s="19" t="str">
        <f>IFERROR(__xludf.DUMMYFUNCTION("""COMPUTED_VALUE"""),"BLACK")</f>
        <v>BLACK</v>
      </c>
      <c r="G1555" s="20" t="str">
        <f>IFERROR(__xludf.DUMMYFUNCTION("""COMPUTED_VALUE"""),"Uncle Sams Cider (11/12/2021) 02")</f>
        <v>Uncle Sams Cider (11/12/2021) 02</v>
      </c>
      <c r="H1555" s="19"/>
    </row>
    <row r="1556">
      <c r="A1556" s="9"/>
      <c r="B1556" s="15"/>
      <c r="C1556" s="9">
        <f>IFERROR(__xludf.DUMMYFUNCTION("""COMPUTED_VALUE"""),44589.321541331)</f>
        <v>44589.32154</v>
      </c>
      <c r="D1556" s="15">
        <f>IFERROR(__xludf.DUMMYFUNCTION("""COMPUTED_VALUE"""),1.004)</f>
        <v>1.004</v>
      </c>
      <c r="E1556" s="16">
        <f>IFERROR(__xludf.DUMMYFUNCTION("""COMPUTED_VALUE"""),68.0)</f>
        <v>68</v>
      </c>
      <c r="F1556" s="19" t="str">
        <f>IFERROR(__xludf.DUMMYFUNCTION("""COMPUTED_VALUE"""),"BLACK")</f>
        <v>BLACK</v>
      </c>
      <c r="G1556" s="20" t="str">
        <f>IFERROR(__xludf.DUMMYFUNCTION("""COMPUTED_VALUE"""),"Uncle Sams Cider (11/12/2021) 02")</f>
        <v>Uncle Sams Cider (11/12/2021) 02</v>
      </c>
      <c r="H1556" s="19"/>
    </row>
    <row r="1557">
      <c r="A1557" s="9"/>
      <c r="B1557" s="15"/>
      <c r="C1557" s="9">
        <f>IFERROR(__xludf.DUMMYFUNCTION("""COMPUTED_VALUE"""),44589.3111200347)</f>
        <v>44589.31112</v>
      </c>
      <c r="D1557" s="15">
        <f>IFERROR(__xludf.DUMMYFUNCTION("""COMPUTED_VALUE"""),1.004)</f>
        <v>1.004</v>
      </c>
      <c r="E1557" s="16">
        <f>IFERROR(__xludf.DUMMYFUNCTION("""COMPUTED_VALUE"""),68.0)</f>
        <v>68</v>
      </c>
      <c r="F1557" s="19" t="str">
        <f>IFERROR(__xludf.DUMMYFUNCTION("""COMPUTED_VALUE"""),"BLACK")</f>
        <v>BLACK</v>
      </c>
      <c r="G1557" s="20" t="str">
        <f>IFERROR(__xludf.DUMMYFUNCTION("""COMPUTED_VALUE"""),"Uncle Sams Cider (11/12/2021) 02")</f>
        <v>Uncle Sams Cider (11/12/2021) 02</v>
      </c>
      <c r="H1557" s="19"/>
    </row>
    <row r="1558">
      <c r="A1558" s="9"/>
      <c r="B1558" s="15"/>
      <c r="C1558" s="9">
        <f>IFERROR(__xludf.DUMMYFUNCTION("""COMPUTED_VALUE"""),44589.3006872569)</f>
        <v>44589.30069</v>
      </c>
      <c r="D1558" s="15">
        <f>IFERROR(__xludf.DUMMYFUNCTION("""COMPUTED_VALUE"""),1.004)</f>
        <v>1.004</v>
      </c>
      <c r="E1558" s="16">
        <f>IFERROR(__xludf.DUMMYFUNCTION("""COMPUTED_VALUE"""),68.0)</f>
        <v>68</v>
      </c>
      <c r="F1558" s="19" t="str">
        <f>IFERROR(__xludf.DUMMYFUNCTION("""COMPUTED_VALUE"""),"BLACK")</f>
        <v>BLACK</v>
      </c>
      <c r="G1558" s="20" t="str">
        <f>IFERROR(__xludf.DUMMYFUNCTION("""COMPUTED_VALUE"""),"Uncle Sams Cider (11/12/2021) 02")</f>
        <v>Uncle Sams Cider (11/12/2021) 02</v>
      </c>
      <c r="H1558" s="19"/>
    </row>
    <row r="1559">
      <c r="A1559" s="9"/>
      <c r="B1559" s="15"/>
      <c r="C1559" s="9">
        <f>IFERROR(__xludf.DUMMYFUNCTION("""COMPUTED_VALUE"""),44589.2902654166)</f>
        <v>44589.29027</v>
      </c>
      <c r="D1559" s="15">
        <f>IFERROR(__xludf.DUMMYFUNCTION("""COMPUTED_VALUE"""),1.004)</f>
        <v>1.004</v>
      </c>
      <c r="E1559" s="16">
        <f>IFERROR(__xludf.DUMMYFUNCTION("""COMPUTED_VALUE"""),68.0)</f>
        <v>68</v>
      </c>
      <c r="F1559" s="19" t="str">
        <f>IFERROR(__xludf.DUMMYFUNCTION("""COMPUTED_VALUE"""),"BLACK")</f>
        <v>BLACK</v>
      </c>
      <c r="G1559" s="20" t="str">
        <f>IFERROR(__xludf.DUMMYFUNCTION("""COMPUTED_VALUE"""),"Uncle Sams Cider (11/12/2021) 02")</f>
        <v>Uncle Sams Cider (11/12/2021) 02</v>
      </c>
      <c r="H1559" s="19"/>
    </row>
    <row r="1560">
      <c r="A1560" s="9"/>
      <c r="B1560" s="15"/>
      <c r="C1560" s="9">
        <f>IFERROR(__xludf.DUMMYFUNCTION("""COMPUTED_VALUE"""),44589.2798453588)</f>
        <v>44589.27985</v>
      </c>
      <c r="D1560" s="15">
        <f>IFERROR(__xludf.DUMMYFUNCTION("""COMPUTED_VALUE"""),1.004)</f>
        <v>1.004</v>
      </c>
      <c r="E1560" s="16">
        <f>IFERROR(__xludf.DUMMYFUNCTION("""COMPUTED_VALUE"""),68.0)</f>
        <v>68</v>
      </c>
      <c r="F1560" s="19" t="str">
        <f>IFERROR(__xludf.DUMMYFUNCTION("""COMPUTED_VALUE"""),"BLACK")</f>
        <v>BLACK</v>
      </c>
      <c r="G1560" s="20" t="str">
        <f>IFERROR(__xludf.DUMMYFUNCTION("""COMPUTED_VALUE"""),"Uncle Sams Cider (11/12/2021) 02")</f>
        <v>Uncle Sams Cider (11/12/2021) 02</v>
      </c>
      <c r="H1560" s="19"/>
    </row>
    <row r="1561">
      <c r="A1561" s="9"/>
      <c r="B1561" s="15"/>
      <c r="C1561" s="9">
        <f>IFERROR(__xludf.DUMMYFUNCTION("""COMPUTED_VALUE"""),44589.2694128472)</f>
        <v>44589.26941</v>
      </c>
      <c r="D1561" s="15">
        <f>IFERROR(__xludf.DUMMYFUNCTION("""COMPUTED_VALUE"""),1.004)</f>
        <v>1.004</v>
      </c>
      <c r="E1561" s="16">
        <f>IFERROR(__xludf.DUMMYFUNCTION("""COMPUTED_VALUE"""),68.0)</f>
        <v>68</v>
      </c>
      <c r="F1561" s="19" t="str">
        <f>IFERROR(__xludf.DUMMYFUNCTION("""COMPUTED_VALUE"""),"BLACK")</f>
        <v>BLACK</v>
      </c>
      <c r="G1561" s="20" t="str">
        <f>IFERROR(__xludf.DUMMYFUNCTION("""COMPUTED_VALUE"""),"Uncle Sams Cider (11/12/2021) 02")</f>
        <v>Uncle Sams Cider (11/12/2021) 02</v>
      </c>
      <c r="H1561" s="19"/>
    </row>
    <row r="1562">
      <c r="A1562" s="9"/>
      <c r="B1562" s="15"/>
      <c r="C1562" s="9">
        <f>IFERROR(__xludf.DUMMYFUNCTION("""COMPUTED_VALUE"""),44589.2589935995)</f>
        <v>44589.25899</v>
      </c>
      <c r="D1562" s="15">
        <f>IFERROR(__xludf.DUMMYFUNCTION("""COMPUTED_VALUE"""),1.004)</f>
        <v>1.004</v>
      </c>
      <c r="E1562" s="16">
        <f>IFERROR(__xludf.DUMMYFUNCTION("""COMPUTED_VALUE"""),67.0)</f>
        <v>67</v>
      </c>
      <c r="F1562" s="19" t="str">
        <f>IFERROR(__xludf.DUMMYFUNCTION("""COMPUTED_VALUE"""),"BLACK")</f>
        <v>BLACK</v>
      </c>
      <c r="G1562" s="20" t="str">
        <f>IFERROR(__xludf.DUMMYFUNCTION("""COMPUTED_VALUE"""),"Uncle Sams Cider (11/12/2021) 02")</f>
        <v>Uncle Sams Cider (11/12/2021) 02</v>
      </c>
      <c r="H1562" s="19"/>
    </row>
    <row r="1563">
      <c r="A1563" s="9"/>
      <c r="B1563" s="15"/>
      <c r="C1563" s="9">
        <f>IFERROR(__xludf.DUMMYFUNCTION("""COMPUTED_VALUE"""),44589.2485706249)</f>
        <v>44589.24857</v>
      </c>
      <c r="D1563" s="15">
        <f>IFERROR(__xludf.DUMMYFUNCTION("""COMPUTED_VALUE"""),1.004)</f>
        <v>1.004</v>
      </c>
      <c r="E1563" s="16">
        <f>IFERROR(__xludf.DUMMYFUNCTION("""COMPUTED_VALUE"""),67.0)</f>
        <v>67</v>
      </c>
      <c r="F1563" s="19" t="str">
        <f>IFERROR(__xludf.DUMMYFUNCTION("""COMPUTED_VALUE"""),"BLACK")</f>
        <v>BLACK</v>
      </c>
      <c r="G1563" s="20" t="str">
        <f>IFERROR(__xludf.DUMMYFUNCTION("""COMPUTED_VALUE"""),"Uncle Sams Cider (11/12/2021) 02")</f>
        <v>Uncle Sams Cider (11/12/2021) 02</v>
      </c>
      <c r="H1563" s="19"/>
    </row>
    <row r="1564">
      <c r="A1564" s="9"/>
      <c r="B1564" s="15"/>
      <c r="C1564" s="9">
        <f>IFERROR(__xludf.DUMMYFUNCTION("""COMPUTED_VALUE"""),44589.2381479282)</f>
        <v>44589.23815</v>
      </c>
      <c r="D1564" s="15">
        <f>IFERROR(__xludf.DUMMYFUNCTION("""COMPUTED_VALUE"""),1.004)</f>
        <v>1.004</v>
      </c>
      <c r="E1564" s="16">
        <f>IFERROR(__xludf.DUMMYFUNCTION("""COMPUTED_VALUE"""),67.0)</f>
        <v>67</v>
      </c>
      <c r="F1564" s="19" t="str">
        <f>IFERROR(__xludf.DUMMYFUNCTION("""COMPUTED_VALUE"""),"BLACK")</f>
        <v>BLACK</v>
      </c>
      <c r="G1564" s="20" t="str">
        <f>IFERROR(__xludf.DUMMYFUNCTION("""COMPUTED_VALUE"""),"Uncle Sams Cider (11/12/2021) 02")</f>
        <v>Uncle Sams Cider (11/12/2021) 02</v>
      </c>
      <c r="H1564" s="19"/>
    </row>
    <row r="1565">
      <c r="A1565" s="9"/>
      <c r="B1565" s="15"/>
      <c r="C1565" s="9">
        <f>IFERROR(__xludf.DUMMYFUNCTION("""COMPUTED_VALUE"""),44589.2277275231)</f>
        <v>44589.22773</v>
      </c>
      <c r="D1565" s="15">
        <f>IFERROR(__xludf.DUMMYFUNCTION("""COMPUTED_VALUE"""),1.004)</f>
        <v>1.004</v>
      </c>
      <c r="E1565" s="16">
        <f>IFERROR(__xludf.DUMMYFUNCTION("""COMPUTED_VALUE"""),66.0)</f>
        <v>66</v>
      </c>
      <c r="F1565" s="19" t="str">
        <f>IFERROR(__xludf.DUMMYFUNCTION("""COMPUTED_VALUE"""),"BLACK")</f>
        <v>BLACK</v>
      </c>
      <c r="G1565" s="20" t="str">
        <f>IFERROR(__xludf.DUMMYFUNCTION("""COMPUTED_VALUE"""),"Uncle Sams Cider (11/12/2021) 02")</f>
        <v>Uncle Sams Cider (11/12/2021) 02</v>
      </c>
      <c r="H1565" s="19"/>
    </row>
    <row r="1566">
      <c r="A1566" s="9"/>
      <c r="B1566" s="15"/>
      <c r="C1566" s="9">
        <f>IFERROR(__xludf.DUMMYFUNCTION("""COMPUTED_VALUE"""),44589.217306412)</f>
        <v>44589.21731</v>
      </c>
      <c r="D1566" s="15">
        <f>IFERROR(__xludf.DUMMYFUNCTION("""COMPUTED_VALUE"""),1.005)</f>
        <v>1.005</v>
      </c>
      <c r="E1566" s="16">
        <f>IFERROR(__xludf.DUMMYFUNCTION("""COMPUTED_VALUE"""),66.0)</f>
        <v>66</v>
      </c>
      <c r="F1566" s="19" t="str">
        <f>IFERROR(__xludf.DUMMYFUNCTION("""COMPUTED_VALUE"""),"BLACK")</f>
        <v>BLACK</v>
      </c>
      <c r="G1566" s="20" t="str">
        <f>IFERROR(__xludf.DUMMYFUNCTION("""COMPUTED_VALUE"""),"Uncle Sams Cider (11/12/2021) 02")</f>
        <v>Uncle Sams Cider (11/12/2021) 02</v>
      </c>
      <c r="H1566" s="19"/>
    </row>
    <row r="1567">
      <c r="A1567" s="9"/>
      <c r="B1567" s="15"/>
      <c r="C1567" s="9">
        <f>IFERROR(__xludf.DUMMYFUNCTION("""COMPUTED_VALUE"""),44589.2068859027)</f>
        <v>44589.20689</v>
      </c>
      <c r="D1567" s="15">
        <f>IFERROR(__xludf.DUMMYFUNCTION("""COMPUTED_VALUE"""),1.005)</f>
        <v>1.005</v>
      </c>
      <c r="E1567" s="16">
        <f>IFERROR(__xludf.DUMMYFUNCTION("""COMPUTED_VALUE"""),65.0)</f>
        <v>65</v>
      </c>
      <c r="F1567" s="19" t="str">
        <f>IFERROR(__xludf.DUMMYFUNCTION("""COMPUTED_VALUE"""),"BLACK")</f>
        <v>BLACK</v>
      </c>
      <c r="G1567" s="20" t="str">
        <f>IFERROR(__xludf.DUMMYFUNCTION("""COMPUTED_VALUE"""),"Uncle Sams Cider (11/12/2021) 02")</f>
        <v>Uncle Sams Cider (11/12/2021) 02</v>
      </c>
      <c r="H1567" s="19"/>
    </row>
    <row r="1568">
      <c r="A1568" s="9"/>
      <c r="B1568" s="15"/>
      <c r="C1568" s="9">
        <f>IFERROR(__xludf.DUMMYFUNCTION("""COMPUTED_VALUE"""),44589.1963853009)</f>
        <v>44589.19639</v>
      </c>
      <c r="D1568" s="15">
        <f>IFERROR(__xludf.DUMMYFUNCTION("""COMPUTED_VALUE"""),1.004)</f>
        <v>1.004</v>
      </c>
      <c r="E1568" s="16">
        <f>IFERROR(__xludf.DUMMYFUNCTION("""COMPUTED_VALUE"""),65.0)</f>
        <v>65</v>
      </c>
      <c r="F1568" s="19" t="str">
        <f>IFERROR(__xludf.DUMMYFUNCTION("""COMPUTED_VALUE"""),"BLACK")</f>
        <v>BLACK</v>
      </c>
      <c r="G1568" s="20" t="str">
        <f>IFERROR(__xludf.DUMMYFUNCTION("""COMPUTED_VALUE"""),"Uncle Sams Cider (11/12/2021) 02")</f>
        <v>Uncle Sams Cider (11/12/2021) 02</v>
      </c>
      <c r="H1568" s="19"/>
    </row>
    <row r="1569">
      <c r="A1569" s="9"/>
      <c r="B1569" s="15"/>
      <c r="C1569" s="9">
        <f>IFERROR(__xludf.DUMMYFUNCTION("""COMPUTED_VALUE"""),44589.185964456)</f>
        <v>44589.18596</v>
      </c>
      <c r="D1569" s="15">
        <f>IFERROR(__xludf.DUMMYFUNCTION("""COMPUTED_VALUE"""),1.005)</f>
        <v>1.005</v>
      </c>
      <c r="E1569" s="16">
        <f>IFERROR(__xludf.DUMMYFUNCTION("""COMPUTED_VALUE"""),64.0)</f>
        <v>64</v>
      </c>
      <c r="F1569" s="19" t="str">
        <f>IFERROR(__xludf.DUMMYFUNCTION("""COMPUTED_VALUE"""),"BLACK")</f>
        <v>BLACK</v>
      </c>
      <c r="G1569" s="20" t="str">
        <f>IFERROR(__xludf.DUMMYFUNCTION("""COMPUTED_VALUE"""),"Uncle Sams Cider (11/12/2021) 02")</f>
        <v>Uncle Sams Cider (11/12/2021) 02</v>
      </c>
      <c r="H1569" s="19"/>
    </row>
    <row r="1570">
      <c r="A1570" s="9"/>
      <c r="B1570" s="15"/>
      <c r="C1570" s="9">
        <f>IFERROR(__xludf.DUMMYFUNCTION("""COMPUTED_VALUE"""),44589.175484155)</f>
        <v>44589.17548</v>
      </c>
      <c r="D1570" s="15">
        <f>IFERROR(__xludf.DUMMYFUNCTION("""COMPUTED_VALUE"""),1.005)</f>
        <v>1.005</v>
      </c>
      <c r="E1570" s="16">
        <f>IFERROR(__xludf.DUMMYFUNCTION("""COMPUTED_VALUE"""),64.0)</f>
        <v>64</v>
      </c>
      <c r="F1570" s="19" t="str">
        <f>IFERROR(__xludf.DUMMYFUNCTION("""COMPUTED_VALUE"""),"BLACK")</f>
        <v>BLACK</v>
      </c>
      <c r="G1570" s="20" t="str">
        <f>IFERROR(__xludf.DUMMYFUNCTION("""COMPUTED_VALUE"""),"Uncle Sams Cider (11/12/2021) 02")</f>
        <v>Uncle Sams Cider (11/12/2021) 02</v>
      </c>
      <c r="H1570" s="19"/>
    </row>
    <row r="1571">
      <c r="A1571" s="9"/>
      <c r="B1571" s="15"/>
      <c r="C1571" s="9">
        <f>IFERROR(__xludf.DUMMYFUNCTION("""COMPUTED_VALUE"""),44589.1650152777)</f>
        <v>44589.16502</v>
      </c>
      <c r="D1571" s="15">
        <f>IFERROR(__xludf.DUMMYFUNCTION("""COMPUTED_VALUE"""),1.005)</f>
        <v>1.005</v>
      </c>
      <c r="E1571" s="16">
        <f>IFERROR(__xludf.DUMMYFUNCTION("""COMPUTED_VALUE"""),63.0)</f>
        <v>63</v>
      </c>
      <c r="F1571" s="19" t="str">
        <f>IFERROR(__xludf.DUMMYFUNCTION("""COMPUTED_VALUE"""),"BLACK")</f>
        <v>BLACK</v>
      </c>
      <c r="G1571" s="20" t="str">
        <f>IFERROR(__xludf.DUMMYFUNCTION("""COMPUTED_VALUE"""),"Uncle Sams Cider (11/12/2021) 02")</f>
        <v>Uncle Sams Cider (11/12/2021) 02</v>
      </c>
      <c r="H1571" s="19"/>
    </row>
    <row r="1572">
      <c r="A1572" s="9"/>
      <c r="B1572" s="15"/>
      <c r="C1572" s="9">
        <f>IFERROR(__xludf.DUMMYFUNCTION("""COMPUTED_VALUE"""),44589.1545935532)</f>
        <v>44589.15459</v>
      </c>
      <c r="D1572" s="15">
        <f>IFERROR(__xludf.DUMMYFUNCTION("""COMPUTED_VALUE"""),1.005)</f>
        <v>1.005</v>
      </c>
      <c r="E1572" s="16">
        <f>IFERROR(__xludf.DUMMYFUNCTION("""COMPUTED_VALUE"""),63.0)</f>
        <v>63</v>
      </c>
      <c r="F1572" s="19" t="str">
        <f>IFERROR(__xludf.DUMMYFUNCTION("""COMPUTED_VALUE"""),"BLACK")</f>
        <v>BLACK</v>
      </c>
      <c r="G1572" s="20" t="str">
        <f>IFERROR(__xludf.DUMMYFUNCTION("""COMPUTED_VALUE"""),"Uncle Sams Cider (11/12/2021) 02")</f>
        <v>Uncle Sams Cider (11/12/2021) 02</v>
      </c>
      <c r="H1572" s="19"/>
    </row>
    <row r="1573">
      <c r="A1573" s="9"/>
      <c r="B1573" s="15"/>
      <c r="C1573" s="9">
        <f>IFERROR(__xludf.DUMMYFUNCTION("""COMPUTED_VALUE"""),44589.1441721064)</f>
        <v>44589.14417</v>
      </c>
      <c r="D1573" s="15">
        <f>IFERROR(__xludf.DUMMYFUNCTION("""COMPUTED_VALUE"""),1.005)</f>
        <v>1.005</v>
      </c>
      <c r="E1573" s="16">
        <f>IFERROR(__xludf.DUMMYFUNCTION("""COMPUTED_VALUE"""),63.0)</f>
        <v>63</v>
      </c>
      <c r="F1573" s="19" t="str">
        <f>IFERROR(__xludf.DUMMYFUNCTION("""COMPUTED_VALUE"""),"BLACK")</f>
        <v>BLACK</v>
      </c>
      <c r="G1573" s="20" t="str">
        <f>IFERROR(__xludf.DUMMYFUNCTION("""COMPUTED_VALUE"""),"Uncle Sams Cider (11/12/2021) 02")</f>
        <v>Uncle Sams Cider (11/12/2021) 02</v>
      </c>
      <c r="H1573" s="19"/>
    </row>
    <row r="1574">
      <c r="A1574" s="9"/>
      <c r="B1574" s="15"/>
      <c r="C1574" s="9">
        <f>IFERROR(__xludf.DUMMYFUNCTION("""COMPUTED_VALUE"""),44589.1337509143)</f>
        <v>44589.13375</v>
      </c>
      <c r="D1574" s="15">
        <f>IFERROR(__xludf.DUMMYFUNCTION("""COMPUTED_VALUE"""),1.005)</f>
        <v>1.005</v>
      </c>
      <c r="E1574" s="16">
        <f>IFERROR(__xludf.DUMMYFUNCTION("""COMPUTED_VALUE"""),63.0)</f>
        <v>63</v>
      </c>
      <c r="F1574" s="19" t="str">
        <f>IFERROR(__xludf.DUMMYFUNCTION("""COMPUTED_VALUE"""),"BLACK")</f>
        <v>BLACK</v>
      </c>
      <c r="G1574" s="20" t="str">
        <f>IFERROR(__xludf.DUMMYFUNCTION("""COMPUTED_VALUE"""),"Uncle Sams Cider (11/12/2021) 02")</f>
        <v>Uncle Sams Cider (11/12/2021) 02</v>
      </c>
      <c r="H1574" s="19"/>
    </row>
    <row r="1575">
      <c r="A1575" s="9"/>
      <c r="B1575" s="15"/>
      <c r="C1575" s="9">
        <f>IFERROR(__xludf.DUMMYFUNCTION("""COMPUTED_VALUE"""),44589.1233297222)</f>
        <v>44589.12333</v>
      </c>
      <c r="D1575" s="15">
        <f>IFERROR(__xludf.DUMMYFUNCTION("""COMPUTED_VALUE"""),1.005)</f>
        <v>1.005</v>
      </c>
      <c r="E1575" s="16">
        <f>IFERROR(__xludf.DUMMYFUNCTION("""COMPUTED_VALUE"""),63.0)</f>
        <v>63</v>
      </c>
      <c r="F1575" s="19" t="str">
        <f>IFERROR(__xludf.DUMMYFUNCTION("""COMPUTED_VALUE"""),"BLACK")</f>
        <v>BLACK</v>
      </c>
      <c r="G1575" s="20" t="str">
        <f>IFERROR(__xludf.DUMMYFUNCTION("""COMPUTED_VALUE"""),"Uncle Sams Cider (11/12/2021) 02")</f>
        <v>Uncle Sams Cider (11/12/2021) 02</v>
      </c>
      <c r="H1575" s="19"/>
    </row>
    <row r="1576">
      <c r="A1576" s="9"/>
      <c r="B1576" s="15"/>
      <c r="C1576" s="9">
        <f>IFERROR(__xludf.DUMMYFUNCTION("""COMPUTED_VALUE"""),44589.1128850462)</f>
        <v>44589.11289</v>
      </c>
      <c r="D1576" s="15">
        <f>IFERROR(__xludf.DUMMYFUNCTION("""COMPUTED_VALUE"""),1.005)</f>
        <v>1.005</v>
      </c>
      <c r="E1576" s="16">
        <f>IFERROR(__xludf.DUMMYFUNCTION("""COMPUTED_VALUE"""),63.0)</f>
        <v>63</v>
      </c>
      <c r="F1576" s="19" t="str">
        <f>IFERROR(__xludf.DUMMYFUNCTION("""COMPUTED_VALUE"""),"BLACK")</f>
        <v>BLACK</v>
      </c>
      <c r="G1576" s="20" t="str">
        <f>IFERROR(__xludf.DUMMYFUNCTION("""COMPUTED_VALUE"""),"Uncle Sams Cider (11/12/2021) 02")</f>
        <v>Uncle Sams Cider (11/12/2021) 02</v>
      </c>
      <c r="H1576" s="19"/>
    </row>
    <row r="1577">
      <c r="A1577" s="9"/>
      <c r="B1577" s="15"/>
      <c r="C1577" s="9">
        <f>IFERROR(__xludf.DUMMYFUNCTION("""COMPUTED_VALUE"""),44589.1024420833)</f>
        <v>44589.10244</v>
      </c>
      <c r="D1577" s="15">
        <f>IFERROR(__xludf.DUMMYFUNCTION("""COMPUTED_VALUE"""),1.005)</f>
        <v>1.005</v>
      </c>
      <c r="E1577" s="16">
        <f>IFERROR(__xludf.DUMMYFUNCTION("""COMPUTED_VALUE"""),63.0)</f>
        <v>63</v>
      </c>
      <c r="F1577" s="19" t="str">
        <f>IFERROR(__xludf.DUMMYFUNCTION("""COMPUTED_VALUE"""),"BLACK")</f>
        <v>BLACK</v>
      </c>
      <c r="G1577" s="20" t="str">
        <f>IFERROR(__xludf.DUMMYFUNCTION("""COMPUTED_VALUE"""),"Uncle Sams Cider (11/12/2021) 02")</f>
        <v>Uncle Sams Cider (11/12/2021) 02</v>
      </c>
      <c r="H1577" s="19"/>
    </row>
    <row r="1578">
      <c r="A1578" s="9"/>
      <c r="B1578" s="15"/>
      <c r="C1578" s="9">
        <f>IFERROR(__xludf.DUMMYFUNCTION("""COMPUTED_VALUE"""),44589.0919972222)</f>
        <v>44589.092</v>
      </c>
      <c r="D1578" s="15">
        <f>IFERROR(__xludf.DUMMYFUNCTION("""COMPUTED_VALUE"""),1.005)</f>
        <v>1.005</v>
      </c>
      <c r="E1578" s="16">
        <f>IFERROR(__xludf.DUMMYFUNCTION("""COMPUTED_VALUE"""),63.0)</f>
        <v>63</v>
      </c>
      <c r="F1578" s="19" t="str">
        <f>IFERROR(__xludf.DUMMYFUNCTION("""COMPUTED_VALUE"""),"BLACK")</f>
        <v>BLACK</v>
      </c>
      <c r="G1578" s="20" t="str">
        <f>IFERROR(__xludf.DUMMYFUNCTION("""COMPUTED_VALUE"""),"Uncle Sams Cider (11/12/2021) 02")</f>
        <v>Uncle Sams Cider (11/12/2021) 02</v>
      </c>
      <c r="H1578" s="19"/>
    </row>
    <row r="1579">
      <c r="A1579" s="9"/>
      <c r="B1579" s="15"/>
      <c r="C1579" s="9">
        <f>IFERROR(__xludf.DUMMYFUNCTION("""COMPUTED_VALUE"""),44589.081576655)</f>
        <v>44589.08158</v>
      </c>
      <c r="D1579" s="15">
        <f>IFERROR(__xludf.DUMMYFUNCTION("""COMPUTED_VALUE"""),1.005)</f>
        <v>1.005</v>
      </c>
      <c r="E1579" s="16">
        <f>IFERROR(__xludf.DUMMYFUNCTION("""COMPUTED_VALUE"""),63.0)</f>
        <v>63</v>
      </c>
      <c r="F1579" s="19" t="str">
        <f>IFERROR(__xludf.DUMMYFUNCTION("""COMPUTED_VALUE"""),"BLACK")</f>
        <v>BLACK</v>
      </c>
      <c r="G1579" s="20" t="str">
        <f>IFERROR(__xludf.DUMMYFUNCTION("""COMPUTED_VALUE"""),"Uncle Sams Cider (11/12/2021) 02")</f>
        <v>Uncle Sams Cider (11/12/2021) 02</v>
      </c>
      <c r="H1579" s="19"/>
    </row>
    <row r="1580">
      <c r="A1580" s="9"/>
      <c r="B1580" s="15"/>
      <c r="C1580" s="9">
        <f>IFERROR(__xludf.DUMMYFUNCTION("""COMPUTED_VALUE"""),44589.0711557175)</f>
        <v>44589.07116</v>
      </c>
      <c r="D1580" s="15">
        <f>IFERROR(__xludf.DUMMYFUNCTION("""COMPUTED_VALUE"""),1.005)</f>
        <v>1.005</v>
      </c>
      <c r="E1580" s="16">
        <f>IFERROR(__xludf.DUMMYFUNCTION("""COMPUTED_VALUE"""),63.0)</f>
        <v>63</v>
      </c>
      <c r="F1580" s="19" t="str">
        <f>IFERROR(__xludf.DUMMYFUNCTION("""COMPUTED_VALUE"""),"BLACK")</f>
        <v>BLACK</v>
      </c>
      <c r="G1580" s="20" t="str">
        <f>IFERROR(__xludf.DUMMYFUNCTION("""COMPUTED_VALUE"""),"Uncle Sams Cider (11/12/2021) 02")</f>
        <v>Uncle Sams Cider (11/12/2021) 02</v>
      </c>
      <c r="H1580" s="19"/>
    </row>
    <row r="1581">
      <c r="A1581" s="9"/>
      <c r="B1581" s="15"/>
      <c r="C1581" s="9">
        <f>IFERROR(__xludf.DUMMYFUNCTION("""COMPUTED_VALUE"""),44589.0607214699)</f>
        <v>44589.06072</v>
      </c>
      <c r="D1581" s="15">
        <f>IFERROR(__xludf.DUMMYFUNCTION("""COMPUTED_VALUE"""),1.005)</f>
        <v>1.005</v>
      </c>
      <c r="E1581" s="16">
        <f>IFERROR(__xludf.DUMMYFUNCTION("""COMPUTED_VALUE"""),63.0)</f>
        <v>63</v>
      </c>
      <c r="F1581" s="19" t="str">
        <f>IFERROR(__xludf.DUMMYFUNCTION("""COMPUTED_VALUE"""),"BLACK")</f>
        <v>BLACK</v>
      </c>
      <c r="G1581" s="20" t="str">
        <f>IFERROR(__xludf.DUMMYFUNCTION("""COMPUTED_VALUE"""),"Uncle Sams Cider (11/12/2021) 02")</f>
        <v>Uncle Sams Cider (11/12/2021) 02</v>
      </c>
      <c r="H1581" s="19"/>
    </row>
    <row r="1582">
      <c r="A1582" s="9"/>
      <c r="B1582" s="15"/>
      <c r="C1582" s="9">
        <f>IFERROR(__xludf.DUMMYFUNCTION("""COMPUTED_VALUE"""),44589.0502889583)</f>
        <v>44589.05029</v>
      </c>
      <c r="D1582" s="15">
        <f>IFERROR(__xludf.DUMMYFUNCTION("""COMPUTED_VALUE"""),1.005)</f>
        <v>1.005</v>
      </c>
      <c r="E1582" s="16">
        <f>IFERROR(__xludf.DUMMYFUNCTION("""COMPUTED_VALUE"""),63.0)</f>
        <v>63</v>
      </c>
      <c r="F1582" s="19" t="str">
        <f>IFERROR(__xludf.DUMMYFUNCTION("""COMPUTED_VALUE"""),"BLACK")</f>
        <v>BLACK</v>
      </c>
      <c r="G1582" s="20" t="str">
        <f>IFERROR(__xludf.DUMMYFUNCTION("""COMPUTED_VALUE"""),"Uncle Sams Cider (11/12/2021) 02")</f>
        <v>Uncle Sams Cider (11/12/2021) 02</v>
      </c>
      <c r="H1582" s="19"/>
    </row>
    <row r="1583">
      <c r="A1583" s="9"/>
      <c r="B1583" s="15"/>
      <c r="C1583" s="9">
        <f>IFERROR(__xludf.DUMMYFUNCTION("""COMPUTED_VALUE"""),44589.0397985185)</f>
        <v>44589.0398</v>
      </c>
      <c r="D1583" s="15">
        <f>IFERROR(__xludf.DUMMYFUNCTION("""COMPUTED_VALUE"""),1.005)</f>
        <v>1.005</v>
      </c>
      <c r="E1583" s="16">
        <f>IFERROR(__xludf.DUMMYFUNCTION("""COMPUTED_VALUE"""),63.0)</f>
        <v>63</v>
      </c>
      <c r="F1583" s="19" t="str">
        <f>IFERROR(__xludf.DUMMYFUNCTION("""COMPUTED_VALUE"""),"BLACK")</f>
        <v>BLACK</v>
      </c>
      <c r="G1583" s="20" t="str">
        <f>IFERROR(__xludf.DUMMYFUNCTION("""COMPUTED_VALUE"""),"Uncle Sams Cider (11/12/2021) 02")</f>
        <v>Uncle Sams Cider (11/12/2021) 02</v>
      </c>
      <c r="H1583" s="19"/>
    </row>
    <row r="1584">
      <c r="A1584" s="9"/>
      <c r="B1584" s="15"/>
      <c r="C1584" s="9">
        <f>IFERROR(__xludf.DUMMYFUNCTION("""COMPUTED_VALUE"""),44589.0293786226)</f>
        <v>44589.02938</v>
      </c>
      <c r="D1584" s="15">
        <f>IFERROR(__xludf.DUMMYFUNCTION("""COMPUTED_VALUE"""),1.005)</f>
        <v>1.005</v>
      </c>
      <c r="E1584" s="16">
        <f>IFERROR(__xludf.DUMMYFUNCTION("""COMPUTED_VALUE"""),63.0)</f>
        <v>63</v>
      </c>
      <c r="F1584" s="19" t="str">
        <f>IFERROR(__xludf.DUMMYFUNCTION("""COMPUTED_VALUE"""),"BLACK")</f>
        <v>BLACK</v>
      </c>
      <c r="G1584" s="20" t="str">
        <f>IFERROR(__xludf.DUMMYFUNCTION("""COMPUTED_VALUE"""),"Uncle Sams Cider (11/12/2021) 02")</f>
        <v>Uncle Sams Cider (11/12/2021) 02</v>
      </c>
      <c r="H1584" s="19"/>
    </row>
    <row r="1585">
      <c r="A1585" s="9"/>
      <c r="B1585" s="15"/>
      <c r="C1585" s="9">
        <f>IFERROR(__xludf.DUMMYFUNCTION("""COMPUTED_VALUE"""),44589.0189580092)</f>
        <v>44589.01896</v>
      </c>
      <c r="D1585" s="15">
        <f>IFERROR(__xludf.DUMMYFUNCTION("""COMPUTED_VALUE"""),1.005)</f>
        <v>1.005</v>
      </c>
      <c r="E1585" s="16">
        <f>IFERROR(__xludf.DUMMYFUNCTION("""COMPUTED_VALUE"""),63.0)</f>
        <v>63</v>
      </c>
      <c r="F1585" s="19" t="str">
        <f>IFERROR(__xludf.DUMMYFUNCTION("""COMPUTED_VALUE"""),"BLACK")</f>
        <v>BLACK</v>
      </c>
      <c r="G1585" s="20" t="str">
        <f>IFERROR(__xludf.DUMMYFUNCTION("""COMPUTED_VALUE"""),"Uncle Sams Cider (11/12/2021) 02")</f>
        <v>Uncle Sams Cider (11/12/2021) 02</v>
      </c>
      <c r="H1585" s="19"/>
    </row>
    <row r="1586">
      <c r="A1586" s="9"/>
      <c r="B1586" s="15"/>
      <c r="C1586" s="9">
        <f>IFERROR(__xludf.DUMMYFUNCTION("""COMPUTED_VALUE"""),44589.0085363773)</f>
        <v>44589.00854</v>
      </c>
      <c r="D1586" s="15">
        <f>IFERROR(__xludf.DUMMYFUNCTION("""COMPUTED_VALUE"""),1.005)</f>
        <v>1.005</v>
      </c>
      <c r="E1586" s="16">
        <f>IFERROR(__xludf.DUMMYFUNCTION("""COMPUTED_VALUE"""),63.0)</f>
        <v>63</v>
      </c>
      <c r="F1586" s="19" t="str">
        <f>IFERROR(__xludf.DUMMYFUNCTION("""COMPUTED_VALUE"""),"BLACK")</f>
        <v>BLACK</v>
      </c>
      <c r="G1586" s="20" t="str">
        <f>IFERROR(__xludf.DUMMYFUNCTION("""COMPUTED_VALUE"""),"Uncle Sams Cider (11/12/2021) 02")</f>
        <v>Uncle Sams Cider (11/12/2021) 02</v>
      </c>
      <c r="H1586" s="19"/>
    </row>
    <row r="1587">
      <c r="A1587" s="9"/>
      <c r="B1587" s="15"/>
      <c r="C1587" s="9">
        <f>IFERROR(__xludf.DUMMYFUNCTION("""COMPUTED_VALUE"""),44588.9981147222)</f>
        <v>44588.99811</v>
      </c>
      <c r="D1587" s="15">
        <f>IFERROR(__xludf.DUMMYFUNCTION("""COMPUTED_VALUE"""),1.005)</f>
        <v>1.005</v>
      </c>
      <c r="E1587" s="16">
        <f>IFERROR(__xludf.DUMMYFUNCTION("""COMPUTED_VALUE"""),63.0)</f>
        <v>63</v>
      </c>
      <c r="F1587" s="19" t="str">
        <f>IFERROR(__xludf.DUMMYFUNCTION("""COMPUTED_VALUE"""),"BLACK")</f>
        <v>BLACK</v>
      </c>
      <c r="G1587" s="20" t="str">
        <f>IFERROR(__xludf.DUMMYFUNCTION("""COMPUTED_VALUE"""),"Uncle Sams Cider (11/12/2021) 02")</f>
        <v>Uncle Sams Cider (11/12/2021) 02</v>
      </c>
      <c r="H1587" s="19"/>
    </row>
    <row r="1588">
      <c r="A1588" s="9"/>
      <c r="B1588" s="15"/>
      <c r="C1588" s="9">
        <f>IFERROR(__xludf.DUMMYFUNCTION("""COMPUTED_VALUE"""),44588.9876919675)</f>
        <v>44588.98769</v>
      </c>
      <c r="D1588" s="15">
        <f>IFERROR(__xludf.DUMMYFUNCTION("""COMPUTED_VALUE"""),1.005)</f>
        <v>1.005</v>
      </c>
      <c r="E1588" s="16">
        <f>IFERROR(__xludf.DUMMYFUNCTION("""COMPUTED_VALUE"""),63.0)</f>
        <v>63</v>
      </c>
      <c r="F1588" s="19" t="str">
        <f>IFERROR(__xludf.DUMMYFUNCTION("""COMPUTED_VALUE"""),"BLACK")</f>
        <v>BLACK</v>
      </c>
      <c r="G1588" s="20" t="str">
        <f>IFERROR(__xludf.DUMMYFUNCTION("""COMPUTED_VALUE"""),"Uncle Sams Cider (11/12/2021) 02")</f>
        <v>Uncle Sams Cider (11/12/2021) 02</v>
      </c>
      <c r="H1588" s="19"/>
    </row>
    <row r="1589">
      <c r="A1589" s="9"/>
      <c r="B1589" s="15"/>
      <c r="C1589" s="9">
        <f>IFERROR(__xludf.DUMMYFUNCTION("""COMPUTED_VALUE"""),44588.9772713888)</f>
        <v>44588.97727</v>
      </c>
      <c r="D1589" s="15">
        <f>IFERROR(__xludf.DUMMYFUNCTION("""COMPUTED_VALUE"""),1.005)</f>
        <v>1.005</v>
      </c>
      <c r="E1589" s="16">
        <f>IFERROR(__xludf.DUMMYFUNCTION("""COMPUTED_VALUE"""),63.0)</f>
        <v>63</v>
      </c>
      <c r="F1589" s="19" t="str">
        <f>IFERROR(__xludf.DUMMYFUNCTION("""COMPUTED_VALUE"""),"BLACK")</f>
        <v>BLACK</v>
      </c>
      <c r="G1589" s="20" t="str">
        <f>IFERROR(__xludf.DUMMYFUNCTION("""COMPUTED_VALUE"""),"Uncle Sams Cider (11/12/2021) 02")</f>
        <v>Uncle Sams Cider (11/12/2021) 02</v>
      </c>
      <c r="H1589" s="19"/>
    </row>
    <row r="1590">
      <c r="A1590" s="9"/>
      <c r="B1590" s="15"/>
      <c r="C1590" s="9">
        <f>IFERROR(__xludf.DUMMYFUNCTION("""COMPUTED_VALUE"""),44588.9668376736)</f>
        <v>44588.96684</v>
      </c>
      <c r="D1590" s="15">
        <f>IFERROR(__xludf.DUMMYFUNCTION("""COMPUTED_VALUE"""),1.005)</f>
        <v>1.005</v>
      </c>
      <c r="E1590" s="16">
        <f>IFERROR(__xludf.DUMMYFUNCTION("""COMPUTED_VALUE"""),63.0)</f>
        <v>63</v>
      </c>
      <c r="F1590" s="19" t="str">
        <f>IFERROR(__xludf.DUMMYFUNCTION("""COMPUTED_VALUE"""),"BLACK")</f>
        <v>BLACK</v>
      </c>
      <c r="G1590" s="20" t="str">
        <f>IFERROR(__xludf.DUMMYFUNCTION("""COMPUTED_VALUE"""),"Uncle Sams Cider (11/12/2021) 02")</f>
        <v>Uncle Sams Cider (11/12/2021) 02</v>
      </c>
      <c r="H1590" s="19"/>
    </row>
    <row r="1591">
      <c r="A1591" s="9"/>
      <c r="B1591" s="15"/>
      <c r="C1591" s="9">
        <f>IFERROR(__xludf.DUMMYFUNCTION("""COMPUTED_VALUE"""),44588.9563341087)</f>
        <v>44588.95633</v>
      </c>
      <c r="D1591" s="15">
        <f>IFERROR(__xludf.DUMMYFUNCTION("""COMPUTED_VALUE"""),1.005)</f>
        <v>1.005</v>
      </c>
      <c r="E1591" s="16">
        <f>IFERROR(__xludf.DUMMYFUNCTION("""COMPUTED_VALUE"""),63.0)</f>
        <v>63</v>
      </c>
      <c r="F1591" s="19" t="str">
        <f>IFERROR(__xludf.DUMMYFUNCTION("""COMPUTED_VALUE"""),"BLACK")</f>
        <v>BLACK</v>
      </c>
      <c r="G1591" s="20" t="str">
        <f>IFERROR(__xludf.DUMMYFUNCTION("""COMPUTED_VALUE"""),"Uncle Sams Cider (11/12/2021) 02")</f>
        <v>Uncle Sams Cider (11/12/2021) 02</v>
      </c>
      <c r="H1591" s="19"/>
    </row>
    <row r="1592">
      <c r="A1592" s="9"/>
      <c r="B1592" s="15"/>
      <c r="C1592" s="9">
        <f>IFERROR(__xludf.DUMMYFUNCTION("""COMPUTED_VALUE"""),44588.9459118865)</f>
        <v>44588.94591</v>
      </c>
      <c r="D1592" s="15">
        <f>IFERROR(__xludf.DUMMYFUNCTION("""COMPUTED_VALUE"""),1.005)</f>
        <v>1.005</v>
      </c>
      <c r="E1592" s="16">
        <f>IFERROR(__xludf.DUMMYFUNCTION("""COMPUTED_VALUE"""),63.0)</f>
        <v>63</v>
      </c>
      <c r="F1592" s="19" t="str">
        <f>IFERROR(__xludf.DUMMYFUNCTION("""COMPUTED_VALUE"""),"BLACK")</f>
        <v>BLACK</v>
      </c>
      <c r="G1592" s="20" t="str">
        <f>IFERROR(__xludf.DUMMYFUNCTION("""COMPUTED_VALUE"""),"Uncle Sams Cider (11/12/2021) 02")</f>
        <v>Uncle Sams Cider (11/12/2021) 02</v>
      </c>
      <c r="H1592" s="19"/>
    </row>
    <row r="1593">
      <c r="A1593" s="9"/>
      <c r="B1593" s="15"/>
      <c r="C1593" s="9">
        <f>IFERROR(__xludf.DUMMYFUNCTION("""COMPUTED_VALUE"""),44588.9354905439)</f>
        <v>44588.93549</v>
      </c>
      <c r="D1593" s="15">
        <f>IFERROR(__xludf.DUMMYFUNCTION("""COMPUTED_VALUE"""),1.005)</f>
        <v>1.005</v>
      </c>
      <c r="E1593" s="16">
        <f>IFERROR(__xludf.DUMMYFUNCTION("""COMPUTED_VALUE"""),63.0)</f>
        <v>63</v>
      </c>
      <c r="F1593" s="19" t="str">
        <f>IFERROR(__xludf.DUMMYFUNCTION("""COMPUTED_VALUE"""),"BLACK")</f>
        <v>BLACK</v>
      </c>
      <c r="G1593" s="20" t="str">
        <f>IFERROR(__xludf.DUMMYFUNCTION("""COMPUTED_VALUE"""),"Uncle Sams Cider (11/12/2021) 02")</f>
        <v>Uncle Sams Cider (11/12/2021) 02</v>
      </c>
      <c r="H1593" s="19"/>
    </row>
    <row r="1594">
      <c r="A1594" s="9"/>
      <c r="B1594" s="15"/>
      <c r="C1594" s="9">
        <f>IFERROR(__xludf.DUMMYFUNCTION("""COMPUTED_VALUE"""),44588.9250574768)</f>
        <v>44588.92506</v>
      </c>
      <c r="D1594" s="15">
        <f>IFERROR(__xludf.DUMMYFUNCTION("""COMPUTED_VALUE"""),1.005)</f>
        <v>1.005</v>
      </c>
      <c r="E1594" s="16">
        <f>IFERROR(__xludf.DUMMYFUNCTION("""COMPUTED_VALUE"""),63.0)</f>
        <v>63</v>
      </c>
      <c r="F1594" s="19" t="str">
        <f>IFERROR(__xludf.DUMMYFUNCTION("""COMPUTED_VALUE"""),"BLACK")</f>
        <v>BLACK</v>
      </c>
      <c r="G1594" s="20" t="str">
        <f>IFERROR(__xludf.DUMMYFUNCTION("""COMPUTED_VALUE"""),"Uncle Sams Cider (11/12/2021) 02")</f>
        <v>Uncle Sams Cider (11/12/2021) 02</v>
      </c>
      <c r="H1594" s="19"/>
    </row>
    <row r="1595">
      <c r="A1595" s="9"/>
      <c r="B1595" s="15"/>
      <c r="C1595" s="9">
        <f>IFERROR(__xludf.DUMMYFUNCTION("""COMPUTED_VALUE"""),44588.9146131249)</f>
        <v>44588.91461</v>
      </c>
      <c r="D1595" s="15">
        <f>IFERROR(__xludf.DUMMYFUNCTION("""COMPUTED_VALUE"""),1.005)</f>
        <v>1.005</v>
      </c>
      <c r="E1595" s="16">
        <f>IFERROR(__xludf.DUMMYFUNCTION("""COMPUTED_VALUE"""),63.0)</f>
        <v>63</v>
      </c>
      <c r="F1595" s="19" t="str">
        <f>IFERROR(__xludf.DUMMYFUNCTION("""COMPUTED_VALUE"""),"BLACK")</f>
        <v>BLACK</v>
      </c>
      <c r="G1595" s="20" t="str">
        <f>IFERROR(__xludf.DUMMYFUNCTION("""COMPUTED_VALUE"""),"Uncle Sams Cider (11/12/2021) 02")</f>
        <v>Uncle Sams Cider (11/12/2021) 02</v>
      </c>
      <c r="H1595" s="19"/>
    </row>
    <row r="1596">
      <c r="A1596" s="9"/>
      <c r="B1596" s="15"/>
      <c r="C1596" s="9">
        <f>IFERROR(__xludf.DUMMYFUNCTION("""COMPUTED_VALUE"""),44588.9041903472)</f>
        <v>44588.90419</v>
      </c>
      <c r="D1596" s="15">
        <f>IFERROR(__xludf.DUMMYFUNCTION("""COMPUTED_VALUE"""),1.005)</f>
        <v>1.005</v>
      </c>
      <c r="E1596" s="16">
        <f>IFERROR(__xludf.DUMMYFUNCTION("""COMPUTED_VALUE"""),63.0)</f>
        <v>63</v>
      </c>
      <c r="F1596" s="19" t="str">
        <f>IFERROR(__xludf.DUMMYFUNCTION("""COMPUTED_VALUE"""),"BLACK")</f>
        <v>BLACK</v>
      </c>
      <c r="G1596" s="20" t="str">
        <f>IFERROR(__xludf.DUMMYFUNCTION("""COMPUTED_VALUE"""),"Uncle Sams Cider (11/12/2021) 02")</f>
        <v>Uncle Sams Cider (11/12/2021) 02</v>
      </c>
      <c r="H1596" s="19"/>
    </row>
    <row r="1597">
      <c r="A1597" s="9"/>
      <c r="B1597" s="15"/>
      <c r="C1597" s="9">
        <f>IFERROR(__xludf.DUMMYFUNCTION("""COMPUTED_VALUE"""),44588.8937687731)</f>
        <v>44588.89377</v>
      </c>
      <c r="D1597" s="15">
        <f>IFERROR(__xludf.DUMMYFUNCTION("""COMPUTED_VALUE"""),1.005)</f>
        <v>1.005</v>
      </c>
      <c r="E1597" s="16">
        <f>IFERROR(__xludf.DUMMYFUNCTION("""COMPUTED_VALUE"""),63.0)</f>
        <v>63</v>
      </c>
      <c r="F1597" s="19" t="str">
        <f>IFERROR(__xludf.DUMMYFUNCTION("""COMPUTED_VALUE"""),"BLACK")</f>
        <v>BLACK</v>
      </c>
      <c r="G1597" s="20" t="str">
        <f>IFERROR(__xludf.DUMMYFUNCTION("""COMPUTED_VALUE"""),"Uncle Sams Cider (11/12/2021) 02")</f>
        <v>Uncle Sams Cider (11/12/2021) 02</v>
      </c>
      <c r="H1597" s="19"/>
    </row>
    <row r="1598">
      <c r="A1598" s="9"/>
      <c r="B1598" s="15"/>
      <c r="C1598" s="9">
        <f>IFERROR(__xludf.DUMMYFUNCTION("""COMPUTED_VALUE"""),44588.8833363194)</f>
        <v>44588.88334</v>
      </c>
      <c r="D1598" s="15">
        <f>IFERROR(__xludf.DUMMYFUNCTION("""COMPUTED_VALUE"""),1.005)</f>
        <v>1.005</v>
      </c>
      <c r="E1598" s="16">
        <f>IFERROR(__xludf.DUMMYFUNCTION("""COMPUTED_VALUE"""),63.0)</f>
        <v>63</v>
      </c>
      <c r="F1598" s="19" t="str">
        <f>IFERROR(__xludf.DUMMYFUNCTION("""COMPUTED_VALUE"""),"BLACK")</f>
        <v>BLACK</v>
      </c>
      <c r="G1598" s="20" t="str">
        <f>IFERROR(__xludf.DUMMYFUNCTION("""COMPUTED_VALUE"""),"Uncle Sams Cider (11/12/2021) 02")</f>
        <v>Uncle Sams Cider (11/12/2021) 02</v>
      </c>
      <c r="H1598" s="19"/>
    </row>
    <row r="1599">
      <c r="A1599" s="9"/>
      <c r="B1599" s="15"/>
      <c r="C1599" s="9">
        <f>IFERROR(__xludf.DUMMYFUNCTION("""COMPUTED_VALUE"""),44588.8729036689)</f>
        <v>44588.8729</v>
      </c>
      <c r="D1599" s="15">
        <f>IFERROR(__xludf.DUMMYFUNCTION("""COMPUTED_VALUE"""),1.005)</f>
        <v>1.005</v>
      </c>
      <c r="E1599" s="16">
        <f>IFERROR(__xludf.DUMMYFUNCTION("""COMPUTED_VALUE"""),63.0)</f>
        <v>63</v>
      </c>
      <c r="F1599" s="19" t="str">
        <f>IFERROR(__xludf.DUMMYFUNCTION("""COMPUTED_VALUE"""),"BLACK")</f>
        <v>BLACK</v>
      </c>
      <c r="G1599" s="20" t="str">
        <f>IFERROR(__xludf.DUMMYFUNCTION("""COMPUTED_VALUE"""),"Uncle Sams Cider (11/12/2021) 02")</f>
        <v>Uncle Sams Cider (11/12/2021) 02</v>
      </c>
      <c r="H1599" s="19"/>
    </row>
    <row r="1600">
      <c r="A1600" s="9"/>
      <c r="B1600" s="15"/>
      <c r="C1600" s="9">
        <f>IFERROR(__xludf.DUMMYFUNCTION("""COMPUTED_VALUE"""),44588.8624457523)</f>
        <v>44588.86245</v>
      </c>
      <c r="D1600" s="15">
        <f>IFERROR(__xludf.DUMMYFUNCTION("""COMPUTED_VALUE"""),1.005)</f>
        <v>1.005</v>
      </c>
      <c r="E1600" s="16">
        <f>IFERROR(__xludf.DUMMYFUNCTION("""COMPUTED_VALUE"""),63.0)</f>
        <v>63</v>
      </c>
      <c r="F1600" s="19" t="str">
        <f>IFERROR(__xludf.DUMMYFUNCTION("""COMPUTED_VALUE"""),"BLACK")</f>
        <v>BLACK</v>
      </c>
      <c r="G1600" s="20" t="str">
        <f>IFERROR(__xludf.DUMMYFUNCTION("""COMPUTED_VALUE"""),"Uncle Sams Cider (11/12/2021) 02")</f>
        <v>Uncle Sams Cider (11/12/2021) 02</v>
      </c>
      <c r="H1600" s="19"/>
    </row>
    <row r="1601">
      <c r="A1601" s="9"/>
      <c r="B1601" s="15"/>
      <c r="C1601" s="9">
        <f>IFERROR(__xludf.DUMMYFUNCTION("""COMPUTED_VALUE"""),44588.8520145138)</f>
        <v>44588.85201</v>
      </c>
      <c r="D1601" s="15">
        <f>IFERROR(__xludf.DUMMYFUNCTION("""COMPUTED_VALUE"""),1.005)</f>
        <v>1.005</v>
      </c>
      <c r="E1601" s="16">
        <f>IFERROR(__xludf.DUMMYFUNCTION("""COMPUTED_VALUE"""),63.0)</f>
        <v>63</v>
      </c>
      <c r="F1601" s="19" t="str">
        <f>IFERROR(__xludf.DUMMYFUNCTION("""COMPUTED_VALUE"""),"BLACK")</f>
        <v>BLACK</v>
      </c>
      <c r="G1601" s="20" t="str">
        <f>IFERROR(__xludf.DUMMYFUNCTION("""COMPUTED_VALUE"""),"Uncle Sams Cider (11/12/2021) 02")</f>
        <v>Uncle Sams Cider (11/12/2021) 02</v>
      </c>
      <c r="H1601" s="19"/>
    </row>
    <row r="1602">
      <c r="A1602" s="9"/>
      <c r="B1602" s="15"/>
      <c r="C1602" s="9">
        <f>IFERROR(__xludf.DUMMYFUNCTION("""COMPUTED_VALUE"""),44588.8415922222)</f>
        <v>44588.84159</v>
      </c>
      <c r="D1602" s="15">
        <f>IFERROR(__xludf.DUMMYFUNCTION("""COMPUTED_VALUE"""),1.005)</f>
        <v>1.005</v>
      </c>
      <c r="E1602" s="16">
        <f>IFERROR(__xludf.DUMMYFUNCTION("""COMPUTED_VALUE"""),63.0)</f>
        <v>63</v>
      </c>
      <c r="F1602" s="19" t="str">
        <f>IFERROR(__xludf.DUMMYFUNCTION("""COMPUTED_VALUE"""),"BLACK")</f>
        <v>BLACK</v>
      </c>
      <c r="G1602" s="20" t="str">
        <f>IFERROR(__xludf.DUMMYFUNCTION("""COMPUTED_VALUE"""),"Uncle Sams Cider (11/12/2021) 02")</f>
        <v>Uncle Sams Cider (11/12/2021) 02</v>
      </c>
      <c r="H1602" s="19"/>
    </row>
    <row r="1603">
      <c r="A1603" s="9"/>
      <c r="B1603" s="15"/>
      <c r="C1603" s="9">
        <f>IFERROR(__xludf.DUMMYFUNCTION("""COMPUTED_VALUE"""),44588.8311718865)</f>
        <v>44588.83117</v>
      </c>
      <c r="D1603" s="15">
        <f>IFERROR(__xludf.DUMMYFUNCTION("""COMPUTED_VALUE"""),1.005)</f>
        <v>1.005</v>
      </c>
      <c r="E1603" s="16">
        <f>IFERROR(__xludf.DUMMYFUNCTION("""COMPUTED_VALUE"""),63.0)</f>
        <v>63</v>
      </c>
      <c r="F1603" s="19" t="str">
        <f>IFERROR(__xludf.DUMMYFUNCTION("""COMPUTED_VALUE"""),"BLACK")</f>
        <v>BLACK</v>
      </c>
      <c r="G1603" s="20" t="str">
        <f>IFERROR(__xludf.DUMMYFUNCTION("""COMPUTED_VALUE"""),"Uncle Sams Cider (11/12/2021) 02")</f>
        <v>Uncle Sams Cider (11/12/2021) 02</v>
      </c>
      <c r="H1603" s="19"/>
    </row>
    <row r="1604">
      <c r="A1604" s="9"/>
      <c r="B1604" s="15"/>
      <c r="C1604" s="9">
        <f>IFERROR(__xludf.DUMMYFUNCTION("""COMPUTED_VALUE"""),44588.8207497222)</f>
        <v>44588.82075</v>
      </c>
      <c r="D1604" s="15">
        <f>IFERROR(__xludf.DUMMYFUNCTION("""COMPUTED_VALUE"""),1.005)</f>
        <v>1.005</v>
      </c>
      <c r="E1604" s="16">
        <f>IFERROR(__xludf.DUMMYFUNCTION("""COMPUTED_VALUE"""),63.0)</f>
        <v>63</v>
      </c>
      <c r="F1604" s="19" t="str">
        <f>IFERROR(__xludf.DUMMYFUNCTION("""COMPUTED_VALUE"""),"BLACK")</f>
        <v>BLACK</v>
      </c>
      <c r="G1604" s="20" t="str">
        <f>IFERROR(__xludf.DUMMYFUNCTION("""COMPUTED_VALUE"""),"Uncle Sams Cider (11/12/2021) 02")</f>
        <v>Uncle Sams Cider (11/12/2021) 02</v>
      </c>
      <c r="H1604" s="19"/>
    </row>
    <row r="1605">
      <c r="A1605" s="9"/>
      <c r="B1605" s="15"/>
      <c r="C1605" s="9">
        <f>IFERROR(__xludf.DUMMYFUNCTION("""COMPUTED_VALUE"""),44588.8103045138)</f>
        <v>44588.8103</v>
      </c>
      <c r="D1605" s="15">
        <f>IFERROR(__xludf.DUMMYFUNCTION("""COMPUTED_VALUE"""),1.005)</f>
        <v>1.005</v>
      </c>
      <c r="E1605" s="16">
        <f>IFERROR(__xludf.DUMMYFUNCTION("""COMPUTED_VALUE"""),63.0)</f>
        <v>63</v>
      </c>
      <c r="F1605" s="19" t="str">
        <f>IFERROR(__xludf.DUMMYFUNCTION("""COMPUTED_VALUE"""),"BLACK")</f>
        <v>BLACK</v>
      </c>
      <c r="G1605" s="20" t="str">
        <f>IFERROR(__xludf.DUMMYFUNCTION("""COMPUTED_VALUE"""),"Uncle Sams Cider (11/12/2021) 02")</f>
        <v>Uncle Sams Cider (11/12/2021) 02</v>
      </c>
      <c r="H1605" s="19"/>
    </row>
    <row r="1606">
      <c r="A1606" s="9"/>
      <c r="B1606" s="15"/>
      <c r="C1606" s="9">
        <f>IFERROR(__xludf.DUMMYFUNCTION("""COMPUTED_VALUE"""),44588.7998836458)</f>
        <v>44588.79988</v>
      </c>
      <c r="D1606" s="15">
        <f>IFERROR(__xludf.DUMMYFUNCTION("""COMPUTED_VALUE"""),1.005)</f>
        <v>1.005</v>
      </c>
      <c r="E1606" s="16">
        <f>IFERROR(__xludf.DUMMYFUNCTION("""COMPUTED_VALUE"""),63.0)</f>
        <v>63</v>
      </c>
      <c r="F1606" s="19" t="str">
        <f>IFERROR(__xludf.DUMMYFUNCTION("""COMPUTED_VALUE"""),"BLACK")</f>
        <v>BLACK</v>
      </c>
      <c r="G1606" s="20" t="str">
        <f>IFERROR(__xludf.DUMMYFUNCTION("""COMPUTED_VALUE"""),"Uncle Sams Cider (11/12/2021) 02")</f>
        <v>Uncle Sams Cider (11/12/2021) 02</v>
      </c>
      <c r="H1606" s="19"/>
    </row>
    <row r="1607">
      <c r="A1607" s="9"/>
      <c r="B1607" s="15"/>
      <c r="C1607" s="9">
        <f>IFERROR(__xludf.DUMMYFUNCTION("""COMPUTED_VALUE"""),44588.7894499074)</f>
        <v>44588.78945</v>
      </c>
      <c r="D1607" s="15">
        <f>IFERROR(__xludf.DUMMYFUNCTION("""COMPUTED_VALUE"""),1.005)</f>
        <v>1.005</v>
      </c>
      <c r="E1607" s="16">
        <f>IFERROR(__xludf.DUMMYFUNCTION("""COMPUTED_VALUE"""),64.0)</f>
        <v>64</v>
      </c>
      <c r="F1607" s="19" t="str">
        <f>IFERROR(__xludf.DUMMYFUNCTION("""COMPUTED_VALUE"""),"BLACK")</f>
        <v>BLACK</v>
      </c>
      <c r="G1607" s="20" t="str">
        <f>IFERROR(__xludf.DUMMYFUNCTION("""COMPUTED_VALUE"""),"Uncle Sams Cider (11/12/2021) 02")</f>
        <v>Uncle Sams Cider (11/12/2021) 02</v>
      </c>
      <c r="H1607" s="19"/>
    </row>
    <row r="1608">
      <c r="A1608" s="9"/>
      <c r="B1608" s="15"/>
      <c r="C1608" s="9">
        <f>IFERROR(__xludf.DUMMYFUNCTION("""COMPUTED_VALUE"""),44588.7790185879)</f>
        <v>44588.77902</v>
      </c>
      <c r="D1608" s="15">
        <f>IFERROR(__xludf.DUMMYFUNCTION("""COMPUTED_VALUE"""),1.005)</f>
        <v>1.005</v>
      </c>
      <c r="E1608" s="16">
        <f>IFERROR(__xludf.DUMMYFUNCTION("""COMPUTED_VALUE"""),64.0)</f>
        <v>64</v>
      </c>
      <c r="F1608" s="19" t="str">
        <f>IFERROR(__xludf.DUMMYFUNCTION("""COMPUTED_VALUE"""),"BLACK")</f>
        <v>BLACK</v>
      </c>
      <c r="G1608" s="20" t="str">
        <f>IFERROR(__xludf.DUMMYFUNCTION("""COMPUTED_VALUE"""),"Uncle Sams Cider (11/12/2021) 02")</f>
        <v>Uncle Sams Cider (11/12/2021) 02</v>
      </c>
      <c r="H1608" s="19"/>
    </row>
    <row r="1609">
      <c r="A1609" s="9"/>
      <c r="B1609" s="15"/>
      <c r="C1609" s="9">
        <f>IFERROR(__xludf.DUMMYFUNCTION("""COMPUTED_VALUE"""),44588.7685963657)</f>
        <v>44588.7686</v>
      </c>
      <c r="D1609" s="15">
        <f>IFERROR(__xludf.DUMMYFUNCTION("""COMPUTED_VALUE"""),1.005)</f>
        <v>1.005</v>
      </c>
      <c r="E1609" s="16">
        <f>IFERROR(__xludf.DUMMYFUNCTION("""COMPUTED_VALUE"""),64.0)</f>
        <v>64</v>
      </c>
      <c r="F1609" s="19" t="str">
        <f>IFERROR(__xludf.DUMMYFUNCTION("""COMPUTED_VALUE"""),"BLACK")</f>
        <v>BLACK</v>
      </c>
      <c r="G1609" s="20" t="str">
        <f>IFERROR(__xludf.DUMMYFUNCTION("""COMPUTED_VALUE"""),"Uncle Sams Cider (11/12/2021) 02")</f>
        <v>Uncle Sams Cider (11/12/2021) 02</v>
      </c>
      <c r="H1609" s="19"/>
    </row>
    <row r="1610">
      <c r="A1610" s="9"/>
      <c r="B1610" s="15"/>
      <c r="C1610" s="9">
        <f>IFERROR(__xludf.DUMMYFUNCTION("""COMPUTED_VALUE"""),44588.7581642361)</f>
        <v>44588.75816</v>
      </c>
      <c r="D1610" s="15">
        <f>IFERROR(__xludf.DUMMYFUNCTION("""COMPUTED_VALUE"""),1.005)</f>
        <v>1.005</v>
      </c>
      <c r="E1610" s="16">
        <f>IFERROR(__xludf.DUMMYFUNCTION("""COMPUTED_VALUE"""),64.0)</f>
        <v>64</v>
      </c>
      <c r="F1610" s="19" t="str">
        <f>IFERROR(__xludf.DUMMYFUNCTION("""COMPUTED_VALUE"""),"BLACK")</f>
        <v>BLACK</v>
      </c>
      <c r="G1610" s="20" t="str">
        <f>IFERROR(__xludf.DUMMYFUNCTION("""COMPUTED_VALUE"""),"Uncle Sams Cider (11/12/2021) 02")</f>
        <v>Uncle Sams Cider (11/12/2021) 02</v>
      </c>
      <c r="H1610" s="19"/>
    </row>
    <row r="1611">
      <c r="A1611" s="9"/>
      <c r="B1611" s="15"/>
      <c r="C1611" s="9">
        <f>IFERROR(__xludf.DUMMYFUNCTION("""COMPUTED_VALUE"""),44588.7477311805)</f>
        <v>44588.74773</v>
      </c>
      <c r="D1611" s="15">
        <f>IFERROR(__xludf.DUMMYFUNCTION("""COMPUTED_VALUE"""),1.005)</f>
        <v>1.005</v>
      </c>
      <c r="E1611" s="16">
        <f>IFERROR(__xludf.DUMMYFUNCTION("""COMPUTED_VALUE"""),64.0)</f>
        <v>64</v>
      </c>
      <c r="F1611" s="19" t="str">
        <f>IFERROR(__xludf.DUMMYFUNCTION("""COMPUTED_VALUE"""),"BLACK")</f>
        <v>BLACK</v>
      </c>
      <c r="G1611" s="20" t="str">
        <f>IFERROR(__xludf.DUMMYFUNCTION("""COMPUTED_VALUE"""),"Uncle Sams Cider (11/12/2021) 02")</f>
        <v>Uncle Sams Cider (11/12/2021) 02</v>
      </c>
      <c r="H1611" s="19"/>
    </row>
    <row r="1612">
      <c r="A1612" s="9"/>
      <c r="B1612" s="15"/>
      <c r="C1612" s="9">
        <f>IFERROR(__xludf.DUMMYFUNCTION("""COMPUTED_VALUE"""),44588.737308125)</f>
        <v>44588.73731</v>
      </c>
      <c r="D1612" s="15">
        <f>IFERROR(__xludf.DUMMYFUNCTION("""COMPUTED_VALUE"""),1.005)</f>
        <v>1.005</v>
      </c>
      <c r="E1612" s="16">
        <f>IFERROR(__xludf.DUMMYFUNCTION("""COMPUTED_VALUE"""),64.0)</f>
        <v>64</v>
      </c>
      <c r="F1612" s="19" t="str">
        <f>IFERROR(__xludf.DUMMYFUNCTION("""COMPUTED_VALUE"""),"BLACK")</f>
        <v>BLACK</v>
      </c>
      <c r="G1612" s="20" t="str">
        <f>IFERROR(__xludf.DUMMYFUNCTION("""COMPUTED_VALUE"""),"Uncle Sams Cider (11/12/2021) 02")</f>
        <v>Uncle Sams Cider (11/12/2021) 02</v>
      </c>
      <c r="H1612" s="19"/>
    </row>
    <row r="1613">
      <c r="A1613" s="9"/>
      <c r="B1613" s="15"/>
      <c r="C1613" s="9">
        <f>IFERROR(__xludf.DUMMYFUNCTION("""COMPUTED_VALUE"""),44588.726887037)</f>
        <v>44588.72689</v>
      </c>
      <c r="D1613" s="15">
        <f>IFERROR(__xludf.DUMMYFUNCTION("""COMPUTED_VALUE"""),1.005)</f>
        <v>1.005</v>
      </c>
      <c r="E1613" s="16">
        <f>IFERROR(__xludf.DUMMYFUNCTION("""COMPUTED_VALUE"""),64.0)</f>
        <v>64</v>
      </c>
      <c r="F1613" s="19" t="str">
        <f>IFERROR(__xludf.DUMMYFUNCTION("""COMPUTED_VALUE"""),"BLACK")</f>
        <v>BLACK</v>
      </c>
      <c r="G1613" s="20" t="str">
        <f>IFERROR(__xludf.DUMMYFUNCTION("""COMPUTED_VALUE"""),"Uncle Sams Cider (11/12/2021) 02")</f>
        <v>Uncle Sams Cider (11/12/2021) 02</v>
      </c>
      <c r="H1613" s="19"/>
    </row>
    <row r="1614">
      <c r="A1614" s="9"/>
      <c r="B1614" s="15"/>
      <c r="C1614" s="9">
        <f>IFERROR(__xludf.DUMMYFUNCTION("""COMPUTED_VALUE"""),44588.7164645717)</f>
        <v>44588.71646</v>
      </c>
      <c r="D1614" s="15">
        <f>IFERROR(__xludf.DUMMYFUNCTION("""COMPUTED_VALUE"""),1.005)</f>
        <v>1.005</v>
      </c>
      <c r="E1614" s="16">
        <f>IFERROR(__xludf.DUMMYFUNCTION("""COMPUTED_VALUE"""),64.0)</f>
        <v>64</v>
      </c>
      <c r="F1614" s="19" t="str">
        <f>IFERROR(__xludf.DUMMYFUNCTION("""COMPUTED_VALUE"""),"BLACK")</f>
        <v>BLACK</v>
      </c>
      <c r="G1614" s="20" t="str">
        <f>IFERROR(__xludf.DUMMYFUNCTION("""COMPUTED_VALUE"""),"Uncle Sams Cider (11/12/2021) 02")</f>
        <v>Uncle Sams Cider (11/12/2021) 02</v>
      </c>
      <c r="H1614" s="19"/>
    </row>
    <row r="1615">
      <c r="A1615" s="9"/>
      <c r="B1615" s="15"/>
      <c r="C1615" s="9">
        <f>IFERROR(__xludf.DUMMYFUNCTION("""COMPUTED_VALUE"""),44588.7060430092)</f>
        <v>44588.70604</v>
      </c>
      <c r="D1615" s="15">
        <f>IFERROR(__xludf.DUMMYFUNCTION("""COMPUTED_VALUE"""),1.005)</f>
        <v>1.005</v>
      </c>
      <c r="E1615" s="16">
        <f>IFERROR(__xludf.DUMMYFUNCTION("""COMPUTED_VALUE"""),64.0)</f>
        <v>64</v>
      </c>
      <c r="F1615" s="19" t="str">
        <f>IFERROR(__xludf.DUMMYFUNCTION("""COMPUTED_VALUE"""),"BLACK")</f>
        <v>BLACK</v>
      </c>
      <c r="G1615" s="20" t="str">
        <f>IFERROR(__xludf.DUMMYFUNCTION("""COMPUTED_VALUE"""),"Uncle Sams Cider (11/12/2021) 02")</f>
        <v>Uncle Sams Cider (11/12/2021) 02</v>
      </c>
      <c r="H1615" s="19"/>
    </row>
    <row r="1616">
      <c r="A1616" s="9"/>
      <c r="B1616" s="15"/>
      <c r="C1616" s="9">
        <f>IFERROR(__xludf.DUMMYFUNCTION("""COMPUTED_VALUE"""),44588.6956120486)</f>
        <v>44588.69561</v>
      </c>
      <c r="D1616" s="15">
        <f>IFERROR(__xludf.DUMMYFUNCTION("""COMPUTED_VALUE"""),1.005)</f>
        <v>1.005</v>
      </c>
      <c r="E1616" s="16">
        <f>IFERROR(__xludf.DUMMYFUNCTION("""COMPUTED_VALUE"""),64.0)</f>
        <v>64</v>
      </c>
      <c r="F1616" s="19" t="str">
        <f>IFERROR(__xludf.DUMMYFUNCTION("""COMPUTED_VALUE"""),"BLACK")</f>
        <v>BLACK</v>
      </c>
      <c r="G1616" s="20" t="str">
        <f>IFERROR(__xludf.DUMMYFUNCTION("""COMPUTED_VALUE"""),"Uncle Sams Cider (11/12/2021) 02")</f>
        <v>Uncle Sams Cider (11/12/2021) 02</v>
      </c>
      <c r="H1616" s="19"/>
    </row>
    <row r="1617">
      <c r="A1617" s="9"/>
      <c r="B1617" s="15"/>
      <c r="C1617" s="9">
        <f>IFERROR(__xludf.DUMMYFUNCTION("""COMPUTED_VALUE"""),44588.6851908564)</f>
        <v>44588.68519</v>
      </c>
      <c r="D1617" s="15">
        <f>IFERROR(__xludf.DUMMYFUNCTION("""COMPUTED_VALUE"""),1.005)</f>
        <v>1.005</v>
      </c>
      <c r="E1617" s="16">
        <f>IFERROR(__xludf.DUMMYFUNCTION("""COMPUTED_VALUE"""),64.0)</f>
        <v>64</v>
      </c>
      <c r="F1617" s="19" t="str">
        <f>IFERROR(__xludf.DUMMYFUNCTION("""COMPUTED_VALUE"""),"BLACK")</f>
        <v>BLACK</v>
      </c>
      <c r="G1617" s="20" t="str">
        <f>IFERROR(__xludf.DUMMYFUNCTION("""COMPUTED_VALUE"""),"Uncle Sams Cider (11/12/2021) 02")</f>
        <v>Uncle Sams Cider (11/12/2021) 02</v>
      </c>
      <c r="H1617" s="19"/>
    </row>
    <row r="1618">
      <c r="A1618" s="9"/>
      <c r="B1618" s="15"/>
      <c r="C1618" s="9">
        <f>IFERROR(__xludf.DUMMYFUNCTION("""COMPUTED_VALUE"""),44588.6747685069)</f>
        <v>44588.67477</v>
      </c>
      <c r="D1618" s="15">
        <f>IFERROR(__xludf.DUMMYFUNCTION("""COMPUTED_VALUE"""),1.005)</f>
        <v>1.005</v>
      </c>
      <c r="E1618" s="16">
        <f>IFERROR(__xludf.DUMMYFUNCTION("""COMPUTED_VALUE"""),64.0)</f>
        <v>64</v>
      </c>
      <c r="F1618" s="19" t="str">
        <f>IFERROR(__xludf.DUMMYFUNCTION("""COMPUTED_VALUE"""),"BLACK")</f>
        <v>BLACK</v>
      </c>
      <c r="G1618" s="20" t="str">
        <f>IFERROR(__xludf.DUMMYFUNCTION("""COMPUTED_VALUE"""),"Uncle Sams Cider (11/12/2021) 02")</f>
        <v>Uncle Sams Cider (11/12/2021) 02</v>
      </c>
      <c r="H1618" s="19"/>
    </row>
    <row r="1619">
      <c r="A1619" s="9"/>
      <c r="B1619" s="15"/>
      <c r="C1619" s="9">
        <f>IFERROR(__xludf.DUMMYFUNCTION("""COMPUTED_VALUE"""),44588.6643473958)</f>
        <v>44588.66435</v>
      </c>
      <c r="D1619" s="15">
        <f>IFERROR(__xludf.DUMMYFUNCTION("""COMPUTED_VALUE"""),1.005)</f>
        <v>1.005</v>
      </c>
      <c r="E1619" s="16">
        <f>IFERROR(__xludf.DUMMYFUNCTION("""COMPUTED_VALUE"""),64.0)</f>
        <v>64</v>
      </c>
      <c r="F1619" s="19" t="str">
        <f>IFERROR(__xludf.DUMMYFUNCTION("""COMPUTED_VALUE"""),"BLACK")</f>
        <v>BLACK</v>
      </c>
      <c r="G1619" s="20" t="str">
        <f>IFERROR(__xludf.DUMMYFUNCTION("""COMPUTED_VALUE"""),"Uncle Sams Cider (11/12/2021) 02")</f>
        <v>Uncle Sams Cider (11/12/2021) 02</v>
      </c>
      <c r="H1619" s="19"/>
    </row>
    <row r="1620">
      <c r="A1620" s="9"/>
      <c r="B1620" s="15"/>
      <c r="C1620" s="9">
        <f>IFERROR(__xludf.DUMMYFUNCTION("""COMPUTED_VALUE"""),44588.6539234259)</f>
        <v>44588.65392</v>
      </c>
      <c r="D1620" s="15">
        <f>IFERROR(__xludf.DUMMYFUNCTION("""COMPUTED_VALUE"""),1.005)</f>
        <v>1.005</v>
      </c>
      <c r="E1620" s="16">
        <f>IFERROR(__xludf.DUMMYFUNCTION("""COMPUTED_VALUE"""),64.0)</f>
        <v>64</v>
      </c>
      <c r="F1620" s="19" t="str">
        <f>IFERROR(__xludf.DUMMYFUNCTION("""COMPUTED_VALUE"""),"BLACK")</f>
        <v>BLACK</v>
      </c>
      <c r="G1620" s="20" t="str">
        <f>IFERROR(__xludf.DUMMYFUNCTION("""COMPUTED_VALUE"""),"Uncle Sams Cider (11/12/2021) 02")</f>
        <v>Uncle Sams Cider (11/12/2021) 02</v>
      </c>
      <c r="H1620" s="19"/>
    </row>
    <row r="1621">
      <c r="A1621" s="9"/>
      <c r="B1621" s="15"/>
      <c r="C1621" s="9">
        <f>IFERROR(__xludf.DUMMYFUNCTION("""COMPUTED_VALUE"""),44588.6435035648)</f>
        <v>44588.6435</v>
      </c>
      <c r="D1621" s="15">
        <f>IFERROR(__xludf.DUMMYFUNCTION("""COMPUTED_VALUE"""),1.005)</f>
        <v>1.005</v>
      </c>
      <c r="E1621" s="16">
        <f>IFERROR(__xludf.DUMMYFUNCTION("""COMPUTED_VALUE"""),64.0)</f>
        <v>64</v>
      </c>
      <c r="F1621" s="19" t="str">
        <f>IFERROR(__xludf.DUMMYFUNCTION("""COMPUTED_VALUE"""),"BLACK")</f>
        <v>BLACK</v>
      </c>
      <c r="G1621" s="20" t="str">
        <f>IFERROR(__xludf.DUMMYFUNCTION("""COMPUTED_VALUE"""),"Uncle Sams Cider (11/12/2021) 02")</f>
        <v>Uncle Sams Cider (11/12/2021) 02</v>
      </c>
      <c r="H1621" s="19"/>
    </row>
    <row r="1622">
      <c r="A1622" s="9"/>
      <c r="B1622" s="15"/>
      <c r="C1622" s="9">
        <f>IFERROR(__xludf.DUMMYFUNCTION("""COMPUTED_VALUE"""),44588.6330581944)</f>
        <v>44588.63306</v>
      </c>
      <c r="D1622" s="15">
        <f>IFERROR(__xludf.DUMMYFUNCTION("""COMPUTED_VALUE"""),1.005)</f>
        <v>1.005</v>
      </c>
      <c r="E1622" s="16">
        <f>IFERROR(__xludf.DUMMYFUNCTION("""COMPUTED_VALUE"""),64.0)</f>
        <v>64</v>
      </c>
      <c r="F1622" s="19" t="str">
        <f>IFERROR(__xludf.DUMMYFUNCTION("""COMPUTED_VALUE"""),"BLACK")</f>
        <v>BLACK</v>
      </c>
      <c r="G1622" s="20" t="str">
        <f>IFERROR(__xludf.DUMMYFUNCTION("""COMPUTED_VALUE"""),"Uncle Sams Cider (11/12/2021) 02")</f>
        <v>Uncle Sams Cider (11/12/2021) 02</v>
      </c>
      <c r="H1622" s="19"/>
    </row>
    <row r="1623">
      <c r="A1623" s="9"/>
      <c r="B1623" s="15"/>
      <c r="C1623" s="9">
        <f>IFERROR(__xludf.DUMMYFUNCTION("""COMPUTED_VALUE"""),44588.6226365972)</f>
        <v>44588.62264</v>
      </c>
      <c r="D1623" s="15">
        <f>IFERROR(__xludf.DUMMYFUNCTION("""COMPUTED_VALUE"""),1.005)</f>
        <v>1.005</v>
      </c>
      <c r="E1623" s="16">
        <f>IFERROR(__xludf.DUMMYFUNCTION("""COMPUTED_VALUE"""),64.0)</f>
        <v>64</v>
      </c>
      <c r="F1623" s="19" t="str">
        <f>IFERROR(__xludf.DUMMYFUNCTION("""COMPUTED_VALUE"""),"BLACK")</f>
        <v>BLACK</v>
      </c>
      <c r="G1623" s="20" t="str">
        <f>IFERROR(__xludf.DUMMYFUNCTION("""COMPUTED_VALUE"""),"Uncle Sams Cider (11/12/2021) 02")</f>
        <v>Uncle Sams Cider (11/12/2021) 02</v>
      </c>
      <c r="H1623" s="19"/>
    </row>
    <row r="1624">
      <c r="A1624" s="9"/>
      <c r="B1624" s="15"/>
      <c r="C1624" s="9">
        <f>IFERROR(__xludf.DUMMYFUNCTION("""COMPUTED_VALUE"""),44588.612204155)</f>
        <v>44588.6122</v>
      </c>
      <c r="D1624" s="15">
        <f>IFERROR(__xludf.DUMMYFUNCTION("""COMPUTED_VALUE"""),1.005)</f>
        <v>1.005</v>
      </c>
      <c r="E1624" s="16">
        <f>IFERROR(__xludf.DUMMYFUNCTION("""COMPUTED_VALUE"""),64.0)</f>
        <v>64</v>
      </c>
      <c r="F1624" s="19" t="str">
        <f>IFERROR(__xludf.DUMMYFUNCTION("""COMPUTED_VALUE"""),"BLACK")</f>
        <v>BLACK</v>
      </c>
      <c r="G1624" s="20" t="str">
        <f>IFERROR(__xludf.DUMMYFUNCTION("""COMPUTED_VALUE"""),"Uncle Sams Cider (11/12/2021) 02")</f>
        <v>Uncle Sams Cider (11/12/2021) 02</v>
      </c>
      <c r="H1624" s="19"/>
    </row>
    <row r="1625">
      <c r="A1625" s="9"/>
      <c r="B1625" s="15"/>
      <c r="C1625" s="9">
        <f>IFERROR(__xludf.DUMMYFUNCTION("""COMPUTED_VALUE"""),44588.6017471064)</f>
        <v>44588.60175</v>
      </c>
      <c r="D1625" s="15">
        <f>IFERROR(__xludf.DUMMYFUNCTION("""COMPUTED_VALUE"""),1.005)</f>
        <v>1.005</v>
      </c>
      <c r="E1625" s="16">
        <f>IFERROR(__xludf.DUMMYFUNCTION("""COMPUTED_VALUE"""),64.0)</f>
        <v>64</v>
      </c>
      <c r="F1625" s="19" t="str">
        <f>IFERROR(__xludf.DUMMYFUNCTION("""COMPUTED_VALUE"""),"BLACK")</f>
        <v>BLACK</v>
      </c>
      <c r="G1625" s="20" t="str">
        <f>IFERROR(__xludf.DUMMYFUNCTION("""COMPUTED_VALUE"""),"Uncle Sams Cider (11/12/2021) 02")</f>
        <v>Uncle Sams Cider (11/12/2021) 02</v>
      </c>
      <c r="H1625" s="19"/>
    </row>
    <row r="1626">
      <c r="A1626" s="9"/>
      <c r="B1626" s="15"/>
      <c r="C1626" s="9">
        <f>IFERROR(__xludf.DUMMYFUNCTION("""COMPUTED_VALUE"""),44588.591315)</f>
        <v>44588.59132</v>
      </c>
      <c r="D1626" s="15">
        <f>IFERROR(__xludf.DUMMYFUNCTION("""COMPUTED_VALUE"""),1.005)</f>
        <v>1.005</v>
      </c>
      <c r="E1626" s="16">
        <f>IFERROR(__xludf.DUMMYFUNCTION("""COMPUTED_VALUE"""),64.0)</f>
        <v>64</v>
      </c>
      <c r="F1626" s="19" t="str">
        <f>IFERROR(__xludf.DUMMYFUNCTION("""COMPUTED_VALUE"""),"BLACK")</f>
        <v>BLACK</v>
      </c>
      <c r="G1626" s="20" t="str">
        <f>IFERROR(__xludf.DUMMYFUNCTION("""COMPUTED_VALUE"""),"Uncle Sams Cider (11/12/2021) 02")</f>
        <v>Uncle Sams Cider (11/12/2021) 02</v>
      </c>
      <c r="H1626" s="19"/>
    </row>
    <row r="1627">
      <c r="A1627" s="9"/>
      <c r="B1627" s="15"/>
      <c r="C1627" s="9">
        <f>IFERROR(__xludf.DUMMYFUNCTION("""COMPUTED_VALUE"""),44588.5808946064)</f>
        <v>44588.58089</v>
      </c>
      <c r="D1627" s="15">
        <f>IFERROR(__xludf.DUMMYFUNCTION("""COMPUTED_VALUE"""),1.005)</f>
        <v>1.005</v>
      </c>
      <c r="E1627" s="16">
        <f>IFERROR(__xludf.DUMMYFUNCTION("""COMPUTED_VALUE"""),64.0)</f>
        <v>64</v>
      </c>
      <c r="F1627" s="19" t="str">
        <f>IFERROR(__xludf.DUMMYFUNCTION("""COMPUTED_VALUE"""),"BLACK")</f>
        <v>BLACK</v>
      </c>
      <c r="G1627" s="20" t="str">
        <f>IFERROR(__xludf.DUMMYFUNCTION("""COMPUTED_VALUE"""),"Uncle Sams Cider (11/12/2021) 02")</f>
        <v>Uncle Sams Cider (11/12/2021) 02</v>
      </c>
      <c r="H1627" s="19"/>
    </row>
    <row r="1628">
      <c r="A1628" s="9"/>
      <c r="B1628" s="15"/>
      <c r="C1628" s="9">
        <f>IFERROR(__xludf.DUMMYFUNCTION("""COMPUTED_VALUE"""),44588.5704736342)</f>
        <v>44588.57047</v>
      </c>
      <c r="D1628" s="15">
        <f>IFERROR(__xludf.DUMMYFUNCTION("""COMPUTED_VALUE"""),1.005)</f>
        <v>1.005</v>
      </c>
      <c r="E1628" s="16">
        <f>IFERROR(__xludf.DUMMYFUNCTION("""COMPUTED_VALUE"""),64.0)</f>
        <v>64</v>
      </c>
      <c r="F1628" s="19" t="str">
        <f>IFERROR(__xludf.DUMMYFUNCTION("""COMPUTED_VALUE"""),"BLACK")</f>
        <v>BLACK</v>
      </c>
      <c r="G1628" s="20" t="str">
        <f>IFERROR(__xludf.DUMMYFUNCTION("""COMPUTED_VALUE"""),"Uncle Sams Cider (11/12/2021) 02")</f>
        <v>Uncle Sams Cider (11/12/2021) 02</v>
      </c>
      <c r="H1628" s="19"/>
    </row>
    <row r="1629">
      <c r="A1629" s="9"/>
      <c r="B1629" s="15"/>
      <c r="C1629" s="9">
        <f>IFERROR(__xludf.DUMMYFUNCTION("""COMPUTED_VALUE"""),44588.5600407523)</f>
        <v>44588.56004</v>
      </c>
      <c r="D1629" s="15">
        <f>IFERROR(__xludf.DUMMYFUNCTION("""COMPUTED_VALUE"""),1.005)</f>
        <v>1.005</v>
      </c>
      <c r="E1629" s="16">
        <f>IFERROR(__xludf.DUMMYFUNCTION("""COMPUTED_VALUE"""),64.0)</f>
        <v>64</v>
      </c>
      <c r="F1629" s="19" t="str">
        <f>IFERROR(__xludf.DUMMYFUNCTION("""COMPUTED_VALUE"""),"BLACK")</f>
        <v>BLACK</v>
      </c>
      <c r="G1629" s="20" t="str">
        <f>IFERROR(__xludf.DUMMYFUNCTION("""COMPUTED_VALUE"""),"Uncle Sams Cider (11/12/2021) 02")</f>
        <v>Uncle Sams Cider (11/12/2021) 02</v>
      </c>
      <c r="H1629" s="19"/>
    </row>
    <row r="1630">
      <c r="A1630" s="9"/>
      <c r="B1630" s="15"/>
      <c r="C1630" s="9">
        <f>IFERROR(__xludf.DUMMYFUNCTION("""COMPUTED_VALUE"""),44588.5496193171)</f>
        <v>44588.54962</v>
      </c>
      <c r="D1630" s="15">
        <f>IFERROR(__xludf.DUMMYFUNCTION("""COMPUTED_VALUE"""),1.005)</f>
        <v>1.005</v>
      </c>
      <c r="E1630" s="16">
        <f>IFERROR(__xludf.DUMMYFUNCTION("""COMPUTED_VALUE"""),64.0)</f>
        <v>64</v>
      </c>
      <c r="F1630" s="19" t="str">
        <f>IFERROR(__xludf.DUMMYFUNCTION("""COMPUTED_VALUE"""),"BLACK")</f>
        <v>BLACK</v>
      </c>
      <c r="G1630" s="20" t="str">
        <f>IFERROR(__xludf.DUMMYFUNCTION("""COMPUTED_VALUE"""),"Uncle Sams Cider (11/12/2021) 02")</f>
        <v>Uncle Sams Cider (11/12/2021) 02</v>
      </c>
      <c r="H1630" s="19"/>
    </row>
    <row r="1631">
      <c r="A1631" s="9"/>
      <c r="B1631" s="15"/>
      <c r="C1631" s="9">
        <f>IFERROR(__xludf.DUMMYFUNCTION("""COMPUTED_VALUE"""),44588.5391863194)</f>
        <v>44588.53919</v>
      </c>
      <c r="D1631" s="15">
        <f>IFERROR(__xludf.DUMMYFUNCTION("""COMPUTED_VALUE"""),1.005)</f>
        <v>1.005</v>
      </c>
      <c r="E1631" s="16">
        <f>IFERROR(__xludf.DUMMYFUNCTION("""COMPUTED_VALUE"""),64.0)</f>
        <v>64</v>
      </c>
      <c r="F1631" s="19" t="str">
        <f>IFERROR(__xludf.DUMMYFUNCTION("""COMPUTED_VALUE"""),"BLACK")</f>
        <v>BLACK</v>
      </c>
      <c r="G1631" s="20" t="str">
        <f>IFERROR(__xludf.DUMMYFUNCTION("""COMPUTED_VALUE"""),"Uncle Sams Cider (11/12/2021) 02")</f>
        <v>Uncle Sams Cider (11/12/2021) 02</v>
      </c>
      <c r="H1631" s="19"/>
    </row>
    <row r="1632">
      <c r="A1632" s="9"/>
      <c r="B1632" s="15"/>
      <c r="C1632" s="9">
        <f>IFERROR(__xludf.DUMMYFUNCTION("""COMPUTED_VALUE"""),44588.5287642013)</f>
        <v>44588.52876</v>
      </c>
      <c r="D1632" s="15">
        <f>IFERROR(__xludf.DUMMYFUNCTION("""COMPUTED_VALUE"""),1.005)</f>
        <v>1.005</v>
      </c>
      <c r="E1632" s="16">
        <f>IFERROR(__xludf.DUMMYFUNCTION("""COMPUTED_VALUE"""),64.0)</f>
        <v>64</v>
      </c>
      <c r="F1632" s="19" t="str">
        <f>IFERROR(__xludf.DUMMYFUNCTION("""COMPUTED_VALUE"""),"BLACK")</f>
        <v>BLACK</v>
      </c>
      <c r="G1632" s="20" t="str">
        <f>IFERROR(__xludf.DUMMYFUNCTION("""COMPUTED_VALUE"""),"Uncle Sams Cider (11/12/2021) 02")</f>
        <v>Uncle Sams Cider (11/12/2021) 02</v>
      </c>
      <c r="H1632" s="19"/>
    </row>
    <row r="1633">
      <c r="A1633" s="9"/>
      <c r="B1633" s="15"/>
      <c r="C1633" s="9">
        <f>IFERROR(__xludf.DUMMYFUNCTION("""COMPUTED_VALUE"""),44588.5183183796)</f>
        <v>44588.51832</v>
      </c>
      <c r="D1633" s="15">
        <f>IFERROR(__xludf.DUMMYFUNCTION("""COMPUTED_VALUE"""),1.005)</f>
        <v>1.005</v>
      </c>
      <c r="E1633" s="16">
        <f>IFERROR(__xludf.DUMMYFUNCTION("""COMPUTED_VALUE"""),64.0)</f>
        <v>64</v>
      </c>
      <c r="F1633" s="19" t="str">
        <f>IFERROR(__xludf.DUMMYFUNCTION("""COMPUTED_VALUE"""),"BLACK")</f>
        <v>BLACK</v>
      </c>
      <c r="G1633" s="20" t="str">
        <f>IFERROR(__xludf.DUMMYFUNCTION("""COMPUTED_VALUE"""),"Uncle Sams Cider (11/12/2021) 02")</f>
        <v>Uncle Sams Cider (11/12/2021) 02</v>
      </c>
      <c r="H1633" s="19"/>
    </row>
    <row r="1634">
      <c r="A1634" s="9"/>
      <c r="B1634" s="15"/>
      <c r="C1634" s="9">
        <f>IFERROR(__xludf.DUMMYFUNCTION("""COMPUTED_VALUE"""),44588.507885162)</f>
        <v>44588.50789</v>
      </c>
      <c r="D1634" s="15">
        <f>IFERROR(__xludf.DUMMYFUNCTION("""COMPUTED_VALUE"""),1.005)</f>
        <v>1.005</v>
      </c>
      <c r="E1634" s="16">
        <f>IFERROR(__xludf.DUMMYFUNCTION("""COMPUTED_VALUE"""),64.0)</f>
        <v>64</v>
      </c>
      <c r="F1634" s="19" t="str">
        <f>IFERROR(__xludf.DUMMYFUNCTION("""COMPUTED_VALUE"""),"BLACK")</f>
        <v>BLACK</v>
      </c>
      <c r="G1634" s="20" t="str">
        <f>IFERROR(__xludf.DUMMYFUNCTION("""COMPUTED_VALUE"""),"Uncle Sams Cider (11/12/2021) 02")</f>
        <v>Uncle Sams Cider (11/12/2021) 02</v>
      </c>
      <c r="H1634" s="19"/>
    </row>
    <row r="1635">
      <c r="A1635" s="9"/>
      <c r="B1635" s="15"/>
      <c r="C1635" s="9">
        <f>IFERROR(__xludf.DUMMYFUNCTION("""COMPUTED_VALUE"""),44588.4974291087)</f>
        <v>44588.49743</v>
      </c>
      <c r="D1635" s="15">
        <f>IFERROR(__xludf.DUMMYFUNCTION("""COMPUTED_VALUE"""),1.005)</f>
        <v>1.005</v>
      </c>
      <c r="E1635" s="16">
        <f>IFERROR(__xludf.DUMMYFUNCTION("""COMPUTED_VALUE"""),64.0)</f>
        <v>64</v>
      </c>
      <c r="F1635" s="19" t="str">
        <f>IFERROR(__xludf.DUMMYFUNCTION("""COMPUTED_VALUE"""),"BLACK")</f>
        <v>BLACK</v>
      </c>
      <c r="G1635" s="20" t="str">
        <f>IFERROR(__xludf.DUMMYFUNCTION("""COMPUTED_VALUE"""),"Uncle Sams Cider (11/12/2021) 02")</f>
        <v>Uncle Sams Cider (11/12/2021) 02</v>
      </c>
      <c r="H1635" s="19"/>
    </row>
    <row r="1636">
      <c r="A1636" s="9"/>
      <c r="B1636" s="15"/>
      <c r="C1636" s="9">
        <f>IFERROR(__xludf.DUMMYFUNCTION("""COMPUTED_VALUE"""),44588.4870089583)</f>
        <v>44588.48701</v>
      </c>
      <c r="D1636" s="15">
        <f>IFERROR(__xludf.DUMMYFUNCTION("""COMPUTED_VALUE"""),1.005)</f>
        <v>1.005</v>
      </c>
      <c r="E1636" s="16">
        <f>IFERROR(__xludf.DUMMYFUNCTION("""COMPUTED_VALUE"""),64.0)</f>
        <v>64</v>
      </c>
      <c r="F1636" s="19" t="str">
        <f>IFERROR(__xludf.DUMMYFUNCTION("""COMPUTED_VALUE"""),"BLACK")</f>
        <v>BLACK</v>
      </c>
      <c r="G1636" s="20" t="str">
        <f>IFERROR(__xludf.DUMMYFUNCTION("""COMPUTED_VALUE"""),"Uncle Sams Cider (11/12/2021) 02")</f>
        <v>Uncle Sams Cider (11/12/2021) 02</v>
      </c>
      <c r="H1636" s="19"/>
    </row>
    <row r="1637">
      <c r="A1637" s="9"/>
      <c r="B1637" s="15"/>
      <c r="C1637" s="9">
        <f>IFERROR(__xludf.DUMMYFUNCTION("""COMPUTED_VALUE"""),44588.4765762268)</f>
        <v>44588.47658</v>
      </c>
      <c r="D1637" s="15">
        <f>IFERROR(__xludf.DUMMYFUNCTION("""COMPUTED_VALUE"""),1.005)</f>
        <v>1.005</v>
      </c>
      <c r="E1637" s="16">
        <f>IFERROR(__xludf.DUMMYFUNCTION("""COMPUTED_VALUE"""),64.0)</f>
        <v>64</v>
      </c>
      <c r="F1637" s="19" t="str">
        <f>IFERROR(__xludf.DUMMYFUNCTION("""COMPUTED_VALUE"""),"BLACK")</f>
        <v>BLACK</v>
      </c>
      <c r="G1637" s="20" t="str">
        <f>IFERROR(__xludf.DUMMYFUNCTION("""COMPUTED_VALUE"""),"Uncle Sams Cider (11/12/2021) 02")</f>
        <v>Uncle Sams Cider (11/12/2021) 02</v>
      </c>
      <c r="H1637" s="19"/>
    </row>
    <row r="1638">
      <c r="A1638" s="9"/>
      <c r="B1638" s="15"/>
      <c r="C1638" s="9">
        <f>IFERROR(__xludf.DUMMYFUNCTION("""COMPUTED_VALUE"""),44588.4660969097)</f>
        <v>44588.4661</v>
      </c>
      <c r="D1638" s="15">
        <f>IFERROR(__xludf.DUMMYFUNCTION("""COMPUTED_VALUE"""),1.005)</f>
        <v>1.005</v>
      </c>
      <c r="E1638" s="16">
        <f>IFERROR(__xludf.DUMMYFUNCTION("""COMPUTED_VALUE"""),64.0)</f>
        <v>64</v>
      </c>
      <c r="F1638" s="19" t="str">
        <f>IFERROR(__xludf.DUMMYFUNCTION("""COMPUTED_VALUE"""),"BLACK")</f>
        <v>BLACK</v>
      </c>
      <c r="G1638" s="20" t="str">
        <f>IFERROR(__xludf.DUMMYFUNCTION("""COMPUTED_VALUE"""),"Uncle Sams Cider (11/12/2021) 02")</f>
        <v>Uncle Sams Cider (11/12/2021) 02</v>
      </c>
      <c r="H1638" s="19"/>
    </row>
    <row r="1639">
      <c r="A1639" s="9"/>
      <c r="B1639" s="15"/>
      <c r="C1639" s="9">
        <f>IFERROR(__xludf.DUMMYFUNCTION("""COMPUTED_VALUE"""),44588.4556766666)</f>
        <v>44588.45568</v>
      </c>
      <c r="D1639" s="15">
        <f>IFERROR(__xludf.DUMMYFUNCTION("""COMPUTED_VALUE"""),1.005)</f>
        <v>1.005</v>
      </c>
      <c r="E1639" s="16">
        <f>IFERROR(__xludf.DUMMYFUNCTION("""COMPUTED_VALUE"""),65.0)</f>
        <v>65</v>
      </c>
      <c r="F1639" s="19" t="str">
        <f>IFERROR(__xludf.DUMMYFUNCTION("""COMPUTED_VALUE"""),"BLACK")</f>
        <v>BLACK</v>
      </c>
      <c r="G1639" s="20" t="str">
        <f>IFERROR(__xludf.DUMMYFUNCTION("""COMPUTED_VALUE"""),"Uncle Sams Cider (11/12/2021) 02")</f>
        <v>Uncle Sams Cider (11/12/2021) 02</v>
      </c>
      <c r="H1639" s="19"/>
    </row>
    <row r="1640">
      <c r="A1640" s="9"/>
      <c r="B1640" s="15"/>
      <c r="C1640" s="9">
        <f>IFERROR(__xludf.DUMMYFUNCTION("""COMPUTED_VALUE"""),44588.4452535879)</f>
        <v>44588.44525</v>
      </c>
      <c r="D1640" s="15">
        <f>IFERROR(__xludf.DUMMYFUNCTION("""COMPUTED_VALUE"""),1.005)</f>
        <v>1.005</v>
      </c>
      <c r="E1640" s="16">
        <f>IFERROR(__xludf.DUMMYFUNCTION("""COMPUTED_VALUE"""),65.0)</f>
        <v>65</v>
      </c>
      <c r="F1640" s="19" t="str">
        <f>IFERROR(__xludf.DUMMYFUNCTION("""COMPUTED_VALUE"""),"BLACK")</f>
        <v>BLACK</v>
      </c>
      <c r="G1640" s="20" t="str">
        <f>IFERROR(__xludf.DUMMYFUNCTION("""COMPUTED_VALUE"""),"Uncle Sams Cider (11/12/2021) 02")</f>
        <v>Uncle Sams Cider (11/12/2021) 02</v>
      </c>
      <c r="H1640" s="19"/>
    </row>
    <row r="1641">
      <c r="A1641" s="9"/>
      <c r="B1641" s="15"/>
      <c r="C1641" s="9">
        <f>IFERROR(__xludf.DUMMYFUNCTION("""COMPUTED_VALUE"""),44588.4348310185)</f>
        <v>44588.43483</v>
      </c>
      <c r="D1641" s="15">
        <f>IFERROR(__xludf.DUMMYFUNCTION("""COMPUTED_VALUE"""),1.005)</f>
        <v>1.005</v>
      </c>
      <c r="E1641" s="16">
        <f>IFERROR(__xludf.DUMMYFUNCTION("""COMPUTED_VALUE"""),65.0)</f>
        <v>65</v>
      </c>
      <c r="F1641" s="19" t="str">
        <f>IFERROR(__xludf.DUMMYFUNCTION("""COMPUTED_VALUE"""),"BLACK")</f>
        <v>BLACK</v>
      </c>
      <c r="G1641" s="20" t="str">
        <f>IFERROR(__xludf.DUMMYFUNCTION("""COMPUTED_VALUE"""),"Uncle Sams Cider (11/12/2021) 02")</f>
        <v>Uncle Sams Cider (11/12/2021) 02</v>
      </c>
      <c r="H1641" s="19"/>
    </row>
    <row r="1642">
      <c r="A1642" s="9"/>
      <c r="B1642" s="15"/>
      <c r="C1642" s="9">
        <f>IFERROR(__xludf.DUMMYFUNCTION("""COMPUTED_VALUE"""),44588.424408912)</f>
        <v>44588.42441</v>
      </c>
      <c r="D1642" s="15">
        <f>IFERROR(__xludf.DUMMYFUNCTION("""COMPUTED_VALUE"""),1.005)</f>
        <v>1.005</v>
      </c>
      <c r="E1642" s="16">
        <f>IFERROR(__xludf.DUMMYFUNCTION("""COMPUTED_VALUE"""),65.0)</f>
        <v>65</v>
      </c>
      <c r="F1642" s="19" t="str">
        <f>IFERROR(__xludf.DUMMYFUNCTION("""COMPUTED_VALUE"""),"BLACK")</f>
        <v>BLACK</v>
      </c>
      <c r="G1642" s="20" t="str">
        <f>IFERROR(__xludf.DUMMYFUNCTION("""COMPUTED_VALUE"""),"Uncle Sams Cider (11/12/2021) 02")</f>
        <v>Uncle Sams Cider (11/12/2021) 02</v>
      </c>
      <c r="H1642" s="19"/>
    </row>
    <row r="1643">
      <c r="A1643" s="9"/>
      <c r="B1643" s="15"/>
      <c r="C1643" s="9">
        <f>IFERROR(__xludf.DUMMYFUNCTION("""COMPUTED_VALUE"""),44588.4139654976)</f>
        <v>44588.41397</v>
      </c>
      <c r="D1643" s="15">
        <f>IFERROR(__xludf.DUMMYFUNCTION("""COMPUTED_VALUE"""),1.005)</f>
        <v>1.005</v>
      </c>
      <c r="E1643" s="16">
        <f>IFERROR(__xludf.DUMMYFUNCTION("""COMPUTED_VALUE"""),65.0)</f>
        <v>65</v>
      </c>
      <c r="F1643" s="19" t="str">
        <f>IFERROR(__xludf.DUMMYFUNCTION("""COMPUTED_VALUE"""),"BLACK")</f>
        <v>BLACK</v>
      </c>
      <c r="G1643" s="20" t="str">
        <f>IFERROR(__xludf.DUMMYFUNCTION("""COMPUTED_VALUE"""),"Uncle Sams Cider (11/12/2021) 02")</f>
        <v>Uncle Sams Cider (11/12/2021) 02</v>
      </c>
      <c r="H1643" s="19"/>
    </row>
    <row r="1644">
      <c r="A1644" s="9"/>
      <c r="B1644" s="15"/>
      <c r="C1644" s="9">
        <f>IFERROR(__xludf.DUMMYFUNCTION("""COMPUTED_VALUE"""),44588.403531956)</f>
        <v>44588.40353</v>
      </c>
      <c r="D1644" s="15">
        <f>IFERROR(__xludf.DUMMYFUNCTION("""COMPUTED_VALUE"""),1.005)</f>
        <v>1.005</v>
      </c>
      <c r="E1644" s="16">
        <f>IFERROR(__xludf.DUMMYFUNCTION("""COMPUTED_VALUE"""),65.0)</f>
        <v>65</v>
      </c>
      <c r="F1644" s="19" t="str">
        <f>IFERROR(__xludf.DUMMYFUNCTION("""COMPUTED_VALUE"""),"BLACK")</f>
        <v>BLACK</v>
      </c>
      <c r="G1644" s="20" t="str">
        <f>IFERROR(__xludf.DUMMYFUNCTION("""COMPUTED_VALUE"""),"Uncle Sams Cider (11/12/2021) 02")</f>
        <v>Uncle Sams Cider (11/12/2021) 02</v>
      </c>
      <c r="H1644" s="19"/>
    </row>
    <row r="1645">
      <c r="A1645" s="9"/>
      <c r="B1645" s="15"/>
      <c r="C1645" s="9">
        <f>IFERROR(__xludf.DUMMYFUNCTION("""COMPUTED_VALUE"""),44588.3930642013)</f>
        <v>44588.39306</v>
      </c>
      <c r="D1645" s="15">
        <f>IFERROR(__xludf.DUMMYFUNCTION("""COMPUTED_VALUE"""),1.005)</f>
        <v>1.005</v>
      </c>
      <c r="E1645" s="16">
        <f>IFERROR(__xludf.DUMMYFUNCTION("""COMPUTED_VALUE"""),65.0)</f>
        <v>65</v>
      </c>
      <c r="F1645" s="19" t="str">
        <f>IFERROR(__xludf.DUMMYFUNCTION("""COMPUTED_VALUE"""),"BLACK")</f>
        <v>BLACK</v>
      </c>
      <c r="G1645" s="20" t="str">
        <f>IFERROR(__xludf.DUMMYFUNCTION("""COMPUTED_VALUE"""),"Uncle Sams Cider (11/12/2021) 02")</f>
        <v>Uncle Sams Cider (11/12/2021) 02</v>
      </c>
      <c r="H1645" s="19"/>
    </row>
    <row r="1646">
      <c r="A1646" s="9"/>
      <c r="B1646" s="15"/>
      <c r="C1646" s="9">
        <f>IFERROR(__xludf.DUMMYFUNCTION("""COMPUTED_VALUE"""),44588.3826319097)</f>
        <v>44588.38263</v>
      </c>
      <c r="D1646" s="15">
        <f>IFERROR(__xludf.DUMMYFUNCTION("""COMPUTED_VALUE"""),1.005)</f>
        <v>1.005</v>
      </c>
      <c r="E1646" s="16">
        <f>IFERROR(__xludf.DUMMYFUNCTION("""COMPUTED_VALUE"""),65.0)</f>
        <v>65</v>
      </c>
      <c r="F1646" s="19" t="str">
        <f>IFERROR(__xludf.DUMMYFUNCTION("""COMPUTED_VALUE"""),"BLACK")</f>
        <v>BLACK</v>
      </c>
      <c r="G1646" s="20" t="str">
        <f>IFERROR(__xludf.DUMMYFUNCTION("""COMPUTED_VALUE"""),"Uncle Sams Cider (11/12/2021) 02")</f>
        <v>Uncle Sams Cider (11/12/2021) 02</v>
      </c>
      <c r="H1646" s="19"/>
    </row>
    <row r="1647">
      <c r="A1647" s="9"/>
      <c r="B1647" s="15"/>
      <c r="C1647" s="9">
        <f>IFERROR(__xludf.DUMMYFUNCTION("""COMPUTED_VALUE"""),44588.3721890624)</f>
        <v>44588.37219</v>
      </c>
      <c r="D1647" s="15">
        <f>IFERROR(__xludf.DUMMYFUNCTION("""COMPUTED_VALUE"""),1.005)</f>
        <v>1.005</v>
      </c>
      <c r="E1647" s="16">
        <f>IFERROR(__xludf.DUMMYFUNCTION("""COMPUTED_VALUE"""),65.0)</f>
        <v>65</v>
      </c>
      <c r="F1647" s="19" t="str">
        <f>IFERROR(__xludf.DUMMYFUNCTION("""COMPUTED_VALUE"""),"BLACK")</f>
        <v>BLACK</v>
      </c>
      <c r="G1647" s="20" t="str">
        <f>IFERROR(__xludf.DUMMYFUNCTION("""COMPUTED_VALUE"""),"Uncle Sams Cider (11/12/2021) 02")</f>
        <v>Uncle Sams Cider (11/12/2021) 02</v>
      </c>
      <c r="H1647" s="19"/>
    </row>
    <row r="1648">
      <c r="A1648" s="9"/>
      <c r="B1648" s="15"/>
      <c r="C1648" s="9">
        <f>IFERROR(__xludf.DUMMYFUNCTION("""COMPUTED_VALUE"""),44588.361767118)</f>
        <v>44588.36177</v>
      </c>
      <c r="D1648" s="15">
        <f>IFERROR(__xludf.DUMMYFUNCTION("""COMPUTED_VALUE"""),1.005)</f>
        <v>1.005</v>
      </c>
      <c r="E1648" s="16">
        <f>IFERROR(__xludf.DUMMYFUNCTION("""COMPUTED_VALUE"""),65.0)</f>
        <v>65</v>
      </c>
      <c r="F1648" s="19" t="str">
        <f>IFERROR(__xludf.DUMMYFUNCTION("""COMPUTED_VALUE"""),"BLACK")</f>
        <v>BLACK</v>
      </c>
      <c r="G1648" s="20" t="str">
        <f>IFERROR(__xludf.DUMMYFUNCTION("""COMPUTED_VALUE"""),"Uncle Sams Cider (11/12/2021) 02")</f>
        <v>Uncle Sams Cider (11/12/2021) 02</v>
      </c>
      <c r="H1648" s="19"/>
    </row>
    <row r="1649">
      <c r="A1649" s="9"/>
      <c r="B1649" s="15"/>
      <c r="C1649" s="9">
        <f>IFERROR(__xludf.DUMMYFUNCTION("""COMPUTED_VALUE"""),44588.351346574)</f>
        <v>44588.35135</v>
      </c>
      <c r="D1649" s="15">
        <f>IFERROR(__xludf.DUMMYFUNCTION("""COMPUTED_VALUE"""),1.005)</f>
        <v>1.005</v>
      </c>
      <c r="E1649" s="16">
        <f>IFERROR(__xludf.DUMMYFUNCTION("""COMPUTED_VALUE"""),65.0)</f>
        <v>65</v>
      </c>
      <c r="F1649" s="19" t="str">
        <f>IFERROR(__xludf.DUMMYFUNCTION("""COMPUTED_VALUE"""),"BLACK")</f>
        <v>BLACK</v>
      </c>
      <c r="G1649" s="20" t="str">
        <f>IFERROR(__xludf.DUMMYFUNCTION("""COMPUTED_VALUE"""),"Uncle Sams Cider (11/12/2021) 02")</f>
        <v>Uncle Sams Cider (11/12/2021) 02</v>
      </c>
      <c r="H1649" s="19"/>
    </row>
    <row r="1650">
      <c r="A1650" s="9"/>
      <c r="B1650" s="15"/>
      <c r="C1650" s="9">
        <f>IFERROR(__xludf.DUMMYFUNCTION("""COMPUTED_VALUE"""),44588.3409239467)</f>
        <v>44588.34092</v>
      </c>
      <c r="D1650" s="15">
        <f>IFERROR(__xludf.DUMMYFUNCTION("""COMPUTED_VALUE"""),1.005)</f>
        <v>1.005</v>
      </c>
      <c r="E1650" s="16">
        <f>IFERROR(__xludf.DUMMYFUNCTION("""COMPUTED_VALUE"""),65.0)</f>
        <v>65</v>
      </c>
      <c r="F1650" s="19" t="str">
        <f>IFERROR(__xludf.DUMMYFUNCTION("""COMPUTED_VALUE"""),"BLACK")</f>
        <v>BLACK</v>
      </c>
      <c r="G1650" s="20" t="str">
        <f>IFERROR(__xludf.DUMMYFUNCTION("""COMPUTED_VALUE"""),"Uncle Sams Cider (11/12/2021) 02")</f>
        <v>Uncle Sams Cider (11/12/2021) 02</v>
      </c>
      <c r="H1650" s="19"/>
    </row>
    <row r="1651">
      <c r="A1651" s="9"/>
      <c r="B1651" s="15"/>
      <c r="C1651" s="9">
        <f>IFERROR(__xludf.DUMMYFUNCTION("""COMPUTED_VALUE"""),44588.3305033796)</f>
        <v>44588.3305</v>
      </c>
      <c r="D1651" s="15">
        <f>IFERROR(__xludf.DUMMYFUNCTION("""COMPUTED_VALUE"""),1.005)</f>
        <v>1.005</v>
      </c>
      <c r="E1651" s="16">
        <f>IFERROR(__xludf.DUMMYFUNCTION("""COMPUTED_VALUE"""),65.0)</f>
        <v>65</v>
      </c>
      <c r="F1651" s="19" t="str">
        <f>IFERROR(__xludf.DUMMYFUNCTION("""COMPUTED_VALUE"""),"BLACK")</f>
        <v>BLACK</v>
      </c>
      <c r="G1651" s="20" t="str">
        <f>IFERROR(__xludf.DUMMYFUNCTION("""COMPUTED_VALUE"""),"Uncle Sams Cider (11/12/2021) 02")</f>
        <v>Uncle Sams Cider (11/12/2021) 02</v>
      </c>
      <c r="H1651" s="19"/>
    </row>
    <row r="1652">
      <c r="A1652" s="9"/>
      <c r="B1652" s="15"/>
      <c r="C1652" s="9">
        <f>IFERROR(__xludf.DUMMYFUNCTION("""COMPUTED_VALUE"""),44588.3200813194)</f>
        <v>44588.32008</v>
      </c>
      <c r="D1652" s="15">
        <f>IFERROR(__xludf.DUMMYFUNCTION("""COMPUTED_VALUE"""),1.005)</f>
        <v>1.005</v>
      </c>
      <c r="E1652" s="16">
        <f>IFERROR(__xludf.DUMMYFUNCTION("""COMPUTED_VALUE"""),65.0)</f>
        <v>65</v>
      </c>
      <c r="F1652" s="19" t="str">
        <f>IFERROR(__xludf.DUMMYFUNCTION("""COMPUTED_VALUE"""),"BLACK")</f>
        <v>BLACK</v>
      </c>
      <c r="G1652" s="20" t="str">
        <f>IFERROR(__xludf.DUMMYFUNCTION("""COMPUTED_VALUE"""),"Uncle Sams Cider (11/12/2021) 02")</f>
        <v>Uncle Sams Cider (11/12/2021) 02</v>
      </c>
      <c r="H1652" s="19"/>
    </row>
    <row r="1653">
      <c r="A1653" s="9"/>
      <c r="B1653" s="15"/>
      <c r="C1653" s="9">
        <f>IFERROR(__xludf.DUMMYFUNCTION("""COMPUTED_VALUE"""),44588.3096603124)</f>
        <v>44588.30966</v>
      </c>
      <c r="D1653" s="15">
        <f>IFERROR(__xludf.DUMMYFUNCTION("""COMPUTED_VALUE"""),1.005)</f>
        <v>1.005</v>
      </c>
      <c r="E1653" s="16">
        <f>IFERROR(__xludf.DUMMYFUNCTION("""COMPUTED_VALUE"""),65.0)</f>
        <v>65</v>
      </c>
      <c r="F1653" s="19" t="str">
        <f>IFERROR(__xludf.DUMMYFUNCTION("""COMPUTED_VALUE"""),"BLACK")</f>
        <v>BLACK</v>
      </c>
      <c r="G1653" s="20" t="str">
        <f>IFERROR(__xludf.DUMMYFUNCTION("""COMPUTED_VALUE"""),"Uncle Sams Cider (11/12/2021) 02")</f>
        <v>Uncle Sams Cider (11/12/2021) 02</v>
      </c>
      <c r="H1653" s="19"/>
    </row>
    <row r="1654">
      <c r="A1654" s="9"/>
      <c r="B1654" s="15"/>
      <c r="C1654" s="9">
        <f>IFERROR(__xludf.DUMMYFUNCTION("""COMPUTED_VALUE"""),44588.2992286921)</f>
        <v>44588.29923</v>
      </c>
      <c r="D1654" s="15">
        <f>IFERROR(__xludf.DUMMYFUNCTION("""COMPUTED_VALUE"""),1.005)</f>
        <v>1.005</v>
      </c>
      <c r="E1654" s="16">
        <f>IFERROR(__xludf.DUMMYFUNCTION("""COMPUTED_VALUE"""),65.0)</f>
        <v>65</v>
      </c>
      <c r="F1654" s="19" t="str">
        <f>IFERROR(__xludf.DUMMYFUNCTION("""COMPUTED_VALUE"""),"BLACK")</f>
        <v>BLACK</v>
      </c>
      <c r="G1654" s="20" t="str">
        <f>IFERROR(__xludf.DUMMYFUNCTION("""COMPUTED_VALUE"""),"Uncle Sams Cider (11/12/2021) 02")</f>
        <v>Uncle Sams Cider (11/12/2021) 02</v>
      </c>
      <c r="H1654" s="19"/>
    </row>
    <row r="1655">
      <c r="A1655" s="9"/>
      <c r="B1655" s="15"/>
      <c r="C1655" s="9">
        <f>IFERROR(__xludf.DUMMYFUNCTION("""COMPUTED_VALUE"""),44588.2887969213)</f>
        <v>44588.2888</v>
      </c>
      <c r="D1655" s="15">
        <f>IFERROR(__xludf.DUMMYFUNCTION("""COMPUTED_VALUE"""),1.005)</f>
        <v>1.005</v>
      </c>
      <c r="E1655" s="16">
        <f>IFERROR(__xludf.DUMMYFUNCTION("""COMPUTED_VALUE"""),65.0)</f>
        <v>65</v>
      </c>
      <c r="F1655" s="19" t="str">
        <f>IFERROR(__xludf.DUMMYFUNCTION("""COMPUTED_VALUE"""),"BLACK")</f>
        <v>BLACK</v>
      </c>
      <c r="G1655" s="20" t="str">
        <f>IFERROR(__xludf.DUMMYFUNCTION("""COMPUTED_VALUE"""),"Uncle Sams Cider (11/12/2021) 02")</f>
        <v>Uncle Sams Cider (11/12/2021) 02</v>
      </c>
      <c r="H1655" s="19"/>
    </row>
    <row r="1656">
      <c r="A1656" s="9"/>
      <c r="B1656" s="15"/>
      <c r="C1656" s="9">
        <f>IFERROR(__xludf.DUMMYFUNCTION("""COMPUTED_VALUE"""),44588.2783649652)</f>
        <v>44588.27836</v>
      </c>
      <c r="D1656" s="15">
        <f>IFERROR(__xludf.DUMMYFUNCTION("""COMPUTED_VALUE"""),1.005)</f>
        <v>1.005</v>
      </c>
      <c r="E1656" s="16">
        <f>IFERROR(__xludf.DUMMYFUNCTION("""COMPUTED_VALUE"""),65.0)</f>
        <v>65</v>
      </c>
      <c r="F1656" s="19" t="str">
        <f>IFERROR(__xludf.DUMMYFUNCTION("""COMPUTED_VALUE"""),"BLACK")</f>
        <v>BLACK</v>
      </c>
      <c r="G1656" s="20" t="str">
        <f>IFERROR(__xludf.DUMMYFUNCTION("""COMPUTED_VALUE"""),"Uncle Sams Cider (11/12/2021) 02")</f>
        <v>Uncle Sams Cider (11/12/2021) 02</v>
      </c>
      <c r="H1656" s="19"/>
    </row>
    <row r="1657">
      <c r="A1657" s="9"/>
      <c r="B1657" s="15"/>
      <c r="C1657" s="9">
        <f>IFERROR(__xludf.DUMMYFUNCTION("""COMPUTED_VALUE"""),44588.2679435416)</f>
        <v>44588.26794</v>
      </c>
      <c r="D1657" s="15">
        <f>IFERROR(__xludf.DUMMYFUNCTION("""COMPUTED_VALUE"""),1.005)</f>
        <v>1.005</v>
      </c>
      <c r="E1657" s="16">
        <f>IFERROR(__xludf.DUMMYFUNCTION("""COMPUTED_VALUE"""),65.0)</f>
        <v>65</v>
      </c>
      <c r="F1657" s="19" t="str">
        <f>IFERROR(__xludf.DUMMYFUNCTION("""COMPUTED_VALUE"""),"BLACK")</f>
        <v>BLACK</v>
      </c>
      <c r="G1657" s="20" t="str">
        <f>IFERROR(__xludf.DUMMYFUNCTION("""COMPUTED_VALUE"""),"Uncle Sams Cider (11/12/2021) 02")</f>
        <v>Uncle Sams Cider (11/12/2021) 02</v>
      </c>
      <c r="H1657" s="19"/>
    </row>
    <row r="1658">
      <c r="A1658" s="9"/>
      <c r="B1658" s="15"/>
      <c r="C1658" s="9">
        <f>IFERROR(__xludf.DUMMYFUNCTION("""COMPUTED_VALUE"""),44588.2575204861)</f>
        <v>44588.25752</v>
      </c>
      <c r="D1658" s="15">
        <f>IFERROR(__xludf.DUMMYFUNCTION("""COMPUTED_VALUE"""),1.005)</f>
        <v>1.005</v>
      </c>
      <c r="E1658" s="16">
        <f>IFERROR(__xludf.DUMMYFUNCTION("""COMPUTED_VALUE"""),65.0)</f>
        <v>65</v>
      </c>
      <c r="F1658" s="19" t="str">
        <f>IFERROR(__xludf.DUMMYFUNCTION("""COMPUTED_VALUE"""),"BLACK")</f>
        <v>BLACK</v>
      </c>
      <c r="G1658" s="20" t="str">
        <f>IFERROR(__xludf.DUMMYFUNCTION("""COMPUTED_VALUE"""),"Uncle Sams Cider (11/12/2021) 02")</f>
        <v>Uncle Sams Cider (11/12/2021) 02</v>
      </c>
      <c r="H1658" s="19"/>
    </row>
    <row r="1659">
      <c r="A1659" s="9"/>
      <c r="B1659" s="15"/>
      <c r="C1659" s="9">
        <f>IFERROR(__xludf.DUMMYFUNCTION("""COMPUTED_VALUE"""),44588.2470991435)</f>
        <v>44588.2471</v>
      </c>
      <c r="D1659" s="15">
        <f>IFERROR(__xludf.DUMMYFUNCTION("""COMPUTED_VALUE"""),1.005)</f>
        <v>1.005</v>
      </c>
      <c r="E1659" s="16">
        <f>IFERROR(__xludf.DUMMYFUNCTION("""COMPUTED_VALUE"""),65.0)</f>
        <v>65</v>
      </c>
      <c r="F1659" s="19" t="str">
        <f>IFERROR(__xludf.DUMMYFUNCTION("""COMPUTED_VALUE"""),"BLACK")</f>
        <v>BLACK</v>
      </c>
      <c r="G1659" s="20" t="str">
        <f>IFERROR(__xludf.DUMMYFUNCTION("""COMPUTED_VALUE"""),"Uncle Sams Cider (11/12/2021) 02")</f>
        <v>Uncle Sams Cider (11/12/2021) 02</v>
      </c>
      <c r="H1659" s="19"/>
    </row>
    <row r="1660">
      <c r="A1660" s="9"/>
      <c r="B1660" s="15"/>
      <c r="C1660" s="9">
        <f>IFERROR(__xludf.DUMMYFUNCTION("""COMPUTED_VALUE"""),44588.236676655)</f>
        <v>44588.23668</v>
      </c>
      <c r="D1660" s="15">
        <f>IFERROR(__xludf.DUMMYFUNCTION("""COMPUTED_VALUE"""),1.005)</f>
        <v>1.005</v>
      </c>
      <c r="E1660" s="16">
        <f>IFERROR(__xludf.DUMMYFUNCTION("""COMPUTED_VALUE"""),65.0)</f>
        <v>65</v>
      </c>
      <c r="F1660" s="19" t="str">
        <f>IFERROR(__xludf.DUMMYFUNCTION("""COMPUTED_VALUE"""),"BLACK")</f>
        <v>BLACK</v>
      </c>
      <c r="G1660" s="20" t="str">
        <f>IFERROR(__xludf.DUMMYFUNCTION("""COMPUTED_VALUE"""),"Uncle Sams Cider (11/12/2021) 02")</f>
        <v>Uncle Sams Cider (11/12/2021) 02</v>
      </c>
      <c r="H1660" s="19"/>
    </row>
    <row r="1661">
      <c r="A1661" s="9"/>
      <c r="B1661" s="15"/>
      <c r="C1661" s="9">
        <f>IFERROR(__xludf.DUMMYFUNCTION("""COMPUTED_VALUE"""),44588.2262453935)</f>
        <v>44588.22625</v>
      </c>
      <c r="D1661" s="15">
        <f>IFERROR(__xludf.DUMMYFUNCTION("""COMPUTED_VALUE"""),1.005)</f>
        <v>1.005</v>
      </c>
      <c r="E1661" s="16">
        <f>IFERROR(__xludf.DUMMYFUNCTION("""COMPUTED_VALUE"""),65.0)</f>
        <v>65</v>
      </c>
      <c r="F1661" s="19" t="str">
        <f>IFERROR(__xludf.DUMMYFUNCTION("""COMPUTED_VALUE"""),"BLACK")</f>
        <v>BLACK</v>
      </c>
      <c r="G1661" s="20" t="str">
        <f>IFERROR(__xludf.DUMMYFUNCTION("""COMPUTED_VALUE"""),"Uncle Sams Cider (11/12/2021) 02")</f>
        <v>Uncle Sams Cider (11/12/2021) 02</v>
      </c>
      <c r="H1661" s="19"/>
    </row>
    <row r="1662">
      <c r="A1662" s="9"/>
      <c r="B1662" s="15"/>
      <c r="C1662" s="9">
        <f>IFERROR(__xludf.DUMMYFUNCTION("""COMPUTED_VALUE"""),44588.2158237152)</f>
        <v>44588.21582</v>
      </c>
      <c r="D1662" s="15">
        <f>IFERROR(__xludf.DUMMYFUNCTION("""COMPUTED_VALUE"""),1.005)</f>
        <v>1.005</v>
      </c>
      <c r="E1662" s="16">
        <f>IFERROR(__xludf.DUMMYFUNCTION("""COMPUTED_VALUE"""),65.0)</f>
        <v>65</v>
      </c>
      <c r="F1662" s="19" t="str">
        <f>IFERROR(__xludf.DUMMYFUNCTION("""COMPUTED_VALUE"""),"BLACK")</f>
        <v>BLACK</v>
      </c>
      <c r="G1662" s="20" t="str">
        <f>IFERROR(__xludf.DUMMYFUNCTION("""COMPUTED_VALUE"""),"Uncle Sams Cider (11/12/2021) 02")</f>
        <v>Uncle Sams Cider (11/12/2021) 02</v>
      </c>
      <c r="H1662" s="19"/>
    </row>
    <row r="1663">
      <c r="A1663" s="9"/>
      <c r="B1663" s="15"/>
      <c r="C1663" s="9">
        <f>IFERROR(__xludf.DUMMYFUNCTION("""COMPUTED_VALUE"""),44588.2054043634)</f>
        <v>44588.2054</v>
      </c>
      <c r="D1663" s="15">
        <f>IFERROR(__xludf.DUMMYFUNCTION("""COMPUTED_VALUE"""),1.005)</f>
        <v>1.005</v>
      </c>
      <c r="E1663" s="16">
        <f>IFERROR(__xludf.DUMMYFUNCTION("""COMPUTED_VALUE"""),65.0)</f>
        <v>65</v>
      </c>
      <c r="F1663" s="19" t="str">
        <f>IFERROR(__xludf.DUMMYFUNCTION("""COMPUTED_VALUE"""),"BLACK")</f>
        <v>BLACK</v>
      </c>
      <c r="G1663" s="20" t="str">
        <f>IFERROR(__xludf.DUMMYFUNCTION("""COMPUTED_VALUE"""),"Uncle Sams Cider (11/12/2021) 02")</f>
        <v>Uncle Sams Cider (11/12/2021) 02</v>
      </c>
      <c r="H1663" s="19"/>
    </row>
    <row r="1664">
      <c r="A1664" s="9"/>
      <c r="B1664" s="15"/>
      <c r="C1664" s="9">
        <f>IFERROR(__xludf.DUMMYFUNCTION("""COMPUTED_VALUE"""),44588.1949719907)</f>
        <v>44588.19497</v>
      </c>
      <c r="D1664" s="15">
        <f>IFERROR(__xludf.DUMMYFUNCTION("""COMPUTED_VALUE"""),1.005)</f>
        <v>1.005</v>
      </c>
      <c r="E1664" s="16">
        <f>IFERROR(__xludf.DUMMYFUNCTION("""COMPUTED_VALUE"""),65.0)</f>
        <v>65</v>
      </c>
      <c r="F1664" s="19" t="str">
        <f>IFERROR(__xludf.DUMMYFUNCTION("""COMPUTED_VALUE"""),"BLACK")</f>
        <v>BLACK</v>
      </c>
      <c r="G1664" s="20" t="str">
        <f>IFERROR(__xludf.DUMMYFUNCTION("""COMPUTED_VALUE"""),"Uncle Sams Cider (11/12/2021) 02")</f>
        <v>Uncle Sams Cider (11/12/2021) 02</v>
      </c>
      <c r="H1664" s="19"/>
    </row>
    <row r="1665">
      <c r="A1665" s="9"/>
      <c r="B1665" s="15"/>
      <c r="C1665" s="9">
        <f>IFERROR(__xludf.DUMMYFUNCTION("""COMPUTED_VALUE"""),44588.1844585532)</f>
        <v>44588.18446</v>
      </c>
      <c r="D1665" s="15">
        <f>IFERROR(__xludf.DUMMYFUNCTION("""COMPUTED_VALUE"""),1.004)</f>
        <v>1.004</v>
      </c>
      <c r="E1665" s="16">
        <f>IFERROR(__xludf.DUMMYFUNCTION("""COMPUTED_VALUE"""),65.0)</f>
        <v>65</v>
      </c>
      <c r="F1665" s="19" t="str">
        <f>IFERROR(__xludf.DUMMYFUNCTION("""COMPUTED_VALUE"""),"BLACK")</f>
        <v>BLACK</v>
      </c>
      <c r="G1665" s="20" t="str">
        <f>IFERROR(__xludf.DUMMYFUNCTION("""COMPUTED_VALUE"""),"Uncle Sams Cider (11/12/2021) 02")</f>
        <v>Uncle Sams Cider (11/12/2021) 02</v>
      </c>
      <c r="H1665" s="19"/>
    </row>
    <row r="1666">
      <c r="A1666" s="9"/>
      <c r="B1666" s="15"/>
      <c r="C1666" s="9">
        <f>IFERROR(__xludf.DUMMYFUNCTION("""COMPUTED_VALUE"""),44588.1740374652)</f>
        <v>44588.17404</v>
      </c>
      <c r="D1666" s="15">
        <f>IFERROR(__xludf.DUMMYFUNCTION("""COMPUTED_VALUE"""),1.005)</f>
        <v>1.005</v>
      </c>
      <c r="E1666" s="16">
        <f>IFERROR(__xludf.DUMMYFUNCTION("""COMPUTED_VALUE"""),65.0)</f>
        <v>65</v>
      </c>
      <c r="F1666" s="19" t="str">
        <f>IFERROR(__xludf.DUMMYFUNCTION("""COMPUTED_VALUE"""),"BLACK")</f>
        <v>BLACK</v>
      </c>
      <c r="G1666" s="20" t="str">
        <f>IFERROR(__xludf.DUMMYFUNCTION("""COMPUTED_VALUE"""),"Uncle Sams Cider (11/12/2021) 02")</f>
        <v>Uncle Sams Cider (11/12/2021) 02</v>
      </c>
      <c r="H1666" s="19"/>
    </row>
    <row r="1667">
      <c r="A1667" s="9"/>
      <c r="B1667" s="15"/>
      <c r="C1667" s="9">
        <f>IFERROR(__xludf.DUMMYFUNCTION("""COMPUTED_VALUE"""),44588.1636153009)</f>
        <v>44588.16362</v>
      </c>
      <c r="D1667" s="15">
        <f>IFERROR(__xludf.DUMMYFUNCTION("""COMPUTED_VALUE"""),1.005)</f>
        <v>1.005</v>
      </c>
      <c r="E1667" s="16">
        <f>IFERROR(__xludf.DUMMYFUNCTION("""COMPUTED_VALUE"""),66.0)</f>
        <v>66</v>
      </c>
      <c r="F1667" s="19" t="str">
        <f>IFERROR(__xludf.DUMMYFUNCTION("""COMPUTED_VALUE"""),"BLACK")</f>
        <v>BLACK</v>
      </c>
      <c r="G1667" s="20" t="str">
        <f>IFERROR(__xludf.DUMMYFUNCTION("""COMPUTED_VALUE"""),"Uncle Sams Cider (11/12/2021) 02")</f>
        <v>Uncle Sams Cider (11/12/2021) 02</v>
      </c>
      <c r="H1667" s="19"/>
    </row>
    <row r="1668">
      <c r="A1668" s="9"/>
      <c r="B1668" s="15"/>
      <c r="C1668" s="9">
        <f>IFERROR(__xludf.DUMMYFUNCTION("""COMPUTED_VALUE"""),44588.1531953819)</f>
        <v>44588.1532</v>
      </c>
      <c r="D1668" s="15">
        <f>IFERROR(__xludf.DUMMYFUNCTION("""COMPUTED_VALUE"""),1.005)</f>
        <v>1.005</v>
      </c>
      <c r="E1668" s="16">
        <f>IFERROR(__xludf.DUMMYFUNCTION("""COMPUTED_VALUE"""),66.0)</f>
        <v>66</v>
      </c>
      <c r="F1668" s="19" t="str">
        <f>IFERROR(__xludf.DUMMYFUNCTION("""COMPUTED_VALUE"""),"BLACK")</f>
        <v>BLACK</v>
      </c>
      <c r="G1668" s="20" t="str">
        <f>IFERROR(__xludf.DUMMYFUNCTION("""COMPUTED_VALUE"""),"Uncle Sams Cider (11/12/2021) 02")</f>
        <v>Uncle Sams Cider (11/12/2021) 02</v>
      </c>
      <c r="H1668" s="19"/>
    </row>
    <row r="1669">
      <c r="A1669" s="9"/>
      <c r="B1669" s="15"/>
      <c r="C1669" s="9">
        <f>IFERROR(__xludf.DUMMYFUNCTION("""COMPUTED_VALUE"""),44588.1427748842)</f>
        <v>44588.14277</v>
      </c>
      <c r="D1669" s="15">
        <f>IFERROR(__xludf.DUMMYFUNCTION("""COMPUTED_VALUE"""),1.005)</f>
        <v>1.005</v>
      </c>
      <c r="E1669" s="16">
        <f>IFERROR(__xludf.DUMMYFUNCTION("""COMPUTED_VALUE"""),66.0)</f>
        <v>66</v>
      </c>
      <c r="F1669" s="19" t="str">
        <f>IFERROR(__xludf.DUMMYFUNCTION("""COMPUTED_VALUE"""),"BLACK")</f>
        <v>BLACK</v>
      </c>
      <c r="G1669" s="20" t="str">
        <f>IFERROR(__xludf.DUMMYFUNCTION("""COMPUTED_VALUE"""),"Uncle Sams Cider (11/12/2021) 02")</f>
        <v>Uncle Sams Cider (11/12/2021) 02</v>
      </c>
      <c r="H1669" s="19"/>
    </row>
    <row r="1670">
      <c r="A1670" s="9"/>
      <c r="B1670" s="15"/>
      <c r="C1670" s="9">
        <f>IFERROR(__xludf.DUMMYFUNCTION("""COMPUTED_VALUE"""),44588.1323536805)</f>
        <v>44588.13235</v>
      </c>
      <c r="D1670" s="15">
        <f>IFERROR(__xludf.DUMMYFUNCTION("""COMPUTED_VALUE"""),1.005)</f>
        <v>1.005</v>
      </c>
      <c r="E1670" s="16">
        <f>IFERROR(__xludf.DUMMYFUNCTION("""COMPUTED_VALUE"""),66.0)</f>
        <v>66</v>
      </c>
      <c r="F1670" s="19" t="str">
        <f>IFERROR(__xludf.DUMMYFUNCTION("""COMPUTED_VALUE"""),"BLACK")</f>
        <v>BLACK</v>
      </c>
      <c r="G1670" s="20" t="str">
        <f>IFERROR(__xludf.DUMMYFUNCTION("""COMPUTED_VALUE"""),"Uncle Sams Cider (11/12/2021) 02")</f>
        <v>Uncle Sams Cider (11/12/2021) 02</v>
      </c>
      <c r="H1670" s="19"/>
    </row>
    <row r="1671">
      <c r="A1671" s="9"/>
      <c r="B1671" s="15"/>
      <c r="C1671" s="9">
        <f>IFERROR(__xludf.DUMMYFUNCTION("""COMPUTED_VALUE"""),44588.1219329398)</f>
        <v>44588.12193</v>
      </c>
      <c r="D1671" s="15">
        <f>IFERROR(__xludf.DUMMYFUNCTION("""COMPUTED_VALUE"""),1.005)</f>
        <v>1.005</v>
      </c>
      <c r="E1671" s="16">
        <f>IFERROR(__xludf.DUMMYFUNCTION("""COMPUTED_VALUE"""),66.0)</f>
        <v>66</v>
      </c>
      <c r="F1671" s="19" t="str">
        <f>IFERROR(__xludf.DUMMYFUNCTION("""COMPUTED_VALUE"""),"BLACK")</f>
        <v>BLACK</v>
      </c>
      <c r="G1671" s="20" t="str">
        <f>IFERROR(__xludf.DUMMYFUNCTION("""COMPUTED_VALUE"""),"Uncle Sams Cider (11/12/2021) 02")</f>
        <v>Uncle Sams Cider (11/12/2021) 02</v>
      </c>
      <c r="H1671" s="19"/>
    </row>
    <row r="1672">
      <c r="A1672" s="9"/>
      <c r="B1672" s="15"/>
      <c r="C1672" s="9">
        <f>IFERROR(__xludf.DUMMYFUNCTION("""COMPUTED_VALUE"""),44588.1115109606)</f>
        <v>44588.11151</v>
      </c>
      <c r="D1672" s="15">
        <f>IFERROR(__xludf.DUMMYFUNCTION("""COMPUTED_VALUE"""),1.005)</f>
        <v>1.005</v>
      </c>
      <c r="E1672" s="16">
        <f>IFERROR(__xludf.DUMMYFUNCTION("""COMPUTED_VALUE"""),66.0)</f>
        <v>66</v>
      </c>
      <c r="F1672" s="19" t="str">
        <f>IFERROR(__xludf.DUMMYFUNCTION("""COMPUTED_VALUE"""),"BLACK")</f>
        <v>BLACK</v>
      </c>
      <c r="G1672" s="20" t="str">
        <f>IFERROR(__xludf.DUMMYFUNCTION("""COMPUTED_VALUE"""),"Uncle Sams Cider (11/12/2021) 02")</f>
        <v>Uncle Sams Cider (11/12/2021) 02</v>
      </c>
      <c r="H1672" s="19"/>
    </row>
    <row r="1673">
      <c r="A1673" s="9"/>
      <c r="B1673" s="15"/>
      <c r="C1673" s="9">
        <f>IFERROR(__xludf.DUMMYFUNCTION("""COMPUTED_VALUE"""),44588.1010676388)</f>
        <v>44588.10107</v>
      </c>
      <c r="D1673" s="15">
        <f>IFERROR(__xludf.DUMMYFUNCTION("""COMPUTED_VALUE"""),1.005)</f>
        <v>1.005</v>
      </c>
      <c r="E1673" s="16">
        <f>IFERROR(__xludf.DUMMYFUNCTION("""COMPUTED_VALUE"""),66.0)</f>
        <v>66</v>
      </c>
      <c r="F1673" s="19" t="str">
        <f>IFERROR(__xludf.DUMMYFUNCTION("""COMPUTED_VALUE"""),"BLACK")</f>
        <v>BLACK</v>
      </c>
      <c r="G1673" s="20" t="str">
        <f>IFERROR(__xludf.DUMMYFUNCTION("""COMPUTED_VALUE"""),"Uncle Sams Cider (11/12/2021) 02")</f>
        <v>Uncle Sams Cider (11/12/2021) 02</v>
      </c>
      <c r="H1673" s="19"/>
    </row>
    <row r="1674">
      <c r="A1674" s="9"/>
      <c r="B1674" s="15"/>
      <c r="C1674" s="9">
        <f>IFERROR(__xludf.DUMMYFUNCTION("""COMPUTED_VALUE"""),44588.0906457407)</f>
        <v>44588.09065</v>
      </c>
      <c r="D1674" s="15">
        <f>IFERROR(__xludf.DUMMYFUNCTION("""COMPUTED_VALUE"""),1.005)</f>
        <v>1.005</v>
      </c>
      <c r="E1674" s="16">
        <f>IFERROR(__xludf.DUMMYFUNCTION("""COMPUTED_VALUE"""),66.0)</f>
        <v>66</v>
      </c>
      <c r="F1674" s="19" t="str">
        <f>IFERROR(__xludf.DUMMYFUNCTION("""COMPUTED_VALUE"""),"BLACK")</f>
        <v>BLACK</v>
      </c>
      <c r="G1674" s="20" t="str">
        <f>IFERROR(__xludf.DUMMYFUNCTION("""COMPUTED_VALUE"""),"Uncle Sams Cider (11/12/2021) 02")</f>
        <v>Uncle Sams Cider (11/12/2021) 02</v>
      </c>
      <c r="H1674" s="19"/>
    </row>
    <row r="1675">
      <c r="A1675" s="9"/>
      <c r="B1675" s="15"/>
      <c r="C1675" s="9">
        <f>IFERROR(__xludf.DUMMYFUNCTION("""COMPUTED_VALUE"""),44588.0802267013)</f>
        <v>44588.08023</v>
      </c>
      <c r="D1675" s="15">
        <f>IFERROR(__xludf.DUMMYFUNCTION("""COMPUTED_VALUE"""),1.005)</f>
        <v>1.005</v>
      </c>
      <c r="E1675" s="16">
        <f>IFERROR(__xludf.DUMMYFUNCTION("""COMPUTED_VALUE"""),66.0)</f>
        <v>66</v>
      </c>
      <c r="F1675" s="19" t="str">
        <f>IFERROR(__xludf.DUMMYFUNCTION("""COMPUTED_VALUE"""),"BLACK")</f>
        <v>BLACK</v>
      </c>
      <c r="G1675" s="20" t="str">
        <f>IFERROR(__xludf.DUMMYFUNCTION("""COMPUTED_VALUE"""),"Uncle Sams Cider (11/12/2021) 02")</f>
        <v>Uncle Sams Cider (11/12/2021) 02</v>
      </c>
      <c r="H1675" s="19"/>
    </row>
    <row r="1676">
      <c r="A1676" s="9"/>
      <c r="B1676" s="15"/>
      <c r="C1676" s="9">
        <f>IFERROR(__xludf.DUMMYFUNCTION("""COMPUTED_VALUE"""),44588.0697948263)</f>
        <v>44588.06979</v>
      </c>
      <c r="D1676" s="15">
        <f>IFERROR(__xludf.DUMMYFUNCTION("""COMPUTED_VALUE"""),1.005)</f>
        <v>1.005</v>
      </c>
      <c r="E1676" s="16">
        <f>IFERROR(__xludf.DUMMYFUNCTION("""COMPUTED_VALUE"""),66.0)</f>
        <v>66</v>
      </c>
      <c r="F1676" s="19" t="str">
        <f>IFERROR(__xludf.DUMMYFUNCTION("""COMPUTED_VALUE"""),"BLACK")</f>
        <v>BLACK</v>
      </c>
      <c r="G1676" s="20" t="str">
        <f>IFERROR(__xludf.DUMMYFUNCTION("""COMPUTED_VALUE"""),"Uncle Sams Cider (11/12/2021) 02")</f>
        <v>Uncle Sams Cider (11/12/2021) 02</v>
      </c>
      <c r="H1676" s="19"/>
    </row>
    <row r="1677">
      <c r="A1677" s="9"/>
      <c r="B1677" s="15"/>
      <c r="C1677" s="9">
        <f>IFERROR(__xludf.DUMMYFUNCTION("""COMPUTED_VALUE"""),44588.0593727199)</f>
        <v>44588.05937</v>
      </c>
      <c r="D1677" s="15">
        <f>IFERROR(__xludf.DUMMYFUNCTION("""COMPUTED_VALUE"""),1.005)</f>
        <v>1.005</v>
      </c>
      <c r="E1677" s="16">
        <f>IFERROR(__xludf.DUMMYFUNCTION("""COMPUTED_VALUE"""),66.0)</f>
        <v>66</v>
      </c>
      <c r="F1677" s="19" t="str">
        <f>IFERROR(__xludf.DUMMYFUNCTION("""COMPUTED_VALUE"""),"BLACK")</f>
        <v>BLACK</v>
      </c>
      <c r="G1677" s="20" t="str">
        <f>IFERROR(__xludf.DUMMYFUNCTION("""COMPUTED_VALUE"""),"Uncle Sams Cider (11/12/2021) 02")</f>
        <v>Uncle Sams Cider (11/12/2021) 02</v>
      </c>
      <c r="H1677" s="19"/>
    </row>
    <row r="1678">
      <c r="A1678" s="9"/>
      <c r="B1678" s="15"/>
      <c r="C1678" s="9">
        <f>IFERROR(__xludf.DUMMYFUNCTION("""COMPUTED_VALUE"""),44588.0489395833)</f>
        <v>44588.04894</v>
      </c>
      <c r="D1678" s="15">
        <f>IFERROR(__xludf.DUMMYFUNCTION("""COMPUTED_VALUE"""),1.005)</f>
        <v>1.005</v>
      </c>
      <c r="E1678" s="16">
        <f>IFERROR(__xludf.DUMMYFUNCTION("""COMPUTED_VALUE"""),66.0)</f>
        <v>66</v>
      </c>
      <c r="F1678" s="19" t="str">
        <f>IFERROR(__xludf.DUMMYFUNCTION("""COMPUTED_VALUE"""),"BLACK")</f>
        <v>BLACK</v>
      </c>
      <c r="G1678" s="20" t="str">
        <f>IFERROR(__xludf.DUMMYFUNCTION("""COMPUTED_VALUE"""),"Uncle Sams Cider (11/12/2021) 02")</f>
        <v>Uncle Sams Cider (11/12/2021) 02</v>
      </c>
      <c r="H1678" s="19"/>
    </row>
    <row r="1679">
      <c r="A1679" s="9"/>
      <c r="B1679" s="15"/>
      <c r="C1679" s="9">
        <f>IFERROR(__xludf.DUMMYFUNCTION("""COMPUTED_VALUE"""),44588.0385179976)</f>
        <v>44588.03852</v>
      </c>
      <c r="D1679" s="15">
        <f>IFERROR(__xludf.DUMMYFUNCTION("""COMPUTED_VALUE"""),1.005)</f>
        <v>1.005</v>
      </c>
      <c r="E1679" s="16">
        <f>IFERROR(__xludf.DUMMYFUNCTION("""COMPUTED_VALUE"""),66.0)</f>
        <v>66</v>
      </c>
      <c r="F1679" s="19" t="str">
        <f>IFERROR(__xludf.DUMMYFUNCTION("""COMPUTED_VALUE"""),"BLACK")</f>
        <v>BLACK</v>
      </c>
      <c r="G1679" s="20" t="str">
        <f>IFERROR(__xludf.DUMMYFUNCTION("""COMPUTED_VALUE"""),"Uncle Sams Cider (11/12/2021) 02")</f>
        <v>Uncle Sams Cider (11/12/2021) 02</v>
      </c>
      <c r="H1679" s="19"/>
    </row>
    <row r="1680">
      <c r="A1680" s="9"/>
      <c r="B1680" s="15"/>
      <c r="C1680" s="9">
        <f>IFERROR(__xludf.DUMMYFUNCTION("""COMPUTED_VALUE"""),44588.0280976504)</f>
        <v>44588.0281</v>
      </c>
      <c r="D1680" s="15">
        <f>IFERROR(__xludf.DUMMYFUNCTION("""COMPUTED_VALUE"""),1.005)</f>
        <v>1.005</v>
      </c>
      <c r="E1680" s="16">
        <f>IFERROR(__xludf.DUMMYFUNCTION("""COMPUTED_VALUE"""),66.0)</f>
        <v>66</v>
      </c>
      <c r="F1680" s="19" t="str">
        <f>IFERROR(__xludf.DUMMYFUNCTION("""COMPUTED_VALUE"""),"BLACK")</f>
        <v>BLACK</v>
      </c>
      <c r="G1680" s="20" t="str">
        <f>IFERROR(__xludf.DUMMYFUNCTION("""COMPUTED_VALUE"""),"Uncle Sams Cider (11/12/2021) 02")</f>
        <v>Uncle Sams Cider (11/12/2021) 02</v>
      </c>
      <c r="H1680" s="19"/>
    </row>
    <row r="1681">
      <c r="A1681" s="9"/>
      <c r="B1681" s="15"/>
      <c r="C1681" s="9">
        <f>IFERROR(__xludf.DUMMYFUNCTION("""COMPUTED_VALUE"""),44588.0176763657)</f>
        <v>44588.01768</v>
      </c>
      <c r="D1681" s="15">
        <f>IFERROR(__xludf.DUMMYFUNCTION("""COMPUTED_VALUE"""),1.005)</f>
        <v>1.005</v>
      </c>
      <c r="E1681" s="16">
        <f>IFERROR(__xludf.DUMMYFUNCTION("""COMPUTED_VALUE"""),66.0)</f>
        <v>66</v>
      </c>
      <c r="F1681" s="19" t="str">
        <f>IFERROR(__xludf.DUMMYFUNCTION("""COMPUTED_VALUE"""),"BLACK")</f>
        <v>BLACK</v>
      </c>
      <c r="G1681" s="20" t="str">
        <f>IFERROR(__xludf.DUMMYFUNCTION("""COMPUTED_VALUE"""),"Uncle Sams Cider (11/12/2021) 02")</f>
        <v>Uncle Sams Cider (11/12/2021) 02</v>
      </c>
      <c r="H1681" s="19"/>
    </row>
    <row r="1682">
      <c r="A1682" s="9"/>
      <c r="B1682" s="15"/>
      <c r="C1682" s="9">
        <f>IFERROR(__xludf.DUMMYFUNCTION("""COMPUTED_VALUE"""),44588.0072544675)</f>
        <v>44588.00725</v>
      </c>
      <c r="D1682" s="15">
        <f>IFERROR(__xludf.DUMMYFUNCTION("""COMPUTED_VALUE"""),1.005)</f>
        <v>1.005</v>
      </c>
      <c r="E1682" s="16">
        <f>IFERROR(__xludf.DUMMYFUNCTION("""COMPUTED_VALUE"""),66.0)</f>
        <v>66</v>
      </c>
      <c r="F1682" s="19" t="str">
        <f>IFERROR(__xludf.DUMMYFUNCTION("""COMPUTED_VALUE"""),"BLACK")</f>
        <v>BLACK</v>
      </c>
      <c r="G1682" s="20" t="str">
        <f>IFERROR(__xludf.DUMMYFUNCTION("""COMPUTED_VALUE"""),"Uncle Sams Cider (11/12/2021) 02")</f>
        <v>Uncle Sams Cider (11/12/2021) 02</v>
      </c>
      <c r="H1682" s="19"/>
    </row>
    <row r="1683">
      <c r="A1683" s="9"/>
      <c r="B1683" s="15"/>
      <c r="C1683" s="9">
        <f>IFERROR(__xludf.DUMMYFUNCTION("""COMPUTED_VALUE"""),44587.9967985532)</f>
        <v>44587.9968</v>
      </c>
      <c r="D1683" s="15">
        <f>IFERROR(__xludf.DUMMYFUNCTION("""COMPUTED_VALUE"""),1.005)</f>
        <v>1.005</v>
      </c>
      <c r="E1683" s="16">
        <f>IFERROR(__xludf.DUMMYFUNCTION("""COMPUTED_VALUE"""),66.0)</f>
        <v>66</v>
      </c>
      <c r="F1683" s="19" t="str">
        <f>IFERROR(__xludf.DUMMYFUNCTION("""COMPUTED_VALUE"""),"BLACK")</f>
        <v>BLACK</v>
      </c>
      <c r="G1683" s="20" t="str">
        <f>IFERROR(__xludf.DUMMYFUNCTION("""COMPUTED_VALUE"""),"Uncle Sams Cider (11/12/2021) 02")</f>
        <v>Uncle Sams Cider (11/12/2021) 02</v>
      </c>
      <c r="H1683" s="19"/>
    </row>
    <row r="1684">
      <c r="A1684" s="9"/>
      <c r="B1684" s="15"/>
      <c r="C1684" s="9">
        <f>IFERROR(__xludf.DUMMYFUNCTION("""COMPUTED_VALUE"""),44587.9863319444)</f>
        <v>44587.98633</v>
      </c>
      <c r="D1684" s="15">
        <f>IFERROR(__xludf.DUMMYFUNCTION("""COMPUTED_VALUE"""),1.005)</f>
        <v>1.005</v>
      </c>
      <c r="E1684" s="16">
        <f>IFERROR(__xludf.DUMMYFUNCTION("""COMPUTED_VALUE"""),66.0)</f>
        <v>66</v>
      </c>
      <c r="F1684" s="19" t="str">
        <f>IFERROR(__xludf.DUMMYFUNCTION("""COMPUTED_VALUE"""),"BLACK")</f>
        <v>BLACK</v>
      </c>
      <c r="G1684" s="20" t="str">
        <f>IFERROR(__xludf.DUMMYFUNCTION("""COMPUTED_VALUE"""),"Uncle Sams Cider (11/12/2021) 02")</f>
        <v>Uncle Sams Cider (11/12/2021) 02</v>
      </c>
      <c r="H1684" s="19"/>
    </row>
    <row r="1685">
      <c r="A1685" s="9"/>
      <c r="B1685" s="15"/>
      <c r="C1685" s="9">
        <f>IFERROR(__xludf.DUMMYFUNCTION("""COMPUTED_VALUE"""),44587.9759092013)</f>
        <v>44587.97591</v>
      </c>
      <c r="D1685" s="15">
        <f>IFERROR(__xludf.DUMMYFUNCTION("""COMPUTED_VALUE"""),1.005)</f>
        <v>1.005</v>
      </c>
      <c r="E1685" s="16">
        <f>IFERROR(__xludf.DUMMYFUNCTION("""COMPUTED_VALUE"""),66.0)</f>
        <v>66</v>
      </c>
      <c r="F1685" s="19" t="str">
        <f>IFERROR(__xludf.DUMMYFUNCTION("""COMPUTED_VALUE"""),"BLACK")</f>
        <v>BLACK</v>
      </c>
      <c r="G1685" s="20" t="str">
        <f>IFERROR(__xludf.DUMMYFUNCTION("""COMPUTED_VALUE"""),"Uncle Sams Cider (11/12/2021) 02")</f>
        <v>Uncle Sams Cider (11/12/2021) 02</v>
      </c>
      <c r="H1685" s="19"/>
    </row>
    <row r="1686">
      <c r="A1686" s="9"/>
      <c r="B1686" s="15"/>
      <c r="C1686" s="9">
        <f>IFERROR(__xludf.DUMMYFUNCTION("""COMPUTED_VALUE"""),44587.965487905)</f>
        <v>44587.96549</v>
      </c>
      <c r="D1686" s="15">
        <f>IFERROR(__xludf.DUMMYFUNCTION("""COMPUTED_VALUE"""),1.005)</f>
        <v>1.005</v>
      </c>
      <c r="E1686" s="16">
        <f>IFERROR(__xludf.DUMMYFUNCTION("""COMPUTED_VALUE"""),66.0)</f>
        <v>66</v>
      </c>
      <c r="F1686" s="19" t="str">
        <f>IFERROR(__xludf.DUMMYFUNCTION("""COMPUTED_VALUE"""),"BLACK")</f>
        <v>BLACK</v>
      </c>
      <c r="G1686" s="20" t="str">
        <f>IFERROR(__xludf.DUMMYFUNCTION("""COMPUTED_VALUE"""),"Uncle Sams Cider (11/12/2021) 02")</f>
        <v>Uncle Sams Cider (11/12/2021) 02</v>
      </c>
      <c r="H1686" s="19"/>
    </row>
    <row r="1687">
      <c r="A1687" s="9"/>
      <c r="B1687" s="15"/>
      <c r="C1687" s="9">
        <f>IFERROR(__xludf.DUMMYFUNCTION("""COMPUTED_VALUE"""),44587.9550667824)</f>
        <v>44587.95507</v>
      </c>
      <c r="D1687" s="15">
        <f>IFERROR(__xludf.DUMMYFUNCTION("""COMPUTED_VALUE"""),1.005)</f>
        <v>1.005</v>
      </c>
      <c r="E1687" s="16">
        <f>IFERROR(__xludf.DUMMYFUNCTION("""COMPUTED_VALUE"""),66.0)</f>
        <v>66</v>
      </c>
      <c r="F1687" s="19" t="str">
        <f>IFERROR(__xludf.DUMMYFUNCTION("""COMPUTED_VALUE"""),"BLACK")</f>
        <v>BLACK</v>
      </c>
      <c r="G1687" s="20" t="str">
        <f>IFERROR(__xludf.DUMMYFUNCTION("""COMPUTED_VALUE"""),"Uncle Sams Cider (11/12/2021) 02")</f>
        <v>Uncle Sams Cider (11/12/2021) 02</v>
      </c>
      <c r="H1687" s="19"/>
    </row>
    <row r="1688">
      <c r="A1688" s="9"/>
      <c r="B1688" s="15"/>
      <c r="C1688" s="9">
        <f>IFERROR(__xludf.DUMMYFUNCTION("""COMPUTED_VALUE"""),44587.9446449768)</f>
        <v>44587.94464</v>
      </c>
      <c r="D1688" s="15">
        <f>IFERROR(__xludf.DUMMYFUNCTION("""COMPUTED_VALUE"""),1.005)</f>
        <v>1.005</v>
      </c>
      <c r="E1688" s="16">
        <f>IFERROR(__xludf.DUMMYFUNCTION("""COMPUTED_VALUE"""),66.0)</f>
        <v>66</v>
      </c>
      <c r="F1688" s="19" t="str">
        <f>IFERROR(__xludf.DUMMYFUNCTION("""COMPUTED_VALUE"""),"BLACK")</f>
        <v>BLACK</v>
      </c>
      <c r="G1688" s="20" t="str">
        <f>IFERROR(__xludf.DUMMYFUNCTION("""COMPUTED_VALUE"""),"Uncle Sams Cider (11/12/2021) 02")</f>
        <v>Uncle Sams Cider (11/12/2021) 02</v>
      </c>
      <c r="H1688" s="19"/>
    </row>
    <row r="1689">
      <c r="A1689" s="9"/>
      <c r="B1689" s="15"/>
      <c r="C1689" s="9">
        <f>IFERROR(__xludf.DUMMYFUNCTION("""COMPUTED_VALUE"""),44587.934221875)</f>
        <v>44587.93422</v>
      </c>
      <c r="D1689" s="15">
        <f>IFERROR(__xludf.DUMMYFUNCTION("""COMPUTED_VALUE"""),1.005)</f>
        <v>1.005</v>
      </c>
      <c r="E1689" s="16">
        <f>IFERROR(__xludf.DUMMYFUNCTION("""COMPUTED_VALUE"""),66.0)</f>
        <v>66</v>
      </c>
      <c r="F1689" s="19" t="str">
        <f>IFERROR(__xludf.DUMMYFUNCTION("""COMPUTED_VALUE"""),"BLACK")</f>
        <v>BLACK</v>
      </c>
      <c r="G1689" s="20" t="str">
        <f>IFERROR(__xludf.DUMMYFUNCTION("""COMPUTED_VALUE"""),"Uncle Sams Cider (11/12/2021) 02")</f>
        <v>Uncle Sams Cider (11/12/2021) 02</v>
      </c>
      <c r="H1689" s="19"/>
    </row>
    <row r="1690">
      <c r="A1690" s="9"/>
      <c r="B1690" s="15"/>
      <c r="C1690" s="9">
        <f>IFERROR(__xludf.DUMMYFUNCTION("""COMPUTED_VALUE"""),44587.9237776041)</f>
        <v>44587.92378</v>
      </c>
      <c r="D1690" s="15">
        <f>IFERROR(__xludf.DUMMYFUNCTION("""COMPUTED_VALUE"""),1.005)</f>
        <v>1.005</v>
      </c>
      <c r="E1690" s="16">
        <f>IFERROR(__xludf.DUMMYFUNCTION("""COMPUTED_VALUE"""),67.0)</f>
        <v>67</v>
      </c>
      <c r="F1690" s="19" t="str">
        <f>IFERROR(__xludf.DUMMYFUNCTION("""COMPUTED_VALUE"""),"BLACK")</f>
        <v>BLACK</v>
      </c>
      <c r="G1690" s="20" t="str">
        <f>IFERROR(__xludf.DUMMYFUNCTION("""COMPUTED_VALUE"""),"Uncle Sams Cider (11/12/2021) 02")</f>
        <v>Uncle Sams Cider (11/12/2021) 02</v>
      </c>
      <c r="H1690" s="19"/>
    </row>
    <row r="1691">
      <c r="A1691" s="9"/>
      <c r="B1691" s="15"/>
      <c r="C1691" s="9">
        <f>IFERROR(__xludf.DUMMYFUNCTION("""COMPUTED_VALUE"""),44587.91333375)</f>
        <v>44587.91333</v>
      </c>
      <c r="D1691" s="15">
        <f>IFERROR(__xludf.DUMMYFUNCTION("""COMPUTED_VALUE"""),1.005)</f>
        <v>1.005</v>
      </c>
      <c r="E1691" s="16">
        <f>IFERROR(__xludf.DUMMYFUNCTION("""COMPUTED_VALUE"""),67.0)</f>
        <v>67</v>
      </c>
      <c r="F1691" s="19" t="str">
        <f>IFERROR(__xludf.DUMMYFUNCTION("""COMPUTED_VALUE"""),"BLACK")</f>
        <v>BLACK</v>
      </c>
      <c r="G1691" s="20" t="str">
        <f>IFERROR(__xludf.DUMMYFUNCTION("""COMPUTED_VALUE"""),"Uncle Sams Cider (11/12/2021) 02")</f>
        <v>Uncle Sams Cider (11/12/2021) 02</v>
      </c>
      <c r="H1691" s="19"/>
    </row>
    <row r="1692">
      <c r="A1692" s="9"/>
      <c r="B1692" s="15"/>
      <c r="C1692" s="9">
        <f>IFERROR(__xludf.DUMMYFUNCTION("""COMPUTED_VALUE"""),44587.9029122453)</f>
        <v>44587.90291</v>
      </c>
      <c r="D1692" s="15">
        <f>IFERROR(__xludf.DUMMYFUNCTION("""COMPUTED_VALUE"""),1.005)</f>
        <v>1.005</v>
      </c>
      <c r="E1692" s="16">
        <f>IFERROR(__xludf.DUMMYFUNCTION("""COMPUTED_VALUE"""),67.0)</f>
        <v>67</v>
      </c>
      <c r="F1692" s="19" t="str">
        <f>IFERROR(__xludf.DUMMYFUNCTION("""COMPUTED_VALUE"""),"BLACK")</f>
        <v>BLACK</v>
      </c>
      <c r="G1692" s="20" t="str">
        <f>IFERROR(__xludf.DUMMYFUNCTION("""COMPUTED_VALUE"""),"Uncle Sams Cider (11/12/2021) 02")</f>
        <v>Uncle Sams Cider (11/12/2021) 02</v>
      </c>
      <c r="H1692" s="19"/>
    </row>
    <row r="1693">
      <c r="A1693" s="9"/>
      <c r="B1693" s="15"/>
      <c r="C1693" s="9">
        <f>IFERROR(__xludf.DUMMYFUNCTION("""COMPUTED_VALUE"""),44587.8924916319)</f>
        <v>44587.89249</v>
      </c>
      <c r="D1693" s="15">
        <f>IFERROR(__xludf.DUMMYFUNCTION("""COMPUTED_VALUE"""),1.005)</f>
        <v>1.005</v>
      </c>
      <c r="E1693" s="16">
        <f>IFERROR(__xludf.DUMMYFUNCTION("""COMPUTED_VALUE"""),67.0)</f>
        <v>67</v>
      </c>
      <c r="F1693" s="19" t="str">
        <f>IFERROR(__xludf.DUMMYFUNCTION("""COMPUTED_VALUE"""),"BLACK")</f>
        <v>BLACK</v>
      </c>
      <c r="G1693" s="20" t="str">
        <f>IFERROR(__xludf.DUMMYFUNCTION("""COMPUTED_VALUE"""),"Uncle Sams Cider (11/12/2021) 02")</f>
        <v>Uncle Sams Cider (11/12/2021) 02</v>
      </c>
      <c r="H1693" s="19"/>
    </row>
    <row r="1694">
      <c r="A1694" s="9"/>
      <c r="B1694" s="15"/>
      <c r="C1694" s="9">
        <f>IFERROR(__xludf.DUMMYFUNCTION("""COMPUTED_VALUE"""),44587.8820713773)</f>
        <v>44587.88207</v>
      </c>
      <c r="D1694" s="15">
        <f>IFERROR(__xludf.DUMMYFUNCTION("""COMPUTED_VALUE"""),1.005)</f>
        <v>1.005</v>
      </c>
      <c r="E1694" s="16">
        <f>IFERROR(__xludf.DUMMYFUNCTION("""COMPUTED_VALUE"""),67.0)</f>
        <v>67</v>
      </c>
      <c r="F1694" s="19" t="str">
        <f>IFERROR(__xludf.DUMMYFUNCTION("""COMPUTED_VALUE"""),"BLACK")</f>
        <v>BLACK</v>
      </c>
      <c r="G1694" s="20" t="str">
        <f>IFERROR(__xludf.DUMMYFUNCTION("""COMPUTED_VALUE"""),"Uncle Sams Cider (11/12/2021) 02")</f>
        <v>Uncle Sams Cider (11/12/2021) 02</v>
      </c>
      <c r="H1694" s="19"/>
    </row>
    <row r="1695">
      <c r="A1695" s="9"/>
      <c r="B1695" s="15"/>
      <c r="C1695" s="9">
        <f>IFERROR(__xludf.DUMMYFUNCTION("""COMPUTED_VALUE"""),44587.8716521296)</f>
        <v>44587.87165</v>
      </c>
      <c r="D1695" s="15">
        <f>IFERROR(__xludf.DUMMYFUNCTION("""COMPUTED_VALUE"""),1.005)</f>
        <v>1.005</v>
      </c>
      <c r="E1695" s="16">
        <f>IFERROR(__xludf.DUMMYFUNCTION("""COMPUTED_VALUE"""),67.0)</f>
        <v>67</v>
      </c>
      <c r="F1695" s="19" t="str">
        <f>IFERROR(__xludf.DUMMYFUNCTION("""COMPUTED_VALUE"""),"BLACK")</f>
        <v>BLACK</v>
      </c>
      <c r="G1695" s="20" t="str">
        <f>IFERROR(__xludf.DUMMYFUNCTION("""COMPUTED_VALUE"""),"Uncle Sams Cider (11/12/2021) 02")</f>
        <v>Uncle Sams Cider (11/12/2021) 02</v>
      </c>
      <c r="H1695" s="19"/>
    </row>
    <row r="1696">
      <c r="A1696" s="9"/>
      <c r="B1696" s="15"/>
      <c r="C1696" s="9">
        <f>IFERROR(__xludf.DUMMYFUNCTION("""COMPUTED_VALUE"""),44587.8612212499)</f>
        <v>44587.86122</v>
      </c>
      <c r="D1696" s="15">
        <f>IFERROR(__xludf.DUMMYFUNCTION("""COMPUTED_VALUE"""),1.005)</f>
        <v>1.005</v>
      </c>
      <c r="E1696" s="16">
        <f>IFERROR(__xludf.DUMMYFUNCTION("""COMPUTED_VALUE"""),67.0)</f>
        <v>67</v>
      </c>
      <c r="F1696" s="19" t="str">
        <f>IFERROR(__xludf.DUMMYFUNCTION("""COMPUTED_VALUE"""),"BLACK")</f>
        <v>BLACK</v>
      </c>
      <c r="G1696" s="20" t="str">
        <f>IFERROR(__xludf.DUMMYFUNCTION("""COMPUTED_VALUE"""),"Uncle Sams Cider (11/12/2021) 02")</f>
        <v>Uncle Sams Cider (11/12/2021) 02</v>
      </c>
      <c r="H1696" s="19"/>
    </row>
    <row r="1697">
      <c r="A1697" s="9"/>
      <c r="B1697" s="15"/>
      <c r="C1697" s="9">
        <f>IFERROR(__xludf.DUMMYFUNCTION("""COMPUTED_VALUE"""),44587.8508009606)</f>
        <v>44587.8508</v>
      </c>
      <c r="D1697" s="15">
        <f>IFERROR(__xludf.DUMMYFUNCTION("""COMPUTED_VALUE"""),1.005)</f>
        <v>1.005</v>
      </c>
      <c r="E1697" s="16">
        <f>IFERROR(__xludf.DUMMYFUNCTION("""COMPUTED_VALUE"""),67.0)</f>
        <v>67</v>
      </c>
      <c r="F1697" s="19" t="str">
        <f>IFERROR(__xludf.DUMMYFUNCTION("""COMPUTED_VALUE"""),"BLACK")</f>
        <v>BLACK</v>
      </c>
      <c r="G1697" s="20" t="str">
        <f>IFERROR(__xludf.DUMMYFUNCTION("""COMPUTED_VALUE"""),"Uncle Sams Cider (11/12/2021) 02")</f>
        <v>Uncle Sams Cider (11/12/2021) 02</v>
      </c>
      <c r="H1697" s="19"/>
    </row>
    <row r="1698">
      <c r="A1698" s="9"/>
      <c r="B1698" s="15"/>
      <c r="C1698" s="9">
        <f>IFERROR(__xludf.DUMMYFUNCTION("""COMPUTED_VALUE"""),44587.8403793055)</f>
        <v>44587.84038</v>
      </c>
      <c r="D1698" s="15">
        <f>IFERROR(__xludf.DUMMYFUNCTION("""COMPUTED_VALUE"""),1.005)</f>
        <v>1.005</v>
      </c>
      <c r="E1698" s="16">
        <f>IFERROR(__xludf.DUMMYFUNCTION("""COMPUTED_VALUE"""),67.0)</f>
        <v>67</v>
      </c>
      <c r="F1698" s="19" t="str">
        <f>IFERROR(__xludf.DUMMYFUNCTION("""COMPUTED_VALUE"""),"BLACK")</f>
        <v>BLACK</v>
      </c>
      <c r="G1698" s="20" t="str">
        <f>IFERROR(__xludf.DUMMYFUNCTION("""COMPUTED_VALUE"""),"Uncle Sams Cider (11/12/2021) 02")</f>
        <v>Uncle Sams Cider (11/12/2021) 02</v>
      </c>
      <c r="H1698" s="19"/>
    </row>
    <row r="1699">
      <c r="A1699" s="9"/>
      <c r="B1699" s="15"/>
      <c r="C1699" s="9">
        <f>IFERROR(__xludf.DUMMYFUNCTION("""COMPUTED_VALUE"""),44587.8299570138)</f>
        <v>44587.82996</v>
      </c>
      <c r="D1699" s="15">
        <f>IFERROR(__xludf.DUMMYFUNCTION("""COMPUTED_VALUE"""),1.005)</f>
        <v>1.005</v>
      </c>
      <c r="E1699" s="16">
        <f>IFERROR(__xludf.DUMMYFUNCTION("""COMPUTED_VALUE"""),67.0)</f>
        <v>67</v>
      </c>
      <c r="F1699" s="19" t="str">
        <f>IFERROR(__xludf.DUMMYFUNCTION("""COMPUTED_VALUE"""),"BLACK")</f>
        <v>BLACK</v>
      </c>
      <c r="G1699" s="20" t="str">
        <f>IFERROR(__xludf.DUMMYFUNCTION("""COMPUTED_VALUE"""),"Uncle Sams Cider (11/12/2021) 02")</f>
        <v>Uncle Sams Cider (11/12/2021) 02</v>
      </c>
      <c r="H1699" s="19"/>
    </row>
    <row r="1700">
      <c r="A1700" s="9"/>
      <c r="B1700" s="15"/>
      <c r="C1700" s="9">
        <f>IFERROR(__xludf.DUMMYFUNCTION("""COMPUTED_VALUE"""),44587.819535625)</f>
        <v>44587.81954</v>
      </c>
      <c r="D1700" s="15">
        <f>IFERROR(__xludf.DUMMYFUNCTION("""COMPUTED_VALUE"""),1.005)</f>
        <v>1.005</v>
      </c>
      <c r="E1700" s="16">
        <f>IFERROR(__xludf.DUMMYFUNCTION("""COMPUTED_VALUE"""),67.0)</f>
        <v>67</v>
      </c>
      <c r="F1700" s="19" t="str">
        <f>IFERROR(__xludf.DUMMYFUNCTION("""COMPUTED_VALUE"""),"BLACK")</f>
        <v>BLACK</v>
      </c>
      <c r="G1700" s="20" t="str">
        <f>IFERROR(__xludf.DUMMYFUNCTION("""COMPUTED_VALUE"""),"Uncle Sams Cider (11/12/2021) 02")</f>
        <v>Uncle Sams Cider (11/12/2021) 02</v>
      </c>
      <c r="H1700" s="19"/>
    </row>
    <row r="1701">
      <c r="A1701" s="9"/>
      <c r="B1701" s="15"/>
      <c r="C1701" s="9">
        <f>IFERROR(__xludf.DUMMYFUNCTION("""COMPUTED_VALUE"""),44587.8091155902)</f>
        <v>44587.80912</v>
      </c>
      <c r="D1701" s="15">
        <f>IFERROR(__xludf.DUMMYFUNCTION("""COMPUTED_VALUE"""),1.005)</f>
        <v>1.005</v>
      </c>
      <c r="E1701" s="16">
        <f>IFERROR(__xludf.DUMMYFUNCTION("""COMPUTED_VALUE"""),67.0)</f>
        <v>67</v>
      </c>
      <c r="F1701" s="19" t="str">
        <f>IFERROR(__xludf.DUMMYFUNCTION("""COMPUTED_VALUE"""),"BLACK")</f>
        <v>BLACK</v>
      </c>
      <c r="G1701" s="20" t="str">
        <f>IFERROR(__xludf.DUMMYFUNCTION("""COMPUTED_VALUE"""),"Uncle Sams Cider (11/12/2021) 02")</f>
        <v>Uncle Sams Cider (11/12/2021) 02</v>
      </c>
      <c r="H1701" s="19"/>
    </row>
    <row r="1702">
      <c r="A1702" s="9"/>
      <c r="B1702" s="15"/>
      <c r="C1702" s="9">
        <f>IFERROR(__xludf.DUMMYFUNCTION("""COMPUTED_VALUE"""),44587.7986948263)</f>
        <v>44587.79869</v>
      </c>
      <c r="D1702" s="15">
        <f>IFERROR(__xludf.DUMMYFUNCTION("""COMPUTED_VALUE"""),1.005)</f>
        <v>1.005</v>
      </c>
      <c r="E1702" s="16">
        <f>IFERROR(__xludf.DUMMYFUNCTION("""COMPUTED_VALUE"""),67.0)</f>
        <v>67</v>
      </c>
      <c r="F1702" s="19" t="str">
        <f>IFERROR(__xludf.DUMMYFUNCTION("""COMPUTED_VALUE"""),"BLACK")</f>
        <v>BLACK</v>
      </c>
      <c r="G1702" s="20" t="str">
        <f>IFERROR(__xludf.DUMMYFUNCTION("""COMPUTED_VALUE"""),"Uncle Sams Cider (11/12/2021) 02")</f>
        <v>Uncle Sams Cider (11/12/2021) 02</v>
      </c>
      <c r="H1702" s="19"/>
    </row>
    <row r="1703">
      <c r="A1703" s="9"/>
      <c r="B1703" s="15"/>
      <c r="C1703" s="9">
        <f>IFERROR(__xludf.DUMMYFUNCTION("""COMPUTED_VALUE"""),44587.7882723495)</f>
        <v>44587.78827</v>
      </c>
      <c r="D1703" s="15">
        <f>IFERROR(__xludf.DUMMYFUNCTION("""COMPUTED_VALUE"""),1.005)</f>
        <v>1.005</v>
      </c>
      <c r="E1703" s="16">
        <f>IFERROR(__xludf.DUMMYFUNCTION("""COMPUTED_VALUE"""),67.0)</f>
        <v>67</v>
      </c>
      <c r="F1703" s="19" t="str">
        <f>IFERROR(__xludf.DUMMYFUNCTION("""COMPUTED_VALUE"""),"BLACK")</f>
        <v>BLACK</v>
      </c>
      <c r="G1703" s="20" t="str">
        <f>IFERROR(__xludf.DUMMYFUNCTION("""COMPUTED_VALUE"""),"Uncle Sams Cider (11/12/2021) 02")</f>
        <v>Uncle Sams Cider (11/12/2021) 02</v>
      </c>
      <c r="H1703" s="19"/>
    </row>
    <row r="1704">
      <c r="A1704" s="9"/>
      <c r="B1704" s="15"/>
      <c r="C1704" s="9">
        <f>IFERROR(__xludf.DUMMYFUNCTION("""COMPUTED_VALUE"""),44587.7778497916)</f>
        <v>44587.77785</v>
      </c>
      <c r="D1704" s="15">
        <f>IFERROR(__xludf.DUMMYFUNCTION("""COMPUTED_VALUE"""),1.005)</f>
        <v>1.005</v>
      </c>
      <c r="E1704" s="16">
        <f>IFERROR(__xludf.DUMMYFUNCTION("""COMPUTED_VALUE"""),67.0)</f>
        <v>67</v>
      </c>
      <c r="F1704" s="19" t="str">
        <f>IFERROR(__xludf.DUMMYFUNCTION("""COMPUTED_VALUE"""),"BLACK")</f>
        <v>BLACK</v>
      </c>
      <c r="G1704" s="20" t="str">
        <f>IFERROR(__xludf.DUMMYFUNCTION("""COMPUTED_VALUE"""),"Uncle Sams Cider (11/12/2021) 02")</f>
        <v>Uncle Sams Cider (11/12/2021) 02</v>
      </c>
      <c r="H1704" s="19"/>
    </row>
    <row r="1705">
      <c r="A1705" s="9"/>
      <c r="B1705" s="15"/>
      <c r="C1705" s="9">
        <f>IFERROR(__xludf.DUMMYFUNCTION("""COMPUTED_VALUE"""),44587.7674278472)</f>
        <v>44587.76743</v>
      </c>
      <c r="D1705" s="15">
        <f>IFERROR(__xludf.DUMMYFUNCTION("""COMPUTED_VALUE"""),1.005)</f>
        <v>1.005</v>
      </c>
      <c r="E1705" s="16">
        <f>IFERROR(__xludf.DUMMYFUNCTION("""COMPUTED_VALUE"""),67.0)</f>
        <v>67</v>
      </c>
      <c r="F1705" s="19" t="str">
        <f>IFERROR(__xludf.DUMMYFUNCTION("""COMPUTED_VALUE"""),"BLACK")</f>
        <v>BLACK</v>
      </c>
      <c r="G1705" s="20" t="str">
        <f>IFERROR(__xludf.DUMMYFUNCTION("""COMPUTED_VALUE"""),"Uncle Sams Cider (11/12/2021) 02")</f>
        <v>Uncle Sams Cider (11/12/2021) 02</v>
      </c>
      <c r="H1705" s="19"/>
    </row>
    <row r="1706">
      <c r="A1706" s="9"/>
      <c r="B1706" s="15"/>
      <c r="C1706" s="9">
        <f>IFERROR(__xludf.DUMMYFUNCTION("""COMPUTED_VALUE"""),44587.7569954398)</f>
        <v>44587.757</v>
      </c>
      <c r="D1706" s="15">
        <f>IFERROR(__xludf.DUMMYFUNCTION("""COMPUTED_VALUE"""),1.005)</f>
        <v>1.005</v>
      </c>
      <c r="E1706" s="16">
        <f>IFERROR(__xludf.DUMMYFUNCTION("""COMPUTED_VALUE"""),67.0)</f>
        <v>67</v>
      </c>
      <c r="F1706" s="19" t="str">
        <f>IFERROR(__xludf.DUMMYFUNCTION("""COMPUTED_VALUE"""),"BLACK")</f>
        <v>BLACK</v>
      </c>
      <c r="G1706" s="20" t="str">
        <f>IFERROR(__xludf.DUMMYFUNCTION("""COMPUTED_VALUE"""),"Uncle Sams Cider (11/12/2021) 02")</f>
        <v>Uncle Sams Cider (11/12/2021) 02</v>
      </c>
      <c r="H1706" s="19"/>
    </row>
    <row r="1707">
      <c r="A1707" s="9"/>
      <c r="B1707" s="15"/>
      <c r="C1707" s="9">
        <f>IFERROR(__xludf.DUMMYFUNCTION("""COMPUTED_VALUE"""),44587.7465613194)</f>
        <v>44587.74656</v>
      </c>
      <c r="D1707" s="15">
        <f>IFERROR(__xludf.DUMMYFUNCTION("""COMPUTED_VALUE"""),1.005)</f>
        <v>1.005</v>
      </c>
      <c r="E1707" s="16">
        <f>IFERROR(__xludf.DUMMYFUNCTION("""COMPUTED_VALUE"""),67.0)</f>
        <v>67</v>
      </c>
      <c r="F1707" s="19" t="str">
        <f>IFERROR(__xludf.DUMMYFUNCTION("""COMPUTED_VALUE"""),"BLACK")</f>
        <v>BLACK</v>
      </c>
      <c r="G1707" s="20" t="str">
        <f>IFERROR(__xludf.DUMMYFUNCTION("""COMPUTED_VALUE"""),"Uncle Sams Cider (11/12/2021) 02")</f>
        <v>Uncle Sams Cider (11/12/2021) 02</v>
      </c>
      <c r="H1707" s="19"/>
    </row>
    <row r="1708">
      <c r="A1708" s="9"/>
      <c r="B1708" s="15"/>
      <c r="C1708" s="9">
        <f>IFERROR(__xludf.DUMMYFUNCTION("""COMPUTED_VALUE"""),44587.7361180555)</f>
        <v>44587.73612</v>
      </c>
      <c r="D1708" s="15">
        <f>IFERROR(__xludf.DUMMYFUNCTION("""COMPUTED_VALUE"""),1.005)</f>
        <v>1.005</v>
      </c>
      <c r="E1708" s="16">
        <f>IFERROR(__xludf.DUMMYFUNCTION("""COMPUTED_VALUE"""),67.0)</f>
        <v>67</v>
      </c>
      <c r="F1708" s="19" t="str">
        <f>IFERROR(__xludf.DUMMYFUNCTION("""COMPUTED_VALUE"""),"BLACK")</f>
        <v>BLACK</v>
      </c>
      <c r="G1708" s="20" t="str">
        <f>IFERROR(__xludf.DUMMYFUNCTION("""COMPUTED_VALUE"""),"Uncle Sams Cider (11/12/2021) 02")</f>
        <v>Uncle Sams Cider (11/12/2021) 02</v>
      </c>
      <c r="H1708" s="19"/>
    </row>
    <row r="1709">
      <c r="A1709" s="9"/>
      <c r="B1709" s="15"/>
      <c r="C1709" s="9">
        <f>IFERROR(__xludf.DUMMYFUNCTION("""COMPUTED_VALUE"""),44587.7256967824)</f>
        <v>44587.7257</v>
      </c>
      <c r="D1709" s="15">
        <f>IFERROR(__xludf.DUMMYFUNCTION("""COMPUTED_VALUE"""),1.005)</f>
        <v>1.005</v>
      </c>
      <c r="E1709" s="16">
        <f>IFERROR(__xludf.DUMMYFUNCTION("""COMPUTED_VALUE"""),67.0)</f>
        <v>67</v>
      </c>
      <c r="F1709" s="19" t="str">
        <f>IFERROR(__xludf.DUMMYFUNCTION("""COMPUTED_VALUE"""),"BLACK")</f>
        <v>BLACK</v>
      </c>
      <c r="G1709" s="20" t="str">
        <f>IFERROR(__xludf.DUMMYFUNCTION("""COMPUTED_VALUE"""),"Uncle Sams Cider (11/12/2021) 02")</f>
        <v>Uncle Sams Cider (11/12/2021) 02</v>
      </c>
      <c r="H1709" s="19"/>
    </row>
    <row r="1710">
      <c r="A1710" s="9"/>
      <c r="B1710" s="15"/>
      <c r="C1710" s="9">
        <f>IFERROR(__xludf.DUMMYFUNCTION("""COMPUTED_VALUE"""),44587.7152746875)</f>
        <v>44587.71527</v>
      </c>
      <c r="D1710" s="15">
        <f>IFERROR(__xludf.DUMMYFUNCTION("""COMPUTED_VALUE"""),1.005)</f>
        <v>1.005</v>
      </c>
      <c r="E1710" s="16">
        <f>IFERROR(__xludf.DUMMYFUNCTION("""COMPUTED_VALUE"""),67.0)</f>
        <v>67</v>
      </c>
      <c r="F1710" s="19" t="str">
        <f>IFERROR(__xludf.DUMMYFUNCTION("""COMPUTED_VALUE"""),"BLACK")</f>
        <v>BLACK</v>
      </c>
      <c r="G1710" s="20" t="str">
        <f>IFERROR(__xludf.DUMMYFUNCTION("""COMPUTED_VALUE"""),"Uncle Sams Cider (11/12/2021) 02")</f>
        <v>Uncle Sams Cider (11/12/2021) 02</v>
      </c>
      <c r="H1710" s="19"/>
    </row>
    <row r="1711">
      <c r="A1711" s="9"/>
      <c r="B1711" s="15"/>
      <c r="C1711" s="9">
        <f>IFERROR(__xludf.DUMMYFUNCTION("""COMPUTED_VALUE"""),44587.7048534953)</f>
        <v>44587.70485</v>
      </c>
      <c r="D1711" s="15">
        <f>IFERROR(__xludf.DUMMYFUNCTION("""COMPUTED_VALUE"""),1.005)</f>
        <v>1.005</v>
      </c>
      <c r="E1711" s="16">
        <f>IFERROR(__xludf.DUMMYFUNCTION("""COMPUTED_VALUE"""),67.0)</f>
        <v>67</v>
      </c>
      <c r="F1711" s="19" t="str">
        <f>IFERROR(__xludf.DUMMYFUNCTION("""COMPUTED_VALUE"""),"BLACK")</f>
        <v>BLACK</v>
      </c>
      <c r="G1711" s="20" t="str">
        <f>IFERROR(__xludf.DUMMYFUNCTION("""COMPUTED_VALUE"""),"Uncle Sams Cider (11/12/2021) 02")</f>
        <v>Uncle Sams Cider (11/12/2021) 02</v>
      </c>
      <c r="H1711" s="19"/>
    </row>
    <row r="1712">
      <c r="A1712" s="9"/>
      <c r="B1712" s="15"/>
      <c r="C1712" s="9">
        <f>IFERROR(__xludf.DUMMYFUNCTION("""COMPUTED_VALUE"""),44587.6944333796)</f>
        <v>44587.69443</v>
      </c>
      <c r="D1712" s="15">
        <f>IFERROR(__xludf.DUMMYFUNCTION("""COMPUTED_VALUE"""),1.005)</f>
        <v>1.005</v>
      </c>
      <c r="E1712" s="16">
        <f>IFERROR(__xludf.DUMMYFUNCTION("""COMPUTED_VALUE"""),67.0)</f>
        <v>67</v>
      </c>
      <c r="F1712" s="19" t="str">
        <f>IFERROR(__xludf.DUMMYFUNCTION("""COMPUTED_VALUE"""),"BLACK")</f>
        <v>BLACK</v>
      </c>
      <c r="G1712" s="20" t="str">
        <f>IFERROR(__xludf.DUMMYFUNCTION("""COMPUTED_VALUE"""),"Uncle Sams Cider (11/12/2021) 02")</f>
        <v>Uncle Sams Cider (11/12/2021) 02</v>
      </c>
      <c r="H1712" s="19"/>
    </row>
    <row r="1713">
      <c r="A1713" s="9"/>
      <c r="B1713" s="15"/>
      <c r="C1713" s="9">
        <f>IFERROR(__xludf.DUMMYFUNCTION("""COMPUTED_VALUE"""),44587.6840124305)</f>
        <v>44587.68401</v>
      </c>
      <c r="D1713" s="15">
        <f>IFERROR(__xludf.DUMMYFUNCTION("""COMPUTED_VALUE"""),1.005)</f>
        <v>1.005</v>
      </c>
      <c r="E1713" s="16">
        <f>IFERROR(__xludf.DUMMYFUNCTION("""COMPUTED_VALUE"""),67.0)</f>
        <v>67</v>
      </c>
      <c r="F1713" s="19" t="str">
        <f>IFERROR(__xludf.DUMMYFUNCTION("""COMPUTED_VALUE"""),"BLACK")</f>
        <v>BLACK</v>
      </c>
      <c r="G1713" s="20" t="str">
        <f>IFERROR(__xludf.DUMMYFUNCTION("""COMPUTED_VALUE"""),"Uncle Sams Cider (11/12/2021) 02")</f>
        <v>Uncle Sams Cider (11/12/2021) 02</v>
      </c>
      <c r="H1713" s="19"/>
    </row>
    <row r="1714">
      <c r="A1714" s="9"/>
      <c r="B1714" s="15"/>
      <c r="C1714" s="9">
        <f>IFERROR(__xludf.DUMMYFUNCTION("""COMPUTED_VALUE"""),44587.6735906018)</f>
        <v>44587.67359</v>
      </c>
      <c r="D1714" s="15">
        <f>IFERROR(__xludf.DUMMYFUNCTION("""COMPUTED_VALUE"""),1.005)</f>
        <v>1.005</v>
      </c>
      <c r="E1714" s="16">
        <f>IFERROR(__xludf.DUMMYFUNCTION("""COMPUTED_VALUE"""),67.0)</f>
        <v>67</v>
      </c>
      <c r="F1714" s="19" t="str">
        <f>IFERROR(__xludf.DUMMYFUNCTION("""COMPUTED_VALUE"""),"BLACK")</f>
        <v>BLACK</v>
      </c>
      <c r="G1714" s="20" t="str">
        <f>IFERROR(__xludf.DUMMYFUNCTION("""COMPUTED_VALUE"""),"Uncle Sams Cider (11/12/2021) 02")</f>
        <v>Uncle Sams Cider (11/12/2021) 02</v>
      </c>
      <c r="H1714" s="19"/>
    </row>
    <row r="1715">
      <c r="A1715" s="9"/>
      <c r="B1715" s="15"/>
      <c r="C1715" s="9">
        <f>IFERROR(__xludf.DUMMYFUNCTION("""COMPUTED_VALUE"""),44587.66315603)</f>
        <v>44587.66316</v>
      </c>
      <c r="D1715" s="15">
        <f>IFERROR(__xludf.DUMMYFUNCTION("""COMPUTED_VALUE"""),1.005)</f>
        <v>1.005</v>
      </c>
      <c r="E1715" s="16">
        <f>IFERROR(__xludf.DUMMYFUNCTION("""COMPUTED_VALUE"""),68.0)</f>
        <v>68</v>
      </c>
      <c r="F1715" s="19" t="str">
        <f>IFERROR(__xludf.DUMMYFUNCTION("""COMPUTED_VALUE"""),"BLACK")</f>
        <v>BLACK</v>
      </c>
      <c r="G1715" s="20" t="str">
        <f>IFERROR(__xludf.DUMMYFUNCTION("""COMPUTED_VALUE"""),"Uncle Sams Cider (11/12/2021) 02")</f>
        <v>Uncle Sams Cider (11/12/2021) 02</v>
      </c>
      <c r="H1715" s="19"/>
    </row>
    <row r="1716">
      <c r="A1716" s="9"/>
      <c r="B1716" s="15"/>
      <c r="C1716" s="9">
        <f>IFERROR(__xludf.DUMMYFUNCTION("""COMPUTED_VALUE"""),44587.6527257638)</f>
        <v>44587.65273</v>
      </c>
      <c r="D1716" s="15">
        <f>IFERROR(__xludf.DUMMYFUNCTION("""COMPUTED_VALUE"""),1.005)</f>
        <v>1.005</v>
      </c>
      <c r="E1716" s="16">
        <f>IFERROR(__xludf.DUMMYFUNCTION("""COMPUTED_VALUE"""),68.0)</f>
        <v>68</v>
      </c>
      <c r="F1716" s="19" t="str">
        <f>IFERROR(__xludf.DUMMYFUNCTION("""COMPUTED_VALUE"""),"BLACK")</f>
        <v>BLACK</v>
      </c>
      <c r="G1716" s="20" t="str">
        <f>IFERROR(__xludf.DUMMYFUNCTION("""COMPUTED_VALUE"""),"Uncle Sams Cider (11/12/2021) 02")</f>
        <v>Uncle Sams Cider (11/12/2021) 02</v>
      </c>
      <c r="H1716" s="19"/>
    </row>
    <row r="1717">
      <c r="A1717" s="9"/>
      <c r="B1717" s="15"/>
      <c r="C1717" s="9">
        <f>IFERROR(__xludf.DUMMYFUNCTION("""COMPUTED_VALUE"""),44587.6423056828)</f>
        <v>44587.64231</v>
      </c>
      <c r="D1717" s="15">
        <f>IFERROR(__xludf.DUMMYFUNCTION("""COMPUTED_VALUE"""),1.005)</f>
        <v>1.005</v>
      </c>
      <c r="E1717" s="16">
        <f>IFERROR(__xludf.DUMMYFUNCTION("""COMPUTED_VALUE"""),68.0)</f>
        <v>68</v>
      </c>
      <c r="F1717" s="19" t="str">
        <f>IFERROR(__xludf.DUMMYFUNCTION("""COMPUTED_VALUE"""),"BLACK")</f>
        <v>BLACK</v>
      </c>
      <c r="G1717" s="20" t="str">
        <f>IFERROR(__xludf.DUMMYFUNCTION("""COMPUTED_VALUE"""),"Uncle Sams Cider (11/12/2021) 02")</f>
        <v>Uncle Sams Cider (11/12/2021) 02</v>
      </c>
      <c r="H1717" s="19"/>
    </row>
    <row r="1718">
      <c r="A1718" s="9"/>
      <c r="B1718" s="15"/>
      <c r="C1718" s="9">
        <f>IFERROR(__xludf.DUMMYFUNCTION("""COMPUTED_VALUE"""),44587.6318844328)</f>
        <v>44587.63188</v>
      </c>
      <c r="D1718" s="15">
        <f>IFERROR(__xludf.DUMMYFUNCTION("""COMPUTED_VALUE"""),1.005)</f>
        <v>1.005</v>
      </c>
      <c r="E1718" s="16">
        <f>IFERROR(__xludf.DUMMYFUNCTION("""COMPUTED_VALUE"""),68.0)</f>
        <v>68</v>
      </c>
      <c r="F1718" s="19" t="str">
        <f>IFERROR(__xludf.DUMMYFUNCTION("""COMPUTED_VALUE"""),"BLACK")</f>
        <v>BLACK</v>
      </c>
      <c r="G1718" s="20" t="str">
        <f>IFERROR(__xludf.DUMMYFUNCTION("""COMPUTED_VALUE"""),"Uncle Sams Cider (11/12/2021) 02")</f>
        <v>Uncle Sams Cider (11/12/2021) 02</v>
      </c>
      <c r="H1718" s="19"/>
    </row>
    <row r="1719">
      <c r="A1719" s="9"/>
      <c r="B1719" s="15"/>
      <c r="C1719" s="9">
        <f>IFERROR(__xludf.DUMMYFUNCTION("""COMPUTED_VALUE"""),44587.6214627314)</f>
        <v>44587.62146</v>
      </c>
      <c r="D1719" s="15">
        <f>IFERROR(__xludf.DUMMYFUNCTION("""COMPUTED_VALUE"""),1.005)</f>
        <v>1.005</v>
      </c>
      <c r="E1719" s="16">
        <f>IFERROR(__xludf.DUMMYFUNCTION("""COMPUTED_VALUE"""),68.0)</f>
        <v>68</v>
      </c>
      <c r="F1719" s="19" t="str">
        <f>IFERROR(__xludf.DUMMYFUNCTION("""COMPUTED_VALUE"""),"BLACK")</f>
        <v>BLACK</v>
      </c>
      <c r="G1719" s="20" t="str">
        <f>IFERROR(__xludf.DUMMYFUNCTION("""COMPUTED_VALUE"""),"Uncle Sams Cider (11/12/2021) 02")</f>
        <v>Uncle Sams Cider (11/12/2021) 02</v>
      </c>
      <c r="H1719" s="19"/>
    </row>
    <row r="1720">
      <c r="A1720" s="9"/>
      <c r="B1720" s="15"/>
      <c r="C1720" s="9">
        <f>IFERROR(__xludf.DUMMYFUNCTION("""COMPUTED_VALUE"""),44587.6110403935)</f>
        <v>44587.61104</v>
      </c>
      <c r="D1720" s="15">
        <f>IFERROR(__xludf.DUMMYFUNCTION("""COMPUTED_VALUE"""),1.005)</f>
        <v>1.005</v>
      </c>
      <c r="E1720" s="16">
        <f>IFERROR(__xludf.DUMMYFUNCTION("""COMPUTED_VALUE"""),68.0)</f>
        <v>68</v>
      </c>
      <c r="F1720" s="19" t="str">
        <f>IFERROR(__xludf.DUMMYFUNCTION("""COMPUTED_VALUE"""),"BLACK")</f>
        <v>BLACK</v>
      </c>
      <c r="G1720" s="20" t="str">
        <f>IFERROR(__xludf.DUMMYFUNCTION("""COMPUTED_VALUE"""),"Uncle Sams Cider (11/12/2021) 02")</f>
        <v>Uncle Sams Cider (11/12/2021) 02</v>
      </c>
      <c r="H1720" s="19"/>
    </row>
    <row r="1721">
      <c r="A1721" s="9"/>
      <c r="B1721" s="15"/>
      <c r="C1721" s="9">
        <f>IFERROR(__xludf.DUMMYFUNCTION("""COMPUTED_VALUE"""),44587.6006194675)</f>
        <v>44587.60062</v>
      </c>
      <c r="D1721" s="15">
        <f>IFERROR(__xludf.DUMMYFUNCTION("""COMPUTED_VALUE"""),1.005)</f>
        <v>1.005</v>
      </c>
      <c r="E1721" s="16">
        <f>IFERROR(__xludf.DUMMYFUNCTION("""COMPUTED_VALUE"""),68.0)</f>
        <v>68</v>
      </c>
      <c r="F1721" s="19" t="str">
        <f>IFERROR(__xludf.DUMMYFUNCTION("""COMPUTED_VALUE"""),"BLACK")</f>
        <v>BLACK</v>
      </c>
      <c r="G1721" s="20" t="str">
        <f>IFERROR(__xludf.DUMMYFUNCTION("""COMPUTED_VALUE"""),"Uncle Sams Cider (11/12/2021) 02")</f>
        <v>Uncle Sams Cider (11/12/2021) 02</v>
      </c>
      <c r="H1721" s="19"/>
    </row>
    <row r="1722">
      <c r="A1722" s="9"/>
      <c r="B1722" s="15"/>
      <c r="C1722" s="9">
        <f>IFERROR(__xludf.DUMMYFUNCTION("""COMPUTED_VALUE"""),44587.5901979976)</f>
        <v>44587.5902</v>
      </c>
      <c r="D1722" s="15">
        <f>IFERROR(__xludf.DUMMYFUNCTION("""COMPUTED_VALUE"""),1.005)</f>
        <v>1.005</v>
      </c>
      <c r="E1722" s="16">
        <f>IFERROR(__xludf.DUMMYFUNCTION("""COMPUTED_VALUE"""),67.0)</f>
        <v>67</v>
      </c>
      <c r="F1722" s="19" t="str">
        <f>IFERROR(__xludf.DUMMYFUNCTION("""COMPUTED_VALUE"""),"BLACK")</f>
        <v>BLACK</v>
      </c>
      <c r="G1722" s="20" t="str">
        <f>IFERROR(__xludf.DUMMYFUNCTION("""COMPUTED_VALUE"""),"Uncle Sams Cider (11/12/2021) 02")</f>
        <v>Uncle Sams Cider (11/12/2021) 02</v>
      </c>
      <c r="H1722" s="19"/>
    </row>
    <row r="1723">
      <c r="A1723" s="9"/>
      <c r="B1723" s="15"/>
      <c r="C1723" s="9">
        <f>IFERROR(__xludf.DUMMYFUNCTION("""COMPUTED_VALUE"""),44587.5797766435)</f>
        <v>44587.57978</v>
      </c>
      <c r="D1723" s="15">
        <f>IFERROR(__xludf.DUMMYFUNCTION("""COMPUTED_VALUE"""),1.005)</f>
        <v>1.005</v>
      </c>
      <c r="E1723" s="16">
        <f>IFERROR(__xludf.DUMMYFUNCTION("""COMPUTED_VALUE"""),67.0)</f>
        <v>67</v>
      </c>
      <c r="F1723" s="19" t="str">
        <f>IFERROR(__xludf.DUMMYFUNCTION("""COMPUTED_VALUE"""),"BLACK")</f>
        <v>BLACK</v>
      </c>
      <c r="G1723" s="20" t="str">
        <f>IFERROR(__xludf.DUMMYFUNCTION("""COMPUTED_VALUE"""),"Uncle Sams Cider (11/12/2021) 02")</f>
        <v>Uncle Sams Cider (11/12/2021) 02</v>
      </c>
      <c r="H1723" s="19"/>
    </row>
    <row r="1724">
      <c r="A1724" s="9"/>
      <c r="B1724" s="15"/>
      <c r="C1724" s="9">
        <f>IFERROR(__xludf.DUMMYFUNCTION("""COMPUTED_VALUE"""),44587.5693557407)</f>
        <v>44587.56936</v>
      </c>
      <c r="D1724" s="15">
        <f>IFERROR(__xludf.DUMMYFUNCTION("""COMPUTED_VALUE"""),1.005)</f>
        <v>1.005</v>
      </c>
      <c r="E1724" s="16">
        <f>IFERROR(__xludf.DUMMYFUNCTION("""COMPUTED_VALUE"""),66.0)</f>
        <v>66</v>
      </c>
      <c r="F1724" s="19" t="str">
        <f>IFERROR(__xludf.DUMMYFUNCTION("""COMPUTED_VALUE"""),"BLACK")</f>
        <v>BLACK</v>
      </c>
      <c r="G1724" s="20" t="str">
        <f>IFERROR(__xludf.DUMMYFUNCTION("""COMPUTED_VALUE"""),"Uncle Sams Cider (11/12/2021) 02")</f>
        <v>Uncle Sams Cider (11/12/2021) 02</v>
      </c>
      <c r="H1724" s="19"/>
    </row>
    <row r="1725">
      <c r="A1725" s="9"/>
      <c r="B1725" s="15"/>
      <c r="C1725" s="9">
        <f>IFERROR(__xludf.DUMMYFUNCTION("""COMPUTED_VALUE"""),44587.5589223958)</f>
        <v>44587.55892</v>
      </c>
      <c r="D1725" s="15">
        <f>IFERROR(__xludf.DUMMYFUNCTION("""COMPUTED_VALUE"""),1.005)</f>
        <v>1.005</v>
      </c>
      <c r="E1725" s="16">
        <f>IFERROR(__xludf.DUMMYFUNCTION("""COMPUTED_VALUE"""),66.0)</f>
        <v>66</v>
      </c>
      <c r="F1725" s="19" t="str">
        <f>IFERROR(__xludf.DUMMYFUNCTION("""COMPUTED_VALUE"""),"BLACK")</f>
        <v>BLACK</v>
      </c>
      <c r="G1725" s="20" t="str">
        <f>IFERROR(__xludf.DUMMYFUNCTION("""COMPUTED_VALUE"""),"Uncle Sams Cider (11/12/2021) 02")</f>
        <v>Uncle Sams Cider (11/12/2021) 02</v>
      </c>
      <c r="H1725" s="19"/>
    </row>
    <row r="1726">
      <c r="A1726" s="9"/>
      <c r="B1726" s="15"/>
      <c r="C1726" s="9">
        <f>IFERROR(__xludf.DUMMYFUNCTION("""COMPUTED_VALUE"""),44587.548500405)</f>
        <v>44587.5485</v>
      </c>
      <c r="D1726" s="15">
        <f>IFERROR(__xludf.DUMMYFUNCTION("""COMPUTED_VALUE"""),1.005)</f>
        <v>1.005</v>
      </c>
      <c r="E1726" s="16">
        <f>IFERROR(__xludf.DUMMYFUNCTION("""COMPUTED_VALUE"""),66.0)</f>
        <v>66</v>
      </c>
      <c r="F1726" s="19" t="str">
        <f>IFERROR(__xludf.DUMMYFUNCTION("""COMPUTED_VALUE"""),"BLACK")</f>
        <v>BLACK</v>
      </c>
      <c r="G1726" s="20" t="str">
        <f>IFERROR(__xludf.DUMMYFUNCTION("""COMPUTED_VALUE"""),"Uncle Sams Cider (11/12/2021) 02")</f>
        <v>Uncle Sams Cider (11/12/2021) 02</v>
      </c>
      <c r="H1726" s="19"/>
    </row>
    <row r="1727">
      <c r="A1727" s="9"/>
      <c r="B1727" s="15"/>
      <c r="C1727" s="9">
        <f>IFERROR(__xludf.DUMMYFUNCTION("""COMPUTED_VALUE"""),44587.5380788541)</f>
        <v>44587.53808</v>
      </c>
      <c r="D1727" s="15">
        <f>IFERROR(__xludf.DUMMYFUNCTION("""COMPUTED_VALUE"""),1.005)</f>
        <v>1.005</v>
      </c>
      <c r="E1727" s="16">
        <f>IFERROR(__xludf.DUMMYFUNCTION("""COMPUTED_VALUE"""),65.0)</f>
        <v>65</v>
      </c>
      <c r="F1727" s="19" t="str">
        <f>IFERROR(__xludf.DUMMYFUNCTION("""COMPUTED_VALUE"""),"BLACK")</f>
        <v>BLACK</v>
      </c>
      <c r="G1727" s="20" t="str">
        <f>IFERROR(__xludf.DUMMYFUNCTION("""COMPUTED_VALUE"""),"Uncle Sams Cider (11/12/2021) 02")</f>
        <v>Uncle Sams Cider (11/12/2021) 02</v>
      </c>
      <c r="H1727" s="19"/>
    </row>
    <row r="1728">
      <c r="A1728" s="9"/>
      <c r="B1728" s="15"/>
      <c r="C1728" s="9">
        <f>IFERROR(__xludf.DUMMYFUNCTION("""COMPUTED_VALUE"""),44587.5276585648)</f>
        <v>44587.52766</v>
      </c>
      <c r="D1728" s="15">
        <f>IFERROR(__xludf.DUMMYFUNCTION("""COMPUTED_VALUE"""),1.005)</f>
        <v>1.005</v>
      </c>
      <c r="E1728" s="16">
        <f>IFERROR(__xludf.DUMMYFUNCTION("""COMPUTED_VALUE"""),65.0)</f>
        <v>65</v>
      </c>
      <c r="F1728" s="19" t="str">
        <f>IFERROR(__xludf.DUMMYFUNCTION("""COMPUTED_VALUE"""),"BLACK")</f>
        <v>BLACK</v>
      </c>
      <c r="G1728" s="20" t="str">
        <f>IFERROR(__xludf.DUMMYFUNCTION("""COMPUTED_VALUE"""),"Uncle Sams Cider (11/12/2021) 02")</f>
        <v>Uncle Sams Cider (11/12/2021) 02</v>
      </c>
      <c r="H1728" s="19"/>
    </row>
    <row r="1729">
      <c r="A1729" s="9"/>
      <c r="B1729" s="15"/>
      <c r="C1729" s="9">
        <f>IFERROR(__xludf.DUMMYFUNCTION("""COMPUTED_VALUE"""),44587.5172388888)</f>
        <v>44587.51724</v>
      </c>
      <c r="D1729" s="15">
        <f>IFERROR(__xludf.DUMMYFUNCTION("""COMPUTED_VALUE"""),1.005)</f>
        <v>1.005</v>
      </c>
      <c r="E1729" s="16">
        <f>IFERROR(__xludf.DUMMYFUNCTION("""COMPUTED_VALUE"""),64.0)</f>
        <v>64</v>
      </c>
      <c r="F1729" s="19" t="str">
        <f>IFERROR(__xludf.DUMMYFUNCTION("""COMPUTED_VALUE"""),"BLACK")</f>
        <v>BLACK</v>
      </c>
      <c r="G1729" s="20" t="str">
        <f>IFERROR(__xludf.DUMMYFUNCTION("""COMPUTED_VALUE"""),"Uncle Sams Cider (11/12/2021) 02")</f>
        <v>Uncle Sams Cider (11/12/2021) 02</v>
      </c>
      <c r="H1729" s="19"/>
    </row>
    <row r="1730">
      <c r="A1730" s="9"/>
      <c r="B1730" s="15"/>
      <c r="C1730" s="9">
        <f>IFERROR(__xludf.DUMMYFUNCTION("""COMPUTED_VALUE"""),44587.5067941898)</f>
        <v>44587.50679</v>
      </c>
      <c r="D1730" s="15">
        <f>IFERROR(__xludf.DUMMYFUNCTION("""COMPUTED_VALUE"""),1.005)</f>
        <v>1.005</v>
      </c>
      <c r="E1730" s="16">
        <f>IFERROR(__xludf.DUMMYFUNCTION("""COMPUTED_VALUE"""),64.0)</f>
        <v>64</v>
      </c>
      <c r="F1730" s="19" t="str">
        <f>IFERROR(__xludf.DUMMYFUNCTION("""COMPUTED_VALUE"""),"BLACK")</f>
        <v>BLACK</v>
      </c>
      <c r="G1730" s="20" t="str">
        <f>IFERROR(__xludf.DUMMYFUNCTION("""COMPUTED_VALUE"""),"Uncle Sams Cider (11/12/2021) 02")</f>
        <v>Uncle Sams Cider (11/12/2021) 02</v>
      </c>
      <c r="H1730" s="19"/>
    </row>
    <row r="1731">
      <c r="A1731" s="9"/>
      <c r="B1731" s="15"/>
      <c r="C1731" s="9">
        <f>IFERROR(__xludf.DUMMYFUNCTION("""COMPUTED_VALUE"""),44587.4963618981)</f>
        <v>44587.49636</v>
      </c>
      <c r="D1731" s="15">
        <f>IFERROR(__xludf.DUMMYFUNCTION("""COMPUTED_VALUE"""),1.005)</f>
        <v>1.005</v>
      </c>
      <c r="E1731" s="16">
        <f>IFERROR(__xludf.DUMMYFUNCTION("""COMPUTED_VALUE"""),64.0)</f>
        <v>64</v>
      </c>
      <c r="F1731" s="19" t="str">
        <f>IFERROR(__xludf.DUMMYFUNCTION("""COMPUTED_VALUE"""),"BLACK")</f>
        <v>BLACK</v>
      </c>
      <c r="G1731" s="20" t="str">
        <f>IFERROR(__xludf.DUMMYFUNCTION("""COMPUTED_VALUE"""),"Uncle Sams Cider (11/12/2021) 02")</f>
        <v>Uncle Sams Cider (11/12/2021) 02</v>
      </c>
      <c r="H1731" s="19"/>
    </row>
    <row r="1732">
      <c r="A1732" s="9"/>
      <c r="B1732" s="15"/>
      <c r="C1732" s="9">
        <f>IFERROR(__xludf.DUMMYFUNCTION("""COMPUTED_VALUE"""),44587.4859182638)</f>
        <v>44587.48592</v>
      </c>
      <c r="D1732" s="15">
        <f>IFERROR(__xludf.DUMMYFUNCTION("""COMPUTED_VALUE"""),1.005)</f>
        <v>1.005</v>
      </c>
      <c r="E1732" s="16">
        <f>IFERROR(__xludf.DUMMYFUNCTION("""COMPUTED_VALUE"""),63.0)</f>
        <v>63</v>
      </c>
      <c r="F1732" s="19" t="str">
        <f>IFERROR(__xludf.DUMMYFUNCTION("""COMPUTED_VALUE"""),"BLACK")</f>
        <v>BLACK</v>
      </c>
      <c r="G1732" s="20" t="str">
        <f>IFERROR(__xludf.DUMMYFUNCTION("""COMPUTED_VALUE"""),"Uncle Sams Cider (11/12/2021) 02")</f>
        <v>Uncle Sams Cider (11/12/2021) 02</v>
      </c>
      <c r="H1732" s="19"/>
    </row>
    <row r="1733">
      <c r="A1733" s="9"/>
      <c r="B1733" s="15"/>
      <c r="C1733" s="9">
        <f>IFERROR(__xludf.DUMMYFUNCTION("""COMPUTED_VALUE"""),44587.4754972685)</f>
        <v>44587.4755</v>
      </c>
      <c r="D1733" s="15">
        <f>IFERROR(__xludf.DUMMYFUNCTION("""COMPUTED_VALUE"""),1.005)</f>
        <v>1.005</v>
      </c>
      <c r="E1733" s="16">
        <f>IFERROR(__xludf.DUMMYFUNCTION("""COMPUTED_VALUE"""),63.0)</f>
        <v>63</v>
      </c>
      <c r="F1733" s="19" t="str">
        <f>IFERROR(__xludf.DUMMYFUNCTION("""COMPUTED_VALUE"""),"BLACK")</f>
        <v>BLACK</v>
      </c>
      <c r="G1733" s="20" t="str">
        <f>IFERROR(__xludf.DUMMYFUNCTION("""COMPUTED_VALUE"""),"Uncle Sams Cider (11/12/2021) 02")</f>
        <v>Uncle Sams Cider (11/12/2021) 02</v>
      </c>
      <c r="H1733" s="19"/>
    </row>
    <row r="1734">
      <c r="A1734" s="9"/>
      <c r="B1734" s="15"/>
      <c r="C1734" s="9">
        <f>IFERROR(__xludf.DUMMYFUNCTION("""COMPUTED_VALUE"""),44587.4650754861)</f>
        <v>44587.46508</v>
      </c>
      <c r="D1734" s="15">
        <f>IFERROR(__xludf.DUMMYFUNCTION("""COMPUTED_VALUE"""),1.005)</f>
        <v>1.005</v>
      </c>
      <c r="E1734" s="16">
        <f>IFERROR(__xludf.DUMMYFUNCTION("""COMPUTED_VALUE"""),63.0)</f>
        <v>63</v>
      </c>
      <c r="F1734" s="19" t="str">
        <f>IFERROR(__xludf.DUMMYFUNCTION("""COMPUTED_VALUE"""),"BLACK")</f>
        <v>BLACK</v>
      </c>
      <c r="G1734" s="20" t="str">
        <f>IFERROR(__xludf.DUMMYFUNCTION("""COMPUTED_VALUE"""),"Uncle Sams Cider (11/12/2021) 02")</f>
        <v>Uncle Sams Cider (11/12/2021) 02</v>
      </c>
      <c r="H1734" s="19"/>
    </row>
    <row r="1735">
      <c r="A1735" s="9"/>
      <c r="B1735" s="15"/>
      <c r="C1735" s="9">
        <f>IFERROR(__xludf.DUMMYFUNCTION("""COMPUTED_VALUE"""),44587.4546536226)</f>
        <v>44587.45465</v>
      </c>
      <c r="D1735" s="15">
        <f>IFERROR(__xludf.DUMMYFUNCTION("""COMPUTED_VALUE"""),1.005)</f>
        <v>1.005</v>
      </c>
      <c r="E1735" s="16">
        <f>IFERROR(__xludf.DUMMYFUNCTION("""COMPUTED_VALUE"""),63.0)</f>
        <v>63</v>
      </c>
      <c r="F1735" s="19" t="str">
        <f>IFERROR(__xludf.DUMMYFUNCTION("""COMPUTED_VALUE"""),"BLACK")</f>
        <v>BLACK</v>
      </c>
      <c r="G1735" s="20" t="str">
        <f>IFERROR(__xludf.DUMMYFUNCTION("""COMPUTED_VALUE"""),"Uncle Sams Cider (11/12/2021) 02")</f>
        <v>Uncle Sams Cider (11/12/2021) 02</v>
      </c>
      <c r="H1735" s="19"/>
    </row>
    <row r="1736">
      <c r="A1736" s="9"/>
      <c r="B1736" s="15"/>
      <c r="C1736" s="9">
        <f>IFERROR(__xludf.DUMMYFUNCTION("""COMPUTED_VALUE"""),44587.4441865393)</f>
        <v>44587.44419</v>
      </c>
      <c r="D1736" s="15">
        <f>IFERROR(__xludf.DUMMYFUNCTION("""COMPUTED_VALUE"""),1.005)</f>
        <v>1.005</v>
      </c>
      <c r="E1736" s="16">
        <f>IFERROR(__xludf.DUMMYFUNCTION("""COMPUTED_VALUE"""),63.0)</f>
        <v>63</v>
      </c>
      <c r="F1736" s="19" t="str">
        <f>IFERROR(__xludf.DUMMYFUNCTION("""COMPUTED_VALUE"""),"BLACK")</f>
        <v>BLACK</v>
      </c>
      <c r="G1736" s="20" t="str">
        <f>IFERROR(__xludf.DUMMYFUNCTION("""COMPUTED_VALUE"""),"Uncle Sams Cider (11/12/2021) 02")</f>
        <v>Uncle Sams Cider (11/12/2021) 02</v>
      </c>
      <c r="H1736" s="19"/>
    </row>
    <row r="1737">
      <c r="A1737" s="9"/>
      <c r="B1737" s="15"/>
      <c r="C1737" s="9">
        <f>IFERROR(__xludf.DUMMYFUNCTION("""COMPUTED_VALUE"""),44587.433766875)</f>
        <v>44587.43377</v>
      </c>
      <c r="D1737" s="15">
        <f>IFERROR(__xludf.DUMMYFUNCTION("""COMPUTED_VALUE"""),1.005)</f>
        <v>1.005</v>
      </c>
      <c r="E1737" s="16">
        <f>IFERROR(__xludf.DUMMYFUNCTION("""COMPUTED_VALUE"""),63.0)</f>
        <v>63</v>
      </c>
      <c r="F1737" s="19" t="str">
        <f>IFERROR(__xludf.DUMMYFUNCTION("""COMPUTED_VALUE"""),"BLACK")</f>
        <v>BLACK</v>
      </c>
      <c r="G1737" s="20" t="str">
        <f>IFERROR(__xludf.DUMMYFUNCTION("""COMPUTED_VALUE"""),"Uncle Sams Cider (11/12/2021) 02")</f>
        <v>Uncle Sams Cider (11/12/2021) 02</v>
      </c>
      <c r="H1737" s="19"/>
    </row>
    <row r="1738">
      <c r="A1738" s="9"/>
      <c r="B1738" s="15"/>
      <c r="C1738" s="9">
        <f>IFERROR(__xludf.DUMMYFUNCTION("""COMPUTED_VALUE"""),44587.4233461111)</f>
        <v>44587.42335</v>
      </c>
      <c r="D1738" s="15">
        <f>IFERROR(__xludf.DUMMYFUNCTION("""COMPUTED_VALUE"""),1.005)</f>
        <v>1.005</v>
      </c>
      <c r="E1738" s="16">
        <f>IFERROR(__xludf.DUMMYFUNCTION("""COMPUTED_VALUE"""),63.0)</f>
        <v>63</v>
      </c>
      <c r="F1738" s="19" t="str">
        <f>IFERROR(__xludf.DUMMYFUNCTION("""COMPUTED_VALUE"""),"BLACK")</f>
        <v>BLACK</v>
      </c>
      <c r="G1738" s="20" t="str">
        <f>IFERROR(__xludf.DUMMYFUNCTION("""COMPUTED_VALUE"""),"Uncle Sams Cider (11/12/2021) 02")</f>
        <v>Uncle Sams Cider (11/12/2021) 02</v>
      </c>
      <c r="H1738" s="19"/>
    </row>
    <row r="1739">
      <c r="A1739" s="9"/>
      <c r="B1739" s="15"/>
      <c r="C1739" s="9">
        <f>IFERROR(__xludf.DUMMYFUNCTION("""COMPUTED_VALUE"""),44587.4129251851)</f>
        <v>44587.41293</v>
      </c>
      <c r="D1739" s="15">
        <f>IFERROR(__xludf.DUMMYFUNCTION("""COMPUTED_VALUE"""),1.005)</f>
        <v>1.005</v>
      </c>
      <c r="E1739" s="16">
        <f>IFERROR(__xludf.DUMMYFUNCTION("""COMPUTED_VALUE"""),63.0)</f>
        <v>63</v>
      </c>
      <c r="F1739" s="19" t="str">
        <f>IFERROR(__xludf.DUMMYFUNCTION("""COMPUTED_VALUE"""),"BLACK")</f>
        <v>BLACK</v>
      </c>
      <c r="G1739" s="20" t="str">
        <f>IFERROR(__xludf.DUMMYFUNCTION("""COMPUTED_VALUE"""),"Uncle Sams Cider (11/12/2021) 02")</f>
        <v>Uncle Sams Cider (11/12/2021) 02</v>
      </c>
      <c r="H1739" s="19"/>
    </row>
    <row r="1740">
      <c r="A1740" s="9"/>
      <c r="B1740" s="15"/>
      <c r="C1740" s="9">
        <f>IFERROR(__xludf.DUMMYFUNCTION("""COMPUTED_VALUE"""),44587.4024927777)</f>
        <v>44587.40249</v>
      </c>
      <c r="D1740" s="15">
        <f>IFERROR(__xludf.DUMMYFUNCTION("""COMPUTED_VALUE"""),1.005)</f>
        <v>1.005</v>
      </c>
      <c r="E1740" s="16">
        <f>IFERROR(__xludf.DUMMYFUNCTION("""COMPUTED_VALUE"""),63.0)</f>
        <v>63</v>
      </c>
      <c r="F1740" s="19" t="str">
        <f>IFERROR(__xludf.DUMMYFUNCTION("""COMPUTED_VALUE"""),"BLACK")</f>
        <v>BLACK</v>
      </c>
      <c r="G1740" s="20" t="str">
        <f>IFERROR(__xludf.DUMMYFUNCTION("""COMPUTED_VALUE"""),"Uncle Sams Cider (11/12/2021) 02")</f>
        <v>Uncle Sams Cider (11/12/2021) 02</v>
      </c>
      <c r="H1740" s="19"/>
    </row>
    <row r="1741">
      <c r="A1741" s="9"/>
      <c r="B1741" s="15"/>
      <c r="C1741" s="9">
        <f>IFERROR(__xludf.DUMMYFUNCTION("""COMPUTED_VALUE"""),44587.3920703125)</f>
        <v>44587.39207</v>
      </c>
      <c r="D1741" s="15">
        <f>IFERROR(__xludf.DUMMYFUNCTION("""COMPUTED_VALUE"""),1.005)</f>
        <v>1.005</v>
      </c>
      <c r="E1741" s="16">
        <f>IFERROR(__xludf.DUMMYFUNCTION("""COMPUTED_VALUE"""),63.0)</f>
        <v>63</v>
      </c>
      <c r="F1741" s="19" t="str">
        <f>IFERROR(__xludf.DUMMYFUNCTION("""COMPUTED_VALUE"""),"BLACK")</f>
        <v>BLACK</v>
      </c>
      <c r="G1741" s="20" t="str">
        <f>IFERROR(__xludf.DUMMYFUNCTION("""COMPUTED_VALUE"""),"Uncle Sams Cider (11/12/2021) 02")</f>
        <v>Uncle Sams Cider (11/12/2021) 02</v>
      </c>
      <c r="H1741" s="19"/>
    </row>
    <row r="1742">
      <c r="A1742" s="9"/>
      <c r="B1742" s="15"/>
      <c r="C1742" s="9">
        <f>IFERROR(__xludf.DUMMYFUNCTION("""COMPUTED_VALUE"""),44587.3816139236)</f>
        <v>44587.38161</v>
      </c>
      <c r="D1742" s="15">
        <f>IFERROR(__xludf.DUMMYFUNCTION("""COMPUTED_VALUE"""),1.005)</f>
        <v>1.005</v>
      </c>
      <c r="E1742" s="16">
        <f>IFERROR(__xludf.DUMMYFUNCTION("""COMPUTED_VALUE"""),63.0)</f>
        <v>63</v>
      </c>
      <c r="F1742" s="19" t="str">
        <f>IFERROR(__xludf.DUMMYFUNCTION("""COMPUTED_VALUE"""),"BLACK")</f>
        <v>BLACK</v>
      </c>
      <c r="G1742" s="20" t="str">
        <f>IFERROR(__xludf.DUMMYFUNCTION("""COMPUTED_VALUE"""),"Uncle Sams Cider (11/12/2021) 02")</f>
        <v>Uncle Sams Cider (11/12/2021) 02</v>
      </c>
      <c r="H1742" s="19"/>
    </row>
    <row r="1743">
      <c r="A1743" s="9"/>
      <c r="B1743" s="15"/>
      <c r="C1743" s="9">
        <f>IFERROR(__xludf.DUMMYFUNCTION("""COMPUTED_VALUE"""),44587.3711806018)</f>
        <v>44587.37118</v>
      </c>
      <c r="D1743" s="15">
        <f>IFERROR(__xludf.DUMMYFUNCTION("""COMPUTED_VALUE"""),1.005)</f>
        <v>1.005</v>
      </c>
      <c r="E1743" s="16">
        <f>IFERROR(__xludf.DUMMYFUNCTION("""COMPUTED_VALUE"""),63.0)</f>
        <v>63</v>
      </c>
      <c r="F1743" s="19" t="str">
        <f>IFERROR(__xludf.DUMMYFUNCTION("""COMPUTED_VALUE"""),"BLACK")</f>
        <v>BLACK</v>
      </c>
      <c r="G1743" s="20" t="str">
        <f>IFERROR(__xludf.DUMMYFUNCTION("""COMPUTED_VALUE"""),"Uncle Sams Cider (11/12/2021) 02")</f>
        <v>Uncle Sams Cider (11/12/2021) 02</v>
      </c>
      <c r="H1743" s="19"/>
    </row>
    <row r="1744">
      <c r="A1744" s="9"/>
      <c r="B1744" s="15"/>
      <c r="C1744" s="9">
        <f>IFERROR(__xludf.DUMMYFUNCTION("""COMPUTED_VALUE"""),44587.360723368)</f>
        <v>44587.36072</v>
      </c>
      <c r="D1744" s="15">
        <f>IFERROR(__xludf.DUMMYFUNCTION("""COMPUTED_VALUE"""),1.005)</f>
        <v>1.005</v>
      </c>
      <c r="E1744" s="16">
        <f>IFERROR(__xludf.DUMMYFUNCTION("""COMPUTED_VALUE"""),63.0)</f>
        <v>63</v>
      </c>
      <c r="F1744" s="19" t="str">
        <f>IFERROR(__xludf.DUMMYFUNCTION("""COMPUTED_VALUE"""),"BLACK")</f>
        <v>BLACK</v>
      </c>
      <c r="G1744" s="20" t="str">
        <f>IFERROR(__xludf.DUMMYFUNCTION("""COMPUTED_VALUE"""),"Uncle Sams Cider (11/12/2021) 02")</f>
        <v>Uncle Sams Cider (11/12/2021) 02</v>
      </c>
      <c r="H1744" s="19"/>
    </row>
    <row r="1745">
      <c r="A1745" s="9"/>
      <c r="B1745" s="15"/>
      <c r="C1745" s="9">
        <f>IFERROR(__xludf.DUMMYFUNCTION("""COMPUTED_VALUE"""),44587.3503025925)</f>
        <v>44587.3503</v>
      </c>
      <c r="D1745" s="15">
        <f>IFERROR(__xludf.DUMMYFUNCTION("""COMPUTED_VALUE"""),1.005)</f>
        <v>1.005</v>
      </c>
      <c r="E1745" s="16">
        <f>IFERROR(__xludf.DUMMYFUNCTION("""COMPUTED_VALUE"""),63.0)</f>
        <v>63</v>
      </c>
      <c r="F1745" s="19" t="str">
        <f>IFERROR(__xludf.DUMMYFUNCTION("""COMPUTED_VALUE"""),"BLACK")</f>
        <v>BLACK</v>
      </c>
      <c r="G1745" s="20" t="str">
        <f>IFERROR(__xludf.DUMMYFUNCTION("""COMPUTED_VALUE"""),"Uncle Sams Cider (11/12/2021) 02")</f>
        <v>Uncle Sams Cider (11/12/2021) 02</v>
      </c>
      <c r="H1745" s="19"/>
    </row>
    <row r="1746">
      <c r="A1746" s="9"/>
      <c r="B1746" s="15"/>
      <c r="C1746" s="9">
        <f>IFERROR(__xludf.DUMMYFUNCTION("""COMPUTED_VALUE"""),44587.3398813078)</f>
        <v>44587.33988</v>
      </c>
      <c r="D1746" s="15">
        <f>IFERROR(__xludf.DUMMYFUNCTION("""COMPUTED_VALUE"""),1.005)</f>
        <v>1.005</v>
      </c>
      <c r="E1746" s="16">
        <f>IFERROR(__xludf.DUMMYFUNCTION("""COMPUTED_VALUE"""),63.0)</f>
        <v>63</v>
      </c>
      <c r="F1746" s="19" t="str">
        <f>IFERROR(__xludf.DUMMYFUNCTION("""COMPUTED_VALUE"""),"BLACK")</f>
        <v>BLACK</v>
      </c>
      <c r="G1746" s="20" t="str">
        <f>IFERROR(__xludf.DUMMYFUNCTION("""COMPUTED_VALUE"""),"Uncle Sams Cider (11/12/2021) 02")</f>
        <v>Uncle Sams Cider (11/12/2021) 02</v>
      </c>
      <c r="H1746" s="19"/>
    </row>
    <row r="1747">
      <c r="A1747" s="9"/>
      <c r="B1747" s="15"/>
      <c r="C1747" s="9">
        <f>IFERROR(__xludf.DUMMYFUNCTION("""COMPUTED_VALUE"""),44587.3294472685)</f>
        <v>44587.32945</v>
      </c>
      <c r="D1747" s="15">
        <f>IFERROR(__xludf.DUMMYFUNCTION("""COMPUTED_VALUE"""),1.005)</f>
        <v>1.005</v>
      </c>
      <c r="E1747" s="16">
        <f>IFERROR(__xludf.DUMMYFUNCTION("""COMPUTED_VALUE"""),63.0)</f>
        <v>63</v>
      </c>
      <c r="F1747" s="19" t="str">
        <f>IFERROR(__xludf.DUMMYFUNCTION("""COMPUTED_VALUE"""),"BLACK")</f>
        <v>BLACK</v>
      </c>
      <c r="G1747" s="20" t="str">
        <f>IFERROR(__xludf.DUMMYFUNCTION("""COMPUTED_VALUE"""),"Uncle Sams Cider (11/12/2021) 02")</f>
        <v>Uncle Sams Cider (11/12/2021) 02</v>
      </c>
      <c r="H1747" s="19"/>
    </row>
    <row r="1748">
      <c r="A1748" s="9"/>
      <c r="B1748" s="15"/>
      <c r="C1748" s="9">
        <f>IFERROR(__xludf.DUMMYFUNCTION("""COMPUTED_VALUE"""),44587.3190144444)</f>
        <v>44587.31901</v>
      </c>
      <c r="D1748" s="15">
        <f>IFERROR(__xludf.DUMMYFUNCTION("""COMPUTED_VALUE"""),1.005)</f>
        <v>1.005</v>
      </c>
      <c r="E1748" s="16">
        <f>IFERROR(__xludf.DUMMYFUNCTION("""COMPUTED_VALUE"""),63.0)</f>
        <v>63</v>
      </c>
      <c r="F1748" s="19" t="str">
        <f>IFERROR(__xludf.DUMMYFUNCTION("""COMPUTED_VALUE"""),"BLACK")</f>
        <v>BLACK</v>
      </c>
      <c r="G1748" s="20" t="str">
        <f>IFERROR(__xludf.DUMMYFUNCTION("""COMPUTED_VALUE"""),"Uncle Sams Cider (11/12/2021) 02")</f>
        <v>Uncle Sams Cider (11/12/2021) 02</v>
      </c>
      <c r="H1748" s="19"/>
    </row>
    <row r="1749">
      <c r="A1749" s="9"/>
      <c r="B1749" s="15"/>
      <c r="C1749" s="9">
        <f>IFERROR(__xludf.DUMMYFUNCTION("""COMPUTED_VALUE"""),44587.3085938657)</f>
        <v>44587.30859</v>
      </c>
      <c r="D1749" s="15">
        <f>IFERROR(__xludf.DUMMYFUNCTION("""COMPUTED_VALUE"""),1.005)</f>
        <v>1.005</v>
      </c>
      <c r="E1749" s="16">
        <f>IFERROR(__xludf.DUMMYFUNCTION("""COMPUTED_VALUE"""),63.0)</f>
        <v>63</v>
      </c>
      <c r="F1749" s="19" t="str">
        <f>IFERROR(__xludf.DUMMYFUNCTION("""COMPUTED_VALUE"""),"BLACK")</f>
        <v>BLACK</v>
      </c>
      <c r="G1749" s="20" t="str">
        <f>IFERROR(__xludf.DUMMYFUNCTION("""COMPUTED_VALUE"""),"Uncle Sams Cider (11/12/2021) 02")</f>
        <v>Uncle Sams Cider (11/12/2021) 02</v>
      </c>
      <c r="H1749" s="19"/>
    </row>
    <row r="1750">
      <c r="A1750" s="9"/>
      <c r="B1750" s="15"/>
      <c r="C1750" s="9">
        <f>IFERROR(__xludf.DUMMYFUNCTION("""COMPUTED_VALUE"""),44587.29817228)</f>
        <v>44587.29817</v>
      </c>
      <c r="D1750" s="15">
        <f>IFERROR(__xludf.DUMMYFUNCTION("""COMPUTED_VALUE"""),1.005)</f>
        <v>1.005</v>
      </c>
      <c r="E1750" s="16">
        <f>IFERROR(__xludf.DUMMYFUNCTION("""COMPUTED_VALUE"""),63.0)</f>
        <v>63</v>
      </c>
      <c r="F1750" s="19" t="str">
        <f>IFERROR(__xludf.DUMMYFUNCTION("""COMPUTED_VALUE"""),"BLACK")</f>
        <v>BLACK</v>
      </c>
      <c r="G1750" s="20" t="str">
        <f>IFERROR(__xludf.DUMMYFUNCTION("""COMPUTED_VALUE"""),"Uncle Sams Cider (11/12/2021) 02")</f>
        <v>Uncle Sams Cider (11/12/2021) 02</v>
      </c>
      <c r="H1750" s="19"/>
    </row>
    <row r="1751">
      <c r="A1751" s="9"/>
      <c r="B1751" s="15"/>
      <c r="C1751" s="9">
        <f>IFERROR(__xludf.DUMMYFUNCTION("""COMPUTED_VALUE"""),44587.2877386689)</f>
        <v>44587.28774</v>
      </c>
      <c r="D1751" s="15">
        <f>IFERROR(__xludf.DUMMYFUNCTION("""COMPUTED_VALUE"""),1.005)</f>
        <v>1.005</v>
      </c>
      <c r="E1751" s="16">
        <f>IFERROR(__xludf.DUMMYFUNCTION("""COMPUTED_VALUE"""),63.0)</f>
        <v>63</v>
      </c>
      <c r="F1751" s="19" t="str">
        <f>IFERROR(__xludf.DUMMYFUNCTION("""COMPUTED_VALUE"""),"BLACK")</f>
        <v>BLACK</v>
      </c>
      <c r="G1751" s="20" t="str">
        <f>IFERROR(__xludf.DUMMYFUNCTION("""COMPUTED_VALUE"""),"Uncle Sams Cider (11/12/2021) 02")</f>
        <v>Uncle Sams Cider (11/12/2021) 02</v>
      </c>
      <c r="H1751" s="19"/>
    </row>
    <row r="1752">
      <c r="A1752" s="9"/>
      <c r="B1752" s="15"/>
      <c r="C1752" s="9">
        <f>IFERROR(__xludf.DUMMYFUNCTION("""COMPUTED_VALUE"""),44587.2773181481)</f>
        <v>44587.27732</v>
      </c>
      <c r="D1752" s="15">
        <f>IFERROR(__xludf.DUMMYFUNCTION("""COMPUTED_VALUE"""),1.005)</f>
        <v>1.005</v>
      </c>
      <c r="E1752" s="16">
        <f>IFERROR(__xludf.DUMMYFUNCTION("""COMPUTED_VALUE"""),63.0)</f>
        <v>63</v>
      </c>
      <c r="F1752" s="19" t="str">
        <f>IFERROR(__xludf.DUMMYFUNCTION("""COMPUTED_VALUE"""),"BLACK")</f>
        <v>BLACK</v>
      </c>
      <c r="G1752" s="20" t="str">
        <f>IFERROR(__xludf.DUMMYFUNCTION("""COMPUTED_VALUE"""),"Uncle Sams Cider (11/12/2021) 02")</f>
        <v>Uncle Sams Cider (11/12/2021) 02</v>
      </c>
      <c r="H1752" s="19"/>
    </row>
    <row r="1753">
      <c r="A1753" s="9"/>
      <c r="B1753" s="15"/>
      <c r="C1753" s="9">
        <f>IFERROR(__xludf.DUMMYFUNCTION("""COMPUTED_VALUE"""),44587.2668976157)</f>
        <v>44587.2669</v>
      </c>
      <c r="D1753" s="15">
        <f>IFERROR(__xludf.DUMMYFUNCTION("""COMPUTED_VALUE"""),1.005)</f>
        <v>1.005</v>
      </c>
      <c r="E1753" s="16">
        <f>IFERROR(__xludf.DUMMYFUNCTION("""COMPUTED_VALUE"""),63.0)</f>
        <v>63</v>
      </c>
      <c r="F1753" s="19" t="str">
        <f>IFERROR(__xludf.DUMMYFUNCTION("""COMPUTED_VALUE"""),"BLACK")</f>
        <v>BLACK</v>
      </c>
      <c r="G1753" s="20" t="str">
        <f>IFERROR(__xludf.DUMMYFUNCTION("""COMPUTED_VALUE"""),"Uncle Sams Cider (11/12/2021) 02")</f>
        <v>Uncle Sams Cider (11/12/2021) 02</v>
      </c>
      <c r="H1753" s="19"/>
    </row>
    <row r="1754">
      <c r="A1754" s="9"/>
      <c r="B1754" s="15"/>
      <c r="C1754" s="9">
        <f>IFERROR(__xludf.DUMMYFUNCTION("""COMPUTED_VALUE"""),44587.2564415277)</f>
        <v>44587.25644</v>
      </c>
      <c r="D1754" s="15">
        <f>IFERROR(__xludf.DUMMYFUNCTION("""COMPUTED_VALUE"""),1.005)</f>
        <v>1.005</v>
      </c>
      <c r="E1754" s="16">
        <f>IFERROR(__xludf.DUMMYFUNCTION("""COMPUTED_VALUE"""),63.0)</f>
        <v>63</v>
      </c>
      <c r="F1754" s="19" t="str">
        <f>IFERROR(__xludf.DUMMYFUNCTION("""COMPUTED_VALUE"""),"BLACK")</f>
        <v>BLACK</v>
      </c>
      <c r="G1754" s="20" t="str">
        <f>IFERROR(__xludf.DUMMYFUNCTION("""COMPUTED_VALUE"""),"Uncle Sams Cider (11/12/2021) 02")</f>
        <v>Uncle Sams Cider (11/12/2021) 02</v>
      </c>
      <c r="H1754" s="19"/>
    </row>
    <row r="1755">
      <c r="A1755" s="9"/>
      <c r="B1755" s="15"/>
      <c r="C1755" s="9">
        <f>IFERROR(__xludf.DUMMYFUNCTION("""COMPUTED_VALUE"""),44587.2459970717)</f>
        <v>44587.246</v>
      </c>
      <c r="D1755" s="15">
        <f>IFERROR(__xludf.DUMMYFUNCTION("""COMPUTED_VALUE"""),1.005)</f>
        <v>1.005</v>
      </c>
      <c r="E1755" s="16">
        <f>IFERROR(__xludf.DUMMYFUNCTION("""COMPUTED_VALUE"""),63.0)</f>
        <v>63</v>
      </c>
      <c r="F1755" s="19" t="str">
        <f>IFERROR(__xludf.DUMMYFUNCTION("""COMPUTED_VALUE"""),"BLACK")</f>
        <v>BLACK</v>
      </c>
      <c r="G1755" s="20" t="str">
        <f>IFERROR(__xludf.DUMMYFUNCTION("""COMPUTED_VALUE"""),"Uncle Sams Cider (11/12/2021) 02")</f>
        <v>Uncle Sams Cider (11/12/2021) 02</v>
      </c>
      <c r="H1755" s="19"/>
    </row>
    <row r="1756">
      <c r="A1756" s="9"/>
      <c r="B1756" s="15"/>
      <c r="C1756" s="9">
        <f>IFERROR(__xludf.DUMMYFUNCTION("""COMPUTED_VALUE"""),44587.2355779745)</f>
        <v>44587.23558</v>
      </c>
      <c r="D1756" s="15">
        <f>IFERROR(__xludf.DUMMYFUNCTION("""COMPUTED_VALUE"""),1.005)</f>
        <v>1.005</v>
      </c>
      <c r="E1756" s="16">
        <f>IFERROR(__xludf.DUMMYFUNCTION("""COMPUTED_VALUE"""),63.0)</f>
        <v>63</v>
      </c>
      <c r="F1756" s="19" t="str">
        <f>IFERROR(__xludf.DUMMYFUNCTION("""COMPUTED_VALUE"""),"BLACK")</f>
        <v>BLACK</v>
      </c>
      <c r="G1756" s="20" t="str">
        <f>IFERROR(__xludf.DUMMYFUNCTION("""COMPUTED_VALUE"""),"Uncle Sams Cider (11/12/2021) 02")</f>
        <v>Uncle Sams Cider (11/12/2021) 02</v>
      </c>
      <c r="H1756" s="19"/>
    </row>
    <row r="1757">
      <c r="A1757" s="9"/>
      <c r="B1757" s="15"/>
      <c r="C1757" s="9">
        <f>IFERROR(__xludf.DUMMYFUNCTION("""COMPUTED_VALUE"""),44587.2251570138)</f>
        <v>44587.22516</v>
      </c>
      <c r="D1757" s="15">
        <f>IFERROR(__xludf.DUMMYFUNCTION("""COMPUTED_VALUE"""),1.005)</f>
        <v>1.005</v>
      </c>
      <c r="E1757" s="16">
        <f>IFERROR(__xludf.DUMMYFUNCTION("""COMPUTED_VALUE"""),63.0)</f>
        <v>63</v>
      </c>
      <c r="F1757" s="19" t="str">
        <f>IFERROR(__xludf.DUMMYFUNCTION("""COMPUTED_VALUE"""),"BLACK")</f>
        <v>BLACK</v>
      </c>
      <c r="G1757" s="20" t="str">
        <f>IFERROR(__xludf.DUMMYFUNCTION("""COMPUTED_VALUE"""),"Uncle Sams Cider (11/12/2021) 02")</f>
        <v>Uncle Sams Cider (11/12/2021) 02</v>
      </c>
      <c r="H1757" s="19"/>
    </row>
    <row r="1758">
      <c r="A1758" s="9"/>
      <c r="B1758" s="15"/>
      <c r="C1758" s="9">
        <f>IFERROR(__xludf.DUMMYFUNCTION("""COMPUTED_VALUE"""),44587.2147366203)</f>
        <v>44587.21474</v>
      </c>
      <c r="D1758" s="15">
        <f>IFERROR(__xludf.DUMMYFUNCTION("""COMPUTED_VALUE"""),1.005)</f>
        <v>1.005</v>
      </c>
      <c r="E1758" s="16">
        <f>IFERROR(__xludf.DUMMYFUNCTION("""COMPUTED_VALUE"""),63.0)</f>
        <v>63</v>
      </c>
      <c r="F1758" s="19" t="str">
        <f>IFERROR(__xludf.DUMMYFUNCTION("""COMPUTED_VALUE"""),"BLACK")</f>
        <v>BLACK</v>
      </c>
      <c r="G1758" s="20" t="str">
        <f>IFERROR(__xludf.DUMMYFUNCTION("""COMPUTED_VALUE"""),"Uncle Sams Cider (11/12/2021) 02")</f>
        <v>Uncle Sams Cider (11/12/2021) 02</v>
      </c>
      <c r="H1758" s="19"/>
    </row>
    <row r="1759">
      <c r="A1759" s="9"/>
      <c r="B1759" s="15"/>
      <c r="C1759" s="9">
        <f>IFERROR(__xludf.DUMMYFUNCTION("""COMPUTED_VALUE"""),44587.204317199)</f>
        <v>44587.20432</v>
      </c>
      <c r="D1759" s="15">
        <f>IFERROR(__xludf.DUMMYFUNCTION("""COMPUTED_VALUE"""),1.006)</f>
        <v>1.006</v>
      </c>
      <c r="E1759" s="16">
        <f>IFERROR(__xludf.DUMMYFUNCTION("""COMPUTED_VALUE"""),63.0)</f>
        <v>63</v>
      </c>
      <c r="F1759" s="19" t="str">
        <f>IFERROR(__xludf.DUMMYFUNCTION("""COMPUTED_VALUE"""),"BLACK")</f>
        <v>BLACK</v>
      </c>
      <c r="G1759" s="20" t="str">
        <f>IFERROR(__xludf.DUMMYFUNCTION("""COMPUTED_VALUE"""),"Uncle Sams Cider (11/12/2021) 02")</f>
        <v>Uncle Sams Cider (11/12/2021) 02</v>
      </c>
      <c r="H1759" s="19"/>
    </row>
    <row r="1760">
      <c r="A1760" s="9"/>
      <c r="B1760" s="15"/>
      <c r="C1760" s="9">
        <f>IFERROR(__xludf.DUMMYFUNCTION("""COMPUTED_VALUE"""),44587.1938851157)</f>
        <v>44587.19389</v>
      </c>
      <c r="D1760" s="15">
        <f>IFERROR(__xludf.DUMMYFUNCTION("""COMPUTED_VALUE"""),1.005)</f>
        <v>1.005</v>
      </c>
      <c r="E1760" s="16">
        <f>IFERROR(__xludf.DUMMYFUNCTION("""COMPUTED_VALUE"""),63.0)</f>
        <v>63</v>
      </c>
      <c r="F1760" s="19" t="str">
        <f>IFERROR(__xludf.DUMMYFUNCTION("""COMPUTED_VALUE"""),"BLACK")</f>
        <v>BLACK</v>
      </c>
      <c r="G1760" s="20" t="str">
        <f>IFERROR(__xludf.DUMMYFUNCTION("""COMPUTED_VALUE"""),"Uncle Sams Cider (11/12/2021) 02")</f>
        <v>Uncle Sams Cider (11/12/2021) 02</v>
      </c>
      <c r="H1760" s="19"/>
    </row>
    <row r="1761">
      <c r="A1761" s="9"/>
      <c r="B1761" s="15"/>
      <c r="C1761" s="9">
        <f>IFERROR(__xludf.DUMMYFUNCTION("""COMPUTED_VALUE"""),44587.1834637963)</f>
        <v>44587.18346</v>
      </c>
      <c r="D1761" s="15">
        <f>IFERROR(__xludf.DUMMYFUNCTION("""COMPUTED_VALUE"""),1.005)</f>
        <v>1.005</v>
      </c>
      <c r="E1761" s="16">
        <f>IFERROR(__xludf.DUMMYFUNCTION("""COMPUTED_VALUE"""),63.0)</f>
        <v>63</v>
      </c>
      <c r="F1761" s="19" t="str">
        <f>IFERROR(__xludf.DUMMYFUNCTION("""COMPUTED_VALUE"""),"BLACK")</f>
        <v>BLACK</v>
      </c>
      <c r="G1761" s="20" t="str">
        <f>IFERROR(__xludf.DUMMYFUNCTION("""COMPUTED_VALUE"""),"Uncle Sams Cider (11/12/2021) 02")</f>
        <v>Uncle Sams Cider (11/12/2021) 02</v>
      </c>
      <c r="H1761" s="19"/>
    </row>
    <row r="1762">
      <c r="A1762" s="9"/>
      <c r="B1762" s="15"/>
      <c r="C1762" s="9">
        <f>IFERROR(__xludf.DUMMYFUNCTION("""COMPUTED_VALUE"""),44587.1730418634)</f>
        <v>44587.17304</v>
      </c>
      <c r="D1762" s="15">
        <f>IFERROR(__xludf.DUMMYFUNCTION("""COMPUTED_VALUE"""),1.005)</f>
        <v>1.005</v>
      </c>
      <c r="E1762" s="16">
        <f>IFERROR(__xludf.DUMMYFUNCTION("""COMPUTED_VALUE"""),63.0)</f>
        <v>63</v>
      </c>
      <c r="F1762" s="19" t="str">
        <f>IFERROR(__xludf.DUMMYFUNCTION("""COMPUTED_VALUE"""),"BLACK")</f>
        <v>BLACK</v>
      </c>
      <c r="G1762" s="20" t="str">
        <f>IFERROR(__xludf.DUMMYFUNCTION("""COMPUTED_VALUE"""),"Uncle Sams Cider (11/12/2021) 02")</f>
        <v>Uncle Sams Cider (11/12/2021) 02</v>
      </c>
      <c r="H1762" s="19"/>
    </row>
    <row r="1763">
      <c r="A1763" s="9"/>
      <c r="B1763" s="15"/>
      <c r="C1763" s="9">
        <f>IFERROR(__xludf.DUMMYFUNCTION("""COMPUTED_VALUE"""),44587.162621331)</f>
        <v>44587.16262</v>
      </c>
      <c r="D1763" s="15">
        <f>IFERROR(__xludf.DUMMYFUNCTION("""COMPUTED_VALUE"""),1.005)</f>
        <v>1.005</v>
      </c>
      <c r="E1763" s="16">
        <f>IFERROR(__xludf.DUMMYFUNCTION("""COMPUTED_VALUE"""),63.0)</f>
        <v>63</v>
      </c>
      <c r="F1763" s="19" t="str">
        <f>IFERROR(__xludf.DUMMYFUNCTION("""COMPUTED_VALUE"""),"BLACK")</f>
        <v>BLACK</v>
      </c>
      <c r="G1763" s="20" t="str">
        <f>IFERROR(__xludf.DUMMYFUNCTION("""COMPUTED_VALUE"""),"Uncle Sams Cider (11/12/2021) 02")</f>
        <v>Uncle Sams Cider (11/12/2021) 02</v>
      </c>
      <c r="H1763" s="19"/>
    </row>
    <row r="1764">
      <c r="A1764" s="9"/>
      <c r="B1764" s="15"/>
      <c r="C1764" s="9">
        <f>IFERROR(__xludf.DUMMYFUNCTION("""COMPUTED_VALUE"""),44587.1521999652)</f>
        <v>44587.1522</v>
      </c>
      <c r="D1764" s="15">
        <f>IFERROR(__xludf.DUMMYFUNCTION("""COMPUTED_VALUE"""),1.005)</f>
        <v>1.005</v>
      </c>
      <c r="E1764" s="16">
        <f>IFERROR(__xludf.DUMMYFUNCTION("""COMPUTED_VALUE"""),63.0)</f>
        <v>63</v>
      </c>
      <c r="F1764" s="19" t="str">
        <f>IFERROR(__xludf.DUMMYFUNCTION("""COMPUTED_VALUE"""),"BLACK")</f>
        <v>BLACK</v>
      </c>
      <c r="G1764" s="20" t="str">
        <f>IFERROR(__xludf.DUMMYFUNCTION("""COMPUTED_VALUE"""),"Uncle Sams Cider (11/12/2021) 02")</f>
        <v>Uncle Sams Cider (11/12/2021) 02</v>
      </c>
      <c r="H1764" s="19"/>
    </row>
    <row r="1765">
      <c r="A1765" s="9"/>
      <c r="B1765" s="15"/>
      <c r="C1765" s="9">
        <f>IFERROR(__xludf.DUMMYFUNCTION("""COMPUTED_VALUE"""),44587.1417793981)</f>
        <v>44587.14178</v>
      </c>
      <c r="D1765" s="15">
        <f>IFERROR(__xludf.DUMMYFUNCTION("""COMPUTED_VALUE"""),1.005)</f>
        <v>1.005</v>
      </c>
      <c r="E1765" s="16">
        <f>IFERROR(__xludf.DUMMYFUNCTION("""COMPUTED_VALUE"""),63.0)</f>
        <v>63</v>
      </c>
      <c r="F1765" s="19" t="str">
        <f>IFERROR(__xludf.DUMMYFUNCTION("""COMPUTED_VALUE"""),"BLACK")</f>
        <v>BLACK</v>
      </c>
      <c r="G1765" s="20" t="str">
        <f>IFERROR(__xludf.DUMMYFUNCTION("""COMPUTED_VALUE"""),"Uncle Sams Cider (11/12/2021) 02")</f>
        <v>Uncle Sams Cider (11/12/2021) 02</v>
      </c>
      <c r="H1765" s="19"/>
    </row>
    <row r="1766">
      <c r="A1766" s="9"/>
      <c r="B1766" s="15"/>
      <c r="C1766" s="9">
        <f>IFERROR(__xludf.DUMMYFUNCTION("""COMPUTED_VALUE"""),44587.1313569675)</f>
        <v>44587.13136</v>
      </c>
      <c r="D1766" s="15">
        <f>IFERROR(__xludf.DUMMYFUNCTION("""COMPUTED_VALUE"""),1.005)</f>
        <v>1.005</v>
      </c>
      <c r="E1766" s="16">
        <f>IFERROR(__xludf.DUMMYFUNCTION("""COMPUTED_VALUE"""),63.0)</f>
        <v>63</v>
      </c>
      <c r="F1766" s="19" t="str">
        <f>IFERROR(__xludf.DUMMYFUNCTION("""COMPUTED_VALUE"""),"BLACK")</f>
        <v>BLACK</v>
      </c>
      <c r="G1766" s="20" t="str">
        <f>IFERROR(__xludf.DUMMYFUNCTION("""COMPUTED_VALUE"""),"Uncle Sams Cider (11/12/2021) 02")</f>
        <v>Uncle Sams Cider (11/12/2021) 02</v>
      </c>
      <c r="H1766" s="19"/>
    </row>
    <row r="1767">
      <c r="A1767" s="9"/>
      <c r="B1767" s="15"/>
      <c r="C1767" s="9">
        <f>IFERROR(__xludf.DUMMYFUNCTION("""COMPUTED_VALUE"""),44587.1209362152)</f>
        <v>44587.12094</v>
      </c>
      <c r="D1767" s="15">
        <f>IFERROR(__xludf.DUMMYFUNCTION("""COMPUTED_VALUE"""),1.005)</f>
        <v>1.005</v>
      </c>
      <c r="E1767" s="16">
        <f>IFERROR(__xludf.DUMMYFUNCTION("""COMPUTED_VALUE"""),63.0)</f>
        <v>63</v>
      </c>
      <c r="F1767" s="19" t="str">
        <f>IFERROR(__xludf.DUMMYFUNCTION("""COMPUTED_VALUE"""),"BLACK")</f>
        <v>BLACK</v>
      </c>
      <c r="G1767" s="20" t="str">
        <f>IFERROR(__xludf.DUMMYFUNCTION("""COMPUTED_VALUE"""),"Uncle Sams Cider (11/12/2021) 02")</f>
        <v>Uncle Sams Cider (11/12/2021) 02</v>
      </c>
      <c r="H1767" s="19"/>
    </row>
    <row r="1768">
      <c r="A1768" s="9"/>
      <c r="B1768" s="15"/>
      <c r="C1768" s="9">
        <f>IFERROR(__xludf.DUMMYFUNCTION("""COMPUTED_VALUE"""),44587.1105134722)</f>
        <v>44587.11051</v>
      </c>
      <c r="D1768" s="15">
        <f>IFERROR(__xludf.DUMMYFUNCTION("""COMPUTED_VALUE"""),1.005)</f>
        <v>1.005</v>
      </c>
      <c r="E1768" s="16">
        <f>IFERROR(__xludf.DUMMYFUNCTION("""COMPUTED_VALUE"""),63.0)</f>
        <v>63</v>
      </c>
      <c r="F1768" s="19" t="str">
        <f>IFERROR(__xludf.DUMMYFUNCTION("""COMPUTED_VALUE"""),"BLACK")</f>
        <v>BLACK</v>
      </c>
      <c r="G1768" s="20" t="str">
        <f>IFERROR(__xludf.DUMMYFUNCTION("""COMPUTED_VALUE"""),"Uncle Sams Cider (11/12/2021) 02")</f>
        <v>Uncle Sams Cider (11/12/2021) 02</v>
      </c>
      <c r="H1768" s="19"/>
    </row>
    <row r="1769">
      <c r="A1769" s="9"/>
      <c r="B1769" s="15"/>
      <c r="C1769" s="9">
        <f>IFERROR(__xludf.DUMMYFUNCTION("""COMPUTED_VALUE"""),44587.1000923842)</f>
        <v>44587.10009</v>
      </c>
      <c r="D1769" s="15">
        <f>IFERROR(__xludf.DUMMYFUNCTION("""COMPUTED_VALUE"""),1.005)</f>
        <v>1.005</v>
      </c>
      <c r="E1769" s="16">
        <f>IFERROR(__xludf.DUMMYFUNCTION("""COMPUTED_VALUE"""),63.0)</f>
        <v>63</v>
      </c>
      <c r="F1769" s="19" t="str">
        <f>IFERROR(__xludf.DUMMYFUNCTION("""COMPUTED_VALUE"""),"BLACK")</f>
        <v>BLACK</v>
      </c>
      <c r="G1769" s="20" t="str">
        <f>IFERROR(__xludf.DUMMYFUNCTION("""COMPUTED_VALUE"""),"Uncle Sams Cider (11/12/2021) 02")</f>
        <v>Uncle Sams Cider (11/12/2021) 02</v>
      </c>
      <c r="H1769" s="19"/>
    </row>
    <row r="1770">
      <c r="A1770" s="9"/>
      <c r="B1770" s="15"/>
      <c r="C1770" s="9">
        <f>IFERROR(__xludf.DUMMYFUNCTION("""COMPUTED_VALUE"""),44587.0896709143)</f>
        <v>44587.08967</v>
      </c>
      <c r="D1770" s="15">
        <f>IFERROR(__xludf.DUMMYFUNCTION("""COMPUTED_VALUE"""),1.005)</f>
        <v>1.005</v>
      </c>
      <c r="E1770" s="16">
        <f>IFERROR(__xludf.DUMMYFUNCTION("""COMPUTED_VALUE"""),63.0)</f>
        <v>63</v>
      </c>
      <c r="F1770" s="19" t="str">
        <f>IFERROR(__xludf.DUMMYFUNCTION("""COMPUTED_VALUE"""),"BLACK")</f>
        <v>BLACK</v>
      </c>
      <c r="G1770" s="20" t="str">
        <f>IFERROR(__xludf.DUMMYFUNCTION("""COMPUTED_VALUE"""),"Uncle Sams Cider (11/12/2021) 02")</f>
        <v>Uncle Sams Cider (11/12/2021) 02</v>
      </c>
      <c r="H1770" s="19"/>
    </row>
    <row r="1771">
      <c r="A1771" s="9"/>
      <c r="B1771" s="15"/>
      <c r="C1771" s="9">
        <f>IFERROR(__xludf.DUMMYFUNCTION("""COMPUTED_VALUE"""),44587.0792392592)</f>
        <v>44587.07924</v>
      </c>
      <c r="D1771" s="15">
        <f>IFERROR(__xludf.DUMMYFUNCTION("""COMPUTED_VALUE"""),1.005)</f>
        <v>1.005</v>
      </c>
      <c r="E1771" s="16">
        <f>IFERROR(__xludf.DUMMYFUNCTION("""COMPUTED_VALUE"""),64.0)</f>
        <v>64</v>
      </c>
      <c r="F1771" s="19" t="str">
        <f>IFERROR(__xludf.DUMMYFUNCTION("""COMPUTED_VALUE"""),"BLACK")</f>
        <v>BLACK</v>
      </c>
      <c r="G1771" s="20" t="str">
        <f>IFERROR(__xludf.DUMMYFUNCTION("""COMPUTED_VALUE"""),"Uncle Sams Cider (11/12/2021) 02")</f>
        <v>Uncle Sams Cider (11/12/2021) 02</v>
      </c>
      <c r="H1771" s="19"/>
    </row>
    <row r="1772">
      <c r="A1772" s="9"/>
      <c r="B1772" s="15"/>
      <c r="C1772" s="9">
        <f>IFERROR(__xludf.DUMMYFUNCTION("""COMPUTED_VALUE"""),44587.0688180671)</f>
        <v>44587.06882</v>
      </c>
      <c r="D1772" s="15">
        <f>IFERROR(__xludf.DUMMYFUNCTION("""COMPUTED_VALUE"""),1.005)</f>
        <v>1.005</v>
      </c>
      <c r="E1772" s="16">
        <f>IFERROR(__xludf.DUMMYFUNCTION("""COMPUTED_VALUE"""),64.0)</f>
        <v>64</v>
      </c>
      <c r="F1772" s="19" t="str">
        <f>IFERROR(__xludf.DUMMYFUNCTION("""COMPUTED_VALUE"""),"BLACK")</f>
        <v>BLACK</v>
      </c>
      <c r="G1772" s="20" t="str">
        <f>IFERROR(__xludf.DUMMYFUNCTION("""COMPUTED_VALUE"""),"Uncle Sams Cider (11/12/2021) 02")</f>
        <v>Uncle Sams Cider (11/12/2021) 02</v>
      </c>
      <c r="H1772" s="19"/>
    </row>
    <row r="1773">
      <c r="A1773" s="9"/>
      <c r="B1773" s="15"/>
      <c r="C1773" s="9">
        <f>IFERROR(__xludf.DUMMYFUNCTION("""COMPUTED_VALUE"""),44587.058396956)</f>
        <v>44587.0584</v>
      </c>
      <c r="D1773" s="15">
        <f>IFERROR(__xludf.DUMMYFUNCTION("""COMPUTED_VALUE"""),1.005)</f>
        <v>1.005</v>
      </c>
      <c r="E1773" s="16">
        <f>IFERROR(__xludf.DUMMYFUNCTION("""COMPUTED_VALUE"""),64.0)</f>
        <v>64</v>
      </c>
      <c r="F1773" s="19" t="str">
        <f>IFERROR(__xludf.DUMMYFUNCTION("""COMPUTED_VALUE"""),"BLACK")</f>
        <v>BLACK</v>
      </c>
      <c r="G1773" s="20" t="str">
        <f>IFERROR(__xludf.DUMMYFUNCTION("""COMPUTED_VALUE"""),"Uncle Sams Cider (11/12/2021) 02")</f>
        <v>Uncle Sams Cider (11/12/2021) 02</v>
      </c>
      <c r="H1773" s="19"/>
    </row>
    <row r="1774">
      <c r="A1774" s="9"/>
      <c r="B1774" s="15"/>
      <c r="C1774" s="9">
        <f>IFERROR(__xludf.DUMMYFUNCTION("""COMPUTED_VALUE"""),44587.0479747453)</f>
        <v>44587.04797</v>
      </c>
      <c r="D1774" s="15">
        <f>IFERROR(__xludf.DUMMYFUNCTION("""COMPUTED_VALUE"""),1.005)</f>
        <v>1.005</v>
      </c>
      <c r="E1774" s="16">
        <f>IFERROR(__xludf.DUMMYFUNCTION("""COMPUTED_VALUE"""),64.0)</f>
        <v>64</v>
      </c>
      <c r="F1774" s="19" t="str">
        <f>IFERROR(__xludf.DUMMYFUNCTION("""COMPUTED_VALUE"""),"BLACK")</f>
        <v>BLACK</v>
      </c>
      <c r="G1774" s="20" t="str">
        <f>IFERROR(__xludf.DUMMYFUNCTION("""COMPUTED_VALUE"""),"Uncle Sams Cider (11/12/2021) 02")</f>
        <v>Uncle Sams Cider (11/12/2021) 02</v>
      </c>
      <c r="H1774" s="19"/>
    </row>
    <row r="1775">
      <c r="A1775" s="9"/>
      <c r="B1775" s="15"/>
      <c r="C1775" s="9">
        <f>IFERROR(__xludf.DUMMYFUNCTION("""COMPUTED_VALUE"""),44587.0375550463)</f>
        <v>44587.03756</v>
      </c>
      <c r="D1775" s="15">
        <f>IFERROR(__xludf.DUMMYFUNCTION("""COMPUTED_VALUE"""),1.005)</f>
        <v>1.005</v>
      </c>
      <c r="E1775" s="16">
        <f>IFERROR(__xludf.DUMMYFUNCTION("""COMPUTED_VALUE"""),64.0)</f>
        <v>64</v>
      </c>
      <c r="F1775" s="19" t="str">
        <f>IFERROR(__xludf.DUMMYFUNCTION("""COMPUTED_VALUE"""),"BLACK")</f>
        <v>BLACK</v>
      </c>
      <c r="G1775" s="20" t="str">
        <f>IFERROR(__xludf.DUMMYFUNCTION("""COMPUTED_VALUE"""),"Uncle Sams Cider (11/12/2021) 02")</f>
        <v>Uncle Sams Cider (11/12/2021) 02</v>
      </c>
      <c r="H1775" s="19"/>
    </row>
    <row r="1776">
      <c r="A1776" s="9"/>
      <c r="B1776" s="15"/>
      <c r="C1776" s="9">
        <f>IFERROR(__xludf.DUMMYFUNCTION("""COMPUTED_VALUE"""),44587.0271206365)</f>
        <v>44587.02712</v>
      </c>
      <c r="D1776" s="15">
        <f>IFERROR(__xludf.DUMMYFUNCTION("""COMPUTED_VALUE"""),1.005)</f>
        <v>1.005</v>
      </c>
      <c r="E1776" s="16">
        <f>IFERROR(__xludf.DUMMYFUNCTION("""COMPUTED_VALUE"""),64.0)</f>
        <v>64</v>
      </c>
      <c r="F1776" s="19" t="str">
        <f>IFERROR(__xludf.DUMMYFUNCTION("""COMPUTED_VALUE"""),"BLACK")</f>
        <v>BLACK</v>
      </c>
      <c r="G1776" s="20" t="str">
        <f>IFERROR(__xludf.DUMMYFUNCTION("""COMPUTED_VALUE"""),"Uncle Sams Cider (11/12/2021) 02")</f>
        <v>Uncle Sams Cider (11/12/2021) 02</v>
      </c>
      <c r="H1776" s="19"/>
    </row>
    <row r="1777">
      <c r="A1777" s="9"/>
      <c r="B1777" s="15"/>
      <c r="C1777" s="9">
        <f>IFERROR(__xludf.DUMMYFUNCTION("""COMPUTED_VALUE"""),44587.0166862962)</f>
        <v>44587.01669</v>
      </c>
      <c r="D1777" s="15">
        <f>IFERROR(__xludf.DUMMYFUNCTION("""COMPUTED_VALUE"""),1.005)</f>
        <v>1.005</v>
      </c>
      <c r="E1777" s="16">
        <f>IFERROR(__xludf.DUMMYFUNCTION("""COMPUTED_VALUE"""),64.0)</f>
        <v>64</v>
      </c>
      <c r="F1777" s="19" t="str">
        <f>IFERROR(__xludf.DUMMYFUNCTION("""COMPUTED_VALUE"""),"BLACK")</f>
        <v>BLACK</v>
      </c>
      <c r="G1777" s="20" t="str">
        <f>IFERROR(__xludf.DUMMYFUNCTION("""COMPUTED_VALUE"""),"Uncle Sams Cider (11/12/2021) 02")</f>
        <v>Uncle Sams Cider (11/12/2021) 02</v>
      </c>
      <c r="H1777" s="19"/>
    </row>
    <row r="1778">
      <c r="A1778" s="9"/>
      <c r="B1778" s="15"/>
      <c r="C1778" s="9">
        <f>IFERROR(__xludf.DUMMYFUNCTION("""COMPUTED_VALUE"""),44587.0062649537)</f>
        <v>44587.00626</v>
      </c>
      <c r="D1778" s="15">
        <f>IFERROR(__xludf.DUMMYFUNCTION("""COMPUTED_VALUE"""),1.005)</f>
        <v>1.005</v>
      </c>
      <c r="E1778" s="16">
        <f>IFERROR(__xludf.DUMMYFUNCTION("""COMPUTED_VALUE"""),64.0)</f>
        <v>64</v>
      </c>
      <c r="F1778" s="19" t="str">
        <f>IFERROR(__xludf.DUMMYFUNCTION("""COMPUTED_VALUE"""),"BLACK")</f>
        <v>BLACK</v>
      </c>
      <c r="G1778" s="20" t="str">
        <f>IFERROR(__xludf.DUMMYFUNCTION("""COMPUTED_VALUE"""),"Uncle Sams Cider (11/12/2021) 02")</f>
        <v>Uncle Sams Cider (11/12/2021) 02</v>
      </c>
      <c r="H1778" s="19"/>
    </row>
    <row r="1779">
      <c r="A1779" s="9"/>
      <c r="B1779" s="15"/>
      <c r="C1779" s="9">
        <f>IFERROR(__xludf.DUMMYFUNCTION("""COMPUTED_VALUE"""),44586.995842743)</f>
        <v>44586.99584</v>
      </c>
      <c r="D1779" s="15">
        <f>IFERROR(__xludf.DUMMYFUNCTION("""COMPUTED_VALUE"""),1.005)</f>
        <v>1.005</v>
      </c>
      <c r="E1779" s="16">
        <f>IFERROR(__xludf.DUMMYFUNCTION("""COMPUTED_VALUE"""),64.0)</f>
        <v>64</v>
      </c>
      <c r="F1779" s="19" t="str">
        <f>IFERROR(__xludf.DUMMYFUNCTION("""COMPUTED_VALUE"""),"BLACK")</f>
        <v>BLACK</v>
      </c>
      <c r="G1779" s="20" t="str">
        <f>IFERROR(__xludf.DUMMYFUNCTION("""COMPUTED_VALUE"""),"Uncle Sams Cider (11/12/2021) 02")</f>
        <v>Uncle Sams Cider (11/12/2021) 02</v>
      </c>
      <c r="H1779" s="19"/>
    </row>
    <row r="1780">
      <c r="A1780" s="9"/>
      <c r="B1780" s="15"/>
      <c r="C1780" s="9">
        <f>IFERROR(__xludf.DUMMYFUNCTION("""COMPUTED_VALUE"""),44586.9854205208)</f>
        <v>44586.98542</v>
      </c>
      <c r="D1780" s="15">
        <f>IFERROR(__xludf.DUMMYFUNCTION("""COMPUTED_VALUE"""),1.005)</f>
        <v>1.005</v>
      </c>
      <c r="E1780" s="16">
        <f>IFERROR(__xludf.DUMMYFUNCTION("""COMPUTED_VALUE"""),64.0)</f>
        <v>64</v>
      </c>
      <c r="F1780" s="19" t="str">
        <f>IFERROR(__xludf.DUMMYFUNCTION("""COMPUTED_VALUE"""),"BLACK")</f>
        <v>BLACK</v>
      </c>
      <c r="G1780" s="20" t="str">
        <f>IFERROR(__xludf.DUMMYFUNCTION("""COMPUTED_VALUE"""),"Uncle Sams Cider (11/12/2021) 02")</f>
        <v>Uncle Sams Cider (11/12/2021) 02</v>
      </c>
      <c r="H1780" s="19"/>
    </row>
    <row r="1781">
      <c r="A1781" s="9"/>
      <c r="B1781" s="15"/>
      <c r="C1781" s="9">
        <f>IFERROR(__xludf.DUMMYFUNCTION("""COMPUTED_VALUE"""),44586.9749987499)</f>
        <v>44586.975</v>
      </c>
      <c r="D1781" s="15">
        <f>IFERROR(__xludf.DUMMYFUNCTION("""COMPUTED_VALUE"""),1.005)</f>
        <v>1.005</v>
      </c>
      <c r="E1781" s="16">
        <f>IFERROR(__xludf.DUMMYFUNCTION("""COMPUTED_VALUE"""),64.0)</f>
        <v>64</v>
      </c>
      <c r="F1781" s="19" t="str">
        <f>IFERROR(__xludf.DUMMYFUNCTION("""COMPUTED_VALUE"""),"BLACK")</f>
        <v>BLACK</v>
      </c>
      <c r="G1781" s="20" t="str">
        <f>IFERROR(__xludf.DUMMYFUNCTION("""COMPUTED_VALUE"""),"Uncle Sams Cider (11/12/2021) 02")</f>
        <v>Uncle Sams Cider (11/12/2021) 02</v>
      </c>
      <c r="H1781" s="19"/>
    </row>
    <row r="1782">
      <c r="A1782" s="9"/>
      <c r="B1782" s="15"/>
      <c r="C1782" s="9">
        <f>IFERROR(__xludf.DUMMYFUNCTION("""COMPUTED_VALUE"""),44586.9645774074)</f>
        <v>44586.96458</v>
      </c>
      <c r="D1782" s="15">
        <f>IFERROR(__xludf.DUMMYFUNCTION("""COMPUTED_VALUE"""),1.006)</f>
        <v>1.006</v>
      </c>
      <c r="E1782" s="16">
        <f>IFERROR(__xludf.DUMMYFUNCTION("""COMPUTED_VALUE"""),64.0)</f>
        <v>64</v>
      </c>
      <c r="F1782" s="19" t="str">
        <f>IFERROR(__xludf.DUMMYFUNCTION("""COMPUTED_VALUE"""),"BLACK")</f>
        <v>BLACK</v>
      </c>
      <c r="G1782" s="20" t="str">
        <f>IFERROR(__xludf.DUMMYFUNCTION("""COMPUTED_VALUE"""),"Uncle Sams Cider (11/12/2021) 02")</f>
        <v>Uncle Sams Cider (11/12/2021) 02</v>
      </c>
      <c r="H1782" s="19"/>
    </row>
    <row r="1783">
      <c r="A1783" s="9"/>
      <c r="B1783" s="15"/>
      <c r="C1783" s="9">
        <f>IFERROR(__xludf.DUMMYFUNCTION("""COMPUTED_VALUE"""),44586.9541550115)</f>
        <v>44586.95416</v>
      </c>
      <c r="D1783" s="15">
        <f>IFERROR(__xludf.DUMMYFUNCTION("""COMPUTED_VALUE"""),1.005)</f>
        <v>1.005</v>
      </c>
      <c r="E1783" s="16">
        <f>IFERROR(__xludf.DUMMYFUNCTION("""COMPUTED_VALUE"""),64.0)</f>
        <v>64</v>
      </c>
      <c r="F1783" s="19" t="str">
        <f>IFERROR(__xludf.DUMMYFUNCTION("""COMPUTED_VALUE"""),"BLACK")</f>
        <v>BLACK</v>
      </c>
      <c r="G1783" s="20" t="str">
        <f>IFERROR(__xludf.DUMMYFUNCTION("""COMPUTED_VALUE"""),"Uncle Sams Cider (11/12/2021) 02")</f>
        <v>Uncle Sams Cider (11/12/2021) 02</v>
      </c>
      <c r="H1783" s="19"/>
    </row>
    <row r="1784">
      <c r="A1784" s="9"/>
      <c r="B1784" s="15"/>
      <c r="C1784" s="9">
        <f>IFERROR(__xludf.DUMMYFUNCTION("""COMPUTED_VALUE"""),44586.9437346759)</f>
        <v>44586.94373</v>
      </c>
      <c r="D1784" s="15">
        <f>IFERROR(__xludf.DUMMYFUNCTION("""COMPUTED_VALUE"""),1.005)</f>
        <v>1.005</v>
      </c>
      <c r="E1784" s="16">
        <f>IFERROR(__xludf.DUMMYFUNCTION("""COMPUTED_VALUE"""),64.0)</f>
        <v>64</v>
      </c>
      <c r="F1784" s="19" t="str">
        <f>IFERROR(__xludf.DUMMYFUNCTION("""COMPUTED_VALUE"""),"BLACK")</f>
        <v>BLACK</v>
      </c>
      <c r="G1784" s="20" t="str">
        <f>IFERROR(__xludf.DUMMYFUNCTION("""COMPUTED_VALUE"""),"Uncle Sams Cider (11/12/2021) 02")</f>
        <v>Uncle Sams Cider (11/12/2021) 02</v>
      </c>
      <c r="H1784" s="19"/>
    </row>
    <row r="1785">
      <c r="A1785" s="9"/>
      <c r="B1785" s="15"/>
      <c r="C1785" s="9">
        <f>IFERROR(__xludf.DUMMYFUNCTION("""COMPUTED_VALUE"""),44586.9333153009)</f>
        <v>44586.93332</v>
      </c>
      <c r="D1785" s="15">
        <f>IFERROR(__xludf.DUMMYFUNCTION("""COMPUTED_VALUE"""),1.005)</f>
        <v>1.005</v>
      </c>
      <c r="E1785" s="16">
        <f>IFERROR(__xludf.DUMMYFUNCTION("""COMPUTED_VALUE"""),64.0)</f>
        <v>64</v>
      </c>
      <c r="F1785" s="19" t="str">
        <f>IFERROR(__xludf.DUMMYFUNCTION("""COMPUTED_VALUE"""),"BLACK")</f>
        <v>BLACK</v>
      </c>
      <c r="G1785" s="20" t="str">
        <f>IFERROR(__xludf.DUMMYFUNCTION("""COMPUTED_VALUE"""),"Uncle Sams Cider (11/12/2021) 02")</f>
        <v>Uncle Sams Cider (11/12/2021) 02</v>
      </c>
      <c r="H1785" s="19"/>
    </row>
    <row r="1786">
      <c r="A1786" s="9"/>
      <c r="B1786" s="15"/>
      <c r="C1786" s="9">
        <f>IFERROR(__xludf.DUMMYFUNCTION("""COMPUTED_VALUE"""),44586.9228927199)</f>
        <v>44586.92289</v>
      </c>
      <c r="D1786" s="15">
        <f>IFERROR(__xludf.DUMMYFUNCTION("""COMPUTED_VALUE"""),1.005)</f>
        <v>1.005</v>
      </c>
      <c r="E1786" s="16">
        <f>IFERROR(__xludf.DUMMYFUNCTION("""COMPUTED_VALUE"""),64.0)</f>
        <v>64</v>
      </c>
      <c r="F1786" s="19" t="str">
        <f>IFERROR(__xludf.DUMMYFUNCTION("""COMPUTED_VALUE"""),"BLACK")</f>
        <v>BLACK</v>
      </c>
      <c r="G1786" s="20" t="str">
        <f>IFERROR(__xludf.DUMMYFUNCTION("""COMPUTED_VALUE"""),"Uncle Sams Cider (11/12/2021) 02")</f>
        <v>Uncle Sams Cider (11/12/2021) 02</v>
      </c>
      <c r="H1786" s="19"/>
    </row>
    <row r="1787">
      <c r="A1787" s="9"/>
      <c r="B1787" s="15"/>
      <c r="C1787" s="9">
        <f>IFERROR(__xludf.DUMMYFUNCTION("""COMPUTED_VALUE"""),44586.9124720717)</f>
        <v>44586.91247</v>
      </c>
      <c r="D1787" s="15">
        <f>IFERROR(__xludf.DUMMYFUNCTION("""COMPUTED_VALUE"""),1.005)</f>
        <v>1.005</v>
      </c>
      <c r="E1787" s="16">
        <f>IFERROR(__xludf.DUMMYFUNCTION("""COMPUTED_VALUE"""),64.0)</f>
        <v>64</v>
      </c>
      <c r="F1787" s="19" t="str">
        <f>IFERROR(__xludf.DUMMYFUNCTION("""COMPUTED_VALUE"""),"BLACK")</f>
        <v>BLACK</v>
      </c>
      <c r="G1787" s="20" t="str">
        <f>IFERROR(__xludf.DUMMYFUNCTION("""COMPUTED_VALUE"""),"Uncle Sams Cider (11/12/2021) 02")</f>
        <v>Uncle Sams Cider (11/12/2021) 02</v>
      </c>
      <c r="H1787" s="19"/>
    </row>
    <row r="1788">
      <c r="A1788" s="9"/>
      <c r="B1788" s="15"/>
      <c r="C1788" s="9">
        <f>IFERROR(__xludf.DUMMYFUNCTION("""COMPUTED_VALUE"""),44586.9020511111)</f>
        <v>44586.90205</v>
      </c>
      <c r="D1788" s="15">
        <f>IFERROR(__xludf.DUMMYFUNCTION("""COMPUTED_VALUE"""),1.005)</f>
        <v>1.005</v>
      </c>
      <c r="E1788" s="16">
        <f>IFERROR(__xludf.DUMMYFUNCTION("""COMPUTED_VALUE"""),64.0)</f>
        <v>64</v>
      </c>
      <c r="F1788" s="19" t="str">
        <f>IFERROR(__xludf.DUMMYFUNCTION("""COMPUTED_VALUE"""),"BLACK")</f>
        <v>BLACK</v>
      </c>
      <c r="G1788" s="20" t="str">
        <f>IFERROR(__xludf.DUMMYFUNCTION("""COMPUTED_VALUE"""),"Uncle Sams Cider (11/12/2021) 02")</f>
        <v>Uncle Sams Cider (11/12/2021) 02</v>
      </c>
      <c r="H1788" s="19"/>
    </row>
    <row r="1789">
      <c r="A1789" s="9"/>
      <c r="B1789" s="15"/>
      <c r="C1789" s="9">
        <f>IFERROR(__xludf.DUMMYFUNCTION("""COMPUTED_VALUE"""),44586.8916053009)</f>
        <v>44586.89161</v>
      </c>
      <c r="D1789" s="15">
        <f>IFERROR(__xludf.DUMMYFUNCTION("""COMPUTED_VALUE"""),1.005)</f>
        <v>1.005</v>
      </c>
      <c r="E1789" s="16">
        <f>IFERROR(__xludf.DUMMYFUNCTION("""COMPUTED_VALUE"""),64.0)</f>
        <v>64</v>
      </c>
      <c r="F1789" s="19" t="str">
        <f>IFERROR(__xludf.DUMMYFUNCTION("""COMPUTED_VALUE"""),"BLACK")</f>
        <v>BLACK</v>
      </c>
      <c r="G1789" s="20" t="str">
        <f>IFERROR(__xludf.DUMMYFUNCTION("""COMPUTED_VALUE"""),"Uncle Sams Cider (11/12/2021) 02")</f>
        <v>Uncle Sams Cider (11/12/2021) 02</v>
      </c>
      <c r="H1789" s="19"/>
    </row>
    <row r="1790">
      <c r="A1790" s="9"/>
      <c r="B1790" s="15"/>
      <c r="C1790" s="9">
        <f>IFERROR(__xludf.DUMMYFUNCTION("""COMPUTED_VALUE"""),44586.8811835648)</f>
        <v>44586.88118</v>
      </c>
      <c r="D1790" s="15">
        <f>IFERROR(__xludf.DUMMYFUNCTION("""COMPUTED_VALUE"""),1.005)</f>
        <v>1.005</v>
      </c>
      <c r="E1790" s="16">
        <f>IFERROR(__xludf.DUMMYFUNCTION("""COMPUTED_VALUE"""),64.0)</f>
        <v>64</v>
      </c>
      <c r="F1790" s="19" t="str">
        <f>IFERROR(__xludf.DUMMYFUNCTION("""COMPUTED_VALUE"""),"BLACK")</f>
        <v>BLACK</v>
      </c>
      <c r="G1790" s="20" t="str">
        <f>IFERROR(__xludf.DUMMYFUNCTION("""COMPUTED_VALUE"""),"Uncle Sams Cider (11/12/2021) 02")</f>
        <v>Uncle Sams Cider (11/12/2021) 02</v>
      </c>
      <c r="H1790" s="19"/>
    </row>
    <row r="1791">
      <c r="A1791" s="9"/>
      <c r="B1791" s="15"/>
      <c r="C1791" s="9">
        <f>IFERROR(__xludf.DUMMYFUNCTION("""COMPUTED_VALUE"""),44586.8707632638)</f>
        <v>44586.87076</v>
      </c>
      <c r="D1791" s="15">
        <f>IFERROR(__xludf.DUMMYFUNCTION("""COMPUTED_VALUE"""),1.005)</f>
        <v>1.005</v>
      </c>
      <c r="E1791" s="16">
        <f>IFERROR(__xludf.DUMMYFUNCTION("""COMPUTED_VALUE"""),64.0)</f>
        <v>64</v>
      </c>
      <c r="F1791" s="19" t="str">
        <f>IFERROR(__xludf.DUMMYFUNCTION("""COMPUTED_VALUE"""),"BLACK")</f>
        <v>BLACK</v>
      </c>
      <c r="G1791" s="20" t="str">
        <f>IFERROR(__xludf.DUMMYFUNCTION("""COMPUTED_VALUE"""),"Uncle Sams Cider (11/12/2021) 02")</f>
        <v>Uncle Sams Cider (11/12/2021) 02</v>
      </c>
      <c r="H1791" s="19"/>
    </row>
    <row r="1792">
      <c r="A1792" s="9"/>
      <c r="B1792" s="15"/>
      <c r="C1792" s="9">
        <f>IFERROR(__xludf.DUMMYFUNCTION("""COMPUTED_VALUE"""),44586.8603409837)</f>
        <v>44586.86034</v>
      </c>
      <c r="D1792" s="15">
        <f>IFERROR(__xludf.DUMMYFUNCTION("""COMPUTED_VALUE"""),1.005)</f>
        <v>1.005</v>
      </c>
      <c r="E1792" s="16">
        <f>IFERROR(__xludf.DUMMYFUNCTION("""COMPUTED_VALUE"""),64.0)</f>
        <v>64</v>
      </c>
      <c r="F1792" s="19" t="str">
        <f>IFERROR(__xludf.DUMMYFUNCTION("""COMPUTED_VALUE"""),"BLACK")</f>
        <v>BLACK</v>
      </c>
      <c r="G1792" s="20" t="str">
        <f>IFERROR(__xludf.DUMMYFUNCTION("""COMPUTED_VALUE"""),"Uncle Sams Cider (11/12/2021) 02")</f>
        <v>Uncle Sams Cider (11/12/2021) 02</v>
      </c>
      <c r="H1792" s="19"/>
    </row>
    <row r="1793">
      <c r="A1793" s="9"/>
      <c r="B1793" s="15"/>
      <c r="C1793" s="9">
        <f>IFERROR(__xludf.DUMMYFUNCTION("""COMPUTED_VALUE"""),44586.8499198495)</f>
        <v>44586.84992</v>
      </c>
      <c r="D1793" s="15">
        <f>IFERROR(__xludf.DUMMYFUNCTION("""COMPUTED_VALUE"""),1.005)</f>
        <v>1.005</v>
      </c>
      <c r="E1793" s="16">
        <f>IFERROR(__xludf.DUMMYFUNCTION("""COMPUTED_VALUE"""),64.0)</f>
        <v>64</v>
      </c>
      <c r="F1793" s="19" t="str">
        <f>IFERROR(__xludf.DUMMYFUNCTION("""COMPUTED_VALUE"""),"BLACK")</f>
        <v>BLACK</v>
      </c>
      <c r="G1793" s="20" t="str">
        <f>IFERROR(__xludf.DUMMYFUNCTION("""COMPUTED_VALUE"""),"Uncle Sams Cider (11/12/2021) 02")</f>
        <v>Uncle Sams Cider (11/12/2021) 02</v>
      </c>
      <c r="H1793" s="19"/>
    </row>
    <row r="1794">
      <c r="A1794" s="9"/>
      <c r="B1794" s="15"/>
      <c r="C1794" s="9">
        <f>IFERROR(__xludf.DUMMYFUNCTION("""COMPUTED_VALUE"""),44586.8394864467)</f>
        <v>44586.83949</v>
      </c>
      <c r="D1794" s="15">
        <f>IFERROR(__xludf.DUMMYFUNCTION("""COMPUTED_VALUE"""),1.005)</f>
        <v>1.005</v>
      </c>
      <c r="E1794" s="16">
        <f>IFERROR(__xludf.DUMMYFUNCTION("""COMPUTED_VALUE"""),64.0)</f>
        <v>64</v>
      </c>
      <c r="F1794" s="19" t="str">
        <f>IFERROR(__xludf.DUMMYFUNCTION("""COMPUTED_VALUE"""),"BLACK")</f>
        <v>BLACK</v>
      </c>
      <c r="G1794" s="20" t="str">
        <f>IFERROR(__xludf.DUMMYFUNCTION("""COMPUTED_VALUE"""),"Uncle Sams Cider (11/12/2021) 02")</f>
        <v>Uncle Sams Cider (11/12/2021) 02</v>
      </c>
      <c r="H1794" s="19"/>
    </row>
    <row r="1795">
      <c r="A1795" s="9"/>
      <c r="B1795" s="15"/>
      <c r="C1795" s="9">
        <f>IFERROR(__xludf.DUMMYFUNCTION("""COMPUTED_VALUE"""),44586.8290653124)</f>
        <v>44586.82907</v>
      </c>
      <c r="D1795" s="15">
        <f>IFERROR(__xludf.DUMMYFUNCTION("""COMPUTED_VALUE"""),1.005)</f>
        <v>1.005</v>
      </c>
      <c r="E1795" s="16">
        <f>IFERROR(__xludf.DUMMYFUNCTION("""COMPUTED_VALUE"""),64.0)</f>
        <v>64</v>
      </c>
      <c r="F1795" s="19" t="str">
        <f>IFERROR(__xludf.DUMMYFUNCTION("""COMPUTED_VALUE"""),"BLACK")</f>
        <v>BLACK</v>
      </c>
      <c r="G1795" s="20" t="str">
        <f>IFERROR(__xludf.DUMMYFUNCTION("""COMPUTED_VALUE"""),"Uncle Sams Cider (11/12/2021) 02")</f>
        <v>Uncle Sams Cider (11/12/2021) 02</v>
      </c>
      <c r="H1795" s="19"/>
    </row>
    <row r="1796">
      <c r="A1796" s="9"/>
      <c r="B1796" s="15"/>
      <c r="C1796" s="9">
        <f>IFERROR(__xludf.DUMMYFUNCTION("""COMPUTED_VALUE"""),44586.8186210532)</f>
        <v>44586.81862</v>
      </c>
      <c r="D1796" s="15">
        <f>IFERROR(__xludf.DUMMYFUNCTION("""COMPUTED_VALUE"""),1.005)</f>
        <v>1.005</v>
      </c>
      <c r="E1796" s="16">
        <f>IFERROR(__xludf.DUMMYFUNCTION("""COMPUTED_VALUE"""),64.0)</f>
        <v>64</v>
      </c>
      <c r="F1796" s="19" t="str">
        <f>IFERROR(__xludf.DUMMYFUNCTION("""COMPUTED_VALUE"""),"BLACK")</f>
        <v>BLACK</v>
      </c>
      <c r="G1796" s="20" t="str">
        <f>IFERROR(__xludf.DUMMYFUNCTION("""COMPUTED_VALUE"""),"Uncle Sams Cider (11/12/2021) 02")</f>
        <v>Uncle Sams Cider (11/12/2021) 02</v>
      </c>
      <c r="H1796" s="19"/>
    </row>
    <row r="1797">
      <c r="A1797" s="9"/>
      <c r="B1797" s="15"/>
      <c r="C1797" s="9">
        <f>IFERROR(__xludf.DUMMYFUNCTION("""COMPUTED_VALUE"""),44586.8082004745)</f>
        <v>44586.8082</v>
      </c>
      <c r="D1797" s="15">
        <f>IFERROR(__xludf.DUMMYFUNCTION("""COMPUTED_VALUE"""),1.005)</f>
        <v>1.005</v>
      </c>
      <c r="E1797" s="16">
        <f>IFERROR(__xludf.DUMMYFUNCTION("""COMPUTED_VALUE"""),64.0)</f>
        <v>64</v>
      </c>
      <c r="F1797" s="19" t="str">
        <f>IFERROR(__xludf.DUMMYFUNCTION("""COMPUTED_VALUE"""),"BLACK")</f>
        <v>BLACK</v>
      </c>
      <c r="G1797" s="20" t="str">
        <f>IFERROR(__xludf.DUMMYFUNCTION("""COMPUTED_VALUE"""),"Uncle Sams Cider (11/12/2021) 02")</f>
        <v>Uncle Sams Cider (11/12/2021) 02</v>
      </c>
      <c r="H1797" s="19"/>
    </row>
    <row r="1798">
      <c r="A1798" s="9"/>
      <c r="B1798" s="15"/>
      <c r="C1798" s="9">
        <f>IFERROR(__xludf.DUMMYFUNCTION("""COMPUTED_VALUE"""),44586.7977803935)</f>
        <v>44586.79778</v>
      </c>
      <c r="D1798" s="15">
        <f>IFERROR(__xludf.DUMMYFUNCTION("""COMPUTED_VALUE"""),1.005)</f>
        <v>1.005</v>
      </c>
      <c r="E1798" s="16">
        <f>IFERROR(__xludf.DUMMYFUNCTION("""COMPUTED_VALUE"""),64.0)</f>
        <v>64</v>
      </c>
      <c r="F1798" s="19" t="str">
        <f>IFERROR(__xludf.DUMMYFUNCTION("""COMPUTED_VALUE"""),"BLACK")</f>
        <v>BLACK</v>
      </c>
      <c r="G1798" s="20" t="str">
        <f>IFERROR(__xludf.DUMMYFUNCTION("""COMPUTED_VALUE"""),"Uncle Sams Cider (11/12/2021) 02")</f>
        <v>Uncle Sams Cider (11/12/2021) 02</v>
      </c>
      <c r="H1798" s="19"/>
    </row>
    <row r="1799">
      <c r="A1799" s="9"/>
      <c r="B1799" s="15"/>
      <c r="C1799" s="9">
        <f>IFERROR(__xludf.DUMMYFUNCTION("""COMPUTED_VALUE"""),44586.7873610879)</f>
        <v>44586.78736</v>
      </c>
      <c r="D1799" s="15">
        <f>IFERROR(__xludf.DUMMYFUNCTION("""COMPUTED_VALUE"""),1.005)</f>
        <v>1.005</v>
      </c>
      <c r="E1799" s="16">
        <f>IFERROR(__xludf.DUMMYFUNCTION("""COMPUTED_VALUE"""),64.0)</f>
        <v>64</v>
      </c>
      <c r="F1799" s="19" t="str">
        <f>IFERROR(__xludf.DUMMYFUNCTION("""COMPUTED_VALUE"""),"BLACK")</f>
        <v>BLACK</v>
      </c>
      <c r="G1799" s="20" t="str">
        <f>IFERROR(__xludf.DUMMYFUNCTION("""COMPUTED_VALUE"""),"Uncle Sams Cider (11/12/2021) 02")</f>
        <v>Uncle Sams Cider (11/12/2021) 02</v>
      </c>
      <c r="H1799" s="19"/>
    </row>
    <row r="1800">
      <c r="A1800" s="9"/>
      <c r="B1800" s="15"/>
      <c r="C1800" s="9">
        <f>IFERROR(__xludf.DUMMYFUNCTION("""COMPUTED_VALUE"""),44586.7769403472)</f>
        <v>44586.77694</v>
      </c>
      <c r="D1800" s="15">
        <f>IFERROR(__xludf.DUMMYFUNCTION("""COMPUTED_VALUE"""),1.005)</f>
        <v>1.005</v>
      </c>
      <c r="E1800" s="16">
        <f>IFERROR(__xludf.DUMMYFUNCTION("""COMPUTED_VALUE"""),64.0)</f>
        <v>64</v>
      </c>
      <c r="F1800" s="19" t="str">
        <f>IFERROR(__xludf.DUMMYFUNCTION("""COMPUTED_VALUE"""),"BLACK")</f>
        <v>BLACK</v>
      </c>
      <c r="G1800" s="20" t="str">
        <f>IFERROR(__xludf.DUMMYFUNCTION("""COMPUTED_VALUE"""),"Uncle Sams Cider (11/12/2021) 02")</f>
        <v>Uncle Sams Cider (11/12/2021) 02</v>
      </c>
      <c r="H1800" s="19"/>
    </row>
    <row r="1801">
      <c r="A1801" s="9"/>
      <c r="B1801" s="15"/>
      <c r="C1801" s="9">
        <f>IFERROR(__xludf.DUMMYFUNCTION("""COMPUTED_VALUE"""),44586.7665190856)</f>
        <v>44586.76652</v>
      </c>
      <c r="D1801" s="15">
        <f>IFERROR(__xludf.DUMMYFUNCTION("""COMPUTED_VALUE"""),1.005)</f>
        <v>1.005</v>
      </c>
      <c r="E1801" s="16">
        <f>IFERROR(__xludf.DUMMYFUNCTION("""COMPUTED_VALUE"""),64.0)</f>
        <v>64</v>
      </c>
      <c r="F1801" s="19" t="str">
        <f>IFERROR(__xludf.DUMMYFUNCTION("""COMPUTED_VALUE"""),"BLACK")</f>
        <v>BLACK</v>
      </c>
      <c r="G1801" s="20" t="str">
        <f>IFERROR(__xludf.DUMMYFUNCTION("""COMPUTED_VALUE"""),"Uncle Sams Cider (11/12/2021) 02")</f>
        <v>Uncle Sams Cider (11/12/2021) 02</v>
      </c>
      <c r="H1801" s="19"/>
    </row>
    <row r="1802">
      <c r="A1802" s="9"/>
      <c r="B1802" s="15"/>
      <c r="C1802" s="9">
        <f>IFERROR(__xludf.DUMMYFUNCTION("""COMPUTED_VALUE"""),44586.7560978935)</f>
        <v>44586.7561</v>
      </c>
      <c r="D1802" s="15">
        <f>IFERROR(__xludf.DUMMYFUNCTION("""COMPUTED_VALUE"""),1.005)</f>
        <v>1.005</v>
      </c>
      <c r="E1802" s="16">
        <f>IFERROR(__xludf.DUMMYFUNCTION("""COMPUTED_VALUE"""),64.0)</f>
        <v>64</v>
      </c>
      <c r="F1802" s="19" t="str">
        <f>IFERROR(__xludf.DUMMYFUNCTION("""COMPUTED_VALUE"""),"BLACK")</f>
        <v>BLACK</v>
      </c>
      <c r="G1802" s="20" t="str">
        <f>IFERROR(__xludf.DUMMYFUNCTION("""COMPUTED_VALUE"""),"Uncle Sams Cider (11/12/2021) 02")</f>
        <v>Uncle Sams Cider (11/12/2021) 02</v>
      </c>
      <c r="H1802" s="19"/>
    </row>
    <row r="1803">
      <c r="A1803" s="9"/>
      <c r="B1803" s="15"/>
      <c r="C1803" s="9">
        <f>IFERROR(__xludf.DUMMYFUNCTION("""COMPUTED_VALUE"""),44586.7456772106)</f>
        <v>44586.74568</v>
      </c>
      <c r="D1803" s="15">
        <f>IFERROR(__xludf.DUMMYFUNCTION("""COMPUTED_VALUE"""),1.005)</f>
        <v>1.005</v>
      </c>
      <c r="E1803" s="16">
        <f>IFERROR(__xludf.DUMMYFUNCTION("""COMPUTED_VALUE"""),64.0)</f>
        <v>64</v>
      </c>
      <c r="F1803" s="19" t="str">
        <f>IFERROR(__xludf.DUMMYFUNCTION("""COMPUTED_VALUE"""),"BLACK")</f>
        <v>BLACK</v>
      </c>
      <c r="G1803" s="20" t="str">
        <f>IFERROR(__xludf.DUMMYFUNCTION("""COMPUTED_VALUE"""),"Uncle Sams Cider (11/12/2021) 02")</f>
        <v>Uncle Sams Cider (11/12/2021) 02</v>
      </c>
      <c r="H1803" s="19"/>
    </row>
    <row r="1804">
      <c r="A1804" s="9"/>
      <c r="B1804" s="15"/>
      <c r="C1804" s="9">
        <f>IFERROR(__xludf.DUMMYFUNCTION("""COMPUTED_VALUE"""),44586.7352570601)</f>
        <v>44586.73526</v>
      </c>
      <c r="D1804" s="15">
        <f>IFERROR(__xludf.DUMMYFUNCTION("""COMPUTED_VALUE"""),1.005)</f>
        <v>1.005</v>
      </c>
      <c r="E1804" s="16">
        <f>IFERROR(__xludf.DUMMYFUNCTION("""COMPUTED_VALUE"""),64.0)</f>
        <v>64</v>
      </c>
      <c r="F1804" s="19" t="str">
        <f>IFERROR(__xludf.DUMMYFUNCTION("""COMPUTED_VALUE"""),"BLACK")</f>
        <v>BLACK</v>
      </c>
      <c r="G1804" s="20" t="str">
        <f>IFERROR(__xludf.DUMMYFUNCTION("""COMPUTED_VALUE"""),"Uncle Sams Cider (11/12/2021) 02")</f>
        <v>Uncle Sams Cider (11/12/2021) 02</v>
      </c>
      <c r="H1804" s="19"/>
    </row>
    <row r="1805">
      <c r="A1805" s="9"/>
      <c r="B1805" s="15"/>
      <c r="C1805" s="9">
        <f>IFERROR(__xludf.DUMMYFUNCTION("""COMPUTED_VALUE"""),44586.7248233217)</f>
        <v>44586.72482</v>
      </c>
      <c r="D1805" s="15">
        <f>IFERROR(__xludf.DUMMYFUNCTION("""COMPUTED_VALUE"""),1.006)</f>
        <v>1.006</v>
      </c>
      <c r="E1805" s="16">
        <f>IFERROR(__xludf.DUMMYFUNCTION("""COMPUTED_VALUE"""),65.0)</f>
        <v>65</v>
      </c>
      <c r="F1805" s="19" t="str">
        <f>IFERROR(__xludf.DUMMYFUNCTION("""COMPUTED_VALUE"""),"BLACK")</f>
        <v>BLACK</v>
      </c>
      <c r="G1805" s="20" t="str">
        <f>IFERROR(__xludf.DUMMYFUNCTION("""COMPUTED_VALUE"""),"Uncle Sams Cider (11/12/2021) 02")</f>
        <v>Uncle Sams Cider (11/12/2021) 02</v>
      </c>
      <c r="H1805" s="19"/>
    </row>
    <row r="1806">
      <c r="A1806" s="9"/>
      <c r="B1806" s="15"/>
      <c r="C1806" s="9">
        <f>IFERROR(__xludf.DUMMYFUNCTION("""COMPUTED_VALUE"""),44586.7144024768)</f>
        <v>44586.7144</v>
      </c>
      <c r="D1806" s="15">
        <f>IFERROR(__xludf.DUMMYFUNCTION("""COMPUTED_VALUE"""),1.005)</f>
        <v>1.005</v>
      </c>
      <c r="E1806" s="16">
        <f>IFERROR(__xludf.DUMMYFUNCTION("""COMPUTED_VALUE"""),65.0)</f>
        <v>65</v>
      </c>
      <c r="F1806" s="19" t="str">
        <f>IFERROR(__xludf.DUMMYFUNCTION("""COMPUTED_VALUE"""),"BLACK")</f>
        <v>BLACK</v>
      </c>
      <c r="G1806" s="20" t="str">
        <f>IFERROR(__xludf.DUMMYFUNCTION("""COMPUTED_VALUE"""),"Uncle Sams Cider (11/12/2021) 02")</f>
        <v>Uncle Sams Cider (11/12/2021) 02</v>
      </c>
      <c r="H1806" s="19"/>
    </row>
    <row r="1807">
      <c r="A1807" s="9"/>
      <c r="B1807" s="15"/>
      <c r="C1807" s="9">
        <f>IFERROR(__xludf.DUMMYFUNCTION("""COMPUTED_VALUE"""),44586.7039828125)</f>
        <v>44586.70398</v>
      </c>
      <c r="D1807" s="15">
        <f>IFERROR(__xludf.DUMMYFUNCTION("""COMPUTED_VALUE"""),1.006)</f>
        <v>1.006</v>
      </c>
      <c r="E1807" s="16">
        <f>IFERROR(__xludf.DUMMYFUNCTION("""COMPUTED_VALUE"""),65.0)</f>
        <v>65</v>
      </c>
      <c r="F1807" s="19" t="str">
        <f>IFERROR(__xludf.DUMMYFUNCTION("""COMPUTED_VALUE"""),"BLACK")</f>
        <v>BLACK</v>
      </c>
      <c r="G1807" s="20" t="str">
        <f>IFERROR(__xludf.DUMMYFUNCTION("""COMPUTED_VALUE"""),"Uncle Sams Cider (11/12/2021) 02")</f>
        <v>Uncle Sams Cider (11/12/2021) 02</v>
      </c>
      <c r="H1807" s="19"/>
    </row>
    <row r="1808">
      <c r="A1808" s="9"/>
      <c r="B1808" s="15"/>
      <c r="C1808" s="9">
        <f>IFERROR(__xludf.DUMMYFUNCTION("""COMPUTED_VALUE"""),44586.6935621064)</f>
        <v>44586.69356</v>
      </c>
      <c r="D1808" s="15">
        <f>IFERROR(__xludf.DUMMYFUNCTION("""COMPUTED_VALUE"""),1.006)</f>
        <v>1.006</v>
      </c>
      <c r="E1808" s="16">
        <f>IFERROR(__xludf.DUMMYFUNCTION("""COMPUTED_VALUE"""),65.0)</f>
        <v>65</v>
      </c>
      <c r="F1808" s="19" t="str">
        <f>IFERROR(__xludf.DUMMYFUNCTION("""COMPUTED_VALUE"""),"BLACK")</f>
        <v>BLACK</v>
      </c>
      <c r="G1808" s="20" t="str">
        <f>IFERROR(__xludf.DUMMYFUNCTION("""COMPUTED_VALUE"""),"Uncle Sams Cider (11/12/2021) 02")</f>
        <v>Uncle Sams Cider (11/12/2021) 02</v>
      </c>
      <c r="H1808" s="19"/>
    </row>
    <row r="1809">
      <c r="A1809" s="9"/>
      <c r="B1809" s="15"/>
      <c r="C1809" s="9">
        <f>IFERROR(__xludf.DUMMYFUNCTION("""COMPUTED_VALUE"""),44586.6831405787)</f>
        <v>44586.68314</v>
      </c>
      <c r="D1809" s="15">
        <f>IFERROR(__xludf.DUMMYFUNCTION("""COMPUTED_VALUE"""),1.005)</f>
        <v>1.005</v>
      </c>
      <c r="E1809" s="16">
        <f>IFERROR(__xludf.DUMMYFUNCTION("""COMPUTED_VALUE"""),65.0)</f>
        <v>65</v>
      </c>
      <c r="F1809" s="19" t="str">
        <f>IFERROR(__xludf.DUMMYFUNCTION("""COMPUTED_VALUE"""),"BLACK")</f>
        <v>BLACK</v>
      </c>
      <c r="G1809" s="20" t="str">
        <f>IFERROR(__xludf.DUMMYFUNCTION("""COMPUTED_VALUE"""),"Uncle Sams Cider (11/12/2021) 02")</f>
        <v>Uncle Sams Cider (11/12/2021) 02</v>
      </c>
      <c r="H1809" s="19"/>
    </row>
    <row r="1810">
      <c r="A1810" s="9"/>
      <c r="B1810" s="15"/>
      <c r="C1810" s="9">
        <f>IFERROR(__xludf.DUMMYFUNCTION("""COMPUTED_VALUE"""),44586.6727202546)</f>
        <v>44586.67272</v>
      </c>
      <c r="D1810" s="15">
        <f>IFERROR(__xludf.DUMMYFUNCTION("""COMPUTED_VALUE"""),1.005)</f>
        <v>1.005</v>
      </c>
      <c r="E1810" s="16">
        <f>IFERROR(__xludf.DUMMYFUNCTION("""COMPUTED_VALUE"""),65.0)</f>
        <v>65</v>
      </c>
      <c r="F1810" s="19" t="str">
        <f>IFERROR(__xludf.DUMMYFUNCTION("""COMPUTED_VALUE"""),"BLACK")</f>
        <v>BLACK</v>
      </c>
      <c r="G1810" s="20" t="str">
        <f>IFERROR(__xludf.DUMMYFUNCTION("""COMPUTED_VALUE"""),"Uncle Sams Cider (11/12/2021) 02")</f>
        <v>Uncle Sams Cider (11/12/2021) 02</v>
      </c>
      <c r="H1810" s="19"/>
    </row>
    <row r="1811">
      <c r="A1811" s="9"/>
      <c r="B1811" s="15"/>
      <c r="C1811" s="9">
        <f>IFERROR(__xludf.DUMMYFUNCTION("""COMPUTED_VALUE"""),44586.6622988425)</f>
        <v>44586.6623</v>
      </c>
      <c r="D1811" s="15">
        <f>IFERROR(__xludf.DUMMYFUNCTION("""COMPUTED_VALUE"""),1.005)</f>
        <v>1.005</v>
      </c>
      <c r="E1811" s="16">
        <f>IFERROR(__xludf.DUMMYFUNCTION("""COMPUTED_VALUE"""),65.0)</f>
        <v>65</v>
      </c>
      <c r="F1811" s="19" t="str">
        <f>IFERROR(__xludf.DUMMYFUNCTION("""COMPUTED_VALUE"""),"BLACK")</f>
        <v>BLACK</v>
      </c>
      <c r="G1811" s="20" t="str">
        <f>IFERROR(__xludf.DUMMYFUNCTION("""COMPUTED_VALUE"""),"Uncle Sams Cider (11/12/2021) 02")</f>
        <v>Uncle Sams Cider (11/12/2021) 02</v>
      </c>
      <c r="H1811" s="19"/>
    </row>
    <row r="1812">
      <c r="A1812" s="9"/>
      <c r="B1812" s="15"/>
      <c r="C1812" s="9">
        <f>IFERROR(__xludf.DUMMYFUNCTION("""COMPUTED_VALUE"""),44586.6518786689)</f>
        <v>44586.65188</v>
      </c>
      <c r="D1812" s="15">
        <f>IFERROR(__xludf.DUMMYFUNCTION("""COMPUTED_VALUE"""),1.005)</f>
        <v>1.005</v>
      </c>
      <c r="E1812" s="16">
        <f>IFERROR(__xludf.DUMMYFUNCTION("""COMPUTED_VALUE"""),65.0)</f>
        <v>65</v>
      </c>
      <c r="F1812" s="19" t="str">
        <f>IFERROR(__xludf.DUMMYFUNCTION("""COMPUTED_VALUE"""),"BLACK")</f>
        <v>BLACK</v>
      </c>
      <c r="G1812" s="20" t="str">
        <f>IFERROR(__xludf.DUMMYFUNCTION("""COMPUTED_VALUE"""),"Uncle Sams Cider (11/12/2021) 02")</f>
        <v>Uncle Sams Cider (11/12/2021) 02</v>
      </c>
      <c r="H1812" s="19"/>
    </row>
    <row r="1813">
      <c r="A1813" s="9"/>
      <c r="B1813" s="15"/>
      <c r="C1813" s="9">
        <f>IFERROR(__xludf.DUMMYFUNCTION("""COMPUTED_VALUE"""),44586.6414566088)</f>
        <v>44586.64146</v>
      </c>
      <c r="D1813" s="15">
        <f>IFERROR(__xludf.DUMMYFUNCTION("""COMPUTED_VALUE"""),1.006)</f>
        <v>1.006</v>
      </c>
      <c r="E1813" s="16">
        <f>IFERROR(__xludf.DUMMYFUNCTION("""COMPUTED_VALUE"""),65.0)</f>
        <v>65</v>
      </c>
      <c r="F1813" s="19" t="str">
        <f>IFERROR(__xludf.DUMMYFUNCTION("""COMPUTED_VALUE"""),"BLACK")</f>
        <v>BLACK</v>
      </c>
      <c r="G1813" s="20" t="str">
        <f>IFERROR(__xludf.DUMMYFUNCTION("""COMPUTED_VALUE"""),"Uncle Sams Cider (11/12/2021) 02")</f>
        <v>Uncle Sams Cider (11/12/2021) 02</v>
      </c>
      <c r="H1813" s="19"/>
    </row>
    <row r="1814">
      <c r="A1814" s="9"/>
      <c r="B1814" s="15"/>
      <c r="C1814" s="9">
        <f>IFERROR(__xludf.DUMMYFUNCTION("""COMPUTED_VALUE"""),44586.6310336458)</f>
        <v>44586.63103</v>
      </c>
      <c r="D1814" s="15">
        <f>IFERROR(__xludf.DUMMYFUNCTION("""COMPUTED_VALUE"""),1.005)</f>
        <v>1.005</v>
      </c>
      <c r="E1814" s="16">
        <f>IFERROR(__xludf.DUMMYFUNCTION("""COMPUTED_VALUE"""),65.0)</f>
        <v>65</v>
      </c>
      <c r="F1814" s="19" t="str">
        <f>IFERROR(__xludf.DUMMYFUNCTION("""COMPUTED_VALUE"""),"BLACK")</f>
        <v>BLACK</v>
      </c>
      <c r="G1814" s="20" t="str">
        <f>IFERROR(__xludf.DUMMYFUNCTION("""COMPUTED_VALUE"""),"Uncle Sams Cider (11/12/2021) 02")</f>
        <v>Uncle Sams Cider (11/12/2021) 02</v>
      </c>
      <c r="H1814" s="19"/>
    </row>
    <row r="1815">
      <c r="A1815" s="9"/>
      <c r="B1815" s="15"/>
      <c r="C1815" s="9">
        <f>IFERROR(__xludf.DUMMYFUNCTION("""COMPUTED_VALUE"""),44586.6205883101)</f>
        <v>44586.62059</v>
      </c>
      <c r="D1815" s="15">
        <f>IFERROR(__xludf.DUMMYFUNCTION("""COMPUTED_VALUE"""),1.005)</f>
        <v>1.005</v>
      </c>
      <c r="E1815" s="16">
        <f>IFERROR(__xludf.DUMMYFUNCTION("""COMPUTED_VALUE"""),65.0)</f>
        <v>65</v>
      </c>
      <c r="F1815" s="19" t="str">
        <f>IFERROR(__xludf.DUMMYFUNCTION("""COMPUTED_VALUE"""),"BLACK")</f>
        <v>BLACK</v>
      </c>
      <c r="G1815" s="20" t="str">
        <f>IFERROR(__xludf.DUMMYFUNCTION("""COMPUTED_VALUE"""),"Uncle Sams Cider (11/12/2021) 02")</f>
        <v>Uncle Sams Cider (11/12/2021) 02</v>
      </c>
      <c r="H1815" s="19"/>
    </row>
    <row r="1816">
      <c r="A1816" s="9"/>
      <c r="B1816" s="15"/>
      <c r="C1816" s="9">
        <f>IFERROR(__xludf.DUMMYFUNCTION("""COMPUTED_VALUE"""),44586.6101678472)</f>
        <v>44586.61017</v>
      </c>
      <c r="D1816" s="15">
        <f>IFERROR(__xludf.DUMMYFUNCTION("""COMPUTED_VALUE"""),1.005)</f>
        <v>1.005</v>
      </c>
      <c r="E1816" s="16">
        <f>IFERROR(__xludf.DUMMYFUNCTION("""COMPUTED_VALUE"""),65.0)</f>
        <v>65</v>
      </c>
      <c r="F1816" s="19" t="str">
        <f>IFERROR(__xludf.DUMMYFUNCTION("""COMPUTED_VALUE"""),"BLACK")</f>
        <v>BLACK</v>
      </c>
      <c r="G1816" s="20" t="str">
        <f>IFERROR(__xludf.DUMMYFUNCTION("""COMPUTED_VALUE"""),"Uncle Sams Cider (11/12/2021) 02")</f>
        <v>Uncle Sams Cider (11/12/2021) 02</v>
      </c>
      <c r="H1816" s="19"/>
    </row>
    <row r="1817">
      <c r="A1817" s="9"/>
      <c r="B1817" s="15"/>
      <c r="C1817" s="9">
        <f>IFERROR(__xludf.DUMMYFUNCTION("""COMPUTED_VALUE"""),44586.5997471643)</f>
        <v>44586.59975</v>
      </c>
      <c r="D1817" s="15">
        <f>IFERROR(__xludf.DUMMYFUNCTION("""COMPUTED_VALUE"""),1.005)</f>
        <v>1.005</v>
      </c>
      <c r="E1817" s="16">
        <f>IFERROR(__xludf.DUMMYFUNCTION("""COMPUTED_VALUE"""),65.0)</f>
        <v>65</v>
      </c>
      <c r="F1817" s="19" t="str">
        <f>IFERROR(__xludf.DUMMYFUNCTION("""COMPUTED_VALUE"""),"BLACK")</f>
        <v>BLACK</v>
      </c>
      <c r="G1817" s="20" t="str">
        <f>IFERROR(__xludf.DUMMYFUNCTION("""COMPUTED_VALUE"""),"Uncle Sams Cider (11/12/2021) 02")</f>
        <v>Uncle Sams Cider (11/12/2021) 02</v>
      </c>
      <c r="H1817" s="19"/>
    </row>
    <row r="1818">
      <c r="A1818" s="9"/>
      <c r="B1818" s="15"/>
      <c r="C1818" s="9">
        <f>IFERROR(__xludf.DUMMYFUNCTION("""COMPUTED_VALUE"""),44586.5893269212)</f>
        <v>44586.58933</v>
      </c>
      <c r="D1818" s="15">
        <f>IFERROR(__xludf.DUMMYFUNCTION("""COMPUTED_VALUE"""),1.005)</f>
        <v>1.005</v>
      </c>
      <c r="E1818" s="16">
        <f>IFERROR(__xludf.DUMMYFUNCTION("""COMPUTED_VALUE"""),65.0)</f>
        <v>65</v>
      </c>
      <c r="F1818" s="19" t="str">
        <f>IFERROR(__xludf.DUMMYFUNCTION("""COMPUTED_VALUE"""),"BLACK")</f>
        <v>BLACK</v>
      </c>
      <c r="G1818" s="20" t="str">
        <f>IFERROR(__xludf.DUMMYFUNCTION("""COMPUTED_VALUE"""),"Uncle Sams Cider (11/12/2021) 02")</f>
        <v>Uncle Sams Cider (11/12/2021) 02</v>
      </c>
      <c r="H1818" s="19"/>
    </row>
    <row r="1819">
      <c r="A1819" s="9"/>
      <c r="B1819" s="15"/>
      <c r="C1819" s="9">
        <f>IFERROR(__xludf.DUMMYFUNCTION("""COMPUTED_VALUE"""),44586.5789055786)</f>
        <v>44586.57891</v>
      </c>
      <c r="D1819" s="15">
        <f>IFERROR(__xludf.DUMMYFUNCTION("""COMPUTED_VALUE"""),1.005)</f>
        <v>1.005</v>
      </c>
      <c r="E1819" s="16">
        <f>IFERROR(__xludf.DUMMYFUNCTION("""COMPUTED_VALUE"""),65.0)</f>
        <v>65</v>
      </c>
      <c r="F1819" s="19" t="str">
        <f>IFERROR(__xludf.DUMMYFUNCTION("""COMPUTED_VALUE"""),"BLACK")</f>
        <v>BLACK</v>
      </c>
      <c r="G1819" s="20" t="str">
        <f>IFERROR(__xludf.DUMMYFUNCTION("""COMPUTED_VALUE"""),"Uncle Sams Cider (11/12/2021) 02")</f>
        <v>Uncle Sams Cider (11/12/2021) 02</v>
      </c>
      <c r="H1819" s="19"/>
    </row>
    <row r="1820">
      <c r="A1820" s="9"/>
      <c r="B1820" s="15"/>
      <c r="C1820" s="9">
        <f>IFERROR(__xludf.DUMMYFUNCTION("""COMPUTED_VALUE"""),44586.5684851851)</f>
        <v>44586.56849</v>
      </c>
      <c r="D1820" s="15">
        <f>IFERROR(__xludf.DUMMYFUNCTION("""COMPUTED_VALUE"""),1.005)</f>
        <v>1.005</v>
      </c>
      <c r="E1820" s="16">
        <f>IFERROR(__xludf.DUMMYFUNCTION("""COMPUTED_VALUE"""),65.0)</f>
        <v>65</v>
      </c>
      <c r="F1820" s="19" t="str">
        <f>IFERROR(__xludf.DUMMYFUNCTION("""COMPUTED_VALUE"""),"BLACK")</f>
        <v>BLACK</v>
      </c>
      <c r="G1820" s="20" t="str">
        <f>IFERROR(__xludf.DUMMYFUNCTION("""COMPUTED_VALUE"""),"Uncle Sams Cider (11/12/2021) 02")</f>
        <v>Uncle Sams Cider (11/12/2021) 02</v>
      </c>
      <c r="H1820" s="19"/>
    </row>
    <row r="1821">
      <c r="A1821" s="9"/>
      <c r="B1821" s="15"/>
      <c r="C1821" s="9">
        <f>IFERROR(__xludf.DUMMYFUNCTION("""COMPUTED_VALUE"""),44586.5580643981)</f>
        <v>44586.55806</v>
      </c>
      <c r="D1821" s="15">
        <f>IFERROR(__xludf.DUMMYFUNCTION("""COMPUTED_VALUE"""),1.005)</f>
        <v>1.005</v>
      </c>
      <c r="E1821" s="16">
        <f>IFERROR(__xludf.DUMMYFUNCTION("""COMPUTED_VALUE"""),65.0)</f>
        <v>65</v>
      </c>
      <c r="F1821" s="19" t="str">
        <f>IFERROR(__xludf.DUMMYFUNCTION("""COMPUTED_VALUE"""),"BLACK")</f>
        <v>BLACK</v>
      </c>
      <c r="G1821" s="20" t="str">
        <f>IFERROR(__xludf.DUMMYFUNCTION("""COMPUTED_VALUE"""),"Uncle Sams Cider (11/12/2021) 02")</f>
        <v>Uncle Sams Cider (11/12/2021) 02</v>
      </c>
      <c r="H1821" s="19"/>
    </row>
    <row r="1822">
      <c r="A1822" s="9"/>
      <c r="B1822" s="15"/>
      <c r="C1822" s="9">
        <f>IFERROR(__xludf.DUMMYFUNCTION("""COMPUTED_VALUE"""),44586.5476317824)</f>
        <v>44586.54763</v>
      </c>
      <c r="D1822" s="15">
        <f>IFERROR(__xludf.DUMMYFUNCTION("""COMPUTED_VALUE"""),1.006)</f>
        <v>1.006</v>
      </c>
      <c r="E1822" s="16">
        <f>IFERROR(__xludf.DUMMYFUNCTION("""COMPUTED_VALUE"""),65.0)</f>
        <v>65</v>
      </c>
      <c r="F1822" s="19" t="str">
        <f>IFERROR(__xludf.DUMMYFUNCTION("""COMPUTED_VALUE"""),"BLACK")</f>
        <v>BLACK</v>
      </c>
      <c r="G1822" s="20" t="str">
        <f>IFERROR(__xludf.DUMMYFUNCTION("""COMPUTED_VALUE"""),"Uncle Sams Cider (11/12/2021) 02")</f>
        <v>Uncle Sams Cider (11/12/2021) 02</v>
      </c>
      <c r="H1822" s="19"/>
    </row>
    <row r="1823">
      <c r="A1823" s="9"/>
      <c r="B1823" s="15"/>
      <c r="C1823" s="9">
        <f>IFERROR(__xludf.DUMMYFUNCTION("""COMPUTED_VALUE"""),44586.5372106481)</f>
        <v>44586.53721</v>
      </c>
      <c r="D1823" s="15">
        <f>IFERROR(__xludf.DUMMYFUNCTION("""COMPUTED_VALUE"""),1.005)</f>
        <v>1.005</v>
      </c>
      <c r="E1823" s="16">
        <f>IFERROR(__xludf.DUMMYFUNCTION("""COMPUTED_VALUE"""),65.0)</f>
        <v>65</v>
      </c>
      <c r="F1823" s="19" t="str">
        <f>IFERROR(__xludf.DUMMYFUNCTION("""COMPUTED_VALUE"""),"BLACK")</f>
        <v>BLACK</v>
      </c>
      <c r="G1823" s="20" t="str">
        <f>IFERROR(__xludf.DUMMYFUNCTION("""COMPUTED_VALUE"""),"Uncle Sams Cider (11/12/2021) 02")</f>
        <v>Uncle Sams Cider (11/12/2021) 02</v>
      </c>
      <c r="H1823" s="19"/>
    </row>
    <row r="1824">
      <c r="A1824" s="9"/>
      <c r="B1824" s="15"/>
      <c r="C1824" s="9">
        <f>IFERROR(__xludf.DUMMYFUNCTION("""COMPUTED_VALUE"""),44586.5267778703)</f>
        <v>44586.52678</v>
      </c>
      <c r="D1824" s="15">
        <f>IFERROR(__xludf.DUMMYFUNCTION("""COMPUTED_VALUE"""),1.005)</f>
        <v>1.005</v>
      </c>
      <c r="E1824" s="16">
        <f>IFERROR(__xludf.DUMMYFUNCTION("""COMPUTED_VALUE"""),65.0)</f>
        <v>65</v>
      </c>
      <c r="F1824" s="19" t="str">
        <f>IFERROR(__xludf.DUMMYFUNCTION("""COMPUTED_VALUE"""),"BLACK")</f>
        <v>BLACK</v>
      </c>
      <c r="G1824" s="20" t="str">
        <f>IFERROR(__xludf.DUMMYFUNCTION("""COMPUTED_VALUE"""),"Uncle Sams Cider (11/12/2021) 02")</f>
        <v>Uncle Sams Cider (11/12/2021) 02</v>
      </c>
      <c r="H1824" s="19"/>
    </row>
    <row r="1825">
      <c r="A1825" s="9"/>
      <c r="B1825" s="15"/>
      <c r="C1825" s="9">
        <f>IFERROR(__xludf.DUMMYFUNCTION("""COMPUTED_VALUE"""),44586.5163573148)</f>
        <v>44586.51636</v>
      </c>
      <c r="D1825" s="15">
        <f>IFERROR(__xludf.DUMMYFUNCTION("""COMPUTED_VALUE"""),1.005)</f>
        <v>1.005</v>
      </c>
      <c r="E1825" s="16">
        <f>IFERROR(__xludf.DUMMYFUNCTION("""COMPUTED_VALUE"""),65.0)</f>
        <v>65</v>
      </c>
      <c r="F1825" s="19" t="str">
        <f>IFERROR(__xludf.DUMMYFUNCTION("""COMPUTED_VALUE"""),"BLACK")</f>
        <v>BLACK</v>
      </c>
      <c r="G1825" s="20" t="str">
        <f>IFERROR(__xludf.DUMMYFUNCTION("""COMPUTED_VALUE"""),"Uncle Sams Cider (11/12/2021) 02")</f>
        <v>Uncle Sams Cider (11/12/2021) 02</v>
      </c>
      <c r="H1825" s="19"/>
    </row>
    <row r="1826">
      <c r="A1826" s="9"/>
      <c r="B1826" s="15"/>
      <c r="C1826" s="9">
        <f>IFERROR(__xludf.DUMMYFUNCTION("""COMPUTED_VALUE"""),44586.5059247916)</f>
        <v>44586.50592</v>
      </c>
      <c r="D1826" s="15">
        <f>IFERROR(__xludf.DUMMYFUNCTION("""COMPUTED_VALUE"""),1.005)</f>
        <v>1.005</v>
      </c>
      <c r="E1826" s="16">
        <f>IFERROR(__xludf.DUMMYFUNCTION("""COMPUTED_VALUE"""),65.0)</f>
        <v>65</v>
      </c>
      <c r="F1826" s="19" t="str">
        <f>IFERROR(__xludf.DUMMYFUNCTION("""COMPUTED_VALUE"""),"BLACK")</f>
        <v>BLACK</v>
      </c>
      <c r="G1826" s="20" t="str">
        <f>IFERROR(__xludf.DUMMYFUNCTION("""COMPUTED_VALUE"""),"Uncle Sams Cider (11/12/2021) 02")</f>
        <v>Uncle Sams Cider (11/12/2021) 02</v>
      </c>
      <c r="H1826" s="19"/>
    </row>
    <row r="1827">
      <c r="A1827" s="9"/>
      <c r="B1827" s="15"/>
      <c r="C1827" s="9">
        <f>IFERROR(__xludf.DUMMYFUNCTION("""COMPUTED_VALUE"""),44586.4955033796)</f>
        <v>44586.4955</v>
      </c>
      <c r="D1827" s="15">
        <f>IFERROR(__xludf.DUMMYFUNCTION("""COMPUTED_VALUE"""),1.005)</f>
        <v>1.005</v>
      </c>
      <c r="E1827" s="16">
        <f>IFERROR(__xludf.DUMMYFUNCTION("""COMPUTED_VALUE"""),65.0)</f>
        <v>65</v>
      </c>
      <c r="F1827" s="19" t="str">
        <f>IFERROR(__xludf.DUMMYFUNCTION("""COMPUTED_VALUE"""),"BLACK")</f>
        <v>BLACK</v>
      </c>
      <c r="G1827" s="20" t="str">
        <f>IFERROR(__xludf.DUMMYFUNCTION("""COMPUTED_VALUE"""),"Uncle Sams Cider (11/12/2021) 02")</f>
        <v>Uncle Sams Cider (11/12/2021) 02</v>
      </c>
      <c r="H1827" s="19"/>
    </row>
    <row r="1828">
      <c r="A1828" s="9"/>
      <c r="B1828" s="15"/>
      <c r="C1828" s="9">
        <f>IFERROR(__xludf.DUMMYFUNCTION("""COMPUTED_VALUE"""),44586.4850827893)</f>
        <v>44586.48508</v>
      </c>
      <c r="D1828" s="15">
        <f>IFERROR(__xludf.DUMMYFUNCTION("""COMPUTED_VALUE"""),1.005)</f>
        <v>1.005</v>
      </c>
      <c r="E1828" s="16">
        <f>IFERROR(__xludf.DUMMYFUNCTION("""COMPUTED_VALUE"""),65.0)</f>
        <v>65</v>
      </c>
      <c r="F1828" s="19" t="str">
        <f>IFERROR(__xludf.DUMMYFUNCTION("""COMPUTED_VALUE"""),"BLACK")</f>
        <v>BLACK</v>
      </c>
      <c r="G1828" s="20" t="str">
        <f>IFERROR(__xludf.DUMMYFUNCTION("""COMPUTED_VALUE"""),"Uncle Sams Cider (11/12/2021) 02")</f>
        <v>Uncle Sams Cider (11/12/2021) 02</v>
      </c>
      <c r="H1828" s="19"/>
    </row>
    <row r="1829">
      <c r="A1829" s="9"/>
      <c r="B1829" s="15"/>
      <c r="C1829" s="9">
        <f>IFERROR(__xludf.DUMMYFUNCTION("""COMPUTED_VALUE"""),44586.4746616435)</f>
        <v>44586.47466</v>
      </c>
      <c r="D1829" s="15">
        <f>IFERROR(__xludf.DUMMYFUNCTION("""COMPUTED_VALUE"""),1.005)</f>
        <v>1.005</v>
      </c>
      <c r="E1829" s="16">
        <f>IFERROR(__xludf.DUMMYFUNCTION("""COMPUTED_VALUE"""),65.0)</f>
        <v>65</v>
      </c>
      <c r="F1829" s="19" t="str">
        <f>IFERROR(__xludf.DUMMYFUNCTION("""COMPUTED_VALUE"""),"BLACK")</f>
        <v>BLACK</v>
      </c>
      <c r="G1829" s="20" t="str">
        <f>IFERROR(__xludf.DUMMYFUNCTION("""COMPUTED_VALUE"""),"Uncle Sams Cider (11/12/2021) 02")</f>
        <v>Uncle Sams Cider (11/12/2021) 02</v>
      </c>
      <c r="H1829" s="19"/>
    </row>
    <row r="1830">
      <c r="A1830" s="9"/>
      <c r="B1830" s="15"/>
      <c r="C1830" s="9">
        <f>IFERROR(__xludf.DUMMYFUNCTION("""COMPUTED_VALUE"""),44586.464241493)</f>
        <v>44586.46424</v>
      </c>
      <c r="D1830" s="15">
        <f>IFERROR(__xludf.DUMMYFUNCTION("""COMPUTED_VALUE"""),1.005)</f>
        <v>1.005</v>
      </c>
      <c r="E1830" s="16">
        <f>IFERROR(__xludf.DUMMYFUNCTION("""COMPUTED_VALUE"""),65.0)</f>
        <v>65</v>
      </c>
      <c r="F1830" s="19" t="str">
        <f>IFERROR(__xludf.DUMMYFUNCTION("""COMPUTED_VALUE"""),"BLACK")</f>
        <v>BLACK</v>
      </c>
      <c r="G1830" s="20" t="str">
        <f>IFERROR(__xludf.DUMMYFUNCTION("""COMPUTED_VALUE"""),"Uncle Sams Cider (11/12/2021) 02")</f>
        <v>Uncle Sams Cider (11/12/2021) 02</v>
      </c>
      <c r="H1830" s="19"/>
    </row>
    <row r="1831">
      <c r="A1831" s="9"/>
      <c r="B1831" s="15"/>
      <c r="C1831" s="9">
        <f>IFERROR(__xludf.DUMMYFUNCTION("""COMPUTED_VALUE"""),44586.4538072453)</f>
        <v>44586.45381</v>
      </c>
      <c r="D1831" s="15">
        <f>IFERROR(__xludf.DUMMYFUNCTION("""COMPUTED_VALUE"""),1.005)</f>
        <v>1.005</v>
      </c>
      <c r="E1831" s="16">
        <f>IFERROR(__xludf.DUMMYFUNCTION("""COMPUTED_VALUE"""),65.0)</f>
        <v>65</v>
      </c>
      <c r="F1831" s="19" t="str">
        <f>IFERROR(__xludf.DUMMYFUNCTION("""COMPUTED_VALUE"""),"BLACK")</f>
        <v>BLACK</v>
      </c>
      <c r="G1831" s="20" t="str">
        <f>IFERROR(__xludf.DUMMYFUNCTION("""COMPUTED_VALUE"""),"Uncle Sams Cider (11/12/2021) 02")</f>
        <v>Uncle Sams Cider (11/12/2021) 02</v>
      </c>
      <c r="H1831" s="19"/>
    </row>
    <row r="1832">
      <c r="A1832" s="9"/>
      <c r="B1832" s="15"/>
      <c r="C1832" s="9">
        <f>IFERROR(__xludf.DUMMYFUNCTION("""COMPUTED_VALUE"""),44586.4433865277)</f>
        <v>44586.44339</v>
      </c>
      <c r="D1832" s="15">
        <f>IFERROR(__xludf.DUMMYFUNCTION("""COMPUTED_VALUE"""),1.005)</f>
        <v>1.005</v>
      </c>
      <c r="E1832" s="16">
        <f>IFERROR(__xludf.DUMMYFUNCTION("""COMPUTED_VALUE"""),65.0)</f>
        <v>65</v>
      </c>
      <c r="F1832" s="19" t="str">
        <f>IFERROR(__xludf.DUMMYFUNCTION("""COMPUTED_VALUE"""),"BLACK")</f>
        <v>BLACK</v>
      </c>
      <c r="G1832" s="20" t="str">
        <f>IFERROR(__xludf.DUMMYFUNCTION("""COMPUTED_VALUE"""),"Uncle Sams Cider (11/12/2021) 02")</f>
        <v>Uncle Sams Cider (11/12/2021) 02</v>
      </c>
      <c r="H1832" s="19"/>
    </row>
    <row r="1833">
      <c r="A1833" s="9"/>
      <c r="B1833" s="15"/>
      <c r="C1833" s="9">
        <f>IFERROR(__xludf.DUMMYFUNCTION("""COMPUTED_VALUE"""),44586.4329672222)</f>
        <v>44586.43297</v>
      </c>
      <c r="D1833" s="15">
        <f>IFERROR(__xludf.DUMMYFUNCTION("""COMPUTED_VALUE"""),1.005)</f>
        <v>1.005</v>
      </c>
      <c r="E1833" s="16">
        <f>IFERROR(__xludf.DUMMYFUNCTION("""COMPUTED_VALUE"""),65.0)</f>
        <v>65</v>
      </c>
      <c r="F1833" s="19" t="str">
        <f>IFERROR(__xludf.DUMMYFUNCTION("""COMPUTED_VALUE"""),"BLACK")</f>
        <v>BLACK</v>
      </c>
      <c r="G1833" s="20" t="str">
        <f>IFERROR(__xludf.DUMMYFUNCTION("""COMPUTED_VALUE"""),"Uncle Sams Cider (11/12/2021) 02")</f>
        <v>Uncle Sams Cider (11/12/2021) 02</v>
      </c>
      <c r="H1833" s="19"/>
    </row>
    <row r="1834">
      <c r="A1834" s="9"/>
      <c r="B1834" s="15"/>
      <c r="C1834" s="9">
        <f>IFERROR(__xludf.DUMMYFUNCTION("""COMPUTED_VALUE"""),44586.422545787)</f>
        <v>44586.42255</v>
      </c>
      <c r="D1834" s="15">
        <f>IFERROR(__xludf.DUMMYFUNCTION("""COMPUTED_VALUE"""),1.005)</f>
        <v>1.005</v>
      </c>
      <c r="E1834" s="16">
        <f>IFERROR(__xludf.DUMMYFUNCTION("""COMPUTED_VALUE"""),66.0)</f>
        <v>66</v>
      </c>
      <c r="F1834" s="19" t="str">
        <f>IFERROR(__xludf.DUMMYFUNCTION("""COMPUTED_VALUE"""),"BLACK")</f>
        <v>BLACK</v>
      </c>
      <c r="G1834" s="20" t="str">
        <f>IFERROR(__xludf.DUMMYFUNCTION("""COMPUTED_VALUE"""),"Uncle Sams Cider (11/12/2021) 02")</f>
        <v>Uncle Sams Cider (11/12/2021) 02</v>
      </c>
      <c r="H1834" s="19"/>
    </row>
    <row r="1835">
      <c r="A1835" s="9"/>
      <c r="B1835" s="15"/>
      <c r="C1835" s="9">
        <f>IFERROR(__xludf.DUMMYFUNCTION("""COMPUTED_VALUE"""),44586.4121236458)</f>
        <v>44586.41212</v>
      </c>
      <c r="D1835" s="15">
        <f>IFERROR(__xludf.DUMMYFUNCTION("""COMPUTED_VALUE"""),1.005)</f>
        <v>1.005</v>
      </c>
      <c r="E1835" s="16">
        <f>IFERROR(__xludf.DUMMYFUNCTION("""COMPUTED_VALUE"""),66.0)</f>
        <v>66</v>
      </c>
      <c r="F1835" s="19" t="str">
        <f>IFERROR(__xludf.DUMMYFUNCTION("""COMPUTED_VALUE"""),"BLACK")</f>
        <v>BLACK</v>
      </c>
      <c r="G1835" s="20" t="str">
        <f>IFERROR(__xludf.DUMMYFUNCTION("""COMPUTED_VALUE"""),"Uncle Sams Cider (11/12/2021) 02")</f>
        <v>Uncle Sams Cider (11/12/2021) 02</v>
      </c>
      <c r="H1835" s="19"/>
    </row>
    <row r="1836">
      <c r="A1836" s="9"/>
      <c r="B1836" s="15"/>
      <c r="C1836" s="9">
        <f>IFERROR(__xludf.DUMMYFUNCTION("""COMPUTED_VALUE"""),44586.40168853)</f>
        <v>44586.40169</v>
      </c>
      <c r="D1836" s="15">
        <f>IFERROR(__xludf.DUMMYFUNCTION("""COMPUTED_VALUE"""),1.006)</f>
        <v>1.006</v>
      </c>
      <c r="E1836" s="16">
        <f>IFERROR(__xludf.DUMMYFUNCTION("""COMPUTED_VALUE"""),66.0)</f>
        <v>66</v>
      </c>
      <c r="F1836" s="19" t="str">
        <f>IFERROR(__xludf.DUMMYFUNCTION("""COMPUTED_VALUE"""),"BLACK")</f>
        <v>BLACK</v>
      </c>
      <c r="G1836" s="20" t="str">
        <f>IFERROR(__xludf.DUMMYFUNCTION("""COMPUTED_VALUE"""),"Uncle Sams Cider (11/12/2021) 02")</f>
        <v>Uncle Sams Cider (11/12/2021) 02</v>
      </c>
      <c r="H1836" s="19"/>
    </row>
    <row r="1837">
      <c r="A1837" s="9"/>
      <c r="B1837" s="15"/>
      <c r="C1837" s="9">
        <f>IFERROR(__xludf.DUMMYFUNCTION("""COMPUTED_VALUE"""),44586.3912670949)</f>
        <v>44586.39127</v>
      </c>
      <c r="D1837" s="15">
        <f>IFERROR(__xludf.DUMMYFUNCTION("""COMPUTED_VALUE"""),1.005)</f>
        <v>1.005</v>
      </c>
      <c r="E1837" s="16">
        <f>IFERROR(__xludf.DUMMYFUNCTION("""COMPUTED_VALUE"""),66.0)</f>
        <v>66</v>
      </c>
      <c r="F1837" s="19" t="str">
        <f>IFERROR(__xludf.DUMMYFUNCTION("""COMPUTED_VALUE"""),"BLACK")</f>
        <v>BLACK</v>
      </c>
      <c r="G1837" s="20" t="str">
        <f>IFERROR(__xludf.DUMMYFUNCTION("""COMPUTED_VALUE"""),"Uncle Sams Cider (11/12/2021) 02")</f>
        <v>Uncle Sams Cider (11/12/2021) 02</v>
      </c>
      <c r="H1837" s="19"/>
    </row>
    <row r="1838">
      <c r="A1838" s="9"/>
      <c r="B1838" s="15"/>
      <c r="C1838" s="9">
        <f>IFERROR(__xludf.DUMMYFUNCTION("""COMPUTED_VALUE"""),44586.3808457291)</f>
        <v>44586.38085</v>
      </c>
      <c r="D1838" s="15">
        <f>IFERROR(__xludf.DUMMYFUNCTION("""COMPUTED_VALUE"""),1.006)</f>
        <v>1.006</v>
      </c>
      <c r="E1838" s="16">
        <f>IFERROR(__xludf.DUMMYFUNCTION("""COMPUTED_VALUE"""),66.0)</f>
        <v>66</v>
      </c>
      <c r="F1838" s="19" t="str">
        <f>IFERROR(__xludf.DUMMYFUNCTION("""COMPUTED_VALUE"""),"BLACK")</f>
        <v>BLACK</v>
      </c>
      <c r="G1838" s="20" t="str">
        <f>IFERROR(__xludf.DUMMYFUNCTION("""COMPUTED_VALUE"""),"Uncle Sams Cider (11/12/2021) 02")</f>
        <v>Uncle Sams Cider (11/12/2021) 02</v>
      </c>
      <c r="H1838" s="19"/>
    </row>
    <row r="1839">
      <c r="A1839" s="9"/>
      <c r="B1839" s="15"/>
      <c r="C1839" s="9">
        <f>IFERROR(__xludf.DUMMYFUNCTION("""COMPUTED_VALUE"""),44586.3704243634)</f>
        <v>44586.37042</v>
      </c>
      <c r="D1839" s="15">
        <f>IFERROR(__xludf.DUMMYFUNCTION("""COMPUTED_VALUE"""),1.005)</f>
        <v>1.005</v>
      </c>
      <c r="E1839" s="16">
        <f>IFERROR(__xludf.DUMMYFUNCTION("""COMPUTED_VALUE"""),66.0)</f>
        <v>66</v>
      </c>
      <c r="F1839" s="19" t="str">
        <f>IFERROR(__xludf.DUMMYFUNCTION("""COMPUTED_VALUE"""),"BLACK")</f>
        <v>BLACK</v>
      </c>
      <c r="G1839" s="20" t="str">
        <f>IFERROR(__xludf.DUMMYFUNCTION("""COMPUTED_VALUE"""),"Uncle Sams Cider (11/12/2021) 02")</f>
        <v>Uncle Sams Cider (11/12/2021) 02</v>
      </c>
      <c r="H1839" s="19"/>
    </row>
    <row r="1840">
      <c r="A1840" s="9"/>
      <c r="B1840" s="15"/>
      <c r="C1840" s="9">
        <f>IFERROR(__xludf.DUMMYFUNCTION("""COMPUTED_VALUE"""),44586.3600033912)</f>
        <v>44586.36</v>
      </c>
      <c r="D1840" s="15">
        <f>IFERROR(__xludf.DUMMYFUNCTION("""COMPUTED_VALUE"""),1.006)</f>
        <v>1.006</v>
      </c>
      <c r="E1840" s="16">
        <f>IFERROR(__xludf.DUMMYFUNCTION("""COMPUTED_VALUE"""),66.0)</f>
        <v>66</v>
      </c>
      <c r="F1840" s="19" t="str">
        <f>IFERROR(__xludf.DUMMYFUNCTION("""COMPUTED_VALUE"""),"BLACK")</f>
        <v>BLACK</v>
      </c>
      <c r="G1840" s="20" t="str">
        <f>IFERROR(__xludf.DUMMYFUNCTION("""COMPUTED_VALUE"""),"Uncle Sams Cider (11/12/2021) 02")</f>
        <v>Uncle Sams Cider (11/12/2021) 02</v>
      </c>
      <c r="H1840" s="19"/>
    </row>
    <row r="1841">
      <c r="A1841" s="9"/>
      <c r="B1841" s="15"/>
      <c r="C1841" s="9">
        <f>IFERROR(__xludf.DUMMYFUNCTION("""COMPUTED_VALUE"""),44586.3495704976)</f>
        <v>44586.34957</v>
      </c>
      <c r="D1841" s="15">
        <f>IFERROR(__xludf.DUMMYFUNCTION("""COMPUTED_VALUE"""),1.005)</f>
        <v>1.005</v>
      </c>
      <c r="E1841" s="16">
        <f>IFERROR(__xludf.DUMMYFUNCTION("""COMPUTED_VALUE"""),66.0)</f>
        <v>66</v>
      </c>
      <c r="F1841" s="19" t="str">
        <f>IFERROR(__xludf.DUMMYFUNCTION("""COMPUTED_VALUE"""),"BLACK")</f>
        <v>BLACK</v>
      </c>
      <c r="G1841" s="20" t="str">
        <f>IFERROR(__xludf.DUMMYFUNCTION("""COMPUTED_VALUE"""),"Uncle Sams Cider (11/12/2021) 02")</f>
        <v>Uncle Sams Cider (11/12/2021) 02</v>
      </c>
      <c r="H1841" s="19"/>
    </row>
    <row r="1842">
      <c r="A1842" s="9"/>
      <c r="B1842" s="15"/>
      <c r="C1842" s="9">
        <f>IFERROR(__xludf.DUMMYFUNCTION("""COMPUTED_VALUE"""),44586.3390935069)</f>
        <v>44586.33909</v>
      </c>
      <c r="D1842" s="15">
        <f>IFERROR(__xludf.DUMMYFUNCTION("""COMPUTED_VALUE"""),1.005)</f>
        <v>1.005</v>
      </c>
      <c r="E1842" s="16">
        <f>IFERROR(__xludf.DUMMYFUNCTION("""COMPUTED_VALUE"""),66.0)</f>
        <v>66</v>
      </c>
      <c r="F1842" s="19" t="str">
        <f>IFERROR(__xludf.DUMMYFUNCTION("""COMPUTED_VALUE"""),"BLACK")</f>
        <v>BLACK</v>
      </c>
      <c r="G1842" s="20" t="str">
        <f>IFERROR(__xludf.DUMMYFUNCTION("""COMPUTED_VALUE"""),"Uncle Sams Cider (11/12/2021) 02")</f>
        <v>Uncle Sams Cider (11/12/2021) 02</v>
      </c>
      <c r="H1842" s="19"/>
    </row>
    <row r="1843">
      <c r="A1843" s="9"/>
      <c r="B1843" s="15"/>
      <c r="C1843" s="9">
        <f>IFERROR(__xludf.DUMMYFUNCTION("""COMPUTED_VALUE"""),44586.32866228)</f>
        <v>44586.32866</v>
      </c>
      <c r="D1843" s="15">
        <f>IFERROR(__xludf.DUMMYFUNCTION("""COMPUTED_VALUE"""),1.005)</f>
        <v>1.005</v>
      </c>
      <c r="E1843" s="16">
        <f>IFERROR(__xludf.DUMMYFUNCTION("""COMPUTED_VALUE"""),66.0)</f>
        <v>66</v>
      </c>
      <c r="F1843" s="19" t="str">
        <f>IFERROR(__xludf.DUMMYFUNCTION("""COMPUTED_VALUE"""),"BLACK")</f>
        <v>BLACK</v>
      </c>
      <c r="G1843" s="20" t="str">
        <f>IFERROR(__xludf.DUMMYFUNCTION("""COMPUTED_VALUE"""),"Uncle Sams Cider (11/12/2021) 02")</f>
        <v>Uncle Sams Cider (11/12/2021) 02</v>
      </c>
      <c r="H1843" s="19"/>
    </row>
    <row r="1844">
      <c r="A1844" s="9"/>
      <c r="B1844" s="15"/>
      <c r="C1844" s="9">
        <f>IFERROR(__xludf.DUMMYFUNCTION("""COMPUTED_VALUE"""),44586.3182423263)</f>
        <v>44586.31824</v>
      </c>
      <c r="D1844" s="15">
        <f>IFERROR(__xludf.DUMMYFUNCTION("""COMPUTED_VALUE"""),1.005)</f>
        <v>1.005</v>
      </c>
      <c r="E1844" s="16">
        <f>IFERROR(__xludf.DUMMYFUNCTION("""COMPUTED_VALUE"""),66.0)</f>
        <v>66</v>
      </c>
      <c r="F1844" s="19" t="str">
        <f>IFERROR(__xludf.DUMMYFUNCTION("""COMPUTED_VALUE"""),"BLACK")</f>
        <v>BLACK</v>
      </c>
      <c r="G1844" s="20" t="str">
        <f>IFERROR(__xludf.DUMMYFUNCTION("""COMPUTED_VALUE"""),"Uncle Sams Cider (11/12/2021) 02")</f>
        <v>Uncle Sams Cider (11/12/2021) 02</v>
      </c>
      <c r="H1844" s="19"/>
    </row>
    <row r="1845">
      <c r="A1845" s="9"/>
      <c r="B1845" s="15"/>
      <c r="C1845" s="9">
        <f>IFERROR(__xludf.DUMMYFUNCTION("""COMPUTED_VALUE"""),44586.3078222685)</f>
        <v>44586.30782</v>
      </c>
      <c r="D1845" s="15">
        <f>IFERROR(__xludf.DUMMYFUNCTION("""COMPUTED_VALUE"""),1.006)</f>
        <v>1.006</v>
      </c>
      <c r="E1845" s="16">
        <f>IFERROR(__xludf.DUMMYFUNCTION("""COMPUTED_VALUE"""),66.0)</f>
        <v>66</v>
      </c>
      <c r="F1845" s="19" t="str">
        <f>IFERROR(__xludf.DUMMYFUNCTION("""COMPUTED_VALUE"""),"BLACK")</f>
        <v>BLACK</v>
      </c>
      <c r="G1845" s="20" t="str">
        <f>IFERROR(__xludf.DUMMYFUNCTION("""COMPUTED_VALUE"""),"Uncle Sams Cider (11/12/2021) 02")</f>
        <v>Uncle Sams Cider (11/12/2021) 02</v>
      </c>
      <c r="H1845" s="19"/>
    </row>
    <row r="1846">
      <c r="A1846" s="9"/>
      <c r="B1846" s="15"/>
      <c r="C1846" s="9">
        <f>IFERROR(__xludf.DUMMYFUNCTION("""COMPUTED_VALUE"""),44586.2974011921)</f>
        <v>44586.2974</v>
      </c>
      <c r="D1846" s="15">
        <f>IFERROR(__xludf.DUMMYFUNCTION("""COMPUTED_VALUE"""),1.005)</f>
        <v>1.005</v>
      </c>
      <c r="E1846" s="16">
        <f>IFERROR(__xludf.DUMMYFUNCTION("""COMPUTED_VALUE"""),66.0)</f>
        <v>66</v>
      </c>
      <c r="F1846" s="19" t="str">
        <f>IFERROR(__xludf.DUMMYFUNCTION("""COMPUTED_VALUE"""),"BLACK")</f>
        <v>BLACK</v>
      </c>
      <c r="G1846" s="20" t="str">
        <f>IFERROR(__xludf.DUMMYFUNCTION("""COMPUTED_VALUE"""),"Uncle Sams Cider (11/12/2021) 02")</f>
        <v>Uncle Sams Cider (11/12/2021) 02</v>
      </c>
      <c r="H1846" s="19"/>
    </row>
    <row r="1847">
      <c r="A1847" s="9"/>
      <c r="B1847" s="15"/>
      <c r="C1847" s="9">
        <f>IFERROR(__xludf.DUMMYFUNCTION("""COMPUTED_VALUE"""),44586.2869440856)</f>
        <v>44586.28694</v>
      </c>
      <c r="D1847" s="15">
        <f>IFERROR(__xludf.DUMMYFUNCTION("""COMPUTED_VALUE"""),1.005)</f>
        <v>1.005</v>
      </c>
      <c r="E1847" s="16">
        <f>IFERROR(__xludf.DUMMYFUNCTION("""COMPUTED_VALUE"""),66.0)</f>
        <v>66</v>
      </c>
      <c r="F1847" s="19" t="str">
        <f>IFERROR(__xludf.DUMMYFUNCTION("""COMPUTED_VALUE"""),"BLACK")</f>
        <v>BLACK</v>
      </c>
      <c r="G1847" s="20" t="str">
        <f>IFERROR(__xludf.DUMMYFUNCTION("""COMPUTED_VALUE"""),"Uncle Sams Cider (11/12/2021) 02")</f>
        <v>Uncle Sams Cider (11/12/2021) 02</v>
      </c>
      <c r="H1847" s="19"/>
    </row>
    <row r="1848">
      <c r="A1848" s="9"/>
      <c r="B1848" s="15"/>
      <c r="C1848" s="9">
        <f>IFERROR(__xludf.DUMMYFUNCTION("""COMPUTED_VALUE"""),44586.2765231365)</f>
        <v>44586.27652</v>
      </c>
      <c r="D1848" s="15">
        <f>IFERROR(__xludf.DUMMYFUNCTION("""COMPUTED_VALUE"""),1.005)</f>
        <v>1.005</v>
      </c>
      <c r="E1848" s="16">
        <f>IFERROR(__xludf.DUMMYFUNCTION("""COMPUTED_VALUE"""),66.0)</f>
        <v>66</v>
      </c>
      <c r="F1848" s="19" t="str">
        <f>IFERROR(__xludf.DUMMYFUNCTION("""COMPUTED_VALUE"""),"BLACK")</f>
        <v>BLACK</v>
      </c>
      <c r="G1848" s="20" t="str">
        <f>IFERROR(__xludf.DUMMYFUNCTION("""COMPUTED_VALUE"""),"Uncle Sams Cider (11/12/2021) 02")</f>
        <v>Uncle Sams Cider (11/12/2021) 02</v>
      </c>
      <c r="H1848" s="19"/>
    </row>
    <row r="1849">
      <c r="A1849" s="9"/>
      <c r="B1849" s="15"/>
      <c r="C1849" s="9">
        <f>IFERROR(__xludf.DUMMYFUNCTION("""COMPUTED_VALUE"""),44586.2661014351)</f>
        <v>44586.2661</v>
      </c>
      <c r="D1849" s="15">
        <f>IFERROR(__xludf.DUMMYFUNCTION("""COMPUTED_VALUE"""),1.005)</f>
        <v>1.005</v>
      </c>
      <c r="E1849" s="16">
        <f>IFERROR(__xludf.DUMMYFUNCTION("""COMPUTED_VALUE"""),66.0)</f>
        <v>66</v>
      </c>
      <c r="F1849" s="19" t="str">
        <f>IFERROR(__xludf.DUMMYFUNCTION("""COMPUTED_VALUE"""),"BLACK")</f>
        <v>BLACK</v>
      </c>
      <c r="G1849" s="20" t="str">
        <f>IFERROR(__xludf.DUMMYFUNCTION("""COMPUTED_VALUE"""),"Uncle Sams Cider (11/12/2021) 02")</f>
        <v>Uncle Sams Cider (11/12/2021) 02</v>
      </c>
      <c r="H1849" s="19"/>
    </row>
    <row r="1850">
      <c r="A1850" s="9"/>
      <c r="B1850" s="15"/>
      <c r="C1850" s="9">
        <f>IFERROR(__xludf.DUMMYFUNCTION("""COMPUTED_VALUE"""),44586.2556792939)</f>
        <v>44586.25568</v>
      </c>
      <c r="D1850" s="15">
        <f>IFERROR(__xludf.DUMMYFUNCTION("""COMPUTED_VALUE"""),1.005)</f>
        <v>1.005</v>
      </c>
      <c r="E1850" s="16">
        <f>IFERROR(__xludf.DUMMYFUNCTION("""COMPUTED_VALUE"""),66.0)</f>
        <v>66</v>
      </c>
      <c r="F1850" s="19" t="str">
        <f>IFERROR(__xludf.DUMMYFUNCTION("""COMPUTED_VALUE"""),"BLACK")</f>
        <v>BLACK</v>
      </c>
      <c r="G1850" s="20" t="str">
        <f>IFERROR(__xludf.DUMMYFUNCTION("""COMPUTED_VALUE"""),"Uncle Sams Cider (11/12/2021) 02")</f>
        <v>Uncle Sams Cider (11/12/2021) 02</v>
      </c>
      <c r="H1850" s="19"/>
    </row>
    <row r="1851">
      <c r="A1851" s="9"/>
      <c r="B1851" s="15"/>
      <c r="C1851" s="9">
        <f>IFERROR(__xludf.DUMMYFUNCTION("""COMPUTED_VALUE"""),44586.2452006018)</f>
        <v>44586.2452</v>
      </c>
      <c r="D1851" s="15">
        <f>IFERROR(__xludf.DUMMYFUNCTION("""COMPUTED_VALUE"""),1.005)</f>
        <v>1.005</v>
      </c>
      <c r="E1851" s="16">
        <f>IFERROR(__xludf.DUMMYFUNCTION("""COMPUTED_VALUE"""),66.0)</f>
        <v>66</v>
      </c>
      <c r="F1851" s="19" t="str">
        <f>IFERROR(__xludf.DUMMYFUNCTION("""COMPUTED_VALUE"""),"BLACK")</f>
        <v>BLACK</v>
      </c>
      <c r="G1851" s="20" t="str">
        <f>IFERROR(__xludf.DUMMYFUNCTION("""COMPUTED_VALUE"""),"Uncle Sams Cider (11/12/2021) 02")</f>
        <v>Uncle Sams Cider (11/12/2021) 02</v>
      </c>
      <c r="H1851" s="19"/>
    </row>
    <row r="1852">
      <c r="A1852" s="9"/>
      <c r="B1852" s="15"/>
      <c r="C1852" s="9">
        <f>IFERROR(__xludf.DUMMYFUNCTION("""COMPUTED_VALUE"""),44586.2347787037)</f>
        <v>44586.23478</v>
      </c>
      <c r="D1852" s="15">
        <f>IFERROR(__xludf.DUMMYFUNCTION("""COMPUTED_VALUE"""),1.005)</f>
        <v>1.005</v>
      </c>
      <c r="E1852" s="16">
        <f>IFERROR(__xludf.DUMMYFUNCTION("""COMPUTED_VALUE"""),66.0)</f>
        <v>66</v>
      </c>
      <c r="F1852" s="19" t="str">
        <f>IFERROR(__xludf.DUMMYFUNCTION("""COMPUTED_VALUE"""),"BLACK")</f>
        <v>BLACK</v>
      </c>
      <c r="G1852" s="20" t="str">
        <f>IFERROR(__xludf.DUMMYFUNCTION("""COMPUTED_VALUE"""),"Uncle Sams Cider (11/12/2021) 02")</f>
        <v>Uncle Sams Cider (11/12/2021) 02</v>
      </c>
      <c r="H1852" s="19"/>
    </row>
    <row r="1853">
      <c r="A1853" s="9"/>
      <c r="B1853" s="15"/>
      <c r="C1853" s="9">
        <f>IFERROR(__xludf.DUMMYFUNCTION("""COMPUTED_VALUE"""),44586.2243564351)</f>
        <v>44586.22436</v>
      </c>
      <c r="D1853" s="15">
        <f>IFERROR(__xludf.DUMMYFUNCTION("""COMPUTED_VALUE"""),1.005)</f>
        <v>1.005</v>
      </c>
      <c r="E1853" s="16">
        <f>IFERROR(__xludf.DUMMYFUNCTION("""COMPUTED_VALUE"""),66.0)</f>
        <v>66</v>
      </c>
      <c r="F1853" s="19" t="str">
        <f>IFERROR(__xludf.DUMMYFUNCTION("""COMPUTED_VALUE"""),"BLACK")</f>
        <v>BLACK</v>
      </c>
      <c r="G1853" s="20" t="str">
        <f>IFERROR(__xludf.DUMMYFUNCTION("""COMPUTED_VALUE"""),"Uncle Sams Cider (11/12/2021) 02")</f>
        <v>Uncle Sams Cider (11/12/2021) 02</v>
      </c>
      <c r="H1853" s="19"/>
    </row>
    <row r="1854">
      <c r="A1854" s="9"/>
      <c r="B1854" s="15"/>
      <c r="C1854" s="9">
        <f>IFERROR(__xludf.DUMMYFUNCTION("""COMPUTED_VALUE"""),44586.2139350694)</f>
        <v>44586.21394</v>
      </c>
      <c r="D1854" s="15">
        <f>IFERROR(__xludf.DUMMYFUNCTION("""COMPUTED_VALUE"""),1.005)</f>
        <v>1.005</v>
      </c>
      <c r="E1854" s="16">
        <f>IFERROR(__xludf.DUMMYFUNCTION("""COMPUTED_VALUE"""),66.0)</f>
        <v>66</v>
      </c>
      <c r="F1854" s="19" t="str">
        <f>IFERROR(__xludf.DUMMYFUNCTION("""COMPUTED_VALUE"""),"BLACK")</f>
        <v>BLACK</v>
      </c>
      <c r="G1854" s="20" t="str">
        <f>IFERROR(__xludf.DUMMYFUNCTION("""COMPUTED_VALUE"""),"Uncle Sams Cider (11/12/2021) 02")</f>
        <v>Uncle Sams Cider (11/12/2021) 02</v>
      </c>
      <c r="H1854" s="19"/>
    </row>
    <row r="1855">
      <c r="A1855" s="9"/>
      <c r="B1855" s="15"/>
      <c r="C1855" s="9">
        <f>IFERROR(__xludf.DUMMYFUNCTION("""COMPUTED_VALUE"""),44586.2035123495)</f>
        <v>44586.20351</v>
      </c>
      <c r="D1855" s="15">
        <f>IFERROR(__xludf.DUMMYFUNCTION("""COMPUTED_VALUE"""),1.005)</f>
        <v>1.005</v>
      </c>
      <c r="E1855" s="16">
        <f>IFERROR(__xludf.DUMMYFUNCTION("""COMPUTED_VALUE"""),66.0)</f>
        <v>66</v>
      </c>
      <c r="F1855" s="19" t="str">
        <f>IFERROR(__xludf.DUMMYFUNCTION("""COMPUTED_VALUE"""),"BLACK")</f>
        <v>BLACK</v>
      </c>
      <c r="G1855" s="20" t="str">
        <f>IFERROR(__xludf.DUMMYFUNCTION("""COMPUTED_VALUE"""),"Uncle Sams Cider (11/12/2021) 02")</f>
        <v>Uncle Sams Cider (11/12/2021) 02</v>
      </c>
      <c r="H1855" s="19"/>
    </row>
    <row r="1856">
      <c r="A1856" s="9"/>
      <c r="B1856" s="15"/>
      <c r="C1856" s="9">
        <f>IFERROR(__xludf.DUMMYFUNCTION("""COMPUTED_VALUE"""),44586.1930800578)</f>
        <v>44586.19308</v>
      </c>
      <c r="D1856" s="15">
        <f>IFERROR(__xludf.DUMMYFUNCTION("""COMPUTED_VALUE"""),1.005)</f>
        <v>1.005</v>
      </c>
      <c r="E1856" s="16">
        <f>IFERROR(__xludf.DUMMYFUNCTION("""COMPUTED_VALUE"""),66.0)</f>
        <v>66</v>
      </c>
      <c r="F1856" s="19" t="str">
        <f>IFERROR(__xludf.DUMMYFUNCTION("""COMPUTED_VALUE"""),"BLACK")</f>
        <v>BLACK</v>
      </c>
      <c r="G1856" s="20" t="str">
        <f>IFERROR(__xludf.DUMMYFUNCTION("""COMPUTED_VALUE"""),"Uncle Sams Cider (11/12/2021) 02")</f>
        <v>Uncle Sams Cider (11/12/2021) 02</v>
      </c>
      <c r="H1856" s="19"/>
    </row>
    <row r="1857">
      <c r="A1857" s="9"/>
      <c r="B1857" s="15"/>
      <c r="C1857" s="9">
        <f>IFERROR(__xludf.DUMMYFUNCTION("""COMPUTED_VALUE"""),44586.1826124768)</f>
        <v>44586.18261</v>
      </c>
      <c r="D1857" s="15">
        <f>IFERROR(__xludf.DUMMYFUNCTION("""COMPUTED_VALUE"""),1.005)</f>
        <v>1.005</v>
      </c>
      <c r="E1857" s="16">
        <f>IFERROR(__xludf.DUMMYFUNCTION("""COMPUTED_VALUE"""),66.0)</f>
        <v>66</v>
      </c>
      <c r="F1857" s="19" t="str">
        <f>IFERROR(__xludf.DUMMYFUNCTION("""COMPUTED_VALUE"""),"BLACK")</f>
        <v>BLACK</v>
      </c>
      <c r="G1857" s="20" t="str">
        <f>IFERROR(__xludf.DUMMYFUNCTION("""COMPUTED_VALUE"""),"Uncle Sams Cider (11/12/2021) 02")</f>
        <v>Uncle Sams Cider (11/12/2021) 02</v>
      </c>
      <c r="H1857" s="19"/>
    </row>
    <row r="1858">
      <c r="A1858" s="9"/>
      <c r="B1858" s="15"/>
      <c r="C1858" s="9">
        <f>IFERROR(__xludf.DUMMYFUNCTION("""COMPUTED_VALUE"""),44586.1721915277)</f>
        <v>44586.17219</v>
      </c>
      <c r="D1858" s="15">
        <f>IFERROR(__xludf.DUMMYFUNCTION("""COMPUTED_VALUE"""),1.005)</f>
        <v>1.005</v>
      </c>
      <c r="E1858" s="16">
        <f>IFERROR(__xludf.DUMMYFUNCTION("""COMPUTED_VALUE"""),66.0)</f>
        <v>66</v>
      </c>
      <c r="F1858" s="19" t="str">
        <f>IFERROR(__xludf.DUMMYFUNCTION("""COMPUTED_VALUE"""),"BLACK")</f>
        <v>BLACK</v>
      </c>
      <c r="G1858" s="20" t="str">
        <f>IFERROR(__xludf.DUMMYFUNCTION("""COMPUTED_VALUE"""),"Uncle Sams Cider (11/12/2021) 02")</f>
        <v>Uncle Sams Cider (11/12/2021) 02</v>
      </c>
      <c r="H1858" s="19"/>
    </row>
    <row r="1859">
      <c r="A1859" s="9"/>
      <c r="B1859" s="15"/>
      <c r="C1859" s="9">
        <f>IFERROR(__xludf.DUMMYFUNCTION("""COMPUTED_VALUE"""),44586.1617703009)</f>
        <v>44586.16177</v>
      </c>
      <c r="D1859" s="15">
        <f>IFERROR(__xludf.DUMMYFUNCTION("""COMPUTED_VALUE"""),1.005)</f>
        <v>1.005</v>
      </c>
      <c r="E1859" s="16">
        <f>IFERROR(__xludf.DUMMYFUNCTION("""COMPUTED_VALUE"""),66.0)</f>
        <v>66</v>
      </c>
      <c r="F1859" s="19" t="str">
        <f>IFERROR(__xludf.DUMMYFUNCTION("""COMPUTED_VALUE"""),"BLACK")</f>
        <v>BLACK</v>
      </c>
      <c r="G1859" s="20" t="str">
        <f>IFERROR(__xludf.DUMMYFUNCTION("""COMPUTED_VALUE"""),"Uncle Sams Cider (11/12/2021) 02")</f>
        <v>Uncle Sams Cider (11/12/2021) 02</v>
      </c>
      <c r="H1859" s="19"/>
    </row>
    <row r="1860">
      <c r="A1860" s="9"/>
      <c r="B1860" s="15"/>
      <c r="C1860" s="9">
        <f>IFERROR(__xludf.DUMMYFUNCTION("""COMPUTED_VALUE"""),44586.1513485763)</f>
        <v>44586.15135</v>
      </c>
      <c r="D1860" s="15">
        <f>IFERROR(__xludf.DUMMYFUNCTION("""COMPUTED_VALUE"""),1.005)</f>
        <v>1.005</v>
      </c>
      <c r="E1860" s="16">
        <f>IFERROR(__xludf.DUMMYFUNCTION("""COMPUTED_VALUE"""),66.0)</f>
        <v>66</v>
      </c>
      <c r="F1860" s="19" t="str">
        <f>IFERROR(__xludf.DUMMYFUNCTION("""COMPUTED_VALUE"""),"BLACK")</f>
        <v>BLACK</v>
      </c>
      <c r="G1860" s="20" t="str">
        <f>IFERROR(__xludf.DUMMYFUNCTION("""COMPUTED_VALUE"""),"Uncle Sams Cider (11/12/2021) 02")</f>
        <v>Uncle Sams Cider (11/12/2021) 02</v>
      </c>
      <c r="H1860" s="19"/>
    </row>
    <row r="1861">
      <c r="A1861" s="9"/>
      <c r="B1861" s="15"/>
      <c r="C1861" s="9">
        <f>IFERROR(__xludf.DUMMYFUNCTION("""COMPUTED_VALUE"""),44586.1409166666)</f>
        <v>44586.14092</v>
      </c>
      <c r="D1861" s="15">
        <f>IFERROR(__xludf.DUMMYFUNCTION("""COMPUTED_VALUE"""),1.005)</f>
        <v>1.005</v>
      </c>
      <c r="E1861" s="16">
        <f>IFERROR(__xludf.DUMMYFUNCTION("""COMPUTED_VALUE"""),67.0)</f>
        <v>67</v>
      </c>
      <c r="F1861" s="19" t="str">
        <f>IFERROR(__xludf.DUMMYFUNCTION("""COMPUTED_VALUE"""),"BLACK")</f>
        <v>BLACK</v>
      </c>
      <c r="G1861" s="20" t="str">
        <f>IFERROR(__xludf.DUMMYFUNCTION("""COMPUTED_VALUE"""),"Uncle Sams Cider (11/12/2021) 02")</f>
        <v>Uncle Sams Cider (11/12/2021) 02</v>
      </c>
      <c r="H1861" s="19"/>
    </row>
    <row r="1862">
      <c r="A1862" s="9"/>
      <c r="B1862" s="15"/>
      <c r="C1862" s="9">
        <f>IFERROR(__xludf.DUMMYFUNCTION("""COMPUTED_VALUE"""),44586.1304959722)</f>
        <v>44586.1305</v>
      </c>
      <c r="D1862" s="15">
        <f>IFERROR(__xludf.DUMMYFUNCTION("""COMPUTED_VALUE"""),1.005)</f>
        <v>1.005</v>
      </c>
      <c r="E1862" s="16">
        <f>IFERROR(__xludf.DUMMYFUNCTION("""COMPUTED_VALUE"""),67.0)</f>
        <v>67</v>
      </c>
      <c r="F1862" s="19" t="str">
        <f>IFERROR(__xludf.DUMMYFUNCTION("""COMPUTED_VALUE"""),"BLACK")</f>
        <v>BLACK</v>
      </c>
      <c r="G1862" s="20" t="str">
        <f>IFERROR(__xludf.DUMMYFUNCTION("""COMPUTED_VALUE"""),"Uncle Sams Cider (11/12/2021) 02")</f>
        <v>Uncle Sams Cider (11/12/2021) 02</v>
      </c>
      <c r="H1862" s="19"/>
    </row>
    <row r="1863">
      <c r="A1863" s="9"/>
      <c r="B1863" s="15"/>
      <c r="C1863" s="9">
        <f>IFERROR(__xludf.DUMMYFUNCTION("""COMPUTED_VALUE"""),44586.1200741782)</f>
        <v>44586.12007</v>
      </c>
      <c r="D1863" s="15">
        <f>IFERROR(__xludf.DUMMYFUNCTION("""COMPUTED_VALUE"""),1.005)</f>
        <v>1.005</v>
      </c>
      <c r="E1863" s="16">
        <f>IFERROR(__xludf.DUMMYFUNCTION("""COMPUTED_VALUE"""),67.0)</f>
        <v>67</v>
      </c>
      <c r="F1863" s="19" t="str">
        <f>IFERROR(__xludf.DUMMYFUNCTION("""COMPUTED_VALUE"""),"BLACK")</f>
        <v>BLACK</v>
      </c>
      <c r="G1863" s="20" t="str">
        <f>IFERROR(__xludf.DUMMYFUNCTION("""COMPUTED_VALUE"""),"Uncle Sams Cider (11/12/2021) 02")</f>
        <v>Uncle Sams Cider (11/12/2021) 02</v>
      </c>
      <c r="H1863" s="19"/>
    </row>
    <row r="1864">
      <c r="A1864" s="9"/>
      <c r="B1864" s="15"/>
      <c r="C1864" s="9">
        <f>IFERROR(__xludf.DUMMYFUNCTION("""COMPUTED_VALUE"""),44586.1096506828)</f>
        <v>44586.10965</v>
      </c>
      <c r="D1864" s="15">
        <f>IFERROR(__xludf.DUMMYFUNCTION("""COMPUTED_VALUE"""),1.005)</f>
        <v>1.005</v>
      </c>
      <c r="E1864" s="16">
        <f>IFERROR(__xludf.DUMMYFUNCTION("""COMPUTED_VALUE"""),67.0)</f>
        <v>67</v>
      </c>
      <c r="F1864" s="19" t="str">
        <f>IFERROR(__xludf.DUMMYFUNCTION("""COMPUTED_VALUE"""),"BLACK")</f>
        <v>BLACK</v>
      </c>
      <c r="G1864" s="20" t="str">
        <f>IFERROR(__xludf.DUMMYFUNCTION("""COMPUTED_VALUE"""),"Uncle Sams Cider (11/12/2021) 02")</f>
        <v>Uncle Sams Cider (11/12/2021) 02</v>
      </c>
      <c r="H1864" s="19"/>
    </row>
    <row r="1865">
      <c r="A1865" s="9"/>
      <c r="B1865" s="15"/>
      <c r="C1865" s="9">
        <f>IFERROR(__xludf.DUMMYFUNCTION("""COMPUTED_VALUE"""),44586.0991940509)</f>
        <v>44586.09919</v>
      </c>
      <c r="D1865" s="15">
        <f>IFERROR(__xludf.DUMMYFUNCTION("""COMPUTED_VALUE"""),1.005)</f>
        <v>1.005</v>
      </c>
      <c r="E1865" s="16">
        <f>IFERROR(__xludf.DUMMYFUNCTION("""COMPUTED_VALUE"""),67.0)</f>
        <v>67</v>
      </c>
      <c r="F1865" s="19" t="str">
        <f>IFERROR(__xludf.DUMMYFUNCTION("""COMPUTED_VALUE"""),"BLACK")</f>
        <v>BLACK</v>
      </c>
      <c r="G1865" s="20" t="str">
        <f>IFERROR(__xludf.DUMMYFUNCTION("""COMPUTED_VALUE"""),"Uncle Sams Cider (11/12/2021) 02")</f>
        <v>Uncle Sams Cider (11/12/2021) 02</v>
      </c>
      <c r="H1865" s="19"/>
    </row>
    <row r="1866">
      <c r="A1866" s="9"/>
      <c r="B1866" s="15"/>
      <c r="C1866" s="9">
        <f>IFERROR(__xludf.DUMMYFUNCTION("""COMPUTED_VALUE"""),44586.0887395601)</f>
        <v>44586.08874</v>
      </c>
      <c r="D1866" s="15">
        <f>IFERROR(__xludf.DUMMYFUNCTION("""COMPUTED_VALUE"""),1.005)</f>
        <v>1.005</v>
      </c>
      <c r="E1866" s="16">
        <f>IFERROR(__xludf.DUMMYFUNCTION("""COMPUTED_VALUE"""),67.0)</f>
        <v>67</v>
      </c>
      <c r="F1866" s="19" t="str">
        <f>IFERROR(__xludf.DUMMYFUNCTION("""COMPUTED_VALUE"""),"BLACK")</f>
        <v>BLACK</v>
      </c>
      <c r="G1866" s="20" t="str">
        <f>IFERROR(__xludf.DUMMYFUNCTION("""COMPUTED_VALUE"""),"Uncle Sams Cider (11/12/2021) 02")</f>
        <v>Uncle Sams Cider (11/12/2021) 02</v>
      </c>
      <c r="H1866" s="19"/>
    </row>
    <row r="1867">
      <c r="A1867" s="9"/>
      <c r="B1867" s="15"/>
      <c r="C1867" s="9">
        <f>IFERROR(__xludf.DUMMYFUNCTION("""COMPUTED_VALUE"""),44586.07831853)</f>
        <v>44586.07832</v>
      </c>
      <c r="D1867" s="15">
        <f>IFERROR(__xludf.DUMMYFUNCTION("""COMPUTED_VALUE"""),1.005)</f>
        <v>1.005</v>
      </c>
      <c r="E1867" s="16">
        <f>IFERROR(__xludf.DUMMYFUNCTION("""COMPUTED_VALUE"""),67.0)</f>
        <v>67</v>
      </c>
      <c r="F1867" s="19" t="str">
        <f>IFERROR(__xludf.DUMMYFUNCTION("""COMPUTED_VALUE"""),"BLACK")</f>
        <v>BLACK</v>
      </c>
      <c r="G1867" s="20" t="str">
        <f>IFERROR(__xludf.DUMMYFUNCTION("""COMPUTED_VALUE"""),"Uncle Sams Cider (11/12/2021) 02")</f>
        <v>Uncle Sams Cider (11/12/2021) 02</v>
      </c>
      <c r="H1867" s="19"/>
    </row>
    <row r="1868">
      <c r="A1868" s="9"/>
      <c r="B1868" s="15"/>
      <c r="C1868" s="9">
        <f>IFERROR(__xludf.DUMMYFUNCTION("""COMPUTED_VALUE"""),44586.0678981597)</f>
        <v>44586.0679</v>
      </c>
      <c r="D1868" s="15">
        <f>IFERROR(__xludf.DUMMYFUNCTION("""COMPUTED_VALUE"""),1.005)</f>
        <v>1.005</v>
      </c>
      <c r="E1868" s="16">
        <f>IFERROR(__xludf.DUMMYFUNCTION("""COMPUTED_VALUE"""),67.0)</f>
        <v>67</v>
      </c>
      <c r="F1868" s="19" t="str">
        <f>IFERROR(__xludf.DUMMYFUNCTION("""COMPUTED_VALUE"""),"BLACK")</f>
        <v>BLACK</v>
      </c>
      <c r="G1868" s="20" t="str">
        <f>IFERROR(__xludf.DUMMYFUNCTION("""COMPUTED_VALUE"""),"Uncle Sams Cider (11/12/2021) 02")</f>
        <v>Uncle Sams Cider (11/12/2021) 02</v>
      </c>
      <c r="H1868" s="19"/>
    </row>
    <row r="1869">
      <c r="A1869" s="9"/>
      <c r="B1869" s="15"/>
      <c r="C1869" s="9">
        <f>IFERROR(__xludf.DUMMYFUNCTION("""COMPUTED_VALUE"""),44586.0574543287)</f>
        <v>44586.05745</v>
      </c>
      <c r="D1869" s="15">
        <f>IFERROR(__xludf.DUMMYFUNCTION("""COMPUTED_VALUE"""),1.005)</f>
        <v>1.005</v>
      </c>
      <c r="E1869" s="16">
        <f>IFERROR(__xludf.DUMMYFUNCTION("""COMPUTED_VALUE"""),67.0)</f>
        <v>67</v>
      </c>
      <c r="F1869" s="19" t="str">
        <f>IFERROR(__xludf.DUMMYFUNCTION("""COMPUTED_VALUE"""),"BLACK")</f>
        <v>BLACK</v>
      </c>
      <c r="G1869" s="20" t="str">
        <f>IFERROR(__xludf.DUMMYFUNCTION("""COMPUTED_VALUE"""),"Uncle Sams Cider (11/12/2021) 02")</f>
        <v>Uncle Sams Cider (11/12/2021) 02</v>
      </c>
      <c r="H1869" s="19"/>
    </row>
    <row r="1870">
      <c r="A1870" s="9"/>
      <c r="B1870" s="15"/>
      <c r="C1870" s="9">
        <f>IFERROR(__xludf.DUMMYFUNCTION("""COMPUTED_VALUE"""),44586.0470335416)</f>
        <v>44586.04703</v>
      </c>
      <c r="D1870" s="15">
        <f>IFERROR(__xludf.DUMMYFUNCTION("""COMPUTED_VALUE"""),1.005)</f>
        <v>1.005</v>
      </c>
      <c r="E1870" s="16">
        <f>IFERROR(__xludf.DUMMYFUNCTION("""COMPUTED_VALUE"""),67.0)</f>
        <v>67</v>
      </c>
      <c r="F1870" s="19" t="str">
        <f>IFERROR(__xludf.DUMMYFUNCTION("""COMPUTED_VALUE"""),"BLACK")</f>
        <v>BLACK</v>
      </c>
      <c r="G1870" s="20" t="str">
        <f>IFERROR(__xludf.DUMMYFUNCTION("""COMPUTED_VALUE"""),"Uncle Sams Cider (11/12/2021) 02")</f>
        <v>Uncle Sams Cider (11/12/2021) 02</v>
      </c>
      <c r="H1870" s="19"/>
    </row>
    <row r="1871">
      <c r="A1871" s="9"/>
      <c r="B1871" s="15"/>
      <c r="C1871" s="9">
        <f>IFERROR(__xludf.DUMMYFUNCTION("""COMPUTED_VALUE"""),44586.0366126851)</f>
        <v>44586.03661</v>
      </c>
      <c r="D1871" s="15">
        <f>IFERROR(__xludf.DUMMYFUNCTION("""COMPUTED_VALUE"""),1.005)</f>
        <v>1.005</v>
      </c>
      <c r="E1871" s="16">
        <f>IFERROR(__xludf.DUMMYFUNCTION("""COMPUTED_VALUE"""),67.0)</f>
        <v>67</v>
      </c>
      <c r="F1871" s="19" t="str">
        <f>IFERROR(__xludf.DUMMYFUNCTION("""COMPUTED_VALUE"""),"BLACK")</f>
        <v>BLACK</v>
      </c>
      <c r="G1871" s="20" t="str">
        <f>IFERROR(__xludf.DUMMYFUNCTION("""COMPUTED_VALUE"""),"Uncle Sams Cider (11/12/2021) 02")</f>
        <v>Uncle Sams Cider (11/12/2021) 02</v>
      </c>
      <c r="H1871" s="19"/>
    </row>
    <row r="1872">
      <c r="A1872" s="9"/>
      <c r="B1872" s="15"/>
      <c r="C1872" s="9">
        <f>IFERROR(__xludf.DUMMYFUNCTION("""COMPUTED_VALUE"""),44586.0261894907)</f>
        <v>44586.02619</v>
      </c>
      <c r="D1872" s="15">
        <f>IFERROR(__xludf.DUMMYFUNCTION("""COMPUTED_VALUE"""),1.005)</f>
        <v>1.005</v>
      </c>
      <c r="E1872" s="16">
        <f>IFERROR(__xludf.DUMMYFUNCTION("""COMPUTED_VALUE"""),67.0)</f>
        <v>67</v>
      </c>
      <c r="F1872" s="19" t="str">
        <f>IFERROR(__xludf.DUMMYFUNCTION("""COMPUTED_VALUE"""),"BLACK")</f>
        <v>BLACK</v>
      </c>
      <c r="G1872" s="20" t="str">
        <f>IFERROR(__xludf.DUMMYFUNCTION("""COMPUTED_VALUE"""),"Uncle Sams Cider (11/12/2021) 02")</f>
        <v>Uncle Sams Cider (11/12/2021) 02</v>
      </c>
      <c r="H1872" s="19"/>
    </row>
    <row r="1873">
      <c r="A1873" s="9"/>
      <c r="B1873" s="15"/>
      <c r="C1873" s="9">
        <f>IFERROR(__xludf.DUMMYFUNCTION("""COMPUTED_VALUE"""),44586.0157677199)</f>
        <v>44586.01577</v>
      </c>
      <c r="D1873" s="15">
        <f>IFERROR(__xludf.DUMMYFUNCTION("""COMPUTED_VALUE"""),1.005)</f>
        <v>1.005</v>
      </c>
      <c r="E1873" s="16">
        <f>IFERROR(__xludf.DUMMYFUNCTION("""COMPUTED_VALUE"""),67.0)</f>
        <v>67</v>
      </c>
      <c r="F1873" s="19" t="str">
        <f>IFERROR(__xludf.DUMMYFUNCTION("""COMPUTED_VALUE"""),"BLACK")</f>
        <v>BLACK</v>
      </c>
      <c r="G1873" s="20" t="str">
        <f>IFERROR(__xludf.DUMMYFUNCTION("""COMPUTED_VALUE"""),"Uncle Sams Cider (11/12/2021) 02")</f>
        <v>Uncle Sams Cider (11/12/2021) 02</v>
      </c>
      <c r="H1873" s="19"/>
    </row>
    <row r="1874">
      <c r="A1874" s="9"/>
      <c r="B1874" s="15"/>
      <c r="C1874" s="9">
        <f>IFERROR(__xludf.DUMMYFUNCTION("""COMPUTED_VALUE"""),44586.0053478009)</f>
        <v>44586.00535</v>
      </c>
      <c r="D1874" s="15">
        <f>IFERROR(__xludf.DUMMYFUNCTION("""COMPUTED_VALUE"""),1.005)</f>
        <v>1.005</v>
      </c>
      <c r="E1874" s="16">
        <f>IFERROR(__xludf.DUMMYFUNCTION("""COMPUTED_VALUE"""),67.0)</f>
        <v>67</v>
      </c>
      <c r="F1874" s="19" t="str">
        <f>IFERROR(__xludf.DUMMYFUNCTION("""COMPUTED_VALUE"""),"BLACK")</f>
        <v>BLACK</v>
      </c>
      <c r="G1874" s="20" t="str">
        <f>IFERROR(__xludf.DUMMYFUNCTION("""COMPUTED_VALUE"""),"Uncle Sams Cider (11/12/2021) 02")</f>
        <v>Uncle Sams Cider (11/12/2021) 02</v>
      </c>
      <c r="H1874" s="19"/>
    </row>
    <row r="1875">
      <c r="A1875" s="9"/>
      <c r="B1875" s="15"/>
      <c r="C1875" s="9">
        <f>IFERROR(__xludf.DUMMYFUNCTION("""COMPUTED_VALUE"""),44585.9949160879)</f>
        <v>44585.99492</v>
      </c>
      <c r="D1875" s="15">
        <f>IFERROR(__xludf.DUMMYFUNCTION("""COMPUTED_VALUE"""),1.005)</f>
        <v>1.005</v>
      </c>
      <c r="E1875" s="16">
        <f>IFERROR(__xludf.DUMMYFUNCTION("""COMPUTED_VALUE"""),67.0)</f>
        <v>67</v>
      </c>
      <c r="F1875" s="19" t="str">
        <f>IFERROR(__xludf.DUMMYFUNCTION("""COMPUTED_VALUE"""),"BLACK")</f>
        <v>BLACK</v>
      </c>
      <c r="G1875" s="20" t="str">
        <f>IFERROR(__xludf.DUMMYFUNCTION("""COMPUTED_VALUE"""),"Uncle Sams Cider (11/12/2021) 02")</f>
        <v>Uncle Sams Cider (11/12/2021) 02</v>
      </c>
      <c r="H1875" s="19"/>
    </row>
    <row r="1876">
      <c r="A1876" s="9"/>
      <c r="B1876" s="15"/>
      <c r="C1876" s="9">
        <f>IFERROR(__xludf.DUMMYFUNCTION("""COMPUTED_VALUE"""),44585.9844841666)</f>
        <v>44585.98448</v>
      </c>
      <c r="D1876" s="15">
        <f>IFERROR(__xludf.DUMMYFUNCTION("""COMPUTED_VALUE"""),1.005)</f>
        <v>1.005</v>
      </c>
      <c r="E1876" s="16">
        <f>IFERROR(__xludf.DUMMYFUNCTION("""COMPUTED_VALUE"""),67.0)</f>
        <v>67</v>
      </c>
      <c r="F1876" s="19" t="str">
        <f>IFERROR(__xludf.DUMMYFUNCTION("""COMPUTED_VALUE"""),"BLACK")</f>
        <v>BLACK</v>
      </c>
      <c r="G1876" s="20" t="str">
        <f>IFERROR(__xludf.DUMMYFUNCTION("""COMPUTED_VALUE"""),"Uncle Sams Cider (11/12/2021) 02")</f>
        <v>Uncle Sams Cider (11/12/2021) 02</v>
      </c>
      <c r="H1876" s="19"/>
    </row>
    <row r="1877">
      <c r="A1877" s="9"/>
      <c r="B1877" s="15"/>
      <c r="C1877" s="9">
        <f>IFERROR(__xludf.DUMMYFUNCTION("""COMPUTED_VALUE"""),44585.9740269097)</f>
        <v>44585.97403</v>
      </c>
      <c r="D1877" s="15">
        <f>IFERROR(__xludf.DUMMYFUNCTION("""COMPUTED_VALUE"""),1.005)</f>
        <v>1.005</v>
      </c>
      <c r="E1877" s="16">
        <f>IFERROR(__xludf.DUMMYFUNCTION("""COMPUTED_VALUE"""),67.0)</f>
        <v>67</v>
      </c>
      <c r="F1877" s="19" t="str">
        <f>IFERROR(__xludf.DUMMYFUNCTION("""COMPUTED_VALUE"""),"BLACK")</f>
        <v>BLACK</v>
      </c>
      <c r="G1877" s="20" t="str">
        <f>IFERROR(__xludf.DUMMYFUNCTION("""COMPUTED_VALUE"""),"Uncle Sams Cider (11/12/2021) 02")</f>
        <v>Uncle Sams Cider (11/12/2021) 02</v>
      </c>
      <c r="H1877" s="19"/>
    </row>
    <row r="1878">
      <c r="A1878" s="9"/>
      <c r="B1878" s="15"/>
      <c r="C1878" s="9">
        <f>IFERROR(__xludf.DUMMYFUNCTION("""COMPUTED_VALUE"""),44585.9636062152)</f>
        <v>44585.96361</v>
      </c>
      <c r="D1878" s="15">
        <f>IFERROR(__xludf.DUMMYFUNCTION("""COMPUTED_VALUE"""),1.005)</f>
        <v>1.005</v>
      </c>
      <c r="E1878" s="16">
        <f>IFERROR(__xludf.DUMMYFUNCTION("""COMPUTED_VALUE"""),67.0)</f>
        <v>67</v>
      </c>
      <c r="F1878" s="19" t="str">
        <f>IFERROR(__xludf.DUMMYFUNCTION("""COMPUTED_VALUE"""),"BLACK")</f>
        <v>BLACK</v>
      </c>
      <c r="G1878" s="20" t="str">
        <f>IFERROR(__xludf.DUMMYFUNCTION("""COMPUTED_VALUE"""),"Uncle Sams Cider (11/12/2021) 02")</f>
        <v>Uncle Sams Cider (11/12/2021) 02</v>
      </c>
      <c r="H1878" s="19"/>
    </row>
    <row r="1879">
      <c r="A1879" s="9"/>
      <c r="B1879" s="15"/>
      <c r="C1879" s="9">
        <f>IFERROR(__xludf.DUMMYFUNCTION("""COMPUTED_VALUE"""),44585.9531855787)</f>
        <v>44585.95319</v>
      </c>
      <c r="D1879" s="15">
        <f>IFERROR(__xludf.DUMMYFUNCTION("""COMPUTED_VALUE"""),1.005)</f>
        <v>1.005</v>
      </c>
      <c r="E1879" s="16">
        <f>IFERROR(__xludf.DUMMYFUNCTION("""COMPUTED_VALUE"""),67.0)</f>
        <v>67</v>
      </c>
      <c r="F1879" s="19" t="str">
        <f>IFERROR(__xludf.DUMMYFUNCTION("""COMPUTED_VALUE"""),"BLACK")</f>
        <v>BLACK</v>
      </c>
      <c r="G1879" s="20" t="str">
        <f>IFERROR(__xludf.DUMMYFUNCTION("""COMPUTED_VALUE"""),"Uncle Sams Cider (11/12/2021) 02")</f>
        <v>Uncle Sams Cider (11/12/2021) 02</v>
      </c>
      <c r="H1879" s="19"/>
    </row>
    <row r="1880">
      <c r="A1880" s="9"/>
      <c r="B1880" s="15"/>
      <c r="C1880" s="9">
        <f>IFERROR(__xludf.DUMMYFUNCTION("""COMPUTED_VALUE"""),44585.9427649189)</f>
        <v>44585.94276</v>
      </c>
      <c r="D1880" s="15">
        <f>IFERROR(__xludf.DUMMYFUNCTION("""COMPUTED_VALUE"""),1.005)</f>
        <v>1.005</v>
      </c>
      <c r="E1880" s="16">
        <f>IFERROR(__xludf.DUMMYFUNCTION("""COMPUTED_VALUE"""),67.0)</f>
        <v>67</v>
      </c>
      <c r="F1880" s="19" t="str">
        <f>IFERROR(__xludf.DUMMYFUNCTION("""COMPUTED_VALUE"""),"BLACK")</f>
        <v>BLACK</v>
      </c>
      <c r="G1880" s="20" t="str">
        <f>IFERROR(__xludf.DUMMYFUNCTION("""COMPUTED_VALUE"""),"Uncle Sams Cider (11/12/2021) 02")</f>
        <v>Uncle Sams Cider (11/12/2021) 02</v>
      </c>
      <c r="H1880" s="19"/>
    </row>
    <row r="1881">
      <c r="A1881" s="9"/>
      <c r="B1881" s="15"/>
      <c r="C1881" s="9">
        <f>IFERROR(__xludf.DUMMYFUNCTION("""COMPUTED_VALUE"""),44585.9323442939)</f>
        <v>44585.93234</v>
      </c>
      <c r="D1881" s="15">
        <f>IFERROR(__xludf.DUMMYFUNCTION("""COMPUTED_VALUE"""),1.005)</f>
        <v>1.005</v>
      </c>
      <c r="E1881" s="16">
        <f>IFERROR(__xludf.DUMMYFUNCTION("""COMPUTED_VALUE"""),67.0)</f>
        <v>67</v>
      </c>
      <c r="F1881" s="19" t="str">
        <f>IFERROR(__xludf.DUMMYFUNCTION("""COMPUTED_VALUE"""),"BLACK")</f>
        <v>BLACK</v>
      </c>
      <c r="G1881" s="20" t="str">
        <f>IFERROR(__xludf.DUMMYFUNCTION("""COMPUTED_VALUE"""),"Uncle Sams Cider (11/12/2021) 02")</f>
        <v>Uncle Sams Cider (11/12/2021) 02</v>
      </c>
      <c r="H1881" s="19"/>
    </row>
    <row r="1882">
      <c r="A1882" s="9"/>
      <c r="B1882" s="15"/>
      <c r="C1882" s="9">
        <f>IFERROR(__xludf.DUMMYFUNCTION("""COMPUTED_VALUE"""),44585.9219222222)</f>
        <v>44585.92192</v>
      </c>
      <c r="D1882" s="15">
        <f>IFERROR(__xludf.DUMMYFUNCTION("""COMPUTED_VALUE"""),1.005)</f>
        <v>1.005</v>
      </c>
      <c r="E1882" s="16">
        <f>IFERROR(__xludf.DUMMYFUNCTION("""COMPUTED_VALUE"""),67.0)</f>
        <v>67</v>
      </c>
      <c r="F1882" s="19" t="str">
        <f>IFERROR(__xludf.DUMMYFUNCTION("""COMPUTED_VALUE"""),"BLACK")</f>
        <v>BLACK</v>
      </c>
      <c r="G1882" s="20" t="str">
        <f>IFERROR(__xludf.DUMMYFUNCTION("""COMPUTED_VALUE"""),"Uncle Sams Cider (11/12/2021) 02")</f>
        <v>Uncle Sams Cider (11/12/2021) 02</v>
      </c>
      <c r="H1882" s="19"/>
    </row>
    <row r="1883">
      <c r="A1883" s="9"/>
      <c r="B1883" s="15"/>
      <c r="C1883" s="9">
        <f>IFERROR(__xludf.DUMMYFUNCTION("""COMPUTED_VALUE"""),44585.9115001273)</f>
        <v>44585.9115</v>
      </c>
      <c r="D1883" s="15">
        <f>IFERROR(__xludf.DUMMYFUNCTION("""COMPUTED_VALUE"""),1.005)</f>
        <v>1.005</v>
      </c>
      <c r="E1883" s="16">
        <f>IFERROR(__xludf.DUMMYFUNCTION("""COMPUTED_VALUE"""),67.0)</f>
        <v>67</v>
      </c>
      <c r="F1883" s="19" t="str">
        <f>IFERROR(__xludf.DUMMYFUNCTION("""COMPUTED_VALUE"""),"BLACK")</f>
        <v>BLACK</v>
      </c>
      <c r="G1883" s="20" t="str">
        <f>IFERROR(__xludf.DUMMYFUNCTION("""COMPUTED_VALUE"""),"Uncle Sams Cider (11/12/2021) 02")</f>
        <v>Uncle Sams Cider (11/12/2021) 02</v>
      </c>
      <c r="H1883" s="19"/>
    </row>
    <row r="1884">
      <c r="A1884" s="9"/>
      <c r="B1884" s="15"/>
      <c r="C1884" s="9">
        <f>IFERROR(__xludf.DUMMYFUNCTION("""COMPUTED_VALUE"""),44585.9010774189)</f>
        <v>44585.90108</v>
      </c>
      <c r="D1884" s="15">
        <f>IFERROR(__xludf.DUMMYFUNCTION("""COMPUTED_VALUE"""),1.005)</f>
        <v>1.005</v>
      </c>
      <c r="E1884" s="16">
        <f>IFERROR(__xludf.DUMMYFUNCTION("""COMPUTED_VALUE"""),67.0)</f>
        <v>67</v>
      </c>
      <c r="F1884" s="19" t="str">
        <f>IFERROR(__xludf.DUMMYFUNCTION("""COMPUTED_VALUE"""),"BLACK")</f>
        <v>BLACK</v>
      </c>
      <c r="G1884" s="20" t="str">
        <f>IFERROR(__xludf.DUMMYFUNCTION("""COMPUTED_VALUE"""),"Uncle Sams Cider (11/12/2021) 02")</f>
        <v>Uncle Sams Cider (11/12/2021) 02</v>
      </c>
      <c r="H1884" s="19"/>
    </row>
    <row r="1885">
      <c r="A1885" s="9"/>
      <c r="B1885" s="15"/>
      <c r="C1885" s="9">
        <f>IFERROR(__xludf.DUMMYFUNCTION("""COMPUTED_VALUE"""),44585.8906570949)</f>
        <v>44585.89066</v>
      </c>
      <c r="D1885" s="15">
        <f>IFERROR(__xludf.DUMMYFUNCTION("""COMPUTED_VALUE"""),1.005)</f>
        <v>1.005</v>
      </c>
      <c r="E1885" s="16">
        <f>IFERROR(__xludf.DUMMYFUNCTION("""COMPUTED_VALUE"""),67.0)</f>
        <v>67</v>
      </c>
      <c r="F1885" s="19" t="str">
        <f>IFERROR(__xludf.DUMMYFUNCTION("""COMPUTED_VALUE"""),"BLACK")</f>
        <v>BLACK</v>
      </c>
      <c r="G1885" s="20" t="str">
        <f>IFERROR(__xludf.DUMMYFUNCTION("""COMPUTED_VALUE"""),"Uncle Sams Cider (11/12/2021) 02")</f>
        <v>Uncle Sams Cider (11/12/2021) 02</v>
      </c>
      <c r="H1885" s="19"/>
    </row>
    <row r="1886">
      <c r="A1886" s="9"/>
      <c r="B1886" s="15"/>
      <c r="C1886" s="9">
        <f>IFERROR(__xludf.DUMMYFUNCTION("""COMPUTED_VALUE"""),44585.8802237847)</f>
        <v>44585.88022</v>
      </c>
      <c r="D1886" s="15">
        <f>IFERROR(__xludf.DUMMYFUNCTION("""COMPUTED_VALUE"""),1.005)</f>
        <v>1.005</v>
      </c>
      <c r="E1886" s="16">
        <f>IFERROR(__xludf.DUMMYFUNCTION("""COMPUTED_VALUE"""),68.0)</f>
        <v>68</v>
      </c>
      <c r="F1886" s="19" t="str">
        <f>IFERROR(__xludf.DUMMYFUNCTION("""COMPUTED_VALUE"""),"BLACK")</f>
        <v>BLACK</v>
      </c>
      <c r="G1886" s="20" t="str">
        <f>IFERROR(__xludf.DUMMYFUNCTION("""COMPUTED_VALUE"""),"Uncle Sams Cider (11/12/2021) 02")</f>
        <v>Uncle Sams Cider (11/12/2021) 02</v>
      </c>
      <c r="H1886" s="19"/>
    </row>
    <row r="1887">
      <c r="A1887" s="9"/>
      <c r="B1887" s="15"/>
      <c r="C1887" s="9">
        <f>IFERROR(__xludf.DUMMYFUNCTION("""COMPUTED_VALUE"""),44585.8697784375)</f>
        <v>44585.86978</v>
      </c>
      <c r="D1887" s="15">
        <f>IFERROR(__xludf.DUMMYFUNCTION("""COMPUTED_VALUE"""),1.005)</f>
        <v>1.005</v>
      </c>
      <c r="E1887" s="16">
        <f>IFERROR(__xludf.DUMMYFUNCTION("""COMPUTED_VALUE"""),68.0)</f>
        <v>68</v>
      </c>
      <c r="F1887" s="19" t="str">
        <f>IFERROR(__xludf.DUMMYFUNCTION("""COMPUTED_VALUE"""),"BLACK")</f>
        <v>BLACK</v>
      </c>
      <c r="G1887" s="20" t="str">
        <f>IFERROR(__xludf.DUMMYFUNCTION("""COMPUTED_VALUE"""),"Uncle Sams Cider (11/12/2021) 02")</f>
        <v>Uncle Sams Cider (11/12/2021) 02</v>
      </c>
      <c r="H1887" s="19"/>
    </row>
    <row r="1888">
      <c r="A1888" s="9"/>
      <c r="B1888" s="15"/>
      <c r="C1888" s="9">
        <f>IFERROR(__xludf.DUMMYFUNCTION("""COMPUTED_VALUE"""),44585.8593236226)</f>
        <v>44585.85932</v>
      </c>
      <c r="D1888" s="15">
        <f>IFERROR(__xludf.DUMMYFUNCTION("""COMPUTED_VALUE"""),1.005)</f>
        <v>1.005</v>
      </c>
      <c r="E1888" s="16">
        <f>IFERROR(__xludf.DUMMYFUNCTION("""COMPUTED_VALUE"""),68.0)</f>
        <v>68</v>
      </c>
      <c r="F1888" s="19" t="str">
        <f>IFERROR(__xludf.DUMMYFUNCTION("""COMPUTED_VALUE"""),"BLACK")</f>
        <v>BLACK</v>
      </c>
      <c r="G1888" s="20" t="str">
        <f>IFERROR(__xludf.DUMMYFUNCTION("""COMPUTED_VALUE"""),"Uncle Sams Cider (11/12/2021) 02")</f>
        <v>Uncle Sams Cider (11/12/2021) 02</v>
      </c>
      <c r="H1888" s="19"/>
    </row>
    <row r="1889">
      <c r="A1889" s="9"/>
      <c r="B1889" s="15"/>
      <c r="C1889" s="9">
        <f>IFERROR(__xludf.DUMMYFUNCTION("""COMPUTED_VALUE"""),44585.8489008101)</f>
        <v>44585.8489</v>
      </c>
      <c r="D1889" s="15">
        <f>IFERROR(__xludf.DUMMYFUNCTION("""COMPUTED_VALUE"""),1.005)</f>
        <v>1.005</v>
      </c>
      <c r="E1889" s="16">
        <f>IFERROR(__xludf.DUMMYFUNCTION("""COMPUTED_VALUE"""),68.0)</f>
        <v>68</v>
      </c>
      <c r="F1889" s="19" t="str">
        <f>IFERROR(__xludf.DUMMYFUNCTION("""COMPUTED_VALUE"""),"BLACK")</f>
        <v>BLACK</v>
      </c>
      <c r="G1889" s="20" t="str">
        <f>IFERROR(__xludf.DUMMYFUNCTION("""COMPUTED_VALUE"""),"Uncle Sams Cider (11/12/2021) 02")</f>
        <v>Uncle Sams Cider (11/12/2021) 02</v>
      </c>
      <c r="H1889" s="19"/>
    </row>
    <row r="1890">
      <c r="A1890" s="9"/>
      <c r="B1890" s="15"/>
      <c r="C1890" s="9">
        <f>IFERROR(__xludf.DUMMYFUNCTION("""COMPUTED_VALUE"""),44585.8384783217)</f>
        <v>44585.83848</v>
      </c>
      <c r="D1890" s="15">
        <f>IFERROR(__xludf.DUMMYFUNCTION("""COMPUTED_VALUE"""),1.005)</f>
        <v>1.005</v>
      </c>
      <c r="E1890" s="16">
        <f>IFERROR(__xludf.DUMMYFUNCTION("""COMPUTED_VALUE"""),68.0)</f>
        <v>68</v>
      </c>
      <c r="F1890" s="19" t="str">
        <f>IFERROR(__xludf.DUMMYFUNCTION("""COMPUTED_VALUE"""),"BLACK")</f>
        <v>BLACK</v>
      </c>
      <c r="G1890" s="20" t="str">
        <f>IFERROR(__xludf.DUMMYFUNCTION("""COMPUTED_VALUE"""),"Uncle Sams Cider (11/12/2021) 02")</f>
        <v>Uncle Sams Cider (11/12/2021) 02</v>
      </c>
      <c r="H1890" s="19"/>
    </row>
    <row r="1891">
      <c r="A1891" s="9"/>
      <c r="B1891" s="15"/>
      <c r="C1891" s="9">
        <f>IFERROR(__xludf.DUMMYFUNCTION("""COMPUTED_VALUE"""),44585.8280591666)</f>
        <v>44585.82806</v>
      </c>
      <c r="D1891" s="15">
        <f>IFERROR(__xludf.DUMMYFUNCTION("""COMPUTED_VALUE"""),1.005)</f>
        <v>1.005</v>
      </c>
      <c r="E1891" s="16">
        <f>IFERROR(__xludf.DUMMYFUNCTION("""COMPUTED_VALUE"""),68.0)</f>
        <v>68</v>
      </c>
      <c r="F1891" s="19" t="str">
        <f>IFERROR(__xludf.DUMMYFUNCTION("""COMPUTED_VALUE"""),"BLACK")</f>
        <v>BLACK</v>
      </c>
      <c r="G1891" s="20" t="str">
        <f>IFERROR(__xludf.DUMMYFUNCTION("""COMPUTED_VALUE"""),"Uncle Sams Cider (11/12/2021) 02")</f>
        <v>Uncle Sams Cider (11/12/2021) 02</v>
      </c>
      <c r="H1891" s="19"/>
    </row>
    <row r="1892">
      <c r="A1892" s="9"/>
      <c r="B1892" s="15"/>
      <c r="C1892" s="9">
        <f>IFERROR(__xludf.DUMMYFUNCTION("""COMPUTED_VALUE"""),44585.8176377893)</f>
        <v>44585.81764</v>
      </c>
      <c r="D1892" s="15">
        <f>IFERROR(__xludf.DUMMYFUNCTION("""COMPUTED_VALUE"""),1.005)</f>
        <v>1.005</v>
      </c>
      <c r="E1892" s="16">
        <f>IFERROR(__xludf.DUMMYFUNCTION("""COMPUTED_VALUE"""),68.0)</f>
        <v>68</v>
      </c>
      <c r="F1892" s="19" t="str">
        <f>IFERROR(__xludf.DUMMYFUNCTION("""COMPUTED_VALUE"""),"BLACK")</f>
        <v>BLACK</v>
      </c>
      <c r="G1892" s="20" t="str">
        <f>IFERROR(__xludf.DUMMYFUNCTION("""COMPUTED_VALUE"""),"Uncle Sams Cider (11/12/2021) 02")</f>
        <v>Uncle Sams Cider (11/12/2021) 02</v>
      </c>
      <c r="H1892" s="19"/>
    </row>
    <row r="1893">
      <c r="A1893" s="9"/>
      <c r="B1893" s="15"/>
      <c r="C1893" s="9">
        <f>IFERROR(__xludf.DUMMYFUNCTION("""COMPUTED_VALUE"""),44585.8072158912)</f>
        <v>44585.80722</v>
      </c>
      <c r="D1893" s="15">
        <f>IFERROR(__xludf.DUMMYFUNCTION("""COMPUTED_VALUE"""),1.005)</f>
        <v>1.005</v>
      </c>
      <c r="E1893" s="16">
        <f>IFERROR(__xludf.DUMMYFUNCTION("""COMPUTED_VALUE"""),67.0)</f>
        <v>67</v>
      </c>
      <c r="F1893" s="19" t="str">
        <f>IFERROR(__xludf.DUMMYFUNCTION("""COMPUTED_VALUE"""),"BLACK")</f>
        <v>BLACK</v>
      </c>
      <c r="G1893" s="20" t="str">
        <f>IFERROR(__xludf.DUMMYFUNCTION("""COMPUTED_VALUE"""),"Uncle Sams Cider (11/12/2021) 02")</f>
        <v>Uncle Sams Cider (11/12/2021) 02</v>
      </c>
      <c r="H1893" s="19"/>
    </row>
    <row r="1894">
      <c r="A1894" s="9"/>
      <c r="B1894" s="15"/>
      <c r="C1894" s="9">
        <f>IFERROR(__xludf.DUMMYFUNCTION("""COMPUTED_VALUE"""),44585.7967828356)</f>
        <v>44585.79678</v>
      </c>
      <c r="D1894" s="15">
        <f>IFERROR(__xludf.DUMMYFUNCTION("""COMPUTED_VALUE"""),1.005)</f>
        <v>1.005</v>
      </c>
      <c r="E1894" s="16">
        <f>IFERROR(__xludf.DUMMYFUNCTION("""COMPUTED_VALUE"""),67.0)</f>
        <v>67</v>
      </c>
      <c r="F1894" s="19" t="str">
        <f>IFERROR(__xludf.DUMMYFUNCTION("""COMPUTED_VALUE"""),"BLACK")</f>
        <v>BLACK</v>
      </c>
      <c r="G1894" s="20" t="str">
        <f>IFERROR(__xludf.DUMMYFUNCTION("""COMPUTED_VALUE"""),"Uncle Sams Cider (11/12/2021) 02")</f>
        <v>Uncle Sams Cider (11/12/2021) 02</v>
      </c>
      <c r="H1894" s="19"/>
    </row>
    <row r="1895">
      <c r="A1895" s="9"/>
      <c r="B1895" s="15"/>
      <c r="C1895" s="9">
        <f>IFERROR(__xludf.DUMMYFUNCTION("""COMPUTED_VALUE"""),44585.7863502083)</f>
        <v>44585.78635</v>
      </c>
      <c r="D1895" s="15">
        <f>IFERROR(__xludf.DUMMYFUNCTION("""COMPUTED_VALUE"""),1.005)</f>
        <v>1.005</v>
      </c>
      <c r="E1895" s="16">
        <f>IFERROR(__xludf.DUMMYFUNCTION("""COMPUTED_VALUE"""),66.0)</f>
        <v>66</v>
      </c>
      <c r="F1895" s="19" t="str">
        <f>IFERROR(__xludf.DUMMYFUNCTION("""COMPUTED_VALUE"""),"BLACK")</f>
        <v>BLACK</v>
      </c>
      <c r="G1895" s="20" t="str">
        <f>IFERROR(__xludf.DUMMYFUNCTION("""COMPUTED_VALUE"""),"Uncle Sams Cider (11/12/2021) 02")</f>
        <v>Uncle Sams Cider (11/12/2021) 02</v>
      </c>
      <c r="H1895" s="19"/>
    </row>
    <row r="1896">
      <c r="A1896" s="9"/>
      <c r="B1896" s="15"/>
      <c r="C1896" s="9">
        <f>IFERROR(__xludf.DUMMYFUNCTION("""COMPUTED_VALUE"""),44585.7759299305)</f>
        <v>44585.77593</v>
      </c>
      <c r="D1896" s="15">
        <f>IFERROR(__xludf.DUMMYFUNCTION("""COMPUTED_VALUE"""),1.005)</f>
        <v>1.005</v>
      </c>
      <c r="E1896" s="16">
        <f>IFERROR(__xludf.DUMMYFUNCTION("""COMPUTED_VALUE"""),66.0)</f>
        <v>66</v>
      </c>
      <c r="F1896" s="19" t="str">
        <f>IFERROR(__xludf.DUMMYFUNCTION("""COMPUTED_VALUE"""),"BLACK")</f>
        <v>BLACK</v>
      </c>
      <c r="G1896" s="20" t="str">
        <f>IFERROR(__xludf.DUMMYFUNCTION("""COMPUTED_VALUE"""),"Uncle Sams Cider (11/12/2021) 02")</f>
        <v>Uncle Sams Cider (11/12/2021) 02</v>
      </c>
      <c r="H1896" s="19"/>
    </row>
    <row r="1897">
      <c r="A1897" s="9"/>
      <c r="B1897" s="15"/>
      <c r="C1897" s="9">
        <f>IFERROR(__xludf.DUMMYFUNCTION("""COMPUTED_VALUE"""),44585.7654952546)</f>
        <v>44585.7655</v>
      </c>
      <c r="D1897" s="15">
        <f>IFERROR(__xludf.DUMMYFUNCTION("""COMPUTED_VALUE"""),1.005)</f>
        <v>1.005</v>
      </c>
      <c r="E1897" s="16">
        <f>IFERROR(__xludf.DUMMYFUNCTION("""COMPUTED_VALUE"""),65.0)</f>
        <v>65</v>
      </c>
      <c r="F1897" s="19" t="str">
        <f>IFERROR(__xludf.DUMMYFUNCTION("""COMPUTED_VALUE"""),"BLACK")</f>
        <v>BLACK</v>
      </c>
      <c r="G1897" s="20" t="str">
        <f>IFERROR(__xludf.DUMMYFUNCTION("""COMPUTED_VALUE"""),"Uncle Sams Cider (11/12/2021) 02")</f>
        <v>Uncle Sams Cider (11/12/2021) 02</v>
      </c>
      <c r="H1897" s="19"/>
    </row>
    <row r="1898">
      <c r="A1898" s="9"/>
      <c r="B1898" s="15"/>
      <c r="C1898" s="9">
        <f>IFERROR(__xludf.DUMMYFUNCTION("""COMPUTED_VALUE"""),44585.7550734953)</f>
        <v>44585.75507</v>
      </c>
      <c r="D1898" s="15">
        <f>IFERROR(__xludf.DUMMYFUNCTION("""COMPUTED_VALUE"""),1.005)</f>
        <v>1.005</v>
      </c>
      <c r="E1898" s="16">
        <f>IFERROR(__xludf.DUMMYFUNCTION("""COMPUTED_VALUE"""),65.0)</f>
        <v>65</v>
      </c>
      <c r="F1898" s="19" t="str">
        <f>IFERROR(__xludf.DUMMYFUNCTION("""COMPUTED_VALUE"""),"BLACK")</f>
        <v>BLACK</v>
      </c>
      <c r="G1898" s="20" t="str">
        <f>IFERROR(__xludf.DUMMYFUNCTION("""COMPUTED_VALUE"""),"Uncle Sams Cider (11/12/2021) 02")</f>
        <v>Uncle Sams Cider (11/12/2021) 02</v>
      </c>
      <c r="H1898" s="19"/>
    </row>
    <row r="1899">
      <c r="A1899" s="9"/>
      <c r="B1899" s="15"/>
      <c r="C1899" s="9">
        <f>IFERROR(__xludf.DUMMYFUNCTION("""COMPUTED_VALUE"""),44585.7446498495)</f>
        <v>44585.74465</v>
      </c>
      <c r="D1899" s="15">
        <f>IFERROR(__xludf.DUMMYFUNCTION("""COMPUTED_VALUE"""),1.005)</f>
        <v>1.005</v>
      </c>
      <c r="E1899" s="16">
        <f>IFERROR(__xludf.DUMMYFUNCTION("""COMPUTED_VALUE"""),65.0)</f>
        <v>65</v>
      </c>
      <c r="F1899" s="19" t="str">
        <f>IFERROR(__xludf.DUMMYFUNCTION("""COMPUTED_VALUE"""),"BLACK")</f>
        <v>BLACK</v>
      </c>
      <c r="G1899" s="20" t="str">
        <f>IFERROR(__xludf.DUMMYFUNCTION("""COMPUTED_VALUE"""),"Uncle Sams Cider (11/12/2021) 02")</f>
        <v>Uncle Sams Cider (11/12/2021) 02</v>
      </c>
      <c r="H1899" s="19"/>
    </row>
    <row r="1900">
      <c r="A1900" s="9"/>
      <c r="B1900" s="15"/>
      <c r="C1900" s="9">
        <f>IFERROR(__xludf.DUMMYFUNCTION("""COMPUTED_VALUE"""),44585.7341937731)</f>
        <v>44585.73419</v>
      </c>
      <c r="D1900" s="15">
        <f>IFERROR(__xludf.DUMMYFUNCTION("""COMPUTED_VALUE"""),1.006)</f>
        <v>1.006</v>
      </c>
      <c r="E1900" s="16">
        <f>IFERROR(__xludf.DUMMYFUNCTION("""COMPUTED_VALUE"""),64.0)</f>
        <v>64</v>
      </c>
      <c r="F1900" s="19" t="str">
        <f>IFERROR(__xludf.DUMMYFUNCTION("""COMPUTED_VALUE"""),"BLACK")</f>
        <v>BLACK</v>
      </c>
      <c r="G1900" s="20" t="str">
        <f>IFERROR(__xludf.DUMMYFUNCTION("""COMPUTED_VALUE"""),"Uncle Sams Cider (11/12/2021) 02")</f>
        <v>Uncle Sams Cider (11/12/2021) 02</v>
      </c>
      <c r="H1900" s="19"/>
    </row>
    <row r="1901">
      <c r="A1901" s="9"/>
      <c r="B1901" s="15"/>
      <c r="C1901" s="9">
        <f>IFERROR(__xludf.DUMMYFUNCTION("""COMPUTED_VALUE"""),44585.7237723148)</f>
        <v>44585.72377</v>
      </c>
      <c r="D1901" s="15">
        <f>IFERROR(__xludf.DUMMYFUNCTION("""COMPUTED_VALUE"""),1.006)</f>
        <v>1.006</v>
      </c>
      <c r="E1901" s="16">
        <f>IFERROR(__xludf.DUMMYFUNCTION("""COMPUTED_VALUE"""),64.0)</f>
        <v>64</v>
      </c>
      <c r="F1901" s="19" t="str">
        <f>IFERROR(__xludf.DUMMYFUNCTION("""COMPUTED_VALUE"""),"BLACK")</f>
        <v>BLACK</v>
      </c>
      <c r="G1901" s="20" t="str">
        <f>IFERROR(__xludf.DUMMYFUNCTION("""COMPUTED_VALUE"""),"Uncle Sams Cider (11/12/2021) 02")</f>
        <v>Uncle Sams Cider (11/12/2021) 02</v>
      </c>
      <c r="H1901" s="19"/>
    </row>
    <row r="1902">
      <c r="A1902" s="9"/>
      <c r="B1902" s="15"/>
      <c r="C1902" s="9">
        <f>IFERROR(__xludf.DUMMYFUNCTION("""COMPUTED_VALUE"""),44585.7133513773)</f>
        <v>44585.71335</v>
      </c>
      <c r="D1902" s="15">
        <f>IFERROR(__xludf.DUMMYFUNCTION("""COMPUTED_VALUE"""),1.006)</f>
        <v>1.006</v>
      </c>
      <c r="E1902" s="16">
        <f>IFERROR(__xludf.DUMMYFUNCTION("""COMPUTED_VALUE"""),63.0)</f>
        <v>63</v>
      </c>
      <c r="F1902" s="19" t="str">
        <f>IFERROR(__xludf.DUMMYFUNCTION("""COMPUTED_VALUE"""),"BLACK")</f>
        <v>BLACK</v>
      </c>
      <c r="G1902" s="20" t="str">
        <f>IFERROR(__xludf.DUMMYFUNCTION("""COMPUTED_VALUE"""),"Uncle Sams Cider (11/12/2021) 02")</f>
        <v>Uncle Sams Cider (11/12/2021) 02</v>
      </c>
      <c r="H1902" s="19"/>
    </row>
    <row r="1903">
      <c r="A1903" s="9"/>
      <c r="B1903" s="15"/>
      <c r="C1903" s="9">
        <f>IFERROR(__xludf.DUMMYFUNCTION("""COMPUTED_VALUE"""),44585.7029186226)</f>
        <v>44585.70292</v>
      </c>
      <c r="D1903" s="15">
        <f>IFERROR(__xludf.DUMMYFUNCTION("""COMPUTED_VALUE"""),1.006)</f>
        <v>1.006</v>
      </c>
      <c r="E1903" s="16">
        <f>IFERROR(__xludf.DUMMYFUNCTION("""COMPUTED_VALUE"""),63.0)</f>
        <v>63</v>
      </c>
      <c r="F1903" s="19" t="str">
        <f>IFERROR(__xludf.DUMMYFUNCTION("""COMPUTED_VALUE"""),"BLACK")</f>
        <v>BLACK</v>
      </c>
      <c r="G1903" s="20" t="str">
        <f>IFERROR(__xludf.DUMMYFUNCTION("""COMPUTED_VALUE"""),"Uncle Sams Cider (11/12/2021) 02")</f>
        <v>Uncle Sams Cider (11/12/2021) 02</v>
      </c>
      <c r="H1903" s="19"/>
    </row>
    <row r="1904">
      <c r="A1904" s="9"/>
      <c r="B1904" s="15"/>
      <c r="C1904" s="9">
        <f>IFERROR(__xludf.DUMMYFUNCTION("""COMPUTED_VALUE"""),44585.692497199)</f>
        <v>44585.6925</v>
      </c>
      <c r="D1904" s="15">
        <f>IFERROR(__xludf.DUMMYFUNCTION("""COMPUTED_VALUE"""),1.006)</f>
        <v>1.006</v>
      </c>
      <c r="E1904" s="16">
        <f>IFERROR(__xludf.DUMMYFUNCTION("""COMPUTED_VALUE"""),63.0)</f>
        <v>63</v>
      </c>
      <c r="F1904" s="19" t="str">
        <f>IFERROR(__xludf.DUMMYFUNCTION("""COMPUTED_VALUE"""),"BLACK")</f>
        <v>BLACK</v>
      </c>
      <c r="G1904" s="20" t="str">
        <f>IFERROR(__xludf.DUMMYFUNCTION("""COMPUTED_VALUE"""),"Uncle Sams Cider (11/12/2021) 02")</f>
        <v>Uncle Sams Cider (11/12/2021) 02</v>
      </c>
      <c r="H1904" s="19"/>
    </row>
    <row r="1905">
      <c r="A1905" s="9"/>
      <c r="B1905" s="15"/>
      <c r="C1905" s="9">
        <f>IFERROR(__xludf.DUMMYFUNCTION("""COMPUTED_VALUE"""),44585.6820743402)</f>
        <v>44585.68207</v>
      </c>
      <c r="D1905" s="15">
        <f>IFERROR(__xludf.DUMMYFUNCTION("""COMPUTED_VALUE"""),1.006)</f>
        <v>1.006</v>
      </c>
      <c r="E1905" s="16">
        <f>IFERROR(__xludf.DUMMYFUNCTION("""COMPUTED_VALUE"""),63.0)</f>
        <v>63</v>
      </c>
      <c r="F1905" s="19" t="str">
        <f>IFERROR(__xludf.DUMMYFUNCTION("""COMPUTED_VALUE"""),"BLACK")</f>
        <v>BLACK</v>
      </c>
      <c r="G1905" s="20" t="str">
        <f>IFERROR(__xludf.DUMMYFUNCTION("""COMPUTED_VALUE"""),"Uncle Sams Cider (11/12/2021) 02")</f>
        <v>Uncle Sams Cider (11/12/2021) 02</v>
      </c>
      <c r="H1905" s="19"/>
    </row>
    <row r="1906">
      <c r="A1906" s="9"/>
      <c r="B1906" s="15"/>
      <c r="C1906" s="9">
        <f>IFERROR(__xludf.DUMMYFUNCTION("""COMPUTED_VALUE"""),44585.6716535069)</f>
        <v>44585.67165</v>
      </c>
      <c r="D1906" s="15">
        <f>IFERROR(__xludf.DUMMYFUNCTION("""COMPUTED_VALUE"""),1.006)</f>
        <v>1.006</v>
      </c>
      <c r="E1906" s="16">
        <f>IFERROR(__xludf.DUMMYFUNCTION("""COMPUTED_VALUE"""),63.0)</f>
        <v>63</v>
      </c>
      <c r="F1906" s="19" t="str">
        <f>IFERROR(__xludf.DUMMYFUNCTION("""COMPUTED_VALUE"""),"BLACK")</f>
        <v>BLACK</v>
      </c>
      <c r="G1906" s="20" t="str">
        <f>IFERROR(__xludf.DUMMYFUNCTION("""COMPUTED_VALUE"""),"Uncle Sams Cider (11/12/2021) 02")</f>
        <v>Uncle Sams Cider (11/12/2021) 02</v>
      </c>
      <c r="H1906" s="19"/>
    </row>
    <row r="1907">
      <c r="A1907" s="9"/>
      <c r="B1907" s="15"/>
      <c r="C1907" s="9">
        <f>IFERROR(__xludf.DUMMYFUNCTION("""COMPUTED_VALUE"""),44585.6612200462)</f>
        <v>44585.66122</v>
      </c>
      <c r="D1907" s="15">
        <f>IFERROR(__xludf.DUMMYFUNCTION("""COMPUTED_VALUE"""),1.006)</f>
        <v>1.006</v>
      </c>
      <c r="E1907" s="16">
        <f>IFERROR(__xludf.DUMMYFUNCTION("""COMPUTED_VALUE"""),63.0)</f>
        <v>63</v>
      </c>
      <c r="F1907" s="19" t="str">
        <f>IFERROR(__xludf.DUMMYFUNCTION("""COMPUTED_VALUE"""),"BLACK")</f>
        <v>BLACK</v>
      </c>
      <c r="G1907" s="20" t="str">
        <f>IFERROR(__xludf.DUMMYFUNCTION("""COMPUTED_VALUE"""),"Uncle Sams Cider (11/12/2021) 02")</f>
        <v>Uncle Sams Cider (11/12/2021) 02</v>
      </c>
      <c r="H1907" s="19"/>
    </row>
    <row r="1908">
      <c r="A1908" s="9"/>
      <c r="B1908" s="15"/>
      <c r="C1908" s="9">
        <f>IFERROR(__xludf.DUMMYFUNCTION("""COMPUTED_VALUE"""),44585.6507987731)</f>
        <v>44585.6508</v>
      </c>
      <c r="D1908" s="15">
        <f>IFERROR(__xludf.DUMMYFUNCTION("""COMPUTED_VALUE"""),1.006)</f>
        <v>1.006</v>
      </c>
      <c r="E1908" s="16">
        <f>IFERROR(__xludf.DUMMYFUNCTION("""COMPUTED_VALUE"""),63.0)</f>
        <v>63</v>
      </c>
      <c r="F1908" s="19" t="str">
        <f>IFERROR(__xludf.DUMMYFUNCTION("""COMPUTED_VALUE"""),"BLACK")</f>
        <v>BLACK</v>
      </c>
      <c r="G1908" s="20" t="str">
        <f>IFERROR(__xludf.DUMMYFUNCTION("""COMPUTED_VALUE"""),"Uncle Sams Cider (11/12/2021) 02")</f>
        <v>Uncle Sams Cider (11/12/2021) 02</v>
      </c>
      <c r="H1908" s="19"/>
    </row>
    <row r="1909">
      <c r="A1909" s="9"/>
      <c r="B1909" s="15"/>
      <c r="C1909" s="9">
        <f>IFERROR(__xludf.DUMMYFUNCTION("""COMPUTED_VALUE"""),44585.6403787499)</f>
        <v>44585.64038</v>
      </c>
      <c r="D1909" s="15">
        <f>IFERROR(__xludf.DUMMYFUNCTION("""COMPUTED_VALUE"""),1.005)</f>
        <v>1.005</v>
      </c>
      <c r="E1909" s="16">
        <f>IFERROR(__xludf.DUMMYFUNCTION("""COMPUTED_VALUE"""),63.0)</f>
        <v>63</v>
      </c>
      <c r="F1909" s="19" t="str">
        <f>IFERROR(__xludf.DUMMYFUNCTION("""COMPUTED_VALUE"""),"BLACK")</f>
        <v>BLACK</v>
      </c>
      <c r="G1909" s="20" t="str">
        <f>IFERROR(__xludf.DUMMYFUNCTION("""COMPUTED_VALUE"""),"Uncle Sams Cider (11/12/2021) 02")</f>
        <v>Uncle Sams Cider (11/12/2021) 02</v>
      </c>
      <c r="H1909" s="19"/>
    </row>
    <row r="1910">
      <c r="A1910" s="9"/>
      <c r="B1910" s="15"/>
      <c r="C1910" s="9">
        <f>IFERROR(__xludf.DUMMYFUNCTION("""COMPUTED_VALUE"""),44585.6299569212)</f>
        <v>44585.62996</v>
      </c>
      <c r="D1910" s="15">
        <f>IFERROR(__xludf.DUMMYFUNCTION("""COMPUTED_VALUE"""),1.006)</f>
        <v>1.006</v>
      </c>
      <c r="E1910" s="16">
        <f>IFERROR(__xludf.DUMMYFUNCTION("""COMPUTED_VALUE"""),63.0)</f>
        <v>63</v>
      </c>
      <c r="F1910" s="19" t="str">
        <f>IFERROR(__xludf.DUMMYFUNCTION("""COMPUTED_VALUE"""),"BLACK")</f>
        <v>BLACK</v>
      </c>
      <c r="G1910" s="20" t="str">
        <f>IFERROR(__xludf.DUMMYFUNCTION("""COMPUTED_VALUE"""),"Uncle Sams Cider (11/12/2021) 02")</f>
        <v>Uncle Sams Cider (11/12/2021) 02</v>
      </c>
      <c r="H1910" s="19"/>
    </row>
    <row r="1911">
      <c r="A1911" s="9"/>
      <c r="B1911" s="15"/>
      <c r="C1911" s="9">
        <f>IFERROR(__xludf.DUMMYFUNCTION("""COMPUTED_VALUE"""),44585.6195013541)</f>
        <v>44585.6195</v>
      </c>
      <c r="D1911" s="15">
        <f>IFERROR(__xludf.DUMMYFUNCTION("""COMPUTED_VALUE"""),1.005)</f>
        <v>1.005</v>
      </c>
      <c r="E1911" s="16">
        <f>IFERROR(__xludf.DUMMYFUNCTION("""COMPUTED_VALUE"""),63.0)</f>
        <v>63</v>
      </c>
      <c r="F1911" s="19" t="str">
        <f>IFERROR(__xludf.DUMMYFUNCTION("""COMPUTED_VALUE"""),"BLACK")</f>
        <v>BLACK</v>
      </c>
      <c r="G1911" s="20" t="str">
        <f>IFERROR(__xludf.DUMMYFUNCTION("""COMPUTED_VALUE"""),"Uncle Sams Cider (11/12/2021) 02")</f>
        <v>Uncle Sams Cider (11/12/2021) 02</v>
      </c>
      <c r="H1911" s="19"/>
    </row>
    <row r="1912">
      <c r="A1912" s="9"/>
      <c r="B1912" s="15"/>
      <c r="C1912" s="9">
        <f>IFERROR(__xludf.DUMMYFUNCTION("""COMPUTED_VALUE"""),44585.5986589583)</f>
        <v>44585.59866</v>
      </c>
      <c r="D1912" s="15">
        <f>IFERROR(__xludf.DUMMYFUNCTION("""COMPUTED_VALUE"""),1.006)</f>
        <v>1.006</v>
      </c>
      <c r="E1912" s="16">
        <f>IFERROR(__xludf.DUMMYFUNCTION("""COMPUTED_VALUE"""),63.0)</f>
        <v>63</v>
      </c>
      <c r="F1912" s="19" t="str">
        <f>IFERROR(__xludf.DUMMYFUNCTION("""COMPUTED_VALUE"""),"BLACK")</f>
        <v>BLACK</v>
      </c>
      <c r="G1912" s="20" t="str">
        <f>IFERROR(__xludf.DUMMYFUNCTION("""COMPUTED_VALUE"""),"Uncle Sams Cider (11/12/2021) 02")</f>
        <v>Uncle Sams Cider (11/12/2021) 02</v>
      </c>
      <c r="H1912" s="19"/>
    </row>
    <row r="1913">
      <c r="A1913" s="9"/>
      <c r="B1913" s="15"/>
      <c r="C1913" s="9">
        <f>IFERROR(__xludf.DUMMYFUNCTION("""COMPUTED_VALUE"""),44585.588237743)</f>
        <v>44585.58824</v>
      </c>
      <c r="D1913" s="15">
        <f>IFERROR(__xludf.DUMMYFUNCTION("""COMPUTED_VALUE"""),1.006)</f>
        <v>1.006</v>
      </c>
      <c r="E1913" s="16">
        <f>IFERROR(__xludf.DUMMYFUNCTION("""COMPUTED_VALUE"""),63.0)</f>
        <v>63</v>
      </c>
      <c r="F1913" s="19" t="str">
        <f>IFERROR(__xludf.DUMMYFUNCTION("""COMPUTED_VALUE"""),"BLACK")</f>
        <v>BLACK</v>
      </c>
      <c r="G1913" s="20" t="str">
        <f>IFERROR(__xludf.DUMMYFUNCTION("""COMPUTED_VALUE"""),"Uncle Sams Cider (11/12/2021) 02")</f>
        <v>Uncle Sams Cider (11/12/2021) 02</v>
      </c>
      <c r="H1913" s="19"/>
    </row>
    <row r="1914">
      <c r="A1914" s="9"/>
      <c r="B1914" s="15"/>
      <c r="C1914" s="9">
        <f>IFERROR(__xludf.DUMMYFUNCTION("""COMPUTED_VALUE"""),44585.5778149768)</f>
        <v>44585.57781</v>
      </c>
      <c r="D1914" s="15">
        <f>IFERROR(__xludf.DUMMYFUNCTION("""COMPUTED_VALUE"""),1.006)</f>
        <v>1.006</v>
      </c>
      <c r="E1914" s="16">
        <f>IFERROR(__xludf.DUMMYFUNCTION("""COMPUTED_VALUE"""),63.0)</f>
        <v>63</v>
      </c>
      <c r="F1914" s="19" t="str">
        <f>IFERROR(__xludf.DUMMYFUNCTION("""COMPUTED_VALUE"""),"BLACK")</f>
        <v>BLACK</v>
      </c>
      <c r="G1914" s="20" t="str">
        <f>IFERROR(__xludf.DUMMYFUNCTION("""COMPUTED_VALUE"""),"Uncle Sams Cider (11/12/2021) 02")</f>
        <v>Uncle Sams Cider (11/12/2021) 02</v>
      </c>
      <c r="H1914" s="19"/>
    </row>
    <row r="1915">
      <c r="A1915" s="9"/>
      <c r="B1915" s="15"/>
      <c r="C1915" s="9">
        <f>IFERROR(__xludf.DUMMYFUNCTION("""COMPUTED_VALUE"""),44585.5673691898)</f>
        <v>44585.56737</v>
      </c>
      <c r="D1915" s="15">
        <f>IFERROR(__xludf.DUMMYFUNCTION("""COMPUTED_VALUE"""),1.006)</f>
        <v>1.006</v>
      </c>
      <c r="E1915" s="16">
        <f>IFERROR(__xludf.DUMMYFUNCTION("""COMPUTED_VALUE"""),63.0)</f>
        <v>63</v>
      </c>
      <c r="F1915" s="19" t="str">
        <f>IFERROR(__xludf.DUMMYFUNCTION("""COMPUTED_VALUE"""),"BLACK")</f>
        <v>BLACK</v>
      </c>
      <c r="G1915" s="20" t="str">
        <f>IFERROR(__xludf.DUMMYFUNCTION("""COMPUTED_VALUE"""),"Uncle Sams Cider (11/12/2021) 02")</f>
        <v>Uncle Sams Cider (11/12/2021) 02</v>
      </c>
      <c r="H1915" s="19"/>
    </row>
    <row r="1916">
      <c r="A1916" s="9"/>
      <c r="B1916" s="15"/>
      <c r="C1916" s="9">
        <f>IFERROR(__xludf.DUMMYFUNCTION("""COMPUTED_VALUE"""),44585.5569127314)</f>
        <v>44585.55691</v>
      </c>
      <c r="D1916" s="15">
        <f>IFERROR(__xludf.DUMMYFUNCTION("""COMPUTED_VALUE"""),1.006)</f>
        <v>1.006</v>
      </c>
      <c r="E1916" s="16">
        <f>IFERROR(__xludf.DUMMYFUNCTION("""COMPUTED_VALUE"""),63.0)</f>
        <v>63</v>
      </c>
      <c r="F1916" s="19" t="str">
        <f>IFERROR(__xludf.DUMMYFUNCTION("""COMPUTED_VALUE"""),"BLACK")</f>
        <v>BLACK</v>
      </c>
      <c r="G1916" s="20" t="str">
        <f>IFERROR(__xludf.DUMMYFUNCTION("""COMPUTED_VALUE"""),"Uncle Sams Cider (11/12/2021) 02")</f>
        <v>Uncle Sams Cider (11/12/2021) 02</v>
      </c>
      <c r="H1916" s="19"/>
    </row>
    <row r="1917">
      <c r="A1917" s="9"/>
      <c r="B1917" s="15"/>
      <c r="C1917" s="9">
        <f>IFERROR(__xludf.DUMMYFUNCTION("""COMPUTED_VALUE"""),44585.5464901504)</f>
        <v>44585.54649</v>
      </c>
      <c r="D1917" s="15">
        <f>IFERROR(__xludf.DUMMYFUNCTION("""COMPUTED_VALUE"""),1.006)</f>
        <v>1.006</v>
      </c>
      <c r="E1917" s="16">
        <f>IFERROR(__xludf.DUMMYFUNCTION("""COMPUTED_VALUE"""),63.0)</f>
        <v>63</v>
      </c>
      <c r="F1917" s="19" t="str">
        <f>IFERROR(__xludf.DUMMYFUNCTION("""COMPUTED_VALUE"""),"BLACK")</f>
        <v>BLACK</v>
      </c>
      <c r="G1917" s="20" t="str">
        <f>IFERROR(__xludf.DUMMYFUNCTION("""COMPUTED_VALUE"""),"Uncle Sams Cider (11/12/2021) 02")</f>
        <v>Uncle Sams Cider (11/12/2021) 02</v>
      </c>
      <c r="H1917" s="19"/>
    </row>
    <row r="1918">
      <c r="A1918" s="9"/>
      <c r="B1918" s="15"/>
      <c r="C1918" s="9">
        <f>IFERROR(__xludf.DUMMYFUNCTION("""COMPUTED_VALUE"""),44585.5360593518)</f>
        <v>44585.53606</v>
      </c>
      <c r="D1918" s="15">
        <f>IFERROR(__xludf.DUMMYFUNCTION("""COMPUTED_VALUE"""),1.005)</f>
        <v>1.005</v>
      </c>
      <c r="E1918" s="16">
        <f>IFERROR(__xludf.DUMMYFUNCTION("""COMPUTED_VALUE"""),63.0)</f>
        <v>63</v>
      </c>
      <c r="F1918" s="19" t="str">
        <f>IFERROR(__xludf.DUMMYFUNCTION("""COMPUTED_VALUE"""),"BLACK")</f>
        <v>BLACK</v>
      </c>
      <c r="G1918" s="20" t="str">
        <f>IFERROR(__xludf.DUMMYFUNCTION("""COMPUTED_VALUE"""),"Uncle Sams Cider (11/12/2021) 02")</f>
        <v>Uncle Sams Cider (11/12/2021) 02</v>
      </c>
      <c r="H1918" s="19"/>
    </row>
    <row r="1919">
      <c r="A1919" s="9"/>
      <c r="B1919" s="15"/>
      <c r="C1919" s="9">
        <f>IFERROR(__xludf.DUMMYFUNCTION("""COMPUTED_VALUE"""),44585.5256397916)</f>
        <v>44585.52564</v>
      </c>
      <c r="D1919" s="15">
        <f>IFERROR(__xludf.DUMMYFUNCTION("""COMPUTED_VALUE"""),1.006)</f>
        <v>1.006</v>
      </c>
      <c r="E1919" s="16">
        <f>IFERROR(__xludf.DUMMYFUNCTION("""COMPUTED_VALUE"""),63.0)</f>
        <v>63</v>
      </c>
      <c r="F1919" s="19" t="str">
        <f>IFERROR(__xludf.DUMMYFUNCTION("""COMPUTED_VALUE"""),"BLACK")</f>
        <v>BLACK</v>
      </c>
      <c r="G1919" s="20" t="str">
        <f>IFERROR(__xludf.DUMMYFUNCTION("""COMPUTED_VALUE"""),"Uncle Sams Cider (11/12/2021) 02")</f>
        <v>Uncle Sams Cider (11/12/2021) 02</v>
      </c>
      <c r="H1919" s="19"/>
    </row>
    <row r="1920">
      <c r="A1920" s="9"/>
      <c r="B1920" s="15"/>
      <c r="C1920" s="9">
        <f>IFERROR(__xludf.DUMMYFUNCTION("""COMPUTED_VALUE"""),44585.5152207523)</f>
        <v>44585.51522</v>
      </c>
      <c r="D1920" s="15">
        <f>IFERROR(__xludf.DUMMYFUNCTION("""COMPUTED_VALUE"""),1.006)</f>
        <v>1.006</v>
      </c>
      <c r="E1920" s="16">
        <f>IFERROR(__xludf.DUMMYFUNCTION("""COMPUTED_VALUE"""),63.0)</f>
        <v>63</v>
      </c>
      <c r="F1920" s="19" t="str">
        <f>IFERROR(__xludf.DUMMYFUNCTION("""COMPUTED_VALUE"""),"BLACK")</f>
        <v>BLACK</v>
      </c>
      <c r="G1920" s="20" t="str">
        <f>IFERROR(__xludf.DUMMYFUNCTION("""COMPUTED_VALUE"""),"Uncle Sams Cider (11/12/2021) 02")</f>
        <v>Uncle Sams Cider (11/12/2021) 02</v>
      </c>
      <c r="H1920" s="19"/>
    </row>
    <row r="1921">
      <c r="A1921" s="9"/>
      <c r="B1921" s="15"/>
      <c r="C1921" s="9">
        <f>IFERROR(__xludf.DUMMYFUNCTION("""COMPUTED_VALUE"""),44585.5048004861)</f>
        <v>44585.5048</v>
      </c>
      <c r="D1921" s="15">
        <f>IFERROR(__xludf.DUMMYFUNCTION("""COMPUTED_VALUE"""),1.005)</f>
        <v>1.005</v>
      </c>
      <c r="E1921" s="16">
        <f>IFERROR(__xludf.DUMMYFUNCTION("""COMPUTED_VALUE"""),63.0)</f>
        <v>63</v>
      </c>
      <c r="F1921" s="19" t="str">
        <f>IFERROR(__xludf.DUMMYFUNCTION("""COMPUTED_VALUE"""),"BLACK")</f>
        <v>BLACK</v>
      </c>
      <c r="G1921" s="20" t="str">
        <f>IFERROR(__xludf.DUMMYFUNCTION("""COMPUTED_VALUE"""),"Uncle Sams Cider (11/12/2021) 02")</f>
        <v>Uncle Sams Cider (11/12/2021) 02</v>
      </c>
      <c r="H1921" s="19"/>
    </row>
    <row r="1922">
      <c r="A1922" s="9"/>
      <c r="B1922" s="15"/>
      <c r="C1922" s="9">
        <f>IFERROR(__xludf.DUMMYFUNCTION("""COMPUTED_VALUE"""),44585.4943787037)</f>
        <v>44585.49438</v>
      </c>
      <c r="D1922" s="15">
        <f>IFERROR(__xludf.DUMMYFUNCTION("""COMPUTED_VALUE"""),1.005)</f>
        <v>1.005</v>
      </c>
      <c r="E1922" s="16">
        <f>IFERROR(__xludf.DUMMYFUNCTION("""COMPUTED_VALUE"""),63.0)</f>
        <v>63</v>
      </c>
      <c r="F1922" s="19" t="str">
        <f>IFERROR(__xludf.DUMMYFUNCTION("""COMPUTED_VALUE"""),"BLACK")</f>
        <v>BLACK</v>
      </c>
      <c r="G1922" s="20" t="str">
        <f>IFERROR(__xludf.DUMMYFUNCTION("""COMPUTED_VALUE"""),"Uncle Sams Cider (11/12/2021) 02")</f>
        <v>Uncle Sams Cider (11/12/2021) 02</v>
      </c>
      <c r="H1922" s="19"/>
    </row>
    <row r="1923">
      <c r="A1923" s="9"/>
      <c r="B1923" s="15"/>
      <c r="C1923" s="9">
        <f>IFERROR(__xludf.DUMMYFUNCTION("""COMPUTED_VALUE"""),44585.4839468981)</f>
        <v>44585.48395</v>
      </c>
      <c r="D1923" s="15">
        <f>IFERROR(__xludf.DUMMYFUNCTION("""COMPUTED_VALUE"""),1.005)</f>
        <v>1.005</v>
      </c>
      <c r="E1923" s="16">
        <f>IFERROR(__xludf.DUMMYFUNCTION("""COMPUTED_VALUE"""),63.0)</f>
        <v>63</v>
      </c>
      <c r="F1923" s="19" t="str">
        <f>IFERROR(__xludf.DUMMYFUNCTION("""COMPUTED_VALUE"""),"BLACK")</f>
        <v>BLACK</v>
      </c>
      <c r="G1923" s="20" t="str">
        <f>IFERROR(__xludf.DUMMYFUNCTION("""COMPUTED_VALUE"""),"Uncle Sams Cider (11/12/2021) 02")</f>
        <v>Uncle Sams Cider (11/12/2021) 02</v>
      </c>
      <c r="H1923" s="19"/>
    </row>
    <row r="1924">
      <c r="A1924" s="9"/>
      <c r="B1924" s="15"/>
      <c r="C1924" s="9">
        <f>IFERROR(__xludf.DUMMYFUNCTION("""COMPUTED_VALUE"""),44585.4735255671)</f>
        <v>44585.47353</v>
      </c>
      <c r="D1924" s="15">
        <f>IFERROR(__xludf.DUMMYFUNCTION("""COMPUTED_VALUE"""),1.005)</f>
        <v>1.005</v>
      </c>
      <c r="E1924" s="16">
        <f>IFERROR(__xludf.DUMMYFUNCTION("""COMPUTED_VALUE"""),63.0)</f>
        <v>63</v>
      </c>
      <c r="F1924" s="19" t="str">
        <f>IFERROR(__xludf.DUMMYFUNCTION("""COMPUTED_VALUE"""),"BLACK")</f>
        <v>BLACK</v>
      </c>
      <c r="G1924" s="20" t="str">
        <f>IFERROR(__xludf.DUMMYFUNCTION("""COMPUTED_VALUE"""),"Uncle Sams Cider (11/12/2021) 02")</f>
        <v>Uncle Sams Cider (11/12/2021) 02</v>
      </c>
      <c r="H1924" s="19"/>
    </row>
    <row r="1925">
      <c r="A1925" s="9"/>
      <c r="B1925" s="15"/>
      <c r="C1925" s="9">
        <f>IFERROR(__xludf.DUMMYFUNCTION("""COMPUTED_VALUE"""),44585.4630913773)</f>
        <v>44585.46309</v>
      </c>
      <c r="D1925" s="15">
        <f>IFERROR(__xludf.DUMMYFUNCTION("""COMPUTED_VALUE"""),1.006)</f>
        <v>1.006</v>
      </c>
      <c r="E1925" s="16">
        <f>IFERROR(__xludf.DUMMYFUNCTION("""COMPUTED_VALUE"""),63.0)</f>
        <v>63</v>
      </c>
      <c r="F1925" s="19" t="str">
        <f>IFERROR(__xludf.DUMMYFUNCTION("""COMPUTED_VALUE"""),"BLACK")</f>
        <v>BLACK</v>
      </c>
      <c r="G1925" s="20" t="str">
        <f>IFERROR(__xludf.DUMMYFUNCTION("""COMPUTED_VALUE"""),"Uncle Sams Cider (11/12/2021) 02")</f>
        <v>Uncle Sams Cider (11/12/2021) 02</v>
      </c>
      <c r="H1925" s="19"/>
    </row>
    <row r="1926">
      <c r="A1926" s="9"/>
      <c r="B1926" s="15"/>
      <c r="C1926" s="9">
        <f>IFERROR(__xludf.DUMMYFUNCTION("""COMPUTED_VALUE"""),44585.4526689583)</f>
        <v>44585.45267</v>
      </c>
      <c r="D1926" s="15">
        <f>IFERROR(__xludf.DUMMYFUNCTION("""COMPUTED_VALUE"""),1.006)</f>
        <v>1.006</v>
      </c>
      <c r="E1926" s="16">
        <f>IFERROR(__xludf.DUMMYFUNCTION("""COMPUTED_VALUE"""),63.0)</f>
        <v>63</v>
      </c>
      <c r="F1926" s="19" t="str">
        <f>IFERROR(__xludf.DUMMYFUNCTION("""COMPUTED_VALUE"""),"BLACK")</f>
        <v>BLACK</v>
      </c>
      <c r="G1926" s="20" t="str">
        <f>IFERROR(__xludf.DUMMYFUNCTION("""COMPUTED_VALUE"""),"Uncle Sams Cider (11/12/2021) 02")</f>
        <v>Uncle Sams Cider (11/12/2021) 02</v>
      </c>
      <c r="H1926" s="19"/>
    </row>
    <row r="1927">
      <c r="A1927" s="9"/>
      <c r="B1927" s="15"/>
      <c r="C1927" s="9">
        <f>IFERROR(__xludf.DUMMYFUNCTION("""COMPUTED_VALUE"""),44585.4422246064)</f>
        <v>44585.44222</v>
      </c>
      <c r="D1927" s="15">
        <f>IFERROR(__xludf.DUMMYFUNCTION("""COMPUTED_VALUE"""),1.005)</f>
        <v>1.005</v>
      </c>
      <c r="E1927" s="16">
        <f>IFERROR(__xludf.DUMMYFUNCTION("""COMPUTED_VALUE"""),63.0)</f>
        <v>63</v>
      </c>
      <c r="F1927" s="19" t="str">
        <f>IFERROR(__xludf.DUMMYFUNCTION("""COMPUTED_VALUE"""),"BLACK")</f>
        <v>BLACK</v>
      </c>
      <c r="G1927" s="20" t="str">
        <f>IFERROR(__xludf.DUMMYFUNCTION("""COMPUTED_VALUE"""),"Uncle Sams Cider (11/12/2021) 02")</f>
        <v>Uncle Sams Cider (11/12/2021) 02</v>
      </c>
      <c r="H1927" s="19"/>
    </row>
    <row r="1928">
      <c r="A1928" s="9"/>
      <c r="B1928" s="15"/>
      <c r="C1928" s="9">
        <f>IFERROR(__xludf.DUMMYFUNCTION("""COMPUTED_VALUE"""),44585.4318052199)</f>
        <v>44585.43181</v>
      </c>
      <c r="D1928" s="15">
        <f>IFERROR(__xludf.DUMMYFUNCTION("""COMPUTED_VALUE"""),1.006)</f>
        <v>1.006</v>
      </c>
      <c r="E1928" s="16">
        <f>IFERROR(__xludf.DUMMYFUNCTION("""COMPUTED_VALUE"""),63.0)</f>
        <v>63</v>
      </c>
      <c r="F1928" s="19" t="str">
        <f>IFERROR(__xludf.DUMMYFUNCTION("""COMPUTED_VALUE"""),"BLACK")</f>
        <v>BLACK</v>
      </c>
      <c r="G1928" s="20" t="str">
        <f>IFERROR(__xludf.DUMMYFUNCTION("""COMPUTED_VALUE"""),"Uncle Sams Cider (11/12/2021) 02")</f>
        <v>Uncle Sams Cider (11/12/2021) 02</v>
      </c>
      <c r="H1928" s="19"/>
    </row>
    <row r="1929">
      <c r="A1929" s="9"/>
      <c r="B1929" s="15"/>
      <c r="C1929" s="9">
        <f>IFERROR(__xludf.DUMMYFUNCTION("""COMPUTED_VALUE"""),44585.4213269907)</f>
        <v>44585.42133</v>
      </c>
      <c r="D1929" s="15">
        <f>IFERROR(__xludf.DUMMYFUNCTION("""COMPUTED_VALUE"""),1.005)</f>
        <v>1.005</v>
      </c>
      <c r="E1929" s="16">
        <f>IFERROR(__xludf.DUMMYFUNCTION("""COMPUTED_VALUE"""),63.0)</f>
        <v>63</v>
      </c>
      <c r="F1929" s="19" t="str">
        <f>IFERROR(__xludf.DUMMYFUNCTION("""COMPUTED_VALUE"""),"BLACK")</f>
        <v>BLACK</v>
      </c>
      <c r="G1929" s="20" t="str">
        <f>IFERROR(__xludf.DUMMYFUNCTION("""COMPUTED_VALUE"""),"Uncle Sams Cider (11/12/2021) 02")</f>
        <v>Uncle Sams Cider (11/12/2021) 02</v>
      </c>
      <c r="H1929" s="19"/>
    </row>
    <row r="1930">
      <c r="A1930" s="9"/>
      <c r="B1930" s="15"/>
      <c r="C1930" s="9">
        <f>IFERROR(__xludf.DUMMYFUNCTION("""COMPUTED_VALUE"""),44585.4109079976)</f>
        <v>44585.41091</v>
      </c>
      <c r="D1930" s="15">
        <f>IFERROR(__xludf.DUMMYFUNCTION("""COMPUTED_VALUE"""),1.005)</f>
        <v>1.005</v>
      </c>
      <c r="E1930" s="16">
        <f>IFERROR(__xludf.DUMMYFUNCTION("""COMPUTED_VALUE"""),63.0)</f>
        <v>63</v>
      </c>
      <c r="F1930" s="19" t="str">
        <f>IFERROR(__xludf.DUMMYFUNCTION("""COMPUTED_VALUE"""),"BLACK")</f>
        <v>BLACK</v>
      </c>
      <c r="G1930" s="20" t="str">
        <f>IFERROR(__xludf.DUMMYFUNCTION("""COMPUTED_VALUE"""),"Uncle Sams Cider (11/12/2021) 02")</f>
        <v>Uncle Sams Cider (11/12/2021) 02</v>
      </c>
      <c r="H1930" s="19"/>
    </row>
    <row r="1931">
      <c r="A1931" s="9"/>
      <c r="B1931" s="15"/>
      <c r="C1931" s="9">
        <f>IFERROR(__xludf.DUMMYFUNCTION("""COMPUTED_VALUE"""),44585.4004863425)</f>
        <v>44585.40049</v>
      </c>
      <c r="D1931" s="15">
        <f>IFERROR(__xludf.DUMMYFUNCTION("""COMPUTED_VALUE"""),1.005)</f>
        <v>1.005</v>
      </c>
      <c r="E1931" s="16">
        <f>IFERROR(__xludf.DUMMYFUNCTION("""COMPUTED_VALUE"""),63.0)</f>
        <v>63</v>
      </c>
      <c r="F1931" s="19" t="str">
        <f>IFERROR(__xludf.DUMMYFUNCTION("""COMPUTED_VALUE"""),"BLACK")</f>
        <v>BLACK</v>
      </c>
      <c r="G1931" s="20" t="str">
        <f>IFERROR(__xludf.DUMMYFUNCTION("""COMPUTED_VALUE"""),"Uncle Sams Cider (11/12/2021) 02")</f>
        <v>Uncle Sams Cider (11/12/2021) 02</v>
      </c>
      <c r="H1931" s="19"/>
    </row>
    <row r="1932">
      <c r="A1932" s="9"/>
      <c r="B1932" s="15"/>
      <c r="C1932" s="9">
        <f>IFERROR(__xludf.DUMMYFUNCTION("""COMPUTED_VALUE"""),44585.3900666203)</f>
        <v>44585.39007</v>
      </c>
      <c r="D1932" s="15">
        <f>IFERROR(__xludf.DUMMYFUNCTION("""COMPUTED_VALUE"""),1.005)</f>
        <v>1.005</v>
      </c>
      <c r="E1932" s="16">
        <f>IFERROR(__xludf.DUMMYFUNCTION("""COMPUTED_VALUE"""),63.0)</f>
        <v>63</v>
      </c>
      <c r="F1932" s="19" t="str">
        <f>IFERROR(__xludf.DUMMYFUNCTION("""COMPUTED_VALUE"""),"BLACK")</f>
        <v>BLACK</v>
      </c>
      <c r="G1932" s="20" t="str">
        <f>IFERROR(__xludf.DUMMYFUNCTION("""COMPUTED_VALUE"""),"Uncle Sams Cider (11/12/2021) 02")</f>
        <v>Uncle Sams Cider (11/12/2021) 02</v>
      </c>
      <c r="H1932" s="19"/>
    </row>
    <row r="1933">
      <c r="A1933" s="9"/>
      <c r="B1933" s="15"/>
      <c r="C1933" s="9">
        <f>IFERROR(__xludf.DUMMYFUNCTION("""COMPUTED_VALUE"""),44585.3796468055)</f>
        <v>44585.37965</v>
      </c>
      <c r="D1933" s="15">
        <f>IFERROR(__xludf.DUMMYFUNCTION("""COMPUTED_VALUE"""),1.005)</f>
        <v>1.005</v>
      </c>
      <c r="E1933" s="16">
        <f>IFERROR(__xludf.DUMMYFUNCTION("""COMPUTED_VALUE"""),63.0)</f>
        <v>63</v>
      </c>
      <c r="F1933" s="19" t="str">
        <f>IFERROR(__xludf.DUMMYFUNCTION("""COMPUTED_VALUE"""),"BLACK")</f>
        <v>BLACK</v>
      </c>
      <c r="G1933" s="20" t="str">
        <f>IFERROR(__xludf.DUMMYFUNCTION("""COMPUTED_VALUE"""),"Uncle Sams Cider (11/12/2021) 02")</f>
        <v>Uncle Sams Cider (11/12/2021) 02</v>
      </c>
      <c r="H1933" s="19"/>
    </row>
    <row r="1934">
      <c r="A1934" s="9"/>
      <c r="B1934" s="15"/>
      <c r="C1934" s="9">
        <f>IFERROR(__xludf.DUMMYFUNCTION("""COMPUTED_VALUE"""),44585.3692148958)</f>
        <v>44585.36921</v>
      </c>
      <c r="D1934" s="15">
        <f>IFERROR(__xludf.DUMMYFUNCTION("""COMPUTED_VALUE"""),1.006)</f>
        <v>1.006</v>
      </c>
      <c r="E1934" s="16">
        <f>IFERROR(__xludf.DUMMYFUNCTION("""COMPUTED_VALUE"""),63.0)</f>
        <v>63</v>
      </c>
      <c r="F1934" s="19" t="str">
        <f>IFERROR(__xludf.DUMMYFUNCTION("""COMPUTED_VALUE"""),"BLACK")</f>
        <v>BLACK</v>
      </c>
      <c r="G1934" s="20" t="str">
        <f>IFERROR(__xludf.DUMMYFUNCTION("""COMPUTED_VALUE"""),"Uncle Sams Cider (11/12/2021) 02")</f>
        <v>Uncle Sams Cider (11/12/2021) 02</v>
      </c>
      <c r="H1934" s="19"/>
    </row>
    <row r="1935">
      <c r="A1935" s="9"/>
      <c r="B1935" s="15"/>
      <c r="C1935" s="9">
        <f>IFERROR(__xludf.DUMMYFUNCTION("""COMPUTED_VALUE"""),44585.3587942708)</f>
        <v>44585.35879</v>
      </c>
      <c r="D1935" s="15">
        <f>IFERROR(__xludf.DUMMYFUNCTION("""COMPUTED_VALUE"""),1.006)</f>
        <v>1.006</v>
      </c>
      <c r="E1935" s="16">
        <f>IFERROR(__xludf.DUMMYFUNCTION("""COMPUTED_VALUE"""),63.0)</f>
        <v>63</v>
      </c>
      <c r="F1935" s="19" t="str">
        <f>IFERROR(__xludf.DUMMYFUNCTION("""COMPUTED_VALUE"""),"BLACK")</f>
        <v>BLACK</v>
      </c>
      <c r="G1935" s="20" t="str">
        <f>IFERROR(__xludf.DUMMYFUNCTION("""COMPUTED_VALUE"""),"Uncle Sams Cider (11/12/2021) 02")</f>
        <v>Uncle Sams Cider (11/12/2021) 02</v>
      </c>
      <c r="H1935" s="19"/>
    </row>
    <row r="1936">
      <c r="A1936" s="9"/>
      <c r="B1936" s="15"/>
      <c r="C1936" s="9">
        <f>IFERROR(__xludf.DUMMYFUNCTION("""COMPUTED_VALUE"""),44585.3483618749)</f>
        <v>44585.34836</v>
      </c>
      <c r="D1936" s="15">
        <f>IFERROR(__xludf.DUMMYFUNCTION("""COMPUTED_VALUE"""),1.005)</f>
        <v>1.005</v>
      </c>
      <c r="E1936" s="16">
        <f>IFERROR(__xludf.DUMMYFUNCTION("""COMPUTED_VALUE"""),63.0)</f>
        <v>63</v>
      </c>
      <c r="F1936" s="19" t="str">
        <f>IFERROR(__xludf.DUMMYFUNCTION("""COMPUTED_VALUE"""),"BLACK")</f>
        <v>BLACK</v>
      </c>
      <c r="G1936" s="20" t="str">
        <f>IFERROR(__xludf.DUMMYFUNCTION("""COMPUTED_VALUE"""),"Uncle Sams Cider (11/12/2021) 02")</f>
        <v>Uncle Sams Cider (11/12/2021) 02</v>
      </c>
      <c r="H1936" s="19"/>
    </row>
    <row r="1937">
      <c r="A1937" s="9"/>
      <c r="B1937" s="15"/>
      <c r="C1937" s="9">
        <f>IFERROR(__xludf.DUMMYFUNCTION("""COMPUTED_VALUE"""),44585.3379280671)</f>
        <v>44585.33793</v>
      </c>
      <c r="D1937" s="15">
        <f>IFERROR(__xludf.DUMMYFUNCTION("""COMPUTED_VALUE"""),1.006)</f>
        <v>1.006</v>
      </c>
      <c r="E1937" s="16">
        <f>IFERROR(__xludf.DUMMYFUNCTION("""COMPUTED_VALUE"""),63.0)</f>
        <v>63</v>
      </c>
      <c r="F1937" s="19" t="str">
        <f>IFERROR(__xludf.DUMMYFUNCTION("""COMPUTED_VALUE"""),"BLACK")</f>
        <v>BLACK</v>
      </c>
      <c r="G1937" s="20" t="str">
        <f>IFERROR(__xludf.DUMMYFUNCTION("""COMPUTED_VALUE"""),"Uncle Sams Cider (11/12/2021) 02")</f>
        <v>Uncle Sams Cider (11/12/2021) 02</v>
      </c>
      <c r="H1937" s="19"/>
    </row>
    <row r="1938">
      <c r="A1938" s="9"/>
      <c r="B1938" s="15"/>
      <c r="C1938" s="9">
        <f>IFERROR(__xludf.DUMMYFUNCTION("""COMPUTED_VALUE"""),44585.3275051504)</f>
        <v>44585.32751</v>
      </c>
      <c r="D1938" s="15">
        <f>IFERROR(__xludf.DUMMYFUNCTION("""COMPUTED_VALUE"""),1.006)</f>
        <v>1.006</v>
      </c>
      <c r="E1938" s="16">
        <f>IFERROR(__xludf.DUMMYFUNCTION("""COMPUTED_VALUE"""),63.0)</f>
        <v>63</v>
      </c>
      <c r="F1938" s="19" t="str">
        <f>IFERROR(__xludf.DUMMYFUNCTION("""COMPUTED_VALUE"""),"BLACK")</f>
        <v>BLACK</v>
      </c>
      <c r="G1938" s="20" t="str">
        <f>IFERROR(__xludf.DUMMYFUNCTION("""COMPUTED_VALUE"""),"Uncle Sams Cider (11/12/2021) 02")</f>
        <v>Uncle Sams Cider (11/12/2021) 02</v>
      </c>
      <c r="H1938" s="19"/>
    </row>
    <row r="1939">
      <c r="A1939" s="9"/>
      <c r="B1939" s="15"/>
      <c r="C1939" s="9">
        <f>IFERROR(__xludf.DUMMYFUNCTION("""COMPUTED_VALUE"""),44585.3170842592)</f>
        <v>44585.31708</v>
      </c>
      <c r="D1939" s="15">
        <f>IFERROR(__xludf.DUMMYFUNCTION("""COMPUTED_VALUE"""),1.006)</f>
        <v>1.006</v>
      </c>
      <c r="E1939" s="16">
        <f>IFERROR(__xludf.DUMMYFUNCTION("""COMPUTED_VALUE"""),63.0)</f>
        <v>63</v>
      </c>
      <c r="F1939" s="19" t="str">
        <f>IFERROR(__xludf.DUMMYFUNCTION("""COMPUTED_VALUE"""),"BLACK")</f>
        <v>BLACK</v>
      </c>
      <c r="G1939" s="20" t="str">
        <f>IFERROR(__xludf.DUMMYFUNCTION("""COMPUTED_VALUE"""),"Uncle Sams Cider (11/12/2021) 02")</f>
        <v>Uncle Sams Cider (11/12/2021) 02</v>
      </c>
      <c r="H1939" s="19"/>
    </row>
    <row r="1940">
      <c r="A1940" s="9"/>
      <c r="B1940" s="15"/>
      <c r="C1940" s="9">
        <f>IFERROR(__xludf.DUMMYFUNCTION("""COMPUTED_VALUE"""),44585.3066508912)</f>
        <v>44585.30665</v>
      </c>
      <c r="D1940" s="15">
        <f>IFERROR(__xludf.DUMMYFUNCTION("""COMPUTED_VALUE"""),1.006)</f>
        <v>1.006</v>
      </c>
      <c r="E1940" s="16">
        <f>IFERROR(__xludf.DUMMYFUNCTION("""COMPUTED_VALUE"""),63.0)</f>
        <v>63</v>
      </c>
      <c r="F1940" s="19" t="str">
        <f>IFERROR(__xludf.DUMMYFUNCTION("""COMPUTED_VALUE"""),"BLACK")</f>
        <v>BLACK</v>
      </c>
      <c r="G1940" s="20" t="str">
        <f>IFERROR(__xludf.DUMMYFUNCTION("""COMPUTED_VALUE"""),"Uncle Sams Cider (11/12/2021) 02")</f>
        <v>Uncle Sams Cider (11/12/2021) 02</v>
      </c>
      <c r="H1940" s="19"/>
    </row>
    <row r="1941">
      <c r="A1941" s="9"/>
      <c r="B1941" s="15"/>
      <c r="C1941" s="9">
        <f>IFERROR(__xludf.DUMMYFUNCTION("""COMPUTED_VALUE"""),44585.2962195833)</f>
        <v>44585.29622</v>
      </c>
      <c r="D1941" s="15">
        <f>IFERROR(__xludf.DUMMYFUNCTION("""COMPUTED_VALUE"""),1.006)</f>
        <v>1.006</v>
      </c>
      <c r="E1941" s="16">
        <f>IFERROR(__xludf.DUMMYFUNCTION("""COMPUTED_VALUE"""),64.0)</f>
        <v>64</v>
      </c>
      <c r="F1941" s="19" t="str">
        <f>IFERROR(__xludf.DUMMYFUNCTION("""COMPUTED_VALUE"""),"BLACK")</f>
        <v>BLACK</v>
      </c>
      <c r="G1941" s="20" t="str">
        <f>IFERROR(__xludf.DUMMYFUNCTION("""COMPUTED_VALUE"""),"Uncle Sams Cider (11/12/2021) 02")</f>
        <v>Uncle Sams Cider (11/12/2021) 02</v>
      </c>
      <c r="H1941" s="19"/>
    </row>
    <row r="1942">
      <c r="A1942" s="9"/>
      <c r="B1942" s="15"/>
      <c r="C1942" s="9">
        <f>IFERROR(__xludf.DUMMYFUNCTION("""COMPUTED_VALUE"""),44585.2857968981)</f>
        <v>44585.2858</v>
      </c>
      <c r="D1942" s="15">
        <f>IFERROR(__xludf.DUMMYFUNCTION("""COMPUTED_VALUE"""),1.005)</f>
        <v>1.005</v>
      </c>
      <c r="E1942" s="16">
        <f>IFERROR(__xludf.DUMMYFUNCTION("""COMPUTED_VALUE"""),63.0)</f>
        <v>63</v>
      </c>
      <c r="F1942" s="19" t="str">
        <f>IFERROR(__xludf.DUMMYFUNCTION("""COMPUTED_VALUE"""),"BLACK")</f>
        <v>BLACK</v>
      </c>
      <c r="G1942" s="20" t="str">
        <f>IFERROR(__xludf.DUMMYFUNCTION("""COMPUTED_VALUE"""),"Uncle Sams Cider (11/12/2021) 02")</f>
        <v>Uncle Sams Cider (11/12/2021) 02</v>
      </c>
      <c r="H1942" s="19"/>
    </row>
    <row r="1943">
      <c r="A1943" s="9"/>
      <c r="B1943" s="15"/>
      <c r="C1943" s="9">
        <f>IFERROR(__xludf.DUMMYFUNCTION("""COMPUTED_VALUE"""),44585.2753758912)</f>
        <v>44585.27538</v>
      </c>
      <c r="D1943" s="15">
        <f>IFERROR(__xludf.DUMMYFUNCTION("""COMPUTED_VALUE"""),1.006)</f>
        <v>1.006</v>
      </c>
      <c r="E1943" s="16">
        <f>IFERROR(__xludf.DUMMYFUNCTION("""COMPUTED_VALUE"""),63.0)</f>
        <v>63</v>
      </c>
      <c r="F1943" s="19" t="str">
        <f>IFERROR(__xludf.DUMMYFUNCTION("""COMPUTED_VALUE"""),"BLACK")</f>
        <v>BLACK</v>
      </c>
      <c r="G1943" s="20" t="str">
        <f>IFERROR(__xludf.DUMMYFUNCTION("""COMPUTED_VALUE"""),"Uncle Sams Cider (11/12/2021) 02")</f>
        <v>Uncle Sams Cider (11/12/2021) 02</v>
      </c>
      <c r="H1943" s="19"/>
    </row>
    <row r="1944">
      <c r="A1944" s="9"/>
      <c r="B1944" s="15"/>
      <c r="C1944" s="9">
        <f>IFERROR(__xludf.DUMMYFUNCTION("""COMPUTED_VALUE"""),44585.2649186805)</f>
        <v>44585.26492</v>
      </c>
      <c r="D1944" s="15">
        <f>IFERROR(__xludf.DUMMYFUNCTION("""COMPUTED_VALUE"""),1.006)</f>
        <v>1.006</v>
      </c>
      <c r="E1944" s="16">
        <f>IFERROR(__xludf.DUMMYFUNCTION("""COMPUTED_VALUE"""),64.0)</f>
        <v>64</v>
      </c>
      <c r="F1944" s="19" t="str">
        <f>IFERROR(__xludf.DUMMYFUNCTION("""COMPUTED_VALUE"""),"BLACK")</f>
        <v>BLACK</v>
      </c>
      <c r="G1944" s="20" t="str">
        <f>IFERROR(__xludf.DUMMYFUNCTION("""COMPUTED_VALUE"""),"Uncle Sams Cider (11/12/2021) 02")</f>
        <v>Uncle Sams Cider (11/12/2021) 02</v>
      </c>
      <c r="H1944" s="19"/>
    </row>
    <row r="1945">
      <c r="A1945" s="9"/>
      <c r="B1945" s="15"/>
      <c r="C1945" s="9">
        <f>IFERROR(__xludf.DUMMYFUNCTION("""COMPUTED_VALUE"""),44585.2544850462)</f>
        <v>44585.25449</v>
      </c>
      <c r="D1945" s="15">
        <f>IFERROR(__xludf.DUMMYFUNCTION("""COMPUTED_VALUE"""),1.006)</f>
        <v>1.006</v>
      </c>
      <c r="E1945" s="16">
        <f>IFERROR(__xludf.DUMMYFUNCTION("""COMPUTED_VALUE"""),64.0)</f>
        <v>64</v>
      </c>
      <c r="F1945" s="19" t="str">
        <f>IFERROR(__xludf.DUMMYFUNCTION("""COMPUTED_VALUE"""),"BLACK")</f>
        <v>BLACK</v>
      </c>
      <c r="G1945" s="20" t="str">
        <f>IFERROR(__xludf.DUMMYFUNCTION("""COMPUTED_VALUE"""),"Uncle Sams Cider (11/12/2021) 02")</f>
        <v>Uncle Sams Cider (11/12/2021) 02</v>
      </c>
      <c r="H1945" s="19"/>
    </row>
    <row r="1946">
      <c r="A1946" s="9"/>
      <c r="B1946" s="15"/>
      <c r="C1946" s="9">
        <f>IFERROR(__xludf.DUMMYFUNCTION("""COMPUTED_VALUE"""),44585.2440275925)</f>
        <v>44585.24403</v>
      </c>
      <c r="D1946" s="15">
        <f>IFERROR(__xludf.DUMMYFUNCTION("""COMPUTED_VALUE"""),1.005)</f>
        <v>1.005</v>
      </c>
      <c r="E1946" s="16">
        <f>IFERROR(__xludf.DUMMYFUNCTION("""COMPUTED_VALUE"""),64.0)</f>
        <v>64</v>
      </c>
      <c r="F1946" s="19" t="str">
        <f>IFERROR(__xludf.DUMMYFUNCTION("""COMPUTED_VALUE"""),"BLACK")</f>
        <v>BLACK</v>
      </c>
      <c r="G1946" s="20" t="str">
        <f>IFERROR(__xludf.DUMMYFUNCTION("""COMPUTED_VALUE"""),"Uncle Sams Cider (11/12/2021) 02")</f>
        <v>Uncle Sams Cider (11/12/2021) 02</v>
      </c>
      <c r="H1946" s="19"/>
    </row>
    <row r="1947">
      <c r="A1947" s="9"/>
      <c r="B1947" s="15"/>
      <c r="C1947" s="9">
        <f>IFERROR(__xludf.DUMMYFUNCTION("""COMPUTED_VALUE"""),44585.2335242708)</f>
        <v>44585.23352</v>
      </c>
      <c r="D1947" s="15">
        <f>IFERROR(__xludf.DUMMYFUNCTION("""COMPUTED_VALUE"""),1.005)</f>
        <v>1.005</v>
      </c>
      <c r="E1947" s="16">
        <f>IFERROR(__xludf.DUMMYFUNCTION("""COMPUTED_VALUE"""),64.0)</f>
        <v>64</v>
      </c>
      <c r="F1947" s="19" t="str">
        <f>IFERROR(__xludf.DUMMYFUNCTION("""COMPUTED_VALUE"""),"BLACK")</f>
        <v>BLACK</v>
      </c>
      <c r="G1947" s="20" t="str">
        <f>IFERROR(__xludf.DUMMYFUNCTION("""COMPUTED_VALUE"""),"Uncle Sams Cider (11/12/2021) 02")</f>
        <v>Uncle Sams Cider (11/12/2021) 02</v>
      </c>
      <c r="H1947" s="19"/>
    </row>
    <row r="1948">
      <c r="A1948" s="9"/>
      <c r="B1948" s="15"/>
      <c r="C1948" s="9">
        <f>IFERROR(__xludf.DUMMYFUNCTION("""COMPUTED_VALUE"""),44585.2230927777)</f>
        <v>44585.22309</v>
      </c>
      <c r="D1948" s="15">
        <f>IFERROR(__xludf.DUMMYFUNCTION("""COMPUTED_VALUE"""),1.005)</f>
        <v>1.005</v>
      </c>
      <c r="E1948" s="16">
        <f>IFERROR(__xludf.DUMMYFUNCTION("""COMPUTED_VALUE"""),64.0)</f>
        <v>64</v>
      </c>
      <c r="F1948" s="19" t="str">
        <f>IFERROR(__xludf.DUMMYFUNCTION("""COMPUTED_VALUE"""),"BLACK")</f>
        <v>BLACK</v>
      </c>
      <c r="G1948" s="20" t="str">
        <f>IFERROR(__xludf.DUMMYFUNCTION("""COMPUTED_VALUE"""),"Uncle Sams Cider (11/12/2021) 02")</f>
        <v>Uncle Sams Cider (11/12/2021) 02</v>
      </c>
      <c r="H1948" s="19"/>
    </row>
    <row r="1949">
      <c r="A1949" s="9"/>
      <c r="B1949" s="15"/>
      <c r="C1949" s="9">
        <f>IFERROR(__xludf.DUMMYFUNCTION("""COMPUTED_VALUE"""),44585.2126715856)</f>
        <v>44585.21267</v>
      </c>
      <c r="D1949" s="15">
        <f>IFERROR(__xludf.DUMMYFUNCTION("""COMPUTED_VALUE"""),1.006)</f>
        <v>1.006</v>
      </c>
      <c r="E1949" s="16">
        <f>IFERROR(__xludf.DUMMYFUNCTION("""COMPUTED_VALUE"""),64.0)</f>
        <v>64</v>
      </c>
      <c r="F1949" s="19" t="str">
        <f>IFERROR(__xludf.DUMMYFUNCTION("""COMPUTED_VALUE"""),"BLACK")</f>
        <v>BLACK</v>
      </c>
      <c r="G1949" s="20" t="str">
        <f>IFERROR(__xludf.DUMMYFUNCTION("""COMPUTED_VALUE"""),"Uncle Sams Cider (11/12/2021) 02")</f>
        <v>Uncle Sams Cider (11/12/2021) 02</v>
      </c>
      <c r="H1949" s="19"/>
    </row>
    <row r="1950">
      <c r="A1950" s="9"/>
      <c r="B1950" s="15"/>
      <c r="C1950" s="9">
        <f>IFERROR(__xludf.DUMMYFUNCTION("""COMPUTED_VALUE"""),44585.2022493981)</f>
        <v>44585.20225</v>
      </c>
      <c r="D1950" s="15">
        <f>IFERROR(__xludf.DUMMYFUNCTION("""COMPUTED_VALUE"""),1.005)</f>
        <v>1.005</v>
      </c>
      <c r="E1950" s="16">
        <f>IFERROR(__xludf.DUMMYFUNCTION("""COMPUTED_VALUE"""),64.0)</f>
        <v>64</v>
      </c>
      <c r="F1950" s="19" t="str">
        <f>IFERROR(__xludf.DUMMYFUNCTION("""COMPUTED_VALUE"""),"BLACK")</f>
        <v>BLACK</v>
      </c>
      <c r="G1950" s="20" t="str">
        <f>IFERROR(__xludf.DUMMYFUNCTION("""COMPUTED_VALUE"""),"Uncle Sams Cider (11/12/2021) 02")</f>
        <v>Uncle Sams Cider (11/12/2021) 02</v>
      </c>
      <c r="H1950" s="19"/>
    </row>
    <row r="1951">
      <c r="A1951" s="9"/>
      <c r="B1951" s="15"/>
      <c r="C1951" s="9">
        <f>IFERROR(__xludf.DUMMYFUNCTION("""COMPUTED_VALUE"""),44585.1918183564)</f>
        <v>44585.19182</v>
      </c>
      <c r="D1951" s="15">
        <f>IFERROR(__xludf.DUMMYFUNCTION("""COMPUTED_VALUE"""),1.005)</f>
        <v>1.005</v>
      </c>
      <c r="E1951" s="16">
        <f>IFERROR(__xludf.DUMMYFUNCTION("""COMPUTED_VALUE"""),64.0)</f>
        <v>64</v>
      </c>
      <c r="F1951" s="19" t="str">
        <f>IFERROR(__xludf.DUMMYFUNCTION("""COMPUTED_VALUE"""),"BLACK")</f>
        <v>BLACK</v>
      </c>
      <c r="G1951" s="20" t="str">
        <f>IFERROR(__xludf.DUMMYFUNCTION("""COMPUTED_VALUE"""),"Uncle Sams Cider (11/12/2021) 02")</f>
        <v>Uncle Sams Cider (11/12/2021) 02</v>
      </c>
      <c r="H1951" s="19"/>
    </row>
    <row r="1952">
      <c r="A1952" s="9"/>
      <c r="B1952" s="15"/>
      <c r="C1952" s="9">
        <f>IFERROR(__xludf.DUMMYFUNCTION("""COMPUTED_VALUE"""),44585.1813978472)</f>
        <v>44585.1814</v>
      </c>
      <c r="D1952" s="15">
        <f>IFERROR(__xludf.DUMMYFUNCTION("""COMPUTED_VALUE"""),1.005)</f>
        <v>1.005</v>
      </c>
      <c r="E1952" s="16">
        <f>IFERROR(__xludf.DUMMYFUNCTION("""COMPUTED_VALUE"""),64.0)</f>
        <v>64</v>
      </c>
      <c r="F1952" s="19" t="str">
        <f>IFERROR(__xludf.DUMMYFUNCTION("""COMPUTED_VALUE"""),"BLACK")</f>
        <v>BLACK</v>
      </c>
      <c r="G1952" s="20" t="str">
        <f>IFERROR(__xludf.DUMMYFUNCTION("""COMPUTED_VALUE"""),"Uncle Sams Cider (11/12/2021) 02")</f>
        <v>Uncle Sams Cider (11/12/2021) 02</v>
      </c>
      <c r="H1952" s="19"/>
    </row>
    <row r="1953">
      <c r="A1953" s="9"/>
      <c r="B1953" s="15"/>
      <c r="C1953" s="9">
        <f>IFERROR(__xludf.DUMMYFUNCTION("""COMPUTED_VALUE"""),44585.1709657523)</f>
        <v>44585.17097</v>
      </c>
      <c r="D1953" s="15">
        <f>IFERROR(__xludf.DUMMYFUNCTION("""COMPUTED_VALUE"""),1.006)</f>
        <v>1.006</v>
      </c>
      <c r="E1953" s="16">
        <f>IFERROR(__xludf.DUMMYFUNCTION("""COMPUTED_VALUE"""),64.0)</f>
        <v>64</v>
      </c>
      <c r="F1953" s="19" t="str">
        <f>IFERROR(__xludf.DUMMYFUNCTION("""COMPUTED_VALUE"""),"BLACK")</f>
        <v>BLACK</v>
      </c>
      <c r="G1953" s="20" t="str">
        <f>IFERROR(__xludf.DUMMYFUNCTION("""COMPUTED_VALUE"""),"Uncle Sams Cider (11/12/2021) 02")</f>
        <v>Uncle Sams Cider (11/12/2021) 02</v>
      </c>
      <c r="H1953" s="19"/>
    </row>
    <row r="1954">
      <c r="A1954" s="9"/>
      <c r="B1954" s="15"/>
      <c r="C1954" s="9">
        <f>IFERROR(__xludf.DUMMYFUNCTION("""COMPUTED_VALUE"""),44585.1605097222)</f>
        <v>44585.16051</v>
      </c>
      <c r="D1954" s="15">
        <f>IFERROR(__xludf.DUMMYFUNCTION("""COMPUTED_VALUE"""),1.006)</f>
        <v>1.006</v>
      </c>
      <c r="E1954" s="16">
        <f>IFERROR(__xludf.DUMMYFUNCTION("""COMPUTED_VALUE"""),64.0)</f>
        <v>64</v>
      </c>
      <c r="F1954" s="19" t="str">
        <f>IFERROR(__xludf.DUMMYFUNCTION("""COMPUTED_VALUE"""),"BLACK")</f>
        <v>BLACK</v>
      </c>
      <c r="G1954" s="20" t="str">
        <f>IFERROR(__xludf.DUMMYFUNCTION("""COMPUTED_VALUE"""),"Uncle Sams Cider (11/12/2021) 02")</f>
        <v>Uncle Sams Cider (11/12/2021) 02</v>
      </c>
      <c r="H1954" s="19"/>
    </row>
    <row r="1955">
      <c r="A1955" s="9"/>
      <c r="B1955" s="15"/>
      <c r="C1955" s="9">
        <f>IFERROR(__xludf.DUMMYFUNCTION("""COMPUTED_VALUE"""),44585.1500770717)</f>
        <v>44585.15008</v>
      </c>
      <c r="D1955" s="15">
        <f>IFERROR(__xludf.DUMMYFUNCTION("""COMPUTED_VALUE"""),1.005)</f>
        <v>1.005</v>
      </c>
      <c r="E1955" s="16">
        <f>IFERROR(__xludf.DUMMYFUNCTION("""COMPUTED_VALUE"""),64.0)</f>
        <v>64</v>
      </c>
      <c r="F1955" s="19" t="str">
        <f>IFERROR(__xludf.DUMMYFUNCTION("""COMPUTED_VALUE"""),"BLACK")</f>
        <v>BLACK</v>
      </c>
      <c r="G1955" s="20" t="str">
        <f>IFERROR(__xludf.DUMMYFUNCTION("""COMPUTED_VALUE"""),"Uncle Sams Cider (11/12/2021) 02")</f>
        <v>Uncle Sams Cider (11/12/2021) 02</v>
      </c>
      <c r="H1955" s="19"/>
    </row>
    <row r="1956">
      <c r="A1956" s="9"/>
      <c r="B1956" s="15"/>
      <c r="C1956" s="9">
        <f>IFERROR(__xludf.DUMMYFUNCTION("""COMPUTED_VALUE"""),44585.1396546643)</f>
        <v>44585.13965</v>
      </c>
      <c r="D1956" s="15">
        <f>IFERROR(__xludf.DUMMYFUNCTION("""COMPUTED_VALUE"""),1.006)</f>
        <v>1.006</v>
      </c>
      <c r="E1956" s="16">
        <f>IFERROR(__xludf.DUMMYFUNCTION("""COMPUTED_VALUE"""),64.0)</f>
        <v>64</v>
      </c>
      <c r="F1956" s="19" t="str">
        <f>IFERROR(__xludf.DUMMYFUNCTION("""COMPUTED_VALUE"""),"BLACK")</f>
        <v>BLACK</v>
      </c>
      <c r="G1956" s="20" t="str">
        <f>IFERROR(__xludf.DUMMYFUNCTION("""COMPUTED_VALUE"""),"Uncle Sams Cider (11/12/2021) 02")</f>
        <v>Uncle Sams Cider (11/12/2021) 02</v>
      </c>
      <c r="H1956" s="19"/>
    </row>
    <row r="1957">
      <c r="A1957" s="9"/>
      <c r="B1957" s="15"/>
      <c r="C1957" s="9">
        <f>IFERROR(__xludf.DUMMYFUNCTION("""COMPUTED_VALUE"""),44585.129234456)</f>
        <v>44585.12923</v>
      </c>
      <c r="D1957" s="15">
        <f>IFERROR(__xludf.DUMMYFUNCTION("""COMPUTED_VALUE"""),1.006)</f>
        <v>1.006</v>
      </c>
      <c r="E1957" s="16">
        <f>IFERROR(__xludf.DUMMYFUNCTION("""COMPUTED_VALUE"""),64.0)</f>
        <v>64</v>
      </c>
      <c r="F1957" s="19" t="str">
        <f>IFERROR(__xludf.DUMMYFUNCTION("""COMPUTED_VALUE"""),"BLACK")</f>
        <v>BLACK</v>
      </c>
      <c r="G1957" s="20" t="str">
        <f>IFERROR(__xludf.DUMMYFUNCTION("""COMPUTED_VALUE"""),"Uncle Sams Cider (11/12/2021) 02")</f>
        <v>Uncle Sams Cider (11/12/2021) 02</v>
      </c>
      <c r="H1957" s="19"/>
    </row>
    <row r="1958">
      <c r="A1958" s="9"/>
      <c r="B1958" s="15"/>
      <c r="C1958" s="9">
        <f>IFERROR(__xludf.DUMMYFUNCTION("""COMPUTED_VALUE"""),44585.1188000347)</f>
        <v>44585.1188</v>
      </c>
      <c r="D1958" s="15">
        <f>IFERROR(__xludf.DUMMYFUNCTION("""COMPUTED_VALUE"""),1.006)</f>
        <v>1.006</v>
      </c>
      <c r="E1958" s="16">
        <f>IFERROR(__xludf.DUMMYFUNCTION("""COMPUTED_VALUE"""),64.0)</f>
        <v>64</v>
      </c>
      <c r="F1958" s="19" t="str">
        <f>IFERROR(__xludf.DUMMYFUNCTION("""COMPUTED_VALUE"""),"BLACK")</f>
        <v>BLACK</v>
      </c>
      <c r="G1958" s="20" t="str">
        <f>IFERROR(__xludf.DUMMYFUNCTION("""COMPUTED_VALUE"""),"Uncle Sams Cider (11/12/2021) 02")</f>
        <v>Uncle Sams Cider (11/12/2021) 02</v>
      </c>
      <c r="H1958" s="19"/>
    </row>
    <row r="1959">
      <c r="A1959" s="9"/>
      <c r="B1959" s="15"/>
      <c r="C1959" s="9">
        <f>IFERROR(__xludf.DUMMYFUNCTION("""COMPUTED_VALUE"""),44585.1083784606)</f>
        <v>44585.10838</v>
      </c>
      <c r="D1959" s="15">
        <f>IFERROR(__xludf.DUMMYFUNCTION("""COMPUTED_VALUE"""),1.005)</f>
        <v>1.005</v>
      </c>
      <c r="E1959" s="16">
        <f>IFERROR(__xludf.DUMMYFUNCTION("""COMPUTED_VALUE"""),64.0)</f>
        <v>64</v>
      </c>
      <c r="F1959" s="19" t="str">
        <f>IFERROR(__xludf.DUMMYFUNCTION("""COMPUTED_VALUE"""),"BLACK")</f>
        <v>BLACK</v>
      </c>
      <c r="G1959" s="20" t="str">
        <f>IFERROR(__xludf.DUMMYFUNCTION("""COMPUTED_VALUE"""),"Uncle Sams Cider (11/12/2021) 02")</f>
        <v>Uncle Sams Cider (11/12/2021) 02</v>
      </c>
      <c r="H1959" s="19"/>
    </row>
    <row r="1960">
      <c r="A1960" s="9"/>
      <c r="B1960" s="15"/>
      <c r="C1960" s="9">
        <f>IFERROR(__xludf.DUMMYFUNCTION("""COMPUTED_VALUE"""),44585.097933831)</f>
        <v>44585.09793</v>
      </c>
      <c r="D1960" s="15">
        <f>IFERROR(__xludf.DUMMYFUNCTION("""COMPUTED_VALUE"""),1.005)</f>
        <v>1.005</v>
      </c>
      <c r="E1960" s="16">
        <f>IFERROR(__xludf.DUMMYFUNCTION("""COMPUTED_VALUE"""),64.0)</f>
        <v>64</v>
      </c>
      <c r="F1960" s="19" t="str">
        <f>IFERROR(__xludf.DUMMYFUNCTION("""COMPUTED_VALUE"""),"BLACK")</f>
        <v>BLACK</v>
      </c>
      <c r="G1960" s="20" t="str">
        <f>IFERROR(__xludf.DUMMYFUNCTION("""COMPUTED_VALUE"""),"Uncle Sams Cider (11/12/2021) 02")</f>
        <v>Uncle Sams Cider (11/12/2021) 02</v>
      </c>
      <c r="H1960" s="19"/>
    </row>
    <row r="1961">
      <c r="A1961" s="9"/>
      <c r="B1961" s="15"/>
      <c r="C1961" s="9">
        <f>IFERROR(__xludf.DUMMYFUNCTION("""COMPUTED_VALUE"""),44585.087510787)</f>
        <v>44585.08751</v>
      </c>
      <c r="D1961" s="15">
        <f>IFERROR(__xludf.DUMMYFUNCTION("""COMPUTED_VALUE"""),1.005)</f>
        <v>1.005</v>
      </c>
      <c r="E1961" s="16">
        <f>IFERROR(__xludf.DUMMYFUNCTION("""COMPUTED_VALUE"""),64.0)</f>
        <v>64</v>
      </c>
      <c r="F1961" s="19" t="str">
        <f>IFERROR(__xludf.DUMMYFUNCTION("""COMPUTED_VALUE"""),"BLACK")</f>
        <v>BLACK</v>
      </c>
      <c r="G1961" s="20" t="str">
        <f>IFERROR(__xludf.DUMMYFUNCTION("""COMPUTED_VALUE"""),"Uncle Sams Cider (11/12/2021) 02")</f>
        <v>Uncle Sams Cider (11/12/2021) 02</v>
      </c>
      <c r="H1961" s="19"/>
    </row>
    <row r="1962">
      <c r="A1962" s="9"/>
      <c r="B1962" s="15"/>
      <c r="C1962" s="9">
        <f>IFERROR(__xludf.DUMMYFUNCTION("""COMPUTED_VALUE"""),44585.0770896296)</f>
        <v>44585.07709</v>
      </c>
      <c r="D1962" s="15">
        <f>IFERROR(__xludf.DUMMYFUNCTION("""COMPUTED_VALUE"""),1.006)</f>
        <v>1.006</v>
      </c>
      <c r="E1962" s="16">
        <f>IFERROR(__xludf.DUMMYFUNCTION("""COMPUTED_VALUE"""),64.0)</f>
        <v>64</v>
      </c>
      <c r="F1962" s="19" t="str">
        <f>IFERROR(__xludf.DUMMYFUNCTION("""COMPUTED_VALUE"""),"BLACK")</f>
        <v>BLACK</v>
      </c>
      <c r="G1962" s="20" t="str">
        <f>IFERROR(__xludf.DUMMYFUNCTION("""COMPUTED_VALUE"""),"Uncle Sams Cider (11/12/2021) 02")</f>
        <v>Uncle Sams Cider (11/12/2021) 02</v>
      </c>
      <c r="H1962" s="19"/>
    </row>
    <row r="1963">
      <c r="A1963" s="9"/>
      <c r="B1963" s="15"/>
      <c r="C1963" s="9">
        <f>IFERROR(__xludf.DUMMYFUNCTION("""COMPUTED_VALUE"""),44585.066668368)</f>
        <v>44585.06667</v>
      </c>
      <c r="D1963" s="15">
        <f>IFERROR(__xludf.DUMMYFUNCTION("""COMPUTED_VALUE"""),1.006)</f>
        <v>1.006</v>
      </c>
      <c r="E1963" s="16">
        <f>IFERROR(__xludf.DUMMYFUNCTION("""COMPUTED_VALUE"""),64.0)</f>
        <v>64</v>
      </c>
      <c r="F1963" s="19" t="str">
        <f>IFERROR(__xludf.DUMMYFUNCTION("""COMPUTED_VALUE"""),"BLACK")</f>
        <v>BLACK</v>
      </c>
      <c r="G1963" s="20" t="str">
        <f>IFERROR(__xludf.DUMMYFUNCTION("""COMPUTED_VALUE"""),"Uncle Sams Cider (11/12/2021) 02")</f>
        <v>Uncle Sams Cider (11/12/2021) 02</v>
      </c>
      <c r="H1963" s="19"/>
    </row>
    <row r="1964">
      <c r="A1964" s="9"/>
      <c r="B1964" s="15"/>
      <c r="C1964" s="9">
        <f>IFERROR(__xludf.DUMMYFUNCTION("""COMPUTED_VALUE"""),44585.0562490972)</f>
        <v>44585.05625</v>
      </c>
      <c r="D1964" s="15">
        <f>IFERROR(__xludf.DUMMYFUNCTION("""COMPUTED_VALUE"""),1.005)</f>
        <v>1.005</v>
      </c>
      <c r="E1964" s="16">
        <f>IFERROR(__xludf.DUMMYFUNCTION("""COMPUTED_VALUE"""),64.0)</f>
        <v>64</v>
      </c>
      <c r="F1964" s="19" t="str">
        <f>IFERROR(__xludf.DUMMYFUNCTION("""COMPUTED_VALUE"""),"BLACK")</f>
        <v>BLACK</v>
      </c>
      <c r="G1964" s="20" t="str">
        <f>IFERROR(__xludf.DUMMYFUNCTION("""COMPUTED_VALUE"""),"Uncle Sams Cider (11/12/2021) 02")</f>
        <v>Uncle Sams Cider (11/12/2021) 02</v>
      </c>
      <c r="H1964" s="19"/>
    </row>
    <row r="1965">
      <c r="A1965" s="9"/>
      <c r="B1965" s="15"/>
      <c r="C1965" s="9">
        <f>IFERROR(__xludf.DUMMYFUNCTION("""COMPUTED_VALUE"""),44585.045829618)</f>
        <v>44585.04583</v>
      </c>
      <c r="D1965" s="15">
        <f>IFERROR(__xludf.DUMMYFUNCTION("""COMPUTED_VALUE"""),1.006)</f>
        <v>1.006</v>
      </c>
      <c r="E1965" s="16">
        <f>IFERROR(__xludf.DUMMYFUNCTION("""COMPUTED_VALUE"""),64.0)</f>
        <v>64</v>
      </c>
      <c r="F1965" s="19" t="str">
        <f>IFERROR(__xludf.DUMMYFUNCTION("""COMPUTED_VALUE"""),"BLACK")</f>
        <v>BLACK</v>
      </c>
      <c r="G1965" s="20" t="str">
        <f>IFERROR(__xludf.DUMMYFUNCTION("""COMPUTED_VALUE"""),"Uncle Sams Cider (11/12/2021) 02")</f>
        <v>Uncle Sams Cider (11/12/2021) 02</v>
      </c>
      <c r="H1965" s="19"/>
    </row>
    <row r="1966">
      <c r="A1966" s="9"/>
      <c r="B1966" s="15"/>
      <c r="C1966" s="9">
        <f>IFERROR(__xludf.DUMMYFUNCTION("""COMPUTED_VALUE"""),44585.0354086342)</f>
        <v>44585.03541</v>
      </c>
      <c r="D1966" s="15">
        <f>IFERROR(__xludf.DUMMYFUNCTION("""COMPUTED_VALUE"""),1.006)</f>
        <v>1.006</v>
      </c>
      <c r="E1966" s="16">
        <f>IFERROR(__xludf.DUMMYFUNCTION("""COMPUTED_VALUE"""),64.0)</f>
        <v>64</v>
      </c>
      <c r="F1966" s="19" t="str">
        <f>IFERROR(__xludf.DUMMYFUNCTION("""COMPUTED_VALUE"""),"BLACK")</f>
        <v>BLACK</v>
      </c>
      <c r="G1966" s="20" t="str">
        <f>IFERROR(__xludf.DUMMYFUNCTION("""COMPUTED_VALUE"""),"Uncle Sams Cider (11/12/2021) 02")</f>
        <v>Uncle Sams Cider (11/12/2021) 02</v>
      </c>
      <c r="H1966" s="19"/>
    </row>
    <row r="1967">
      <c r="A1967" s="9"/>
      <c r="B1967" s="15"/>
      <c r="C1967" s="9">
        <f>IFERROR(__xludf.DUMMYFUNCTION("""COMPUTED_VALUE"""),44585.0249410648)</f>
        <v>44585.02494</v>
      </c>
      <c r="D1967" s="15">
        <f>IFERROR(__xludf.DUMMYFUNCTION("""COMPUTED_VALUE"""),1.005)</f>
        <v>1.005</v>
      </c>
      <c r="E1967" s="16">
        <f>IFERROR(__xludf.DUMMYFUNCTION("""COMPUTED_VALUE"""),64.0)</f>
        <v>64</v>
      </c>
      <c r="F1967" s="19" t="str">
        <f>IFERROR(__xludf.DUMMYFUNCTION("""COMPUTED_VALUE"""),"BLACK")</f>
        <v>BLACK</v>
      </c>
      <c r="G1967" s="20" t="str">
        <f>IFERROR(__xludf.DUMMYFUNCTION("""COMPUTED_VALUE"""),"Uncle Sams Cider (11/12/2021) 02")</f>
        <v>Uncle Sams Cider (11/12/2021) 02</v>
      </c>
      <c r="H1967" s="19"/>
    </row>
    <row r="1968">
      <c r="A1968" s="9"/>
      <c r="B1968" s="15"/>
      <c r="C1968" s="9">
        <f>IFERROR(__xludf.DUMMYFUNCTION("""COMPUTED_VALUE"""),44585.0144846875)</f>
        <v>44585.01448</v>
      </c>
      <c r="D1968" s="15">
        <f>IFERROR(__xludf.DUMMYFUNCTION("""COMPUTED_VALUE"""),1.005)</f>
        <v>1.005</v>
      </c>
      <c r="E1968" s="16">
        <f>IFERROR(__xludf.DUMMYFUNCTION("""COMPUTED_VALUE"""),64.0)</f>
        <v>64</v>
      </c>
      <c r="F1968" s="19" t="str">
        <f>IFERROR(__xludf.DUMMYFUNCTION("""COMPUTED_VALUE"""),"BLACK")</f>
        <v>BLACK</v>
      </c>
      <c r="G1968" s="20" t="str">
        <f>IFERROR(__xludf.DUMMYFUNCTION("""COMPUTED_VALUE"""),"Uncle Sams Cider (11/12/2021) 02")</f>
        <v>Uncle Sams Cider (11/12/2021) 02</v>
      </c>
      <c r="H1968" s="19"/>
    </row>
    <row r="1969">
      <c r="A1969" s="9"/>
      <c r="B1969" s="15"/>
      <c r="C1969" s="9">
        <f>IFERROR(__xludf.DUMMYFUNCTION("""COMPUTED_VALUE"""),44585.0040519791)</f>
        <v>44585.00405</v>
      </c>
      <c r="D1969" s="15">
        <f>IFERROR(__xludf.DUMMYFUNCTION("""COMPUTED_VALUE"""),1.006)</f>
        <v>1.006</v>
      </c>
      <c r="E1969" s="16">
        <f>IFERROR(__xludf.DUMMYFUNCTION("""COMPUTED_VALUE"""),64.0)</f>
        <v>64</v>
      </c>
      <c r="F1969" s="19" t="str">
        <f>IFERROR(__xludf.DUMMYFUNCTION("""COMPUTED_VALUE"""),"BLACK")</f>
        <v>BLACK</v>
      </c>
      <c r="G1969" s="20" t="str">
        <f>IFERROR(__xludf.DUMMYFUNCTION("""COMPUTED_VALUE"""),"Uncle Sams Cider (11/12/2021) 02")</f>
        <v>Uncle Sams Cider (11/12/2021) 02</v>
      </c>
      <c r="H1969" s="19"/>
    </row>
    <row r="1970">
      <c r="A1970" s="9"/>
      <c r="B1970" s="15"/>
      <c r="C1970" s="9">
        <f>IFERROR(__xludf.DUMMYFUNCTION("""COMPUTED_VALUE"""),44584.9936193518)</f>
        <v>44584.99362</v>
      </c>
      <c r="D1970" s="15">
        <f>IFERROR(__xludf.DUMMYFUNCTION("""COMPUTED_VALUE"""),1.006)</f>
        <v>1.006</v>
      </c>
      <c r="E1970" s="16">
        <f>IFERROR(__xludf.DUMMYFUNCTION("""COMPUTED_VALUE"""),64.0)</f>
        <v>64</v>
      </c>
      <c r="F1970" s="19" t="str">
        <f>IFERROR(__xludf.DUMMYFUNCTION("""COMPUTED_VALUE"""),"BLACK")</f>
        <v>BLACK</v>
      </c>
      <c r="G1970" s="20" t="str">
        <f>IFERROR(__xludf.DUMMYFUNCTION("""COMPUTED_VALUE"""),"Uncle Sams Cider (11/12/2021) 02")</f>
        <v>Uncle Sams Cider (11/12/2021) 02</v>
      </c>
      <c r="H1970" s="19"/>
    </row>
    <row r="1971">
      <c r="A1971" s="9"/>
      <c r="B1971" s="15"/>
      <c r="C1971" s="9">
        <f>IFERROR(__xludf.DUMMYFUNCTION("""COMPUTED_VALUE"""),44584.9831746296)</f>
        <v>44584.98317</v>
      </c>
      <c r="D1971" s="15">
        <f>IFERROR(__xludf.DUMMYFUNCTION("""COMPUTED_VALUE"""),1.006)</f>
        <v>1.006</v>
      </c>
      <c r="E1971" s="16">
        <f>IFERROR(__xludf.DUMMYFUNCTION("""COMPUTED_VALUE"""),64.0)</f>
        <v>64</v>
      </c>
      <c r="F1971" s="19" t="str">
        <f>IFERROR(__xludf.DUMMYFUNCTION("""COMPUTED_VALUE"""),"BLACK")</f>
        <v>BLACK</v>
      </c>
      <c r="G1971" s="20" t="str">
        <f>IFERROR(__xludf.DUMMYFUNCTION("""COMPUTED_VALUE"""),"Uncle Sams Cider (11/12/2021) 02")</f>
        <v>Uncle Sams Cider (11/12/2021) 02</v>
      </c>
      <c r="H1971" s="19"/>
    </row>
    <row r="1972">
      <c r="A1972" s="9"/>
      <c r="B1972" s="15"/>
      <c r="C1972" s="9">
        <f>IFERROR(__xludf.DUMMYFUNCTION("""COMPUTED_VALUE"""),44584.9727303356)</f>
        <v>44584.97273</v>
      </c>
      <c r="D1972" s="15">
        <f>IFERROR(__xludf.DUMMYFUNCTION("""COMPUTED_VALUE"""),1.005)</f>
        <v>1.005</v>
      </c>
      <c r="E1972" s="16">
        <f>IFERROR(__xludf.DUMMYFUNCTION("""COMPUTED_VALUE"""),64.0)</f>
        <v>64</v>
      </c>
      <c r="F1972" s="19" t="str">
        <f>IFERROR(__xludf.DUMMYFUNCTION("""COMPUTED_VALUE"""),"BLACK")</f>
        <v>BLACK</v>
      </c>
      <c r="G1972" s="20" t="str">
        <f>IFERROR(__xludf.DUMMYFUNCTION("""COMPUTED_VALUE"""),"Uncle Sams Cider (11/12/2021) 02")</f>
        <v>Uncle Sams Cider (11/12/2021) 02</v>
      </c>
      <c r="H1972" s="19"/>
    </row>
    <row r="1973">
      <c r="A1973" s="9"/>
      <c r="B1973" s="15"/>
      <c r="C1973" s="9">
        <f>IFERROR(__xludf.DUMMYFUNCTION("""COMPUTED_VALUE"""),44584.9622280324)</f>
        <v>44584.96223</v>
      </c>
      <c r="D1973" s="15">
        <f>IFERROR(__xludf.DUMMYFUNCTION("""COMPUTED_VALUE"""),1.006)</f>
        <v>1.006</v>
      </c>
      <c r="E1973" s="16">
        <f>IFERROR(__xludf.DUMMYFUNCTION("""COMPUTED_VALUE"""),64.0)</f>
        <v>64</v>
      </c>
      <c r="F1973" s="19" t="str">
        <f>IFERROR(__xludf.DUMMYFUNCTION("""COMPUTED_VALUE"""),"BLACK")</f>
        <v>BLACK</v>
      </c>
      <c r="G1973" s="20" t="str">
        <f>IFERROR(__xludf.DUMMYFUNCTION("""COMPUTED_VALUE"""),"Uncle Sams Cider (11/12/2021) 02")</f>
        <v>Uncle Sams Cider (11/12/2021) 02</v>
      </c>
      <c r="H1973" s="19"/>
    </row>
    <row r="1974">
      <c r="A1974" s="9"/>
      <c r="B1974" s="15"/>
      <c r="C1974" s="9">
        <f>IFERROR(__xludf.DUMMYFUNCTION("""COMPUTED_VALUE"""),44584.9517833217)</f>
        <v>44584.95178</v>
      </c>
      <c r="D1974" s="15">
        <f>IFERROR(__xludf.DUMMYFUNCTION("""COMPUTED_VALUE"""),1.006)</f>
        <v>1.006</v>
      </c>
      <c r="E1974" s="16">
        <f>IFERROR(__xludf.DUMMYFUNCTION("""COMPUTED_VALUE"""),64.0)</f>
        <v>64</v>
      </c>
      <c r="F1974" s="19" t="str">
        <f>IFERROR(__xludf.DUMMYFUNCTION("""COMPUTED_VALUE"""),"BLACK")</f>
        <v>BLACK</v>
      </c>
      <c r="G1974" s="20" t="str">
        <f>IFERROR(__xludf.DUMMYFUNCTION("""COMPUTED_VALUE"""),"Uncle Sams Cider (11/12/2021) 02")</f>
        <v>Uncle Sams Cider (11/12/2021) 02</v>
      </c>
      <c r="H1974" s="19"/>
    </row>
    <row r="1975">
      <c r="A1975" s="9"/>
      <c r="B1975" s="15"/>
      <c r="C1975" s="9">
        <f>IFERROR(__xludf.DUMMYFUNCTION("""COMPUTED_VALUE"""),44584.9413511111)</f>
        <v>44584.94135</v>
      </c>
      <c r="D1975" s="15">
        <f>IFERROR(__xludf.DUMMYFUNCTION("""COMPUTED_VALUE"""),1.006)</f>
        <v>1.006</v>
      </c>
      <c r="E1975" s="16">
        <f>IFERROR(__xludf.DUMMYFUNCTION("""COMPUTED_VALUE"""),65.0)</f>
        <v>65</v>
      </c>
      <c r="F1975" s="19" t="str">
        <f>IFERROR(__xludf.DUMMYFUNCTION("""COMPUTED_VALUE"""),"BLACK")</f>
        <v>BLACK</v>
      </c>
      <c r="G1975" s="20" t="str">
        <f>IFERROR(__xludf.DUMMYFUNCTION("""COMPUTED_VALUE"""),"Uncle Sams Cider (11/12/2021) 02")</f>
        <v>Uncle Sams Cider (11/12/2021) 02</v>
      </c>
      <c r="H1975" s="19"/>
    </row>
    <row r="1976">
      <c r="A1976" s="9"/>
      <c r="B1976" s="15"/>
      <c r="C1976" s="9">
        <f>IFERROR(__xludf.DUMMYFUNCTION("""COMPUTED_VALUE"""),44584.9309312152)</f>
        <v>44584.93093</v>
      </c>
      <c r="D1976" s="15">
        <f>IFERROR(__xludf.DUMMYFUNCTION("""COMPUTED_VALUE"""),1.006)</f>
        <v>1.006</v>
      </c>
      <c r="E1976" s="16">
        <f>IFERROR(__xludf.DUMMYFUNCTION("""COMPUTED_VALUE"""),65.0)</f>
        <v>65</v>
      </c>
      <c r="F1976" s="19" t="str">
        <f>IFERROR(__xludf.DUMMYFUNCTION("""COMPUTED_VALUE"""),"BLACK")</f>
        <v>BLACK</v>
      </c>
      <c r="G1976" s="20" t="str">
        <f>IFERROR(__xludf.DUMMYFUNCTION("""COMPUTED_VALUE"""),"Uncle Sams Cider (11/12/2021) 02")</f>
        <v>Uncle Sams Cider (11/12/2021) 02</v>
      </c>
      <c r="H1976" s="19"/>
    </row>
    <row r="1977">
      <c r="A1977" s="9"/>
      <c r="B1977" s="15"/>
      <c r="C1977" s="9">
        <f>IFERROR(__xludf.DUMMYFUNCTION("""COMPUTED_VALUE"""),44584.9205106828)</f>
        <v>44584.92051</v>
      </c>
      <c r="D1977" s="15">
        <f>IFERROR(__xludf.DUMMYFUNCTION("""COMPUTED_VALUE"""),1.006)</f>
        <v>1.006</v>
      </c>
      <c r="E1977" s="16">
        <f>IFERROR(__xludf.DUMMYFUNCTION("""COMPUTED_VALUE"""),65.0)</f>
        <v>65</v>
      </c>
      <c r="F1977" s="19" t="str">
        <f>IFERROR(__xludf.DUMMYFUNCTION("""COMPUTED_VALUE"""),"BLACK")</f>
        <v>BLACK</v>
      </c>
      <c r="G1977" s="20" t="str">
        <f>IFERROR(__xludf.DUMMYFUNCTION("""COMPUTED_VALUE"""),"Uncle Sams Cider (11/12/2021) 02")</f>
        <v>Uncle Sams Cider (11/12/2021) 02</v>
      </c>
      <c r="H1977" s="19"/>
    </row>
    <row r="1978">
      <c r="A1978" s="9"/>
      <c r="B1978" s="15"/>
      <c r="C1978" s="9">
        <f>IFERROR(__xludf.DUMMYFUNCTION("""COMPUTED_VALUE"""),44584.9100892939)</f>
        <v>44584.91009</v>
      </c>
      <c r="D1978" s="15">
        <f>IFERROR(__xludf.DUMMYFUNCTION("""COMPUTED_VALUE"""),1.005)</f>
        <v>1.005</v>
      </c>
      <c r="E1978" s="16">
        <f>IFERROR(__xludf.DUMMYFUNCTION("""COMPUTED_VALUE"""),65.0)</f>
        <v>65</v>
      </c>
      <c r="F1978" s="19" t="str">
        <f>IFERROR(__xludf.DUMMYFUNCTION("""COMPUTED_VALUE"""),"BLACK")</f>
        <v>BLACK</v>
      </c>
      <c r="G1978" s="20" t="str">
        <f>IFERROR(__xludf.DUMMYFUNCTION("""COMPUTED_VALUE"""),"Uncle Sams Cider (11/12/2021) 02")</f>
        <v>Uncle Sams Cider (11/12/2021) 02</v>
      </c>
      <c r="H1978" s="19"/>
    </row>
    <row r="1979">
      <c r="A1979" s="9"/>
      <c r="B1979" s="15"/>
      <c r="C1979" s="9">
        <f>IFERROR(__xludf.DUMMYFUNCTION("""COMPUTED_VALUE"""),44584.899607118)</f>
        <v>44584.89961</v>
      </c>
      <c r="D1979" s="15">
        <f>IFERROR(__xludf.DUMMYFUNCTION("""COMPUTED_VALUE"""),1.006)</f>
        <v>1.006</v>
      </c>
      <c r="E1979" s="16">
        <f>IFERROR(__xludf.DUMMYFUNCTION("""COMPUTED_VALUE"""),65.0)</f>
        <v>65</v>
      </c>
      <c r="F1979" s="19" t="str">
        <f>IFERROR(__xludf.DUMMYFUNCTION("""COMPUTED_VALUE"""),"BLACK")</f>
        <v>BLACK</v>
      </c>
      <c r="G1979" s="20" t="str">
        <f>IFERROR(__xludf.DUMMYFUNCTION("""COMPUTED_VALUE"""),"Uncle Sams Cider (11/12/2021) 02")</f>
        <v>Uncle Sams Cider (11/12/2021) 02</v>
      </c>
      <c r="H1979" s="19"/>
    </row>
    <row r="1980">
      <c r="A1980" s="9"/>
      <c r="B1980" s="15"/>
      <c r="C1980" s="9">
        <f>IFERROR(__xludf.DUMMYFUNCTION("""COMPUTED_VALUE"""),44584.8891509143)</f>
        <v>44584.88915</v>
      </c>
      <c r="D1980" s="15">
        <f>IFERROR(__xludf.DUMMYFUNCTION("""COMPUTED_VALUE"""),1.006)</f>
        <v>1.006</v>
      </c>
      <c r="E1980" s="16">
        <f>IFERROR(__xludf.DUMMYFUNCTION("""COMPUTED_VALUE"""),65.0)</f>
        <v>65</v>
      </c>
      <c r="F1980" s="19" t="str">
        <f>IFERROR(__xludf.DUMMYFUNCTION("""COMPUTED_VALUE"""),"BLACK")</f>
        <v>BLACK</v>
      </c>
      <c r="G1980" s="20" t="str">
        <f>IFERROR(__xludf.DUMMYFUNCTION("""COMPUTED_VALUE"""),"Uncle Sams Cider (11/12/2021) 02")</f>
        <v>Uncle Sams Cider (11/12/2021) 02</v>
      </c>
      <c r="H1980" s="19"/>
    </row>
    <row r="1981">
      <c r="A1981" s="9"/>
      <c r="B1981" s="15"/>
      <c r="C1981" s="9">
        <f>IFERROR(__xludf.DUMMYFUNCTION("""COMPUTED_VALUE"""),44584.8787189699)</f>
        <v>44584.87872</v>
      </c>
      <c r="D1981" s="15">
        <f>IFERROR(__xludf.DUMMYFUNCTION("""COMPUTED_VALUE"""),1.006)</f>
        <v>1.006</v>
      </c>
      <c r="E1981" s="16">
        <f>IFERROR(__xludf.DUMMYFUNCTION("""COMPUTED_VALUE"""),65.0)</f>
        <v>65</v>
      </c>
      <c r="F1981" s="19" t="str">
        <f>IFERROR(__xludf.DUMMYFUNCTION("""COMPUTED_VALUE"""),"BLACK")</f>
        <v>BLACK</v>
      </c>
      <c r="G1981" s="20" t="str">
        <f>IFERROR(__xludf.DUMMYFUNCTION("""COMPUTED_VALUE"""),"Uncle Sams Cider (11/12/2021) 02")</f>
        <v>Uncle Sams Cider (11/12/2021) 02</v>
      </c>
      <c r="H1981" s="19"/>
    </row>
    <row r="1982">
      <c r="A1982" s="9"/>
      <c r="B1982" s="15"/>
      <c r="C1982" s="9">
        <f>IFERROR(__xludf.DUMMYFUNCTION("""COMPUTED_VALUE"""),44584.8682965393)</f>
        <v>44584.8683</v>
      </c>
      <c r="D1982" s="15">
        <f>IFERROR(__xludf.DUMMYFUNCTION("""COMPUTED_VALUE"""),1.006)</f>
        <v>1.006</v>
      </c>
      <c r="E1982" s="16">
        <f>IFERROR(__xludf.DUMMYFUNCTION("""COMPUTED_VALUE"""),65.0)</f>
        <v>65</v>
      </c>
      <c r="F1982" s="19" t="str">
        <f>IFERROR(__xludf.DUMMYFUNCTION("""COMPUTED_VALUE"""),"BLACK")</f>
        <v>BLACK</v>
      </c>
      <c r="G1982" s="20" t="str">
        <f>IFERROR(__xludf.DUMMYFUNCTION("""COMPUTED_VALUE"""),"Uncle Sams Cider (11/12/2021) 02")</f>
        <v>Uncle Sams Cider (11/12/2021) 02</v>
      </c>
      <c r="H1982" s="19"/>
    </row>
    <row r="1983">
      <c r="A1983" s="9"/>
      <c r="B1983" s="15"/>
      <c r="C1983" s="9">
        <f>IFERROR(__xludf.DUMMYFUNCTION("""COMPUTED_VALUE"""),44584.8578736458)</f>
        <v>44584.85787</v>
      </c>
      <c r="D1983" s="15">
        <f>IFERROR(__xludf.DUMMYFUNCTION("""COMPUTED_VALUE"""),1.006)</f>
        <v>1.006</v>
      </c>
      <c r="E1983" s="16">
        <f>IFERROR(__xludf.DUMMYFUNCTION("""COMPUTED_VALUE"""),65.0)</f>
        <v>65</v>
      </c>
      <c r="F1983" s="19" t="str">
        <f>IFERROR(__xludf.DUMMYFUNCTION("""COMPUTED_VALUE"""),"BLACK")</f>
        <v>BLACK</v>
      </c>
      <c r="G1983" s="20" t="str">
        <f>IFERROR(__xludf.DUMMYFUNCTION("""COMPUTED_VALUE"""),"Uncle Sams Cider (11/12/2021) 02")</f>
        <v>Uncle Sams Cider (11/12/2021) 02</v>
      </c>
      <c r="H1983" s="19"/>
    </row>
    <row r="1984">
      <c r="A1984" s="9"/>
      <c r="B1984" s="15"/>
      <c r="C1984" s="9">
        <f>IFERROR(__xludf.DUMMYFUNCTION("""COMPUTED_VALUE"""),44584.847453993)</f>
        <v>44584.84745</v>
      </c>
      <c r="D1984" s="15">
        <f>IFERROR(__xludf.DUMMYFUNCTION("""COMPUTED_VALUE"""),1.006)</f>
        <v>1.006</v>
      </c>
      <c r="E1984" s="16">
        <f>IFERROR(__xludf.DUMMYFUNCTION("""COMPUTED_VALUE"""),65.0)</f>
        <v>65</v>
      </c>
      <c r="F1984" s="19" t="str">
        <f>IFERROR(__xludf.DUMMYFUNCTION("""COMPUTED_VALUE"""),"BLACK")</f>
        <v>BLACK</v>
      </c>
      <c r="G1984" s="20" t="str">
        <f>IFERROR(__xludf.DUMMYFUNCTION("""COMPUTED_VALUE"""),"Uncle Sams Cider (11/12/2021) 02")</f>
        <v>Uncle Sams Cider (11/12/2021) 02</v>
      </c>
      <c r="H1984" s="19"/>
    </row>
    <row r="1985">
      <c r="A1985" s="9"/>
      <c r="B1985" s="15"/>
      <c r="C1985" s="9">
        <f>IFERROR(__xludf.DUMMYFUNCTION("""COMPUTED_VALUE"""),44584.8370209606)</f>
        <v>44584.83702</v>
      </c>
      <c r="D1985" s="15">
        <f>IFERROR(__xludf.DUMMYFUNCTION("""COMPUTED_VALUE"""),1.006)</f>
        <v>1.006</v>
      </c>
      <c r="E1985" s="16">
        <f>IFERROR(__xludf.DUMMYFUNCTION("""COMPUTED_VALUE"""),65.0)</f>
        <v>65</v>
      </c>
      <c r="F1985" s="19" t="str">
        <f>IFERROR(__xludf.DUMMYFUNCTION("""COMPUTED_VALUE"""),"BLACK")</f>
        <v>BLACK</v>
      </c>
      <c r="G1985" s="20" t="str">
        <f>IFERROR(__xludf.DUMMYFUNCTION("""COMPUTED_VALUE"""),"Uncle Sams Cider (11/12/2021) 02")</f>
        <v>Uncle Sams Cider (11/12/2021) 02</v>
      </c>
      <c r="H1985" s="19"/>
    </row>
    <row r="1986">
      <c r="A1986" s="9"/>
      <c r="B1986" s="15"/>
      <c r="C1986" s="9">
        <f>IFERROR(__xludf.DUMMYFUNCTION("""COMPUTED_VALUE"""),44584.8265903009)</f>
        <v>44584.82659</v>
      </c>
      <c r="D1986" s="15">
        <f>IFERROR(__xludf.DUMMYFUNCTION("""COMPUTED_VALUE"""),1.005)</f>
        <v>1.005</v>
      </c>
      <c r="E1986" s="16">
        <f>IFERROR(__xludf.DUMMYFUNCTION("""COMPUTED_VALUE"""),65.0)</f>
        <v>65</v>
      </c>
      <c r="F1986" s="19" t="str">
        <f>IFERROR(__xludf.DUMMYFUNCTION("""COMPUTED_VALUE"""),"BLACK")</f>
        <v>BLACK</v>
      </c>
      <c r="G1986" s="20" t="str">
        <f>IFERROR(__xludf.DUMMYFUNCTION("""COMPUTED_VALUE"""),"Uncle Sams Cider (11/12/2021) 02")</f>
        <v>Uncle Sams Cider (11/12/2021) 02</v>
      </c>
      <c r="H1986" s="19"/>
    </row>
    <row r="1987">
      <c r="A1987" s="9"/>
      <c r="B1987" s="15"/>
      <c r="C1987" s="9">
        <f>IFERROR(__xludf.DUMMYFUNCTION("""COMPUTED_VALUE"""),44584.81616728)</f>
        <v>44584.81617</v>
      </c>
      <c r="D1987" s="15">
        <f>IFERROR(__xludf.DUMMYFUNCTION("""COMPUTED_VALUE"""),1.005)</f>
        <v>1.005</v>
      </c>
      <c r="E1987" s="16">
        <f>IFERROR(__xludf.DUMMYFUNCTION("""COMPUTED_VALUE"""),65.0)</f>
        <v>65</v>
      </c>
      <c r="F1987" s="19" t="str">
        <f>IFERROR(__xludf.DUMMYFUNCTION("""COMPUTED_VALUE"""),"BLACK")</f>
        <v>BLACK</v>
      </c>
      <c r="G1987" s="20" t="str">
        <f>IFERROR(__xludf.DUMMYFUNCTION("""COMPUTED_VALUE"""),"Uncle Sams Cider (11/12/2021) 02")</f>
        <v>Uncle Sams Cider (11/12/2021) 02</v>
      </c>
      <c r="H1987" s="19"/>
    </row>
    <row r="1988">
      <c r="A1988" s="9"/>
      <c r="B1988" s="15"/>
      <c r="C1988" s="9">
        <f>IFERROR(__xludf.DUMMYFUNCTION("""COMPUTED_VALUE"""),44584.8057459953)</f>
        <v>44584.80575</v>
      </c>
      <c r="D1988" s="15">
        <f>IFERROR(__xludf.DUMMYFUNCTION("""COMPUTED_VALUE"""),1.006)</f>
        <v>1.006</v>
      </c>
      <c r="E1988" s="16">
        <f>IFERROR(__xludf.DUMMYFUNCTION("""COMPUTED_VALUE"""),65.0)</f>
        <v>65</v>
      </c>
      <c r="F1988" s="19" t="str">
        <f>IFERROR(__xludf.DUMMYFUNCTION("""COMPUTED_VALUE"""),"BLACK")</f>
        <v>BLACK</v>
      </c>
      <c r="G1988" s="20" t="str">
        <f>IFERROR(__xludf.DUMMYFUNCTION("""COMPUTED_VALUE"""),"Uncle Sams Cider (11/12/2021) 02")</f>
        <v>Uncle Sams Cider (11/12/2021) 02</v>
      </c>
      <c r="H1988" s="19"/>
    </row>
    <row r="1989">
      <c r="A1989" s="9"/>
      <c r="B1989" s="15"/>
      <c r="C1989" s="9">
        <f>IFERROR(__xludf.DUMMYFUNCTION("""COMPUTED_VALUE"""),44584.7953250347)</f>
        <v>44584.79533</v>
      </c>
      <c r="D1989" s="15">
        <f>IFERROR(__xludf.DUMMYFUNCTION("""COMPUTED_VALUE"""),1.005)</f>
        <v>1.005</v>
      </c>
      <c r="E1989" s="16">
        <f>IFERROR(__xludf.DUMMYFUNCTION("""COMPUTED_VALUE"""),65.0)</f>
        <v>65</v>
      </c>
      <c r="F1989" s="19" t="str">
        <f>IFERROR(__xludf.DUMMYFUNCTION("""COMPUTED_VALUE"""),"BLACK")</f>
        <v>BLACK</v>
      </c>
      <c r="G1989" s="20" t="str">
        <f>IFERROR(__xludf.DUMMYFUNCTION("""COMPUTED_VALUE"""),"Uncle Sams Cider (11/12/2021) 02")</f>
        <v>Uncle Sams Cider (11/12/2021) 02</v>
      </c>
      <c r="H1989" s="19"/>
    </row>
    <row r="1990">
      <c r="A1990" s="9"/>
      <c r="B1990" s="15"/>
      <c r="C1990" s="9">
        <f>IFERROR(__xludf.DUMMYFUNCTION("""COMPUTED_VALUE"""),44584.784903831)</f>
        <v>44584.7849</v>
      </c>
      <c r="D1990" s="15">
        <f>IFERROR(__xludf.DUMMYFUNCTION("""COMPUTED_VALUE"""),1.006)</f>
        <v>1.006</v>
      </c>
      <c r="E1990" s="16">
        <f>IFERROR(__xludf.DUMMYFUNCTION("""COMPUTED_VALUE"""),65.0)</f>
        <v>65</v>
      </c>
      <c r="F1990" s="19" t="str">
        <f>IFERROR(__xludf.DUMMYFUNCTION("""COMPUTED_VALUE"""),"BLACK")</f>
        <v>BLACK</v>
      </c>
      <c r="G1990" s="20" t="str">
        <f>IFERROR(__xludf.DUMMYFUNCTION("""COMPUTED_VALUE"""),"Uncle Sams Cider (11/12/2021) 02")</f>
        <v>Uncle Sams Cider (11/12/2021) 02</v>
      </c>
      <c r="H1990" s="19"/>
    </row>
    <row r="1991">
      <c r="A1991" s="9"/>
      <c r="B1991" s="15"/>
      <c r="C1991" s="9">
        <f>IFERROR(__xludf.DUMMYFUNCTION("""COMPUTED_VALUE"""),44584.7744816087)</f>
        <v>44584.77448</v>
      </c>
      <c r="D1991" s="15">
        <f>IFERROR(__xludf.DUMMYFUNCTION("""COMPUTED_VALUE"""),1.006)</f>
        <v>1.006</v>
      </c>
      <c r="E1991" s="16">
        <f>IFERROR(__xludf.DUMMYFUNCTION("""COMPUTED_VALUE"""),65.0)</f>
        <v>65</v>
      </c>
      <c r="F1991" s="19" t="str">
        <f>IFERROR(__xludf.DUMMYFUNCTION("""COMPUTED_VALUE"""),"BLACK")</f>
        <v>BLACK</v>
      </c>
      <c r="G1991" s="20" t="str">
        <f>IFERROR(__xludf.DUMMYFUNCTION("""COMPUTED_VALUE"""),"Uncle Sams Cider (11/12/2021) 02")</f>
        <v>Uncle Sams Cider (11/12/2021) 02</v>
      </c>
      <c r="H1991" s="19"/>
    </row>
    <row r="1992">
      <c r="A1992" s="9"/>
      <c r="B1992" s="15"/>
      <c r="C1992" s="9">
        <f>IFERROR(__xludf.DUMMYFUNCTION("""COMPUTED_VALUE"""),44584.76399)</f>
        <v>44584.76399</v>
      </c>
      <c r="D1992" s="15">
        <f>IFERROR(__xludf.DUMMYFUNCTION("""COMPUTED_VALUE"""),1.005)</f>
        <v>1.005</v>
      </c>
      <c r="E1992" s="16">
        <f>IFERROR(__xludf.DUMMYFUNCTION("""COMPUTED_VALUE"""),65.0)</f>
        <v>65</v>
      </c>
      <c r="F1992" s="19" t="str">
        <f>IFERROR(__xludf.DUMMYFUNCTION("""COMPUTED_VALUE"""),"BLACK")</f>
        <v>BLACK</v>
      </c>
      <c r="G1992" s="20" t="str">
        <f>IFERROR(__xludf.DUMMYFUNCTION("""COMPUTED_VALUE"""),"Uncle Sams Cider (11/12/2021) 02")</f>
        <v>Uncle Sams Cider (11/12/2021) 02</v>
      </c>
      <c r="H1992" s="19"/>
    </row>
    <row r="1993">
      <c r="A1993" s="9"/>
      <c r="B1993" s="15"/>
      <c r="C1993" s="9">
        <f>IFERROR(__xludf.DUMMYFUNCTION("""COMPUTED_VALUE"""),44584.7535575578)</f>
        <v>44584.75356</v>
      </c>
      <c r="D1993" s="15">
        <f>IFERROR(__xludf.DUMMYFUNCTION("""COMPUTED_VALUE"""),1.006)</f>
        <v>1.006</v>
      </c>
      <c r="E1993" s="16">
        <f>IFERROR(__xludf.DUMMYFUNCTION("""COMPUTED_VALUE"""),65.0)</f>
        <v>65</v>
      </c>
      <c r="F1993" s="19" t="str">
        <f>IFERROR(__xludf.DUMMYFUNCTION("""COMPUTED_VALUE"""),"BLACK")</f>
        <v>BLACK</v>
      </c>
      <c r="G1993" s="20" t="str">
        <f>IFERROR(__xludf.DUMMYFUNCTION("""COMPUTED_VALUE"""),"Uncle Sams Cider (11/12/2021) 02")</f>
        <v>Uncle Sams Cider (11/12/2021) 02</v>
      </c>
      <c r="H1993" s="19"/>
    </row>
    <row r="1994">
      <c r="A1994" s="9"/>
      <c r="B1994" s="15"/>
      <c r="C1994" s="9">
        <f>IFERROR(__xludf.DUMMYFUNCTION("""COMPUTED_VALUE"""),44584.7430668749)</f>
        <v>44584.74307</v>
      </c>
      <c r="D1994" s="15">
        <f>IFERROR(__xludf.DUMMYFUNCTION("""COMPUTED_VALUE"""),1.006)</f>
        <v>1.006</v>
      </c>
      <c r="E1994" s="16">
        <f>IFERROR(__xludf.DUMMYFUNCTION("""COMPUTED_VALUE"""),65.0)</f>
        <v>65</v>
      </c>
      <c r="F1994" s="19" t="str">
        <f>IFERROR(__xludf.DUMMYFUNCTION("""COMPUTED_VALUE"""),"BLACK")</f>
        <v>BLACK</v>
      </c>
      <c r="G1994" s="20" t="str">
        <f>IFERROR(__xludf.DUMMYFUNCTION("""COMPUTED_VALUE"""),"Uncle Sams Cider (11/12/2021) 02")</f>
        <v>Uncle Sams Cider (11/12/2021) 02</v>
      </c>
      <c r="H1994" s="19"/>
    </row>
    <row r="1995">
      <c r="A1995" s="9"/>
      <c r="B1995" s="15"/>
      <c r="C1995" s="9">
        <f>IFERROR(__xludf.DUMMYFUNCTION("""COMPUTED_VALUE"""),44584.7326096064)</f>
        <v>44584.73261</v>
      </c>
      <c r="D1995" s="15">
        <f>IFERROR(__xludf.DUMMYFUNCTION("""COMPUTED_VALUE"""),1.005)</f>
        <v>1.005</v>
      </c>
      <c r="E1995" s="16">
        <f>IFERROR(__xludf.DUMMYFUNCTION("""COMPUTED_VALUE"""),65.0)</f>
        <v>65</v>
      </c>
      <c r="F1995" s="19" t="str">
        <f>IFERROR(__xludf.DUMMYFUNCTION("""COMPUTED_VALUE"""),"BLACK")</f>
        <v>BLACK</v>
      </c>
      <c r="G1995" s="20" t="str">
        <f>IFERROR(__xludf.DUMMYFUNCTION("""COMPUTED_VALUE"""),"Uncle Sams Cider (11/12/2021) 02")</f>
        <v>Uncle Sams Cider (11/12/2021) 02</v>
      </c>
      <c r="H1995" s="19"/>
    </row>
    <row r="1996">
      <c r="A1996" s="9"/>
      <c r="B1996" s="15"/>
      <c r="C1996" s="9">
        <f>IFERROR(__xludf.DUMMYFUNCTION("""COMPUTED_VALUE"""),44584.7221889699)</f>
        <v>44584.72219</v>
      </c>
      <c r="D1996" s="15">
        <f>IFERROR(__xludf.DUMMYFUNCTION("""COMPUTED_VALUE"""),1.005)</f>
        <v>1.005</v>
      </c>
      <c r="E1996" s="16">
        <f>IFERROR(__xludf.DUMMYFUNCTION("""COMPUTED_VALUE"""),65.0)</f>
        <v>65</v>
      </c>
      <c r="F1996" s="19" t="str">
        <f>IFERROR(__xludf.DUMMYFUNCTION("""COMPUTED_VALUE"""),"BLACK")</f>
        <v>BLACK</v>
      </c>
      <c r="G1996" s="20" t="str">
        <f>IFERROR(__xludf.DUMMYFUNCTION("""COMPUTED_VALUE"""),"Uncle Sams Cider (11/12/2021) 02")</f>
        <v>Uncle Sams Cider (11/12/2021) 02</v>
      </c>
      <c r="H1996" s="19"/>
    </row>
    <row r="1997">
      <c r="A1997" s="9"/>
      <c r="B1997" s="15"/>
      <c r="C1997" s="9">
        <f>IFERROR(__xludf.DUMMYFUNCTION("""COMPUTED_VALUE"""),44584.7117556365)</f>
        <v>44584.71176</v>
      </c>
      <c r="D1997" s="15">
        <f>IFERROR(__xludf.DUMMYFUNCTION("""COMPUTED_VALUE"""),1.006)</f>
        <v>1.006</v>
      </c>
      <c r="E1997" s="16">
        <f>IFERROR(__xludf.DUMMYFUNCTION("""COMPUTED_VALUE"""),65.0)</f>
        <v>65</v>
      </c>
      <c r="F1997" s="19" t="str">
        <f>IFERROR(__xludf.DUMMYFUNCTION("""COMPUTED_VALUE"""),"BLACK")</f>
        <v>BLACK</v>
      </c>
      <c r="G1997" s="20" t="str">
        <f>IFERROR(__xludf.DUMMYFUNCTION("""COMPUTED_VALUE"""),"Uncle Sams Cider (11/12/2021) 02")</f>
        <v>Uncle Sams Cider (11/12/2021) 02</v>
      </c>
      <c r="H1997" s="19"/>
    </row>
    <row r="1998">
      <c r="A1998" s="9"/>
      <c r="B1998" s="15"/>
      <c r="C1998" s="9">
        <f>IFERROR(__xludf.DUMMYFUNCTION("""COMPUTED_VALUE"""),44584.7013341666)</f>
        <v>44584.70133</v>
      </c>
      <c r="D1998" s="15">
        <f>IFERROR(__xludf.DUMMYFUNCTION("""COMPUTED_VALUE"""),1.005)</f>
        <v>1.005</v>
      </c>
      <c r="E1998" s="16">
        <f>IFERROR(__xludf.DUMMYFUNCTION("""COMPUTED_VALUE"""),65.0)</f>
        <v>65</v>
      </c>
      <c r="F1998" s="19" t="str">
        <f>IFERROR(__xludf.DUMMYFUNCTION("""COMPUTED_VALUE"""),"BLACK")</f>
        <v>BLACK</v>
      </c>
      <c r="G1998" s="20" t="str">
        <f>IFERROR(__xludf.DUMMYFUNCTION("""COMPUTED_VALUE"""),"Uncle Sams Cider (11/12/2021) 02")</f>
        <v>Uncle Sams Cider (11/12/2021) 02</v>
      </c>
      <c r="H1998" s="19"/>
    </row>
    <row r="1999">
      <c r="A1999" s="9"/>
      <c r="B1999" s="15"/>
      <c r="C1999" s="9">
        <f>IFERROR(__xludf.DUMMYFUNCTION("""COMPUTED_VALUE"""),44584.6908771064)</f>
        <v>44584.69088</v>
      </c>
      <c r="D1999" s="15">
        <f>IFERROR(__xludf.DUMMYFUNCTION("""COMPUTED_VALUE"""),1.006)</f>
        <v>1.006</v>
      </c>
      <c r="E1999" s="16">
        <f>IFERROR(__xludf.DUMMYFUNCTION("""COMPUTED_VALUE"""),65.0)</f>
        <v>65</v>
      </c>
      <c r="F1999" s="19" t="str">
        <f>IFERROR(__xludf.DUMMYFUNCTION("""COMPUTED_VALUE"""),"BLACK")</f>
        <v>BLACK</v>
      </c>
      <c r="G1999" s="20" t="str">
        <f>IFERROR(__xludf.DUMMYFUNCTION("""COMPUTED_VALUE"""),"Uncle Sams Cider (11/12/2021) 02")</f>
        <v>Uncle Sams Cider (11/12/2021) 02</v>
      </c>
      <c r="H1999" s="19"/>
    </row>
    <row r="2000">
      <c r="A2000" s="9"/>
      <c r="B2000" s="15"/>
      <c r="C2000" s="9">
        <f>IFERROR(__xludf.DUMMYFUNCTION("""COMPUTED_VALUE"""),44584.6804096759)</f>
        <v>44584.68041</v>
      </c>
      <c r="D2000" s="15">
        <f>IFERROR(__xludf.DUMMYFUNCTION("""COMPUTED_VALUE"""),1.005)</f>
        <v>1.005</v>
      </c>
      <c r="E2000" s="16">
        <f>IFERROR(__xludf.DUMMYFUNCTION("""COMPUTED_VALUE"""),65.0)</f>
        <v>65</v>
      </c>
      <c r="F2000" s="19" t="str">
        <f>IFERROR(__xludf.DUMMYFUNCTION("""COMPUTED_VALUE"""),"BLACK")</f>
        <v>BLACK</v>
      </c>
      <c r="G2000" s="20" t="str">
        <f>IFERROR(__xludf.DUMMYFUNCTION("""COMPUTED_VALUE"""),"Uncle Sams Cider (11/12/2021) 02")</f>
        <v>Uncle Sams Cider (11/12/2021) 02</v>
      </c>
      <c r="H2000" s="19"/>
    </row>
    <row r="2001">
      <c r="A2001" s="9"/>
      <c r="B2001" s="15"/>
      <c r="C2001" s="9">
        <f>IFERROR(__xludf.DUMMYFUNCTION("""COMPUTED_VALUE"""),44584.6699870833)</f>
        <v>44584.66999</v>
      </c>
      <c r="D2001" s="15">
        <f>IFERROR(__xludf.DUMMYFUNCTION("""COMPUTED_VALUE"""),1.005)</f>
        <v>1.005</v>
      </c>
      <c r="E2001" s="16">
        <f>IFERROR(__xludf.DUMMYFUNCTION("""COMPUTED_VALUE"""),65.0)</f>
        <v>65</v>
      </c>
      <c r="F2001" s="19" t="str">
        <f>IFERROR(__xludf.DUMMYFUNCTION("""COMPUTED_VALUE"""),"BLACK")</f>
        <v>BLACK</v>
      </c>
      <c r="G2001" s="20" t="str">
        <f>IFERROR(__xludf.DUMMYFUNCTION("""COMPUTED_VALUE"""),"Uncle Sams Cider (11/12/2021) 02")</f>
        <v>Uncle Sams Cider (11/12/2021) 02</v>
      </c>
      <c r="H2001" s="19"/>
    </row>
    <row r="2002">
      <c r="A2002" s="9"/>
      <c r="B2002" s="15"/>
      <c r="C2002" s="9">
        <f>IFERROR(__xludf.DUMMYFUNCTION("""COMPUTED_VALUE"""),44584.6595661805)</f>
        <v>44584.65957</v>
      </c>
      <c r="D2002" s="15">
        <f>IFERROR(__xludf.DUMMYFUNCTION("""COMPUTED_VALUE"""),1.005)</f>
        <v>1.005</v>
      </c>
      <c r="E2002" s="16">
        <f>IFERROR(__xludf.DUMMYFUNCTION("""COMPUTED_VALUE"""),65.0)</f>
        <v>65</v>
      </c>
      <c r="F2002" s="19" t="str">
        <f>IFERROR(__xludf.DUMMYFUNCTION("""COMPUTED_VALUE"""),"BLACK")</f>
        <v>BLACK</v>
      </c>
      <c r="G2002" s="20" t="str">
        <f>IFERROR(__xludf.DUMMYFUNCTION("""COMPUTED_VALUE"""),"Uncle Sams Cider (11/12/2021) 02")</f>
        <v>Uncle Sams Cider (11/12/2021) 02</v>
      </c>
      <c r="H2002" s="19"/>
    </row>
    <row r="2003">
      <c r="A2003" s="9"/>
      <c r="B2003" s="15"/>
      <c r="C2003" s="9">
        <f>IFERROR(__xludf.DUMMYFUNCTION("""COMPUTED_VALUE"""),44584.6491457407)</f>
        <v>44584.64915</v>
      </c>
      <c r="D2003" s="15">
        <f>IFERROR(__xludf.DUMMYFUNCTION("""COMPUTED_VALUE"""),1.006)</f>
        <v>1.006</v>
      </c>
      <c r="E2003" s="16">
        <f>IFERROR(__xludf.DUMMYFUNCTION("""COMPUTED_VALUE"""),66.0)</f>
        <v>66</v>
      </c>
      <c r="F2003" s="19" t="str">
        <f>IFERROR(__xludf.DUMMYFUNCTION("""COMPUTED_VALUE"""),"BLACK")</f>
        <v>BLACK</v>
      </c>
      <c r="G2003" s="20" t="str">
        <f>IFERROR(__xludf.DUMMYFUNCTION("""COMPUTED_VALUE"""),"Uncle Sams Cider (11/12/2021) 02")</f>
        <v>Uncle Sams Cider (11/12/2021) 02</v>
      </c>
      <c r="H2003" s="19"/>
    </row>
    <row r="2004">
      <c r="A2004" s="9"/>
      <c r="B2004" s="15"/>
      <c r="C2004" s="9">
        <f>IFERROR(__xludf.DUMMYFUNCTION("""COMPUTED_VALUE"""),44584.6386784837)</f>
        <v>44584.63868</v>
      </c>
      <c r="D2004" s="15">
        <f>IFERROR(__xludf.DUMMYFUNCTION("""COMPUTED_VALUE"""),1.006)</f>
        <v>1.006</v>
      </c>
      <c r="E2004" s="16">
        <f>IFERROR(__xludf.DUMMYFUNCTION("""COMPUTED_VALUE"""),66.0)</f>
        <v>66</v>
      </c>
      <c r="F2004" s="19" t="str">
        <f>IFERROR(__xludf.DUMMYFUNCTION("""COMPUTED_VALUE"""),"BLACK")</f>
        <v>BLACK</v>
      </c>
      <c r="G2004" s="20" t="str">
        <f>IFERROR(__xludf.DUMMYFUNCTION("""COMPUTED_VALUE"""),"Uncle Sams Cider (11/12/2021) 02")</f>
        <v>Uncle Sams Cider (11/12/2021) 02</v>
      </c>
      <c r="H2004" s="19"/>
    </row>
    <row r="2005">
      <c r="A2005" s="9"/>
      <c r="B2005" s="15"/>
      <c r="C2005" s="9">
        <f>IFERROR(__xludf.DUMMYFUNCTION("""COMPUTED_VALUE"""),44584.6282568518)</f>
        <v>44584.62826</v>
      </c>
      <c r="D2005" s="15">
        <f>IFERROR(__xludf.DUMMYFUNCTION("""COMPUTED_VALUE"""),1.006)</f>
        <v>1.006</v>
      </c>
      <c r="E2005" s="16">
        <f>IFERROR(__xludf.DUMMYFUNCTION("""COMPUTED_VALUE"""),66.0)</f>
        <v>66</v>
      </c>
      <c r="F2005" s="19" t="str">
        <f>IFERROR(__xludf.DUMMYFUNCTION("""COMPUTED_VALUE"""),"BLACK")</f>
        <v>BLACK</v>
      </c>
      <c r="G2005" s="20" t="str">
        <f>IFERROR(__xludf.DUMMYFUNCTION("""COMPUTED_VALUE"""),"Uncle Sams Cider (11/12/2021) 02")</f>
        <v>Uncle Sams Cider (11/12/2021) 02</v>
      </c>
      <c r="H2005" s="19"/>
    </row>
    <row r="2006">
      <c r="A2006" s="9"/>
      <c r="B2006" s="15"/>
      <c r="C2006" s="9">
        <f>IFERROR(__xludf.DUMMYFUNCTION("""COMPUTED_VALUE"""),44584.6178359837)</f>
        <v>44584.61784</v>
      </c>
      <c r="D2006" s="15">
        <f>IFERROR(__xludf.DUMMYFUNCTION("""COMPUTED_VALUE"""),1.006)</f>
        <v>1.006</v>
      </c>
      <c r="E2006" s="16">
        <f>IFERROR(__xludf.DUMMYFUNCTION("""COMPUTED_VALUE"""),66.0)</f>
        <v>66</v>
      </c>
      <c r="F2006" s="19" t="str">
        <f>IFERROR(__xludf.DUMMYFUNCTION("""COMPUTED_VALUE"""),"BLACK")</f>
        <v>BLACK</v>
      </c>
      <c r="G2006" s="20" t="str">
        <f>IFERROR(__xludf.DUMMYFUNCTION("""COMPUTED_VALUE"""),"Uncle Sams Cider (11/12/2021) 02")</f>
        <v>Uncle Sams Cider (11/12/2021) 02</v>
      </c>
      <c r="H2006" s="19"/>
    </row>
    <row r="2007">
      <c r="A2007" s="9"/>
      <c r="B2007" s="15"/>
      <c r="C2007" s="9">
        <f>IFERROR(__xludf.DUMMYFUNCTION("""COMPUTED_VALUE"""),44584.6073800347)</f>
        <v>44584.60738</v>
      </c>
      <c r="D2007" s="15">
        <f>IFERROR(__xludf.DUMMYFUNCTION("""COMPUTED_VALUE"""),1.005)</f>
        <v>1.005</v>
      </c>
      <c r="E2007" s="16">
        <f>IFERROR(__xludf.DUMMYFUNCTION("""COMPUTED_VALUE"""),66.0)</f>
        <v>66</v>
      </c>
      <c r="F2007" s="19" t="str">
        <f>IFERROR(__xludf.DUMMYFUNCTION("""COMPUTED_VALUE"""),"BLACK")</f>
        <v>BLACK</v>
      </c>
      <c r="G2007" s="20" t="str">
        <f>IFERROR(__xludf.DUMMYFUNCTION("""COMPUTED_VALUE"""),"Uncle Sams Cider (11/12/2021) 02")</f>
        <v>Uncle Sams Cider (11/12/2021) 02</v>
      </c>
      <c r="H2007" s="19"/>
    </row>
    <row r="2008">
      <c r="A2008" s="9"/>
      <c r="B2008" s="15"/>
      <c r="C2008" s="9">
        <f>IFERROR(__xludf.DUMMYFUNCTION("""COMPUTED_VALUE"""),44584.5969361921)</f>
        <v>44584.59694</v>
      </c>
      <c r="D2008" s="15">
        <f>IFERROR(__xludf.DUMMYFUNCTION("""COMPUTED_VALUE"""),1.006)</f>
        <v>1.006</v>
      </c>
      <c r="E2008" s="16">
        <f>IFERROR(__xludf.DUMMYFUNCTION("""COMPUTED_VALUE"""),66.0)</f>
        <v>66</v>
      </c>
      <c r="F2008" s="19" t="str">
        <f>IFERROR(__xludf.DUMMYFUNCTION("""COMPUTED_VALUE"""),"BLACK")</f>
        <v>BLACK</v>
      </c>
      <c r="G2008" s="20" t="str">
        <f>IFERROR(__xludf.DUMMYFUNCTION("""COMPUTED_VALUE"""),"Uncle Sams Cider (11/12/2021) 02")</f>
        <v>Uncle Sams Cider (11/12/2021) 02</v>
      </c>
      <c r="H2008" s="19"/>
    </row>
    <row r="2009">
      <c r="A2009" s="9"/>
      <c r="B2009" s="15"/>
      <c r="C2009" s="9">
        <f>IFERROR(__xludf.DUMMYFUNCTION("""COMPUTED_VALUE"""),44584.5865026504)</f>
        <v>44584.5865</v>
      </c>
      <c r="D2009" s="15">
        <f>IFERROR(__xludf.DUMMYFUNCTION("""COMPUTED_VALUE"""),1.005)</f>
        <v>1.005</v>
      </c>
      <c r="E2009" s="16">
        <f>IFERROR(__xludf.DUMMYFUNCTION("""COMPUTED_VALUE"""),66.0)</f>
        <v>66</v>
      </c>
      <c r="F2009" s="19" t="str">
        <f>IFERROR(__xludf.DUMMYFUNCTION("""COMPUTED_VALUE"""),"BLACK")</f>
        <v>BLACK</v>
      </c>
      <c r="G2009" s="20" t="str">
        <f>IFERROR(__xludf.DUMMYFUNCTION("""COMPUTED_VALUE"""),"Uncle Sams Cider (11/12/2021) 02")</f>
        <v>Uncle Sams Cider (11/12/2021) 02</v>
      </c>
      <c r="H2009" s="19"/>
    </row>
    <row r="2010">
      <c r="A2010" s="9"/>
      <c r="B2010" s="15"/>
      <c r="C2010" s="9">
        <f>IFERROR(__xludf.DUMMYFUNCTION("""COMPUTED_VALUE"""),44584.576067581)</f>
        <v>44584.57607</v>
      </c>
      <c r="D2010" s="15">
        <f>IFERROR(__xludf.DUMMYFUNCTION("""COMPUTED_VALUE"""),1.006)</f>
        <v>1.006</v>
      </c>
      <c r="E2010" s="16">
        <f>IFERROR(__xludf.DUMMYFUNCTION("""COMPUTED_VALUE"""),66.0)</f>
        <v>66</v>
      </c>
      <c r="F2010" s="19" t="str">
        <f>IFERROR(__xludf.DUMMYFUNCTION("""COMPUTED_VALUE"""),"BLACK")</f>
        <v>BLACK</v>
      </c>
      <c r="G2010" s="20" t="str">
        <f>IFERROR(__xludf.DUMMYFUNCTION("""COMPUTED_VALUE"""),"Uncle Sams Cider (11/12/2021) 02")</f>
        <v>Uncle Sams Cider (11/12/2021) 02</v>
      </c>
      <c r="H2010" s="19"/>
    </row>
    <row r="2011">
      <c r="A2011" s="9"/>
      <c r="B2011" s="15"/>
      <c r="C2011" s="9">
        <f>IFERROR(__xludf.DUMMYFUNCTION("""COMPUTED_VALUE"""),44584.5656456597)</f>
        <v>44584.56565</v>
      </c>
      <c r="D2011" s="15">
        <f>IFERROR(__xludf.DUMMYFUNCTION("""COMPUTED_VALUE"""),1.005)</f>
        <v>1.005</v>
      </c>
      <c r="E2011" s="16">
        <f>IFERROR(__xludf.DUMMYFUNCTION("""COMPUTED_VALUE"""),66.0)</f>
        <v>66</v>
      </c>
      <c r="F2011" s="19" t="str">
        <f>IFERROR(__xludf.DUMMYFUNCTION("""COMPUTED_VALUE"""),"BLACK")</f>
        <v>BLACK</v>
      </c>
      <c r="G2011" s="20" t="str">
        <f>IFERROR(__xludf.DUMMYFUNCTION("""COMPUTED_VALUE"""),"Uncle Sams Cider (11/12/2021) 02")</f>
        <v>Uncle Sams Cider (11/12/2021) 02</v>
      </c>
      <c r="H2011" s="19"/>
    </row>
    <row r="2012">
      <c r="A2012" s="9"/>
      <c r="B2012" s="15"/>
      <c r="C2012" s="9">
        <f>IFERROR(__xludf.DUMMYFUNCTION("""COMPUTED_VALUE"""),44584.5552255787)</f>
        <v>44584.55523</v>
      </c>
      <c r="D2012" s="15">
        <f>IFERROR(__xludf.DUMMYFUNCTION("""COMPUTED_VALUE"""),1.005)</f>
        <v>1.005</v>
      </c>
      <c r="E2012" s="16">
        <f>IFERROR(__xludf.DUMMYFUNCTION("""COMPUTED_VALUE"""),66.0)</f>
        <v>66</v>
      </c>
      <c r="F2012" s="19" t="str">
        <f>IFERROR(__xludf.DUMMYFUNCTION("""COMPUTED_VALUE"""),"BLACK")</f>
        <v>BLACK</v>
      </c>
      <c r="G2012" s="20" t="str">
        <f>IFERROR(__xludf.DUMMYFUNCTION("""COMPUTED_VALUE"""),"Uncle Sams Cider (11/12/2021) 02")</f>
        <v>Uncle Sams Cider (11/12/2021) 02</v>
      </c>
      <c r="H2012" s="19"/>
    </row>
    <row r="2013">
      <c r="A2013" s="9"/>
      <c r="B2013" s="15"/>
      <c r="C2013" s="9">
        <f>IFERROR(__xludf.DUMMYFUNCTION("""COMPUTED_VALUE"""),44584.5448062615)</f>
        <v>44584.54481</v>
      </c>
      <c r="D2013" s="15">
        <f>IFERROR(__xludf.DUMMYFUNCTION("""COMPUTED_VALUE"""),1.005)</f>
        <v>1.005</v>
      </c>
      <c r="E2013" s="16">
        <f>IFERROR(__xludf.DUMMYFUNCTION("""COMPUTED_VALUE"""),66.0)</f>
        <v>66</v>
      </c>
      <c r="F2013" s="19" t="str">
        <f>IFERROR(__xludf.DUMMYFUNCTION("""COMPUTED_VALUE"""),"BLACK")</f>
        <v>BLACK</v>
      </c>
      <c r="G2013" s="20" t="str">
        <f>IFERROR(__xludf.DUMMYFUNCTION("""COMPUTED_VALUE"""),"Uncle Sams Cider (11/12/2021) 02")</f>
        <v>Uncle Sams Cider (11/12/2021) 02</v>
      </c>
      <c r="H2013" s="19"/>
    </row>
    <row r="2014">
      <c r="A2014" s="9"/>
      <c r="B2014" s="15"/>
      <c r="C2014" s="9">
        <f>IFERROR(__xludf.DUMMYFUNCTION("""COMPUTED_VALUE"""),44584.5343726967)</f>
        <v>44584.53437</v>
      </c>
      <c r="D2014" s="15">
        <f>IFERROR(__xludf.DUMMYFUNCTION("""COMPUTED_VALUE"""),1.006)</f>
        <v>1.006</v>
      </c>
      <c r="E2014" s="16">
        <f>IFERROR(__xludf.DUMMYFUNCTION("""COMPUTED_VALUE"""),66.0)</f>
        <v>66</v>
      </c>
      <c r="F2014" s="19" t="str">
        <f>IFERROR(__xludf.DUMMYFUNCTION("""COMPUTED_VALUE"""),"BLACK")</f>
        <v>BLACK</v>
      </c>
      <c r="G2014" s="20" t="str">
        <f>IFERROR(__xludf.DUMMYFUNCTION("""COMPUTED_VALUE"""),"Uncle Sams Cider (11/12/2021) 02")</f>
        <v>Uncle Sams Cider (11/12/2021) 02</v>
      </c>
      <c r="H2014" s="19"/>
    </row>
    <row r="2015">
      <c r="A2015" s="9"/>
      <c r="B2015" s="15"/>
      <c r="C2015" s="9">
        <f>IFERROR(__xludf.DUMMYFUNCTION("""COMPUTED_VALUE"""),44584.5239410069)</f>
        <v>44584.52394</v>
      </c>
      <c r="D2015" s="15">
        <f>IFERROR(__xludf.DUMMYFUNCTION("""COMPUTED_VALUE"""),1.006)</f>
        <v>1.006</v>
      </c>
      <c r="E2015" s="16">
        <f>IFERROR(__xludf.DUMMYFUNCTION("""COMPUTED_VALUE"""),66.0)</f>
        <v>66</v>
      </c>
      <c r="F2015" s="19" t="str">
        <f>IFERROR(__xludf.DUMMYFUNCTION("""COMPUTED_VALUE"""),"BLACK")</f>
        <v>BLACK</v>
      </c>
      <c r="G2015" s="20" t="str">
        <f>IFERROR(__xludf.DUMMYFUNCTION("""COMPUTED_VALUE"""),"Uncle Sams Cider (11/12/2021) 02")</f>
        <v>Uncle Sams Cider (11/12/2021) 02</v>
      </c>
      <c r="H2015" s="19"/>
    </row>
    <row r="2016">
      <c r="A2016" s="9"/>
      <c r="B2016" s="15"/>
      <c r="C2016" s="9">
        <f>IFERROR(__xludf.DUMMYFUNCTION("""COMPUTED_VALUE"""),44584.5135186458)</f>
        <v>44584.51352</v>
      </c>
      <c r="D2016" s="15">
        <f>IFERROR(__xludf.DUMMYFUNCTION("""COMPUTED_VALUE"""),1.006)</f>
        <v>1.006</v>
      </c>
      <c r="E2016" s="16">
        <f>IFERROR(__xludf.DUMMYFUNCTION("""COMPUTED_VALUE"""),66.0)</f>
        <v>66</v>
      </c>
      <c r="F2016" s="19" t="str">
        <f>IFERROR(__xludf.DUMMYFUNCTION("""COMPUTED_VALUE"""),"BLACK")</f>
        <v>BLACK</v>
      </c>
      <c r="G2016" s="20" t="str">
        <f>IFERROR(__xludf.DUMMYFUNCTION("""COMPUTED_VALUE"""),"Uncle Sams Cider (11/12/2021) 02")</f>
        <v>Uncle Sams Cider (11/12/2021) 02</v>
      </c>
      <c r="H2016" s="19"/>
    </row>
    <row r="2017">
      <c r="A2017" s="9"/>
      <c r="B2017" s="15"/>
      <c r="C2017" s="9">
        <f>IFERROR(__xludf.DUMMYFUNCTION("""COMPUTED_VALUE"""),44584.5030393055)</f>
        <v>44584.50304</v>
      </c>
      <c r="D2017" s="15">
        <f>IFERROR(__xludf.DUMMYFUNCTION("""COMPUTED_VALUE"""),1.006)</f>
        <v>1.006</v>
      </c>
      <c r="E2017" s="16">
        <f>IFERROR(__xludf.DUMMYFUNCTION("""COMPUTED_VALUE"""),66.0)</f>
        <v>66</v>
      </c>
      <c r="F2017" s="19" t="str">
        <f>IFERROR(__xludf.DUMMYFUNCTION("""COMPUTED_VALUE"""),"BLACK")</f>
        <v>BLACK</v>
      </c>
      <c r="G2017" s="20" t="str">
        <f>IFERROR(__xludf.DUMMYFUNCTION("""COMPUTED_VALUE"""),"Uncle Sams Cider (11/12/2021) 02")</f>
        <v>Uncle Sams Cider (11/12/2021) 02</v>
      </c>
      <c r="H2017" s="19"/>
    </row>
    <row r="2018">
      <c r="A2018" s="9"/>
      <c r="B2018" s="15"/>
      <c r="C2018" s="9">
        <f>IFERROR(__xludf.DUMMYFUNCTION("""COMPUTED_VALUE"""),44584.4926183333)</f>
        <v>44584.49262</v>
      </c>
      <c r="D2018" s="15">
        <f>IFERROR(__xludf.DUMMYFUNCTION("""COMPUTED_VALUE"""),1.005)</f>
        <v>1.005</v>
      </c>
      <c r="E2018" s="16">
        <f>IFERROR(__xludf.DUMMYFUNCTION("""COMPUTED_VALUE"""),66.0)</f>
        <v>66</v>
      </c>
      <c r="F2018" s="19" t="str">
        <f>IFERROR(__xludf.DUMMYFUNCTION("""COMPUTED_VALUE"""),"BLACK")</f>
        <v>BLACK</v>
      </c>
      <c r="G2018" s="20" t="str">
        <f>IFERROR(__xludf.DUMMYFUNCTION("""COMPUTED_VALUE"""),"Uncle Sams Cider (11/12/2021) 02")</f>
        <v>Uncle Sams Cider (11/12/2021) 02</v>
      </c>
      <c r="H2018" s="19"/>
    </row>
    <row r="2019">
      <c r="A2019" s="9"/>
      <c r="B2019" s="15"/>
      <c r="C2019" s="9">
        <f>IFERROR(__xludf.DUMMYFUNCTION("""COMPUTED_VALUE"""),44584.4821967939)</f>
        <v>44584.4822</v>
      </c>
      <c r="D2019" s="15">
        <f>IFERROR(__xludf.DUMMYFUNCTION("""COMPUTED_VALUE"""),1.006)</f>
        <v>1.006</v>
      </c>
      <c r="E2019" s="16">
        <f>IFERROR(__xludf.DUMMYFUNCTION("""COMPUTED_VALUE"""),66.0)</f>
        <v>66</v>
      </c>
      <c r="F2019" s="19" t="str">
        <f>IFERROR(__xludf.DUMMYFUNCTION("""COMPUTED_VALUE"""),"BLACK")</f>
        <v>BLACK</v>
      </c>
      <c r="G2019" s="20" t="str">
        <f>IFERROR(__xludf.DUMMYFUNCTION("""COMPUTED_VALUE"""),"Uncle Sams Cider (11/12/2021) 02")</f>
        <v>Uncle Sams Cider (11/12/2021) 02</v>
      </c>
      <c r="H2019" s="19"/>
    </row>
    <row r="2020">
      <c r="A2020" s="9"/>
      <c r="B2020" s="15"/>
      <c r="C2020" s="9">
        <f>IFERROR(__xludf.DUMMYFUNCTION("""COMPUTED_VALUE"""),44584.4717644791)</f>
        <v>44584.47176</v>
      </c>
      <c r="D2020" s="15">
        <f>IFERROR(__xludf.DUMMYFUNCTION("""COMPUTED_VALUE"""),1.005)</f>
        <v>1.005</v>
      </c>
      <c r="E2020" s="16">
        <f>IFERROR(__xludf.DUMMYFUNCTION("""COMPUTED_VALUE"""),66.0)</f>
        <v>66</v>
      </c>
      <c r="F2020" s="19" t="str">
        <f>IFERROR(__xludf.DUMMYFUNCTION("""COMPUTED_VALUE"""),"BLACK")</f>
        <v>BLACK</v>
      </c>
      <c r="G2020" s="20" t="str">
        <f>IFERROR(__xludf.DUMMYFUNCTION("""COMPUTED_VALUE"""),"Uncle Sams Cider (11/12/2021) 02")</f>
        <v>Uncle Sams Cider (11/12/2021) 02</v>
      </c>
      <c r="H2020" s="19"/>
    </row>
    <row r="2021">
      <c r="A2021" s="9"/>
      <c r="B2021" s="15"/>
      <c r="C2021" s="9">
        <f>IFERROR(__xludf.DUMMYFUNCTION("""COMPUTED_VALUE"""),44584.4613417592)</f>
        <v>44584.46134</v>
      </c>
      <c r="D2021" s="15">
        <f>IFERROR(__xludf.DUMMYFUNCTION("""COMPUTED_VALUE"""),1.006)</f>
        <v>1.006</v>
      </c>
      <c r="E2021" s="16">
        <f>IFERROR(__xludf.DUMMYFUNCTION("""COMPUTED_VALUE"""),66.0)</f>
        <v>66</v>
      </c>
      <c r="F2021" s="19" t="str">
        <f>IFERROR(__xludf.DUMMYFUNCTION("""COMPUTED_VALUE"""),"BLACK")</f>
        <v>BLACK</v>
      </c>
      <c r="G2021" s="20" t="str">
        <f>IFERROR(__xludf.DUMMYFUNCTION("""COMPUTED_VALUE"""),"Uncle Sams Cider (11/12/2021) 02")</f>
        <v>Uncle Sams Cider (11/12/2021) 02</v>
      </c>
      <c r="H2021" s="19"/>
    </row>
    <row r="2022">
      <c r="A2022" s="9"/>
      <c r="B2022" s="15"/>
      <c r="C2022" s="9">
        <f>IFERROR(__xludf.DUMMYFUNCTION("""COMPUTED_VALUE"""),44584.4508626273)</f>
        <v>44584.45086</v>
      </c>
      <c r="D2022" s="15">
        <f>IFERROR(__xludf.DUMMYFUNCTION("""COMPUTED_VALUE"""),1.005)</f>
        <v>1.005</v>
      </c>
      <c r="E2022" s="16">
        <f>IFERROR(__xludf.DUMMYFUNCTION("""COMPUTED_VALUE"""),66.0)</f>
        <v>66</v>
      </c>
      <c r="F2022" s="19" t="str">
        <f>IFERROR(__xludf.DUMMYFUNCTION("""COMPUTED_VALUE"""),"BLACK")</f>
        <v>BLACK</v>
      </c>
      <c r="G2022" s="20" t="str">
        <f>IFERROR(__xludf.DUMMYFUNCTION("""COMPUTED_VALUE"""),"Uncle Sams Cider (11/12/2021) 02")</f>
        <v>Uncle Sams Cider (11/12/2021) 02</v>
      </c>
      <c r="H2022" s="19"/>
    </row>
    <row r="2023">
      <c r="A2023" s="9"/>
      <c r="B2023" s="15"/>
      <c r="C2023" s="9">
        <f>IFERROR(__xludf.DUMMYFUNCTION("""COMPUTED_VALUE"""),44584.4404408912)</f>
        <v>44584.44044</v>
      </c>
      <c r="D2023" s="15">
        <f>IFERROR(__xludf.DUMMYFUNCTION("""COMPUTED_VALUE"""),1.005)</f>
        <v>1.005</v>
      </c>
      <c r="E2023" s="16">
        <f>IFERROR(__xludf.DUMMYFUNCTION("""COMPUTED_VALUE"""),66.0)</f>
        <v>66</v>
      </c>
      <c r="F2023" s="19" t="str">
        <f>IFERROR(__xludf.DUMMYFUNCTION("""COMPUTED_VALUE"""),"BLACK")</f>
        <v>BLACK</v>
      </c>
      <c r="G2023" s="20" t="str">
        <f>IFERROR(__xludf.DUMMYFUNCTION("""COMPUTED_VALUE"""),"Uncle Sams Cider (11/12/2021) 02")</f>
        <v>Uncle Sams Cider (11/12/2021) 02</v>
      </c>
      <c r="H2023" s="19"/>
    </row>
    <row r="2024">
      <c r="A2024" s="9"/>
      <c r="B2024" s="15"/>
      <c r="C2024" s="9">
        <f>IFERROR(__xludf.DUMMYFUNCTION("""COMPUTED_VALUE"""),44584.4300185763)</f>
        <v>44584.43002</v>
      </c>
      <c r="D2024" s="15">
        <f>IFERROR(__xludf.DUMMYFUNCTION("""COMPUTED_VALUE"""),1.006)</f>
        <v>1.006</v>
      </c>
      <c r="E2024" s="16">
        <f>IFERROR(__xludf.DUMMYFUNCTION("""COMPUTED_VALUE"""),66.0)</f>
        <v>66</v>
      </c>
      <c r="F2024" s="19" t="str">
        <f>IFERROR(__xludf.DUMMYFUNCTION("""COMPUTED_VALUE"""),"BLACK")</f>
        <v>BLACK</v>
      </c>
      <c r="G2024" s="20" t="str">
        <f>IFERROR(__xludf.DUMMYFUNCTION("""COMPUTED_VALUE"""),"Uncle Sams Cider (11/12/2021) 02")</f>
        <v>Uncle Sams Cider (11/12/2021) 02</v>
      </c>
      <c r="H2024" s="19"/>
    </row>
    <row r="2025">
      <c r="A2025" s="9"/>
      <c r="B2025" s="15"/>
      <c r="C2025" s="9">
        <f>IFERROR(__xludf.DUMMYFUNCTION("""COMPUTED_VALUE"""),44584.4195973726)</f>
        <v>44584.4196</v>
      </c>
      <c r="D2025" s="15">
        <f>IFERROR(__xludf.DUMMYFUNCTION("""COMPUTED_VALUE"""),1.006)</f>
        <v>1.006</v>
      </c>
      <c r="E2025" s="16">
        <f>IFERROR(__xludf.DUMMYFUNCTION("""COMPUTED_VALUE"""),66.0)</f>
        <v>66</v>
      </c>
      <c r="F2025" s="19" t="str">
        <f>IFERROR(__xludf.DUMMYFUNCTION("""COMPUTED_VALUE"""),"BLACK")</f>
        <v>BLACK</v>
      </c>
      <c r="G2025" s="20" t="str">
        <f>IFERROR(__xludf.DUMMYFUNCTION("""COMPUTED_VALUE"""),"Uncle Sams Cider (11/12/2021) 02")</f>
        <v>Uncle Sams Cider (11/12/2021) 02</v>
      </c>
      <c r="H2025" s="19"/>
    </row>
    <row r="2026">
      <c r="A2026" s="9"/>
      <c r="B2026" s="15"/>
      <c r="C2026" s="9">
        <f>IFERROR(__xludf.DUMMYFUNCTION("""COMPUTED_VALUE"""),44584.4091767129)</f>
        <v>44584.40918</v>
      </c>
      <c r="D2026" s="15">
        <f>IFERROR(__xludf.DUMMYFUNCTION("""COMPUTED_VALUE"""),1.005)</f>
        <v>1.005</v>
      </c>
      <c r="E2026" s="16">
        <f>IFERROR(__xludf.DUMMYFUNCTION("""COMPUTED_VALUE"""),66.0)</f>
        <v>66</v>
      </c>
      <c r="F2026" s="19" t="str">
        <f>IFERROR(__xludf.DUMMYFUNCTION("""COMPUTED_VALUE"""),"BLACK")</f>
        <v>BLACK</v>
      </c>
      <c r="G2026" s="20" t="str">
        <f>IFERROR(__xludf.DUMMYFUNCTION("""COMPUTED_VALUE"""),"Uncle Sams Cider (11/12/2021) 02")</f>
        <v>Uncle Sams Cider (11/12/2021) 02</v>
      </c>
      <c r="H2026" s="19"/>
    </row>
    <row r="2027">
      <c r="A2027" s="9"/>
      <c r="B2027" s="15"/>
      <c r="C2027" s="9">
        <f>IFERROR(__xludf.DUMMYFUNCTION("""COMPUTED_VALUE"""),44584.3987551967)</f>
        <v>44584.39876</v>
      </c>
      <c r="D2027" s="15">
        <f>IFERROR(__xludf.DUMMYFUNCTION("""COMPUTED_VALUE"""),1.006)</f>
        <v>1.006</v>
      </c>
      <c r="E2027" s="16">
        <f>IFERROR(__xludf.DUMMYFUNCTION("""COMPUTED_VALUE"""),66.0)</f>
        <v>66</v>
      </c>
      <c r="F2027" s="19" t="str">
        <f>IFERROR(__xludf.DUMMYFUNCTION("""COMPUTED_VALUE"""),"BLACK")</f>
        <v>BLACK</v>
      </c>
      <c r="G2027" s="20" t="str">
        <f>IFERROR(__xludf.DUMMYFUNCTION("""COMPUTED_VALUE"""),"Uncle Sams Cider (11/12/2021) 02")</f>
        <v>Uncle Sams Cider (11/12/2021) 02</v>
      </c>
      <c r="H2027" s="19"/>
    </row>
    <row r="2028">
      <c r="A2028" s="9"/>
      <c r="B2028" s="15"/>
      <c r="C2028" s="9">
        <f>IFERROR(__xludf.DUMMYFUNCTION("""COMPUTED_VALUE"""),44584.3883230902)</f>
        <v>44584.38832</v>
      </c>
      <c r="D2028" s="15">
        <f>IFERROR(__xludf.DUMMYFUNCTION("""COMPUTED_VALUE"""),1.005)</f>
        <v>1.005</v>
      </c>
      <c r="E2028" s="16">
        <f>IFERROR(__xludf.DUMMYFUNCTION("""COMPUTED_VALUE"""),67.0)</f>
        <v>67</v>
      </c>
      <c r="F2028" s="19" t="str">
        <f>IFERROR(__xludf.DUMMYFUNCTION("""COMPUTED_VALUE"""),"BLACK")</f>
        <v>BLACK</v>
      </c>
      <c r="G2028" s="20" t="str">
        <f>IFERROR(__xludf.DUMMYFUNCTION("""COMPUTED_VALUE"""),"Uncle Sams Cider (11/12/2021) 02")</f>
        <v>Uncle Sams Cider (11/12/2021) 02</v>
      </c>
      <c r="H2028" s="19"/>
    </row>
    <row r="2029">
      <c r="A2029" s="9"/>
      <c r="B2029" s="15"/>
      <c r="C2029" s="9">
        <f>IFERROR(__xludf.DUMMYFUNCTION("""COMPUTED_VALUE"""),44584.3778788541)</f>
        <v>44584.37788</v>
      </c>
      <c r="D2029" s="15">
        <f>IFERROR(__xludf.DUMMYFUNCTION("""COMPUTED_VALUE"""),1.006)</f>
        <v>1.006</v>
      </c>
      <c r="E2029" s="16">
        <f>IFERROR(__xludf.DUMMYFUNCTION("""COMPUTED_VALUE"""),67.0)</f>
        <v>67</v>
      </c>
      <c r="F2029" s="19" t="str">
        <f>IFERROR(__xludf.DUMMYFUNCTION("""COMPUTED_VALUE"""),"BLACK")</f>
        <v>BLACK</v>
      </c>
      <c r="G2029" s="20" t="str">
        <f>IFERROR(__xludf.DUMMYFUNCTION("""COMPUTED_VALUE"""),"Uncle Sams Cider (11/12/2021) 02")</f>
        <v>Uncle Sams Cider (11/12/2021) 02</v>
      </c>
      <c r="H2029" s="19"/>
    </row>
    <row r="2030">
      <c r="A2030" s="9"/>
      <c r="B2030" s="15"/>
      <c r="C2030" s="9">
        <f>IFERROR(__xludf.DUMMYFUNCTION("""COMPUTED_VALUE"""),44584.3674574074)</f>
        <v>44584.36746</v>
      </c>
      <c r="D2030" s="15">
        <f>IFERROR(__xludf.DUMMYFUNCTION("""COMPUTED_VALUE"""),1.005)</f>
        <v>1.005</v>
      </c>
      <c r="E2030" s="16">
        <f>IFERROR(__xludf.DUMMYFUNCTION("""COMPUTED_VALUE"""),67.0)</f>
        <v>67</v>
      </c>
      <c r="F2030" s="19" t="str">
        <f>IFERROR(__xludf.DUMMYFUNCTION("""COMPUTED_VALUE"""),"BLACK")</f>
        <v>BLACK</v>
      </c>
      <c r="G2030" s="20" t="str">
        <f>IFERROR(__xludf.DUMMYFUNCTION("""COMPUTED_VALUE"""),"Uncle Sams Cider (11/12/2021) 02")</f>
        <v>Uncle Sams Cider (11/12/2021) 02</v>
      </c>
      <c r="H2030" s="19"/>
    </row>
    <row r="2031">
      <c r="A2031" s="9"/>
      <c r="B2031" s="15"/>
      <c r="C2031" s="9">
        <f>IFERROR(__xludf.DUMMYFUNCTION("""COMPUTED_VALUE"""),44584.3570243287)</f>
        <v>44584.35702</v>
      </c>
      <c r="D2031" s="15">
        <f>IFERROR(__xludf.DUMMYFUNCTION("""COMPUTED_VALUE"""),1.005)</f>
        <v>1.005</v>
      </c>
      <c r="E2031" s="16">
        <f>IFERROR(__xludf.DUMMYFUNCTION("""COMPUTED_VALUE"""),67.0)</f>
        <v>67</v>
      </c>
      <c r="F2031" s="19" t="str">
        <f>IFERROR(__xludf.DUMMYFUNCTION("""COMPUTED_VALUE"""),"BLACK")</f>
        <v>BLACK</v>
      </c>
      <c r="G2031" s="20" t="str">
        <f>IFERROR(__xludf.DUMMYFUNCTION("""COMPUTED_VALUE"""),"Uncle Sams Cider (11/12/2021) 02")</f>
        <v>Uncle Sams Cider (11/12/2021) 02</v>
      </c>
      <c r="H2031" s="19"/>
    </row>
    <row r="2032">
      <c r="A2032" s="9"/>
      <c r="B2032" s="15"/>
      <c r="C2032" s="9">
        <f>IFERROR(__xludf.DUMMYFUNCTION("""COMPUTED_VALUE"""),44584.346605243)</f>
        <v>44584.34661</v>
      </c>
      <c r="D2032" s="15">
        <f>IFERROR(__xludf.DUMMYFUNCTION("""COMPUTED_VALUE"""),1.005)</f>
        <v>1.005</v>
      </c>
      <c r="E2032" s="16">
        <f>IFERROR(__xludf.DUMMYFUNCTION("""COMPUTED_VALUE"""),67.0)</f>
        <v>67</v>
      </c>
      <c r="F2032" s="19" t="str">
        <f>IFERROR(__xludf.DUMMYFUNCTION("""COMPUTED_VALUE"""),"BLACK")</f>
        <v>BLACK</v>
      </c>
      <c r="G2032" s="20" t="str">
        <f>IFERROR(__xludf.DUMMYFUNCTION("""COMPUTED_VALUE"""),"Uncle Sams Cider (11/12/2021) 02")</f>
        <v>Uncle Sams Cider (11/12/2021) 02</v>
      </c>
      <c r="H2032" s="19"/>
    </row>
    <row r="2033">
      <c r="A2033" s="9"/>
      <c r="B2033" s="15"/>
      <c r="C2033" s="9">
        <f>IFERROR(__xludf.DUMMYFUNCTION("""COMPUTED_VALUE"""),44584.3361836574)</f>
        <v>44584.33618</v>
      </c>
      <c r="D2033" s="15">
        <f>IFERROR(__xludf.DUMMYFUNCTION("""COMPUTED_VALUE"""),1.005)</f>
        <v>1.005</v>
      </c>
      <c r="E2033" s="16">
        <f>IFERROR(__xludf.DUMMYFUNCTION("""COMPUTED_VALUE"""),67.0)</f>
        <v>67</v>
      </c>
      <c r="F2033" s="19" t="str">
        <f>IFERROR(__xludf.DUMMYFUNCTION("""COMPUTED_VALUE"""),"BLACK")</f>
        <v>BLACK</v>
      </c>
      <c r="G2033" s="20" t="str">
        <f>IFERROR(__xludf.DUMMYFUNCTION("""COMPUTED_VALUE"""),"Uncle Sams Cider (11/12/2021) 02")</f>
        <v>Uncle Sams Cider (11/12/2021) 02</v>
      </c>
      <c r="H2033" s="19"/>
    </row>
    <row r="2034">
      <c r="A2034" s="9"/>
      <c r="B2034" s="15"/>
      <c r="C2034" s="9">
        <f>IFERROR(__xludf.DUMMYFUNCTION("""COMPUTED_VALUE"""),44584.3257495717)</f>
        <v>44584.32575</v>
      </c>
      <c r="D2034" s="15">
        <f>IFERROR(__xludf.DUMMYFUNCTION("""COMPUTED_VALUE"""),1.006)</f>
        <v>1.006</v>
      </c>
      <c r="E2034" s="16">
        <f>IFERROR(__xludf.DUMMYFUNCTION("""COMPUTED_VALUE"""),67.0)</f>
        <v>67</v>
      </c>
      <c r="F2034" s="19" t="str">
        <f>IFERROR(__xludf.DUMMYFUNCTION("""COMPUTED_VALUE"""),"BLACK")</f>
        <v>BLACK</v>
      </c>
      <c r="G2034" s="20" t="str">
        <f>IFERROR(__xludf.DUMMYFUNCTION("""COMPUTED_VALUE"""),"Uncle Sams Cider (11/12/2021) 02")</f>
        <v>Uncle Sams Cider (11/12/2021) 02</v>
      </c>
      <c r="H2034" s="19"/>
    </row>
    <row r="2035">
      <c r="A2035" s="9"/>
      <c r="B2035" s="15"/>
      <c r="C2035" s="9">
        <f>IFERROR(__xludf.DUMMYFUNCTION("""COMPUTED_VALUE"""),44584.3153290509)</f>
        <v>44584.31533</v>
      </c>
      <c r="D2035" s="15">
        <f>IFERROR(__xludf.DUMMYFUNCTION("""COMPUTED_VALUE"""),1.006)</f>
        <v>1.006</v>
      </c>
      <c r="E2035" s="16">
        <f>IFERROR(__xludf.DUMMYFUNCTION("""COMPUTED_VALUE"""),67.0)</f>
        <v>67</v>
      </c>
      <c r="F2035" s="19" t="str">
        <f>IFERROR(__xludf.DUMMYFUNCTION("""COMPUTED_VALUE"""),"BLACK")</f>
        <v>BLACK</v>
      </c>
      <c r="G2035" s="20" t="str">
        <f>IFERROR(__xludf.DUMMYFUNCTION("""COMPUTED_VALUE"""),"Uncle Sams Cider (11/12/2021) 02")</f>
        <v>Uncle Sams Cider (11/12/2021) 02</v>
      </c>
      <c r="H2035" s="19"/>
    </row>
    <row r="2036">
      <c r="A2036" s="9"/>
      <c r="B2036" s="15"/>
      <c r="C2036" s="9">
        <f>IFERROR(__xludf.DUMMYFUNCTION("""COMPUTED_VALUE"""),44584.304897118)</f>
        <v>44584.3049</v>
      </c>
      <c r="D2036" s="15">
        <f>IFERROR(__xludf.DUMMYFUNCTION("""COMPUTED_VALUE"""),1.006)</f>
        <v>1.006</v>
      </c>
      <c r="E2036" s="16">
        <f>IFERROR(__xludf.DUMMYFUNCTION("""COMPUTED_VALUE"""),67.0)</f>
        <v>67</v>
      </c>
      <c r="F2036" s="19" t="str">
        <f>IFERROR(__xludf.DUMMYFUNCTION("""COMPUTED_VALUE"""),"BLACK")</f>
        <v>BLACK</v>
      </c>
      <c r="G2036" s="20" t="str">
        <f>IFERROR(__xludf.DUMMYFUNCTION("""COMPUTED_VALUE"""),"Uncle Sams Cider (11/12/2021) 02")</f>
        <v>Uncle Sams Cider (11/12/2021) 02</v>
      </c>
      <c r="H2036" s="19"/>
    </row>
    <row r="2037">
      <c r="A2037" s="9"/>
      <c r="B2037" s="15"/>
      <c r="C2037" s="9">
        <f>IFERROR(__xludf.DUMMYFUNCTION("""COMPUTED_VALUE"""),44584.2944644212)</f>
        <v>44584.29446</v>
      </c>
      <c r="D2037" s="15">
        <f>IFERROR(__xludf.DUMMYFUNCTION("""COMPUTED_VALUE"""),1.005)</f>
        <v>1.005</v>
      </c>
      <c r="E2037" s="16">
        <f>IFERROR(__xludf.DUMMYFUNCTION("""COMPUTED_VALUE"""),67.0)</f>
        <v>67</v>
      </c>
      <c r="F2037" s="19" t="str">
        <f>IFERROR(__xludf.DUMMYFUNCTION("""COMPUTED_VALUE"""),"BLACK")</f>
        <v>BLACK</v>
      </c>
      <c r="G2037" s="20" t="str">
        <f>IFERROR(__xludf.DUMMYFUNCTION("""COMPUTED_VALUE"""),"Uncle Sams Cider (11/12/2021) 02")</f>
        <v>Uncle Sams Cider (11/12/2021) 02</v>
      </c>
      <c r="H2037" s="19"/>
    </row>
    <row r="2038">
      <c r="A2038" s="9"/>
      <c r="B2038" s="15"/>
      <c r="C2038" s="9">
        <f>IFERROR(__xludf.DUMMYFUNCTION("""COMPUTED_VALUE"""),44584.2840324768)</f>
        <v>44584.28403</v>
      </c>
      <c r="D2038" s="15">
        <f>IFERROR(__xludf.DUMMYFUNCTION("""COMPUTED_VALUE"""),1.005)</f>
        <v>1.005</v>
      </c>
      <c r="E2038" s="16">
        <f>IFERROR(__xludf.DUMMYFUNCTION("""COMPUTED_VALUE"""),67.0)</f>
        <v>67</v>
      </c>
      <c r="F2038" s="19" t="str">
        <f>IFERROR(__xludf.DUMMYFUNCTION("""COMPUTED_VALUE"""),"BLACK")</f>
        <v>BLACK</v>
      </c>
      <c r="G2038" s="20" t="str">
        <f>IFERROR(__xludf.DUMMYFUNCTION("""COMPUTED_VALUE"""),"Uncle Sams Cider (11/12/2021) 02")</f>
        <v>Uncle Sams Cider (11/12/2021) 02</v>
      </c>
      <c r="H2038" s="19"/>
    </row>
    <row r="2039">
      <c r="A2039" s="9"/>
      <c r="B2039" s="15"/>
      <c r="C2039" s="9">
        <f>IFERROR(__xludf.DUMMYFUNCTION("""COMPUTED_VALUE"""),44584.2736111111)</f>
        <v>44584.27361</v>
      </c>
      <c r="D2039" s="15">
        <f>IFERROR(__xludf.DUMMYFUNCTION("""COMPUTED_VALUE"""),1.005)</f>
        <v>1.005</v>
      </c>
      <c r="E2039" s="16">
        <f>IFERROR(__xludf.DUMMYFUNCTION("""COMPUTED_VALUE"""),67.0)</f>
        <v>67</v>
      </c>
      <c r="F2039" s="19" t="str">
        <f>IFERROR(__xludf.DUMMYFUNCTION("""COMPUTED_VALUE"""),"BLACK")</f>
        <v>BLACK</v>
      </c>
      <c r="G2039" s="20" t="str">
        <f>IFERROR(__xludf.DUMMYFUNCTION("""COMPUTED_VALUE"""),"Uncle Sams Cider (11/12/2021) 02")</f>
        <v>Uncle Sams Cider (11/12/2021) 02</v>
      </c>
      <c r="H2039" s="19"/>
    </row>
    <row r="2040">
      <c r="A2040" s="9"/>
      <c r="B2040" s="15"/>
      <c r="C2040" s="9">
        <f>IFERROR(__xludf.DUMMYFUNCTION("""COMPUTED_VALUE"""),44584.2631552777)</f>
        <v>44584.26316</v>
      </c>
      <c r="D2040" s="15">
        <f>IFERROR(__xludf.DUMMYFUNCTION("""COMPUTED_VALUE"""),1.005)</f>
        <v>1.005</v>
      </c>
      <c r="E2040" s="16">
        <f>IFERROR(__xludf.DUMMYFUNCTION("""COMPUTED_VALUE"""),67.0)</f>
        <v>67</v>
      </c>
      <c r="F2040" s="19" t="str">
        <f>IFERROR(__xludf.DUMMYFUNCTION("""COMPUTED_VALUE"""),"BLACK")</f>
        <v>BLACK</v>
      </c>
      <c r="G2040" s="20" t="str">
        <f>IFERROR(__xludf.DUMMYFUNCTION("""COMPUTED_VALUE"""),"Uncle Sams Cider (11/12/2021) 02")</f>
        <v>Uncle Sams Cider (11/12/2021) 02</v>
      </c>
      <c r="H2040" s="19"/>
    </row>
    <row r="2041">
      <c r="A2041" s="9"/>
      <c r="B2041" s="15"/>
      <c r="C2041" s="9">
        <f>IFERROR(__xludf.DUMMYFUNCTION("""COMPUTED_VALUE"""),44584.2527341203)</f>
        <v>44584.25273</v>
      </c>
      <c r="D2041" s="15">
        <f>IFERROR(__xludf.DUMMYFUNCTION("""COMPUTED_VALUE"""),1.005)</f>
        <v>1.005</v>
      </c>
      <c r="E2041" s="16">
        <f>IFERROR(__xludf.DUMMYFUNCTION("""COMPUTED_VALUE"""),67.0)</f>
        <v>67</v>
      </c>
      <c r="F2041" s="19" t="str">
        <f>IFERROR(__xludf.DUMMYFUNCTION("""COMPUTED_VALUE"""),"BLACK")</f>
        <v>BLACK</v>
      </c>
      <c r="G2041" s="20" t="str">
        <f>IFERROR(__xludf.DUMMYFUNCTION("""COMPUTED_VALUE"""),"Uncle Sams Cider (11/12/2021) 02")</f>
        <v>Uncle Sams Cider (11/12/2021) 02</v>
      </c>
      <c r="H2041" s="19"/>
    </row>
    <row r="2042">
      <c r="A2042" s="9"/>
      <c r="B2042" s="15"/>
      <c r="C2042" s="9">
        <f>IFERROR(__xludf.DUMMYFUNCTION("""COMPUTED_VALUE"""),44584.2423002893)</f>
        <v>44584.2423</v>
      </c>
      <c r="D2042" s="15">
        <f>IFERROR(__xludf.DUMMYFUNCTION("""COMPUTED_VALUE"""),1.005)</f>
        <v>1.005</v>
      </c>
      <c r="E2042" s="16">
        <f>IFERROR(__xludf.DUMMYFUNCTION("""COMPUTED_VALUE"""),67.0)</f>
        <v>67</v>
      </c>
      <c r="F2042" s="19" t="str">
        <f>IFERROR(__xludf.DUMMYFUNCTION("""COMPUTED_VALUE"""),"BLACK")</f>
        <v>BLACK</v>
      </c>
      <c r="G2042" s="20" t="str">
        <f>IFERROR(__xludf.DUMMYFUNCTION("""COMPUTED_VALUE"""),"Uncle Sams Cider (11/12/2021) 02")</f>
        <v>Uncle Sams Cider (11/12/2021) 02</v>
      </c>
      <c r="H2042" s="19"/>
    </row>
    <row r="2043">
      <c r="A2043" s="9"/>
      <c r="B2043" s="15"/>
      <c r="C2043" s="9">
        <f>IFERROR(__xludf.DUMMYFUNCTION("""COMPUTED_VALUE"""),44584.231878449)</f>
        <v>44584.23188</v>
      </c>
      <c r="D2043" s="15">
        <f>IFERROR(__xludf.DUMMYFUNCTION("""COMPUTED_VALUE"""),1.005)</f>
        <v>1.005</v>
      </c>
      <c r="E2043" s="16">
        <f>IFERROR(__xludf.DUMMYFUNCTION("""COMPUTED_VALUE"""),67.0)</f>
        <v>67</v>
      </c>
      <c r="F2043" s="19" t="str">
        <f>IFERROR(__xludf.DUMMYFUNCTION("""COMPUTED_VALUE"""),"BLACK")</f>
        <v>BLACK</v>
      </c>
      <c r="G2043" s="20" t="str">
        <f>IFERROR(__xludf.DUMMYFUNCTION("""COMPUTED_VALUE"""),"Uncle Sams Cider (11/12/2021) 02")</f>
        <v>Uncle Sams Cider (11/12/2021) 02</v>
      </c>
      <c r="H2043" s="19"/>
    </row>
    <row r="2044">
      <c r="A2044" s="9"/>
      <c r="B2044" s="15"/>
      <c r="C2044" s="9">
        <f>IFERROR(__xludf.DUMMYFUNCTION("""COMPUTED_VALUE"""),44584.2214354398)</f>
        <v>44584.22144</v>
      </c>
      <c r="D2044" s="15">
        <f>IFERROR(__xludf.DUMMYFUNCTION("""COMPUTED_VALUE"""),1.005)</f>
        <v>1.005</v>
      </c>
      <c r="E2044" s="16">
        <f>IFERROR(__xludf.DUMMYFUNCTION("""COMPUTED_VALUE"""),67.0)</f>
        <v>67</v>
      </c>
      <c r="F2044" s="19" t="str">
        <f>IFERROR(__xludf.DUMMYFUNCTION("""COMPUTED_VALUE"""),"BLACK")</f>
        <v>BLACK</v>
      </c>
      <c r="G2044" s="20" t="str">
        <f>IFERROR(__xludf.DUMMYFUNCTION("""COMPUTED_VALUE"""),"Uncle Sams Cider (11/12/2021) 02")</f>
        <v>Uncle Sams Cider (11/12/2021) 02</v>
      </c>
      <c r="H2044" s="19"/>
    </row>
    <row r="2045">
      <c r="A2045" s="9"/>
      <c r="B2045" s="15"/>
      <c r="C2045" s="9">
        <f>IFERROR(__xludf.DUMMYFUNCTION("""COMPUTED_VALUE"""),44584.2110141435)</f>
        <v>44584.21101</v>
      </c>
      <c r="D2045" s="15">
        <f>IFERROR(__xludf.DUMMYFUNCTION("""COMPUTED_VALUE"""),1.005)</f>
        <v>1.005</v>
      </c>
      <c r="E2045" s="16">
        <f>IFERROR(__xludf.DUMMYFUNCTION("""COMPUTED_VALUE"""),67.0)</f>
        <v>67</v>
      </c>
      <c r="F2045" s="19" t="str">
        <f>IFERROR(__xludf.DUMMYFUNCTION("""COMPUTED_VALUE"""),"BLACK")</f>
        <v>BLACK</v>
      </c>
      <c r="G2045" s="20" t="str">
        <f>IFERROR(__xludf.DUMMYFUNCTION("""COMPUTED_VALUE"""),"Uncle Sams Cider (11/12/2021) 02")</f>
        <v>Uncle Sams Cider (11/12/2021) 02</v>
      </c>
      <c r="H2045" s="19"/>
    </row>
    <row r="2046">
      <c r="A2046" s="9"/>
      <c r="B2046" s="15"/>
      <c r="C2046" s="9">
        <f>IFERROR(__xludf.DUMMYFUNCTION("""COMPUTED_VALUE"""),44584.2005821875)</f>
        <v>44584.20058</v>
      </c>
      <c r="D2046" s="15">
        <f>IFERROR(__xludf.DUMMYFUNCTION("""COMPUTED_VALUE"""),1.005)</f>
        <v>1.005</v>
      </c>
      <c r="E2046" s="16">
        <f>IFERROR(__xludf.DUMMYFUNCTION("""COMPUTED_VALUE"""),67.0)</f>
        <v>67</v>
      </c>
      <c r="F2046" s="19" t="str">
        <f>IFERROR(__xludf.DUMMYFUNCTION("""COMPUTED_VALUE"""),"BLACK")</f>
        <v>BLACK</v>
      </c>
      <c r="G2046" s="20" t="str">
        <f>IFERROR(__xludf.DUMMYFUNCTION("""COMPUTED_VALUE"""),"Uncle Sams Cider (11/12/2021) 02")</f>
        <v>Uncle Sams Cider (11/12/2021) 02</v>
      </c>
      <c r="H2046" s="19"/>
    </row>
    <row r="2047">
      <c r="A2047" s="9"/>
      <c r="B2047" s="15"/>
      <c r="C2047" s="9">
        <f>IFERROR(__xludf.DUMMYFUNCTION("""COMPUTED_VALUE"""),44584.1901619444)</f>
        <v>44584.19016</v>
      </c>
      <c r="D2047" s="15">
        <f>IFERROR(__xludf.DUMMYFUNCTION("""COMPUTED_VALUE"""),1.006)</f>
        <v>1.006</v>
      </c>
      <c r="E2047" s="16">
        <f>IFERROR(__xludf.DUMMYFUNCTION("""COMPUTED_VALUE"""),67.0)</f>
        <v>67</v>
      </c>
      <c r="F2047" s="19" t="str">
        <f>IFERROR(__xludf.DUMMYFUNCTION("""COMPUTED_VALUE"""),"BLACK")</f>
        <v>BLACK</v>
      </c>
      <c r="G2047" s="20" t="str">
        <f>IFERROR(__xludf.DUMMYFUNCTION("""COMPUTED_VALUE"""),"Uncle Sams Cider (11/12/2021) 02")</f>
        <v>Uncle Sams Cider (11/12/2021) 02</v>
      </c>
      <c r="H2047" s="19"/>
    </row>
    <row r="2048">
      <c r="A2048" s="9"/>
      <c r="B2048" s="15"/>
      <c r="C2048" s="9">
        <f>IFERROR(__xludf.DUMMYFUNCTION("""COMPUTED_VALUE"""),44584.1797286342)</f>
        <v>44584.17973</v>
      </c>
      <c r="D2048" s="15">
        <f>IFERROR(__xludf.DUMMYFUNCTION("""COMPUTED_VALUE"""),1.005)</f>
        <v>1.005</v>
      </c>
      <c r="E2048" s="16">
        <f>IFERROR(__xludf.DUMMYFUNCTION("""COMPUTED_VALUE"""),67.0)</f>
        <v>67</v>
      </c>
      <c r="F2048" s="19" t="str">
        <f>IFERROR(__xludf.DUMMYFUNCTION("""COMPUTED_VALUE"""),"BLACK")</f>
        <v>BLACK</v>
      </c>
      <c r="G2048" s="20" t="str">
        <f>IFERROR(__xludf.DUMMYFUNCTION("""COMPUTED_VALUE"""),"Uncle Sams Cider (11/12/2021) 02")</f>
        <v>Uncle Sams Cider (11/12/2021) 02</v>
      </c>
      <c r="H2048" s="19"/>
    </row>
    <row r="2049">
      <c r="A2049" s="9"/>
      <c r="B2049" s="15"/>
      <c r="C2049" s="9">
        <f>IFERROR(__xludf.DUMMYFUNCTION("""COMPUTED_VALUE"""),44584.1692859027)</f>
        <v>44584.16929</v>
      </c>
      <c r="D2049" s="15">
        <f>IFERROR(__xludf.DUMMYFUNCTION("""COMPUTED_VALUE"""),1.006)</f>
        <v>1.006</v>
      </c>
      <c r="E2049" s="16">
        <f>IFERROR(__xludf.DUMMYFUNCTION("""COMPUTED_VALUE"""),67.0)</f>
        <v>67</v>
      </c>
      <c r="F2049" s="19" t="str">
        <f>IFERROR(__xludf.DUMMYFUNCTION("""COMPUTED_VALUE"""),"BLACK")</f>
        <v>BLACK</v>
      </c>
      <c r="G2049" s="20" t="str">
        <f>IFERROR(__xludf.DUMMYFUNCTION("""COMPUTED_VALUE"""),"Uncle Sams Cider (11/12/2021) 02")</f>
        <v>Uncle Sams Cider (11/12/2021) 02</v>
      </c>
      <c r="H2049" s="19"/>
    </row>
    <row r="2050">
      <c r="A2050" s="9"/>
      <c r="B2050" s="15"/>
      <c r="C2050" s="9">
        <f>IFERROR(__xludf.DUMMYFUNCTION("""COMPUTED_VALUE"""),44584.1588650347)</f>
        <v>44584.15887</v>
      </c>
      <c r="D2050" s="15">
        <f>IFERROR(__xludf.DUMMYFUNCTION("""COMPUTED_VALUE"""),1.005)</f>
        <v>1.005</v>
      </c>
      <c r="E2050" s="16">
        <f>IFERROR(__xludf.DUMMYFUNCTION("""COMPUTED_VALUE"""),67.0)</f>
        <v>67</v>
      </c>
      <c r="F2050" s="19" t="str">
        <f>IFERROR(__xludf.DUMMYFUNCTION("""COMPUTED_VALUE"""),"BLACK")</f>
        <v>BLACK</v>
      </c>
      <c r="G2050" s="20" t="str">
        <f>IFERROR(__xludf.DUMMYFUNCTION("""COMPUTED_VALUE"""),"Uncle Sams Cider (11/12/2021) 02")</f>
        <v>Uncle Sams Cider (11/12/2021) 02</v>
      </c>
      <c r="H2050" s="19"/>
    </row>
    <row r="2051">
      <c r="A2051" s="9"/>
      <c r="B2051" s="15"/>
      <c r="C2051" s="9">
        <f>IFERROR(__xludf.DUMMYFUNCTION("""COMPUTED_VALUE"""),44584.1484322569)</f>
        <v>44584.14843</v>
      </c>
      <c r="D2051" s="15">
        <f>IFERROR(__xludf.DUMMYFUNCTION("""COMPUTED_VALUE"""),1.005)</f>
        <v>1.005</v>
      </c>
      <c r="E2051" s="16">
        <f>IFERROR(__xludf.DUMMYFUNCTION("""COMPUTED_VALUE"""),67.0)</f>
        <v>67</v>
      </c>
      <c r="F2051" s="19" t="str">
        <f>IFERROR(__xludf.DUMMYFUNCTION("""COMPUTED_VALUE"""),"BLACK")</f>
        <v>BLACK</v>
      </c>
      <c r="G2051" s="20" t="str">
        <f>IFERROR(__xludf.DUMMYFUNCTION("""COMPUTED_VALUE"""),"Uncle Sams Cider (11/12/2021) 02")</f>
        <v>Uncle Sams Cider (11/12/2021) 02</v>
      </c>
      <c r="H2051" s="19"/>
    </row>
    <row r="2052">
      <c r="A2052" s="9"/>
      <c r="B2052" s="15"/>
      <c r="C2052" s="9">
        <f>IFERROR(__xludf.DUMMYFUNCTION("""COMPUTED_VALUE"""),44584.1380026041)</f>
        <v>44584.138</v>
      </c>
      <c r="D2052" s="15">
        <f>IFERROR(__xludf.DUMMYFUNCTION("""COMPUTED_VALUE"""),1.005)</f>
        <v>1.005</v>
      </c>
      <c r="E2052" s="16">
        <f>IFERROR(__xludf.DUMMYFUNCTION("""COMPUTED_VALUE"""),68.0)</f>
        <v>68</v>
      </c>
      <c r="F2052" s="19" t="str">
        <f>IFERROR(__xludf.DUMMYFUNCTION("""COMPUTED_VALUE"""),"BLACK")</f>
        <v>BLACK</v>
      </c>
      <c r="G2052" s="20" t="str">
        <f>IFERROR(__xludf.DUMMYFUNCTION("""COMPUTED_VALUE"""),"Uncle Sams Cider (11/12/2021) 02")</f>
        <v>Uncle Sams Cider (11/12/2021) 02</v>
      </c>
      <c r="H2052" s="19"/>
    </row>
    <row r="2053">
      <c r="A2053" s="9"/>
      <c r="B2053" s="15"/>
      <c r="C2053" s="9">
        <f>IFERROR(__xludf.DUMMYFUNCTION("""COMPUTED_VALUE"""),44584.127580081)</f>
        <v>44584.12758</v>
      </c>
      <c r="D2053" s="15">
        <f>IFERROR(__xludf.DUMMYFUNCTION("""COMPUTED_VALUE"""),1.005)</f>
        <v>1.005</v>
      </c>
      <c r="E2053" s="16">
        <f>IFERROR(__xludf.DUMMYFUNCTION("""COMPUTED_VALUE"""),68.0)</f>
        <v>68</v>
      </c>
      <c r="F2053" s="19" t="str">
        <f>IFERROR(__xludf.DUMMYFUNCTION("""COMPUTED_VALUE"""),"BLACK")</f>
        <v>BLACK</v>
      </c>
      <c r="G2053" s="20" t="str">
        <f>IFERROR(__xludf.DUMMYFUNCTION("""COMPUTED_VALUE"""),"Uncle Sams Cider (11/12/2021) 02")</f>
        <v>Uncle Sams Cider (11/12/2021) 02</v>
      </c>
      <c r="H2053" s="19"/>
    </row>
    <row r="2054">
      <c r="A2054" s="9"/>
      <c r="B2054" s="15"/>
      <c r="C2054" s="9">
        <f>IFERROR(__xludf.DUMMYFUNCTION("""COMPUTED_VALUE"""),44584.1171586921)</f>
        <v>44584.11716</v>
      </c>
      <c r="D2054" s="15">
        <f>IFERROR(__xludf.DUMMYFUNCTION("""COMPUTED_VALUE"""),1.005)</f>
        <v>1.005</v>
      </c>
      <c r="E2054" s="16">
        <f>IFERROR(__xludf.DUMMYFUNCTION("""COMPUTED_VALUE"""),68.0)</f>
        <v>68</v>
      </c>
      <c r="F2054" s="19" t="str">
        <f>IFERROR(__xludf.DUMMYFUNCTION("""COMPUTED_VALUE"""),"BLACK")</f>
        <v>BLACK</v>
      </c>
      <c r="G2054" s="20" t="str">
        <f>IFERROR(__xludf.DUMMYFUNCTION("""COMPUTED_VALUE"""),"Uncle Sams Cider (11/12/2021) 02")</f>
        <v>Uncle Sams Cider (11/12/2021) 02</v>
      </c>
      <c r="H2054" s="19"/>
    </row>
    <row r="2055">
      <c r="A2055" s="9"/>
      <c r="B2055" s="15"/>
      <c r="C2055" s="9">
        <f>IFERROR(__xludf.DUMMYFUNCTION("""COMPUTED_VALUE"""),44584.1067376967)</f>
        <v>44584.10674</v>
      </c>
      <c r="D2055" s="15">
        <f>IFERROR(__xludf.DUMMYFUNCTION("""COMPUTED_VALUE"""),1.005)</f>
        <v>1.005</v>
      </c>
      <c r="E2055" s="16">
        <f>IFERROR(__xludf.DUMMYFUNCTION("""COMPUTED_VALUE"""),68.0)</f>
        <v>68</v>
      </c>
      <c r="F2055" s="19" t="str">
        <f>IFERROR(__xludf.DUMMYFUNCTION("""COMPUTED_VALUE"""),"BLACK")</f>
        <v>BLACK</v>
      </c>
      <c r="G2055" s="20" t="str">
        <f>IFERROR(__xludf.DUMMYFUNCTION("""COMPUTED_VALUE"""),"Uncle Sams Cider (11/12/2021) 02")</f>
        <v>Uncle Sams Cider (11/12/2021) 02</v>
      </c>
      <c r="H2055" s="19"/>
    </row>
    <row r="2056">
      <c r="A2056" s="9"/>
      <c r="B2056" s="15"/>
      <c r="C2056" s="9">
        <f>IFERROR(__xludf.DUMMYFUNCTION("""COMPUTED_VALUE"""),44584.0962925)</f>
        <v>44584.09629</v>
      </c>
      <c r="D2056" s="15">
        <f>IFERROR(__xludf.DUMMYFUNCTION("""COMPUTED_VALUE"""),1.005)</f>
        <v>1.005</v>
      </c>
      <c r="E2056" s="16">
        <f>IFERROR(__xludf.DUMMYFUNCTION("""COMPUTED_VALUE"""),68.0)</f>
        <v>68</v>
      </c>
      <c r="F2056" s="19" t="str">
        <f>IFERROR(__xludf.DUMMYFUNCTION("""COMPUTED_VALUE"""),"BLACK")</f>
        <v>BLACK</v>
      </c>
      <c r="G2056" s="20" t="str">
        <f>IFERROR(__xludf.DUMMYFUNCTION("""COMPUTED_VALUE"""),"Uncle Sams Cider (11/12/2021) 02")</f>
        <v>Uncle Sams Cider (11/12/2021) 02</v>
      </c>
      <c r="H2056" s="19"/>
    </row>
    <row r="2057">
      <c r="A2057" s="9"/>
      <c r="B2057" s="15"/>
      <c r="C2057" s="9">
        <f>IFERROR(__xludf.DUMMYFUNCTION("""COMPUTED_VALUE"""),44584.0858582523)</f>
        <v>44584.08586</v>
      </c>
      <c r="D2057" s="15">
        <f>IFERROR(__xludf.DUMMYFUNCTION("""COMPUTED_VALUE"""),1.005)</f>
        <v>1.005</v>
      </c>
      <c r="E2057" s="16">
        <f>IFERROR(__xludf.DUMMYFUNCTION("""COMPUTED_VALUE"""),68.0)</f>
        <v>68</v>
      </c>
      <c r="F2057" s="19" t="str">
        <f>IFERROR(__xludf.DUMMYFUNCTION("""COMPUTED_VALUE"""),"BLACK")</f>
        <v>BLACK</v>
      </c>
      <c r="G2057" s="20" t="str">
        <f>IFERROR(__xludf.DUMMYFUNCTION("""COMPUTED_VALUE"""),"Uncle Sams Cider (11/12/2021) 02")</f>
        <v>Uncle Sams Cider (11/12/2021) 02</v>
      </c>
      <c r="H2057" s="19"/>
    </row>
    <row r="2058">
      <c r="A2058" s="9"/>
      <c r="B2058" s="15"/>
      <c r="C2058" s="9">
        <f>IFERROR(__xludf.DUMMYFUNCTION("""COMPUTED_VALUE"""),44584.075392662)</f>
        <v>44584.07539</v>
      </c>
      <c r="D2058" s="15">
        <f>IFERROR(__xludf.DUMMYFUNCTION("""COMPUTED_VALUE"""),1.005)</f>
        <v>1.005</v>
      </c>
      <c r="E2058" s="16">
        <f>IFERROR(__xludf.DUMMYFUNCTION("""COMPUTED_VALUE"""),68.0)</f>
        <v>68</v>
      </c>
      <c r="F2058" s="19" t="str">
        <f>IFERROR(__xludf.DUMMYFUNCTION("""COMPUTED_VALUE"""),"BLACK")</f>
        <v>BLACK</v>
      </c>
      <c r="G2058" s="20" t="str">
        <f>IFERROR(__xludf.DUMMYFUNCTION("""COMPUTED_VALUE"""),"Uncle Sams Cider (11/12/2021) 02")</f>
        <v>Uncle Sams Cider (11/12/2021) 02</v>
      </c>
      <c r="H2058" s="19"/>
    </row>
    <row r="2059">
      <c r="A2059" s="9"/>
      <c r="B2059" s="15"/>
      <c r="C2059" s="9">
        <f>IFERROR(__xludf.DUMMYFUNCTION("""COMPUTED_VALUE"""),44584.0649708912)</f>
        <v>44584.06497</v>
      </c>
      <c r="D2059" s="15">
        <f>IFERROR(__xludf.DUMMYFUNCTION("""COMPUTED_VALUE"""),1.005)</f>
        <v>1.005</v>
      </c>
      <c r="E2059" s="16">
        <f>IFERROR(__xludf.DUMMYFUNCTION("""COMPUTED_VALUE"""),68.0)</f>
        <v>68</v>
      </c>
      <c r="F2059" s="19" t="str">
        <f>IFERROR(__xludf.DUMMYFUNCTION("""COMPUTED_VALUE"""),"BLACK")</f>
        <v>BLACK</v>
      </c>
      <c r="G2059" s="20" t="str">
        <f>IFERROR(__xludf.DUMMYFUNCTION("""COMPUTED_VALUE"""),"Uncle Sams Cider (11/12/2021) 02")</f>
        <v>Uncle Sams Cider (11/12/2021) 02</v>
      </c>
      <c r="H2059" s="19"/>
    </row>
    <row r="2060">
      <c r="A2060" s="9"/>
      <c r="B2060" s="15"/>
      <c r="C2060" s="9">
        <f>IFERROR(__xludf.DUMMYFUNCTION("""COMPUTED_VALUE"""),44584.0545503703)</f>
        <v>44584.05455</v>
      </c>
      <c r="D2060" s="15">
        <f>IFERROR(__xludf.DUMMYFUNCTION("""COMPUTED_VALUE"""),1.005)</f>
        <v>1.005</v>
      </c>
      <c r="E2060" s="16">
        <f>IFERROR(__xludf.DUMMYFUNCTION("""COMPUTED_VALUE"""),68.0)</f>
        <v>68</v>
      </c>
      <c r="F2060" s="19" t="str">
        <f>IFERROR(__xludf.DUMMYFUNCTION("""COMPUTED_VALUE"""),"BLACK")</f>
        <v>BLACK</v>
      </c>
      <c r="G2060" s="20" t="str">
        <f>IFERROR(__xludf.DUMMYFUNCTION("""COMPUTED_VALUE"""),"Uncle Sams Cider (11/12/2021) 02")</f>
        <v>Uncle Sams Cider (11/12/2021) 02</v>
      </c>
      <c r="H2060" s="19"/>
    </row>
    <row r="2061">
      <c r="A2061" s="9"/>
      <c r="B2061" s="15"/>
      <c r="C2061" s="9">
        <f>IFERROR(__xludf.DUMMYFUNCTION("""COMPUTED_VALUE"""),44584.0441291435)</f>
        <v>44584.04413</v>
      </c>
      <c r="D2061" s="15">
        <f>IFERROR(__xludf.DUMMYFUNCTION("""COMPUTED_VALUE"""),1.005)</f>
        <v>1.005</v>
      </c>
      <c r="E2061" s="16">
        <f>IFERROR(__xludf.DUMMYFUNCTION("""COMPUTED_VALUE"""),68.0)</f>
        <v>68</v>
      </c>
      <c r="F2061" s="19" t="str">
        <f>IFERROR(__xludf.DUMMYFUNCTION("""COMPUTED_VALUE"""),"BLACK")</f>
        <v>BLACK</v>
      </c>
      <c r="G2061" s="20" t="str">
        <f>IFERROR(__xludf.DUMMYFUNCTION("""COMPUTED_VALUE"""),"Uncle Sams Cider (11/12/2021) 02")</f>
        <v>Uncle Sams Cider (11/12/2021) 02</v>
      </c>
      <c r="H2061" s="19"/>
    </row>
    <row r="2062">
      <c r="A2062" s="9"/>
      <c r="B2062" s="15"/>
      <c r="C2062" s="9">
        <f>IFERROR(__xludf.DUMMYFUNCTION("""COMPUTED_VALUE"""),44584.033708206)</f>
        <v>44584.03371</v>
      </c>
      <c r="D2062" s="15">
        <f>IFERROR(__xludf.DUMMYFUNCTION("""COMPUTED_VALUE"""),1.005)</f>
        <v>1.005</v>
      </c>
      <c r="E2062" s="16">
        <f>IFERROR(__xludf.DUMMYFUNCTION("""COMPUTED_VALUE"""),68.0)</f>
        <v>68</v>
      </c>
      <c r="F2062" s="19" t="str">
        <f>IFERROR(__xludf.DUMMYFUNCTION("""COMPUTED_VALUE"""),"BLACK")</f>
        <v>BLACK</v>
      </c>
      <c r="G2062" s="20" t="str">
        <f>IFERROR(__xludf.DUMMYFUNCTION("""COMPUTED_VALUE"""),"Uncle Sams Cider (11/12/2021) 02")</f>
        <v>Uncle Sams Cider (11/12/2021) 02</v>
      </c>
      <c r="H2062" s="19"/>
    </row>
    <row r="2063">
      <c r="A2063" s="9"/>
      <c r="B2063" s="15"/>
      <c r="C2063" s="9">
        <f>IFERROR(__xludf.DUMMYFUNCTION("""COMPUTED_VALUE"""),44584.0232749189)</f>
        <v>44584.02327</v>
      </c>
      <c r="D2063" s="15">
        <f>IFERROR(__xludf.DUMMYFUNCTION("""COMPUTED_VALUE"""),1.005)</f>
        <v>1.005</v>
      </c>
      <c r="E2063" s="16">
        <f>IFERROR(__xludf.DUMMYFUNCTION("""COMPUTED_VALUE"""),67.0)</f>
        <v>67</v>
      </c>
      <c r="F2063" s="19" t="str">
        <f>IFERROR(__xludf.DUMMYFUNCTION("""COMPUTED_VALUE"""),"BLACK")</f>
        <v>BLACK</v>
      </c>
      <c r="G2063" s="20" t="str">
        <f>IFERROR(__xludf.DUMMYFUNCTION("""COMPUTED_VALUE"""),"Uncle Sams Cider (11/12/2021) 02")</f>
        <v>Uncle Sams Cider (11/12/2021) 02</v>
      </c>
      <c r="H2063" s="19"/>
    </row>
    <row r="2064">
      <c r="A2064" s="9"/>
      <c r="B2064" s="15"/>
      <c r="C2064" s="9">
        <f>IFERROR(__xludf.DUMMYFUNCTION("""COMPUTED_VALUE"""),44584.0128299536)</f>
        <v>44584.01283</v>
      </c>
      <c r="D2064" s="15">
        <f>IFERROR(__xludf.DUMMYFUNCTION("""COMPUTED_VALUE"""),1.005)</f>
        <v>1.005</v>
      </c>
      <c r="E2064" s="16">
        <f>IFERROR(__xludf.DUMMYFUNCTION("""COMPUTED_VALUE"""),67.0)</f>
        <v>67</v>
      </c>
      <c r="F2064" s="19" t="str">
        <f>IFERROR(__xludf.DUMMYFUNCTION("""COMPUTED_VALUE"""),"BLACK")</f>
        <v>BLACK</v>
      </c>
      <c r="G2064" s="20" t="str">
        <f>IFERROR(__xludf.DUMMYFUNCTION("""COMPUTED_VALUE"""),"Uncle Sams Cider (11/12/2021) 02")</f>
        <v>Uncle Sams Cider (11/12/2021) 02</v>
      </c>
      <c r="H2064" s="19"/>
    </row>
    <row r="2065">
      <c r="A2065" s="9"/>
      <c r="B2065" s="15"/>
      <c r="C2065" s="9">
        <f>IFERROR(__xludf.DUMMYFUNCTION("""COMPUTED_VALUE"""),44584.0024081018)</f>
        <v>44584.00241</v>
      </c>
      <c r="D2065" s="15">
        <f>IFERROR(__xludf.DUMMYFUNCTION("""COMPUTED_VALUE"""),1.006)</f>
        <v>1.006</v>
      </c>
      <c r="E2065" s="16">
        <f>IFERROR(__xludf.DUMMYFUNCTION("""COMPUTED_VALUE"""),67.0)</f>
        <v>67</v>
      </c>
      <c r="F2065" s="19" t="str">
        <f>IFERROR(__xludf.DUMMYFUNCTION("""COMPUTED_VALUE"""),"BLACK")</f>
        <v>BLACK</v>
      </c>
      <c r="G2065" s="20" t="str">
        <f>IFERROR(__xludf.DUMMYFUNCTION("""COMPUTED_VALUE"""),"Uncle Sams Cider (11/12/2021) 02")</f>
        <v>Uncle Sams Cider (11/12/2021) 02</v>
      </c>
      <c r="H2065" s="19"/>
    </row>
    <row r="2066">
      <c r="A2066" s="9"/>
      <c r="B2066" s="15"/>
      <c r="C2066" s="9">
        <f>IFERROR(__xludf.DUMMYFUNCTION("""COMPUTED_VALUE"""),44583.9919753472)</f>
        <v>44583.99198</v>
      </c>
      <c r="D2066" s="15">
        <f>IFERROR(__xludf.DUMMYFUNCTION("""COMPUTED_VALUE"""),1.005)</f>
        <v>1.005</v>
      </c>
      <c r="E2066" s="16">
        <f>IFERROR(__xludf.DUMMYFUNCTION("""COMPUTED_VALUE"""),66.0)</f>
        <v>66</v>
      </c>
      <c r="F2066" s="19" t="str">
        <f>IFERROR(__xludf.DUMMYFUNCTION("""COMPUTED_VALUE"""),"BLACK")</f>
        <v>BLACK</v>
      </c>
      <c r="G2066" s="20" t="str">
        <f>IFERROR(__xludf.DUMMYFUNCTION("""COMPUTED_VALUE"""),"Uncle Sams Cider (11/12/2021) 02")</f>
        <v>Uncle Sams Cider (11/12/2021) 02</v>
      </c>
      <c r="H2066" s="19"/>
    </row>
    <row r="2067">
      <c r="A2067" s="9"/>
      <c r="B2067" s="15"/>
      <c r="C2067" s="9">
        <f>IFERROR(__xludf.DUMMYFUNCTION("""COMPUTED_VALUE"""),44583.9815555324)</f>
        <v>44583.98156</v>
      </c>
      <c r="D2067" s="15">
        <f>IFERROR(__xludf.DUMMYFUNCTION("""COMPUTED_VALUE"""),1.005)</f>
        <v>1.005</v>
      </c>
      <c r="E2067" s="16">
        <f>IFERROR(__xludf.DUMMYFUNCTION("""COMPUTED_VALUE"""),66.0)</f>
        <v>66</v>
      </c>
      <c r="F2067" s="19" t="str">
        <f>IFERROR(__xludf.DUMMYFUNCTION("""COMPUTED_VALUE"""),"BLACK")</f>
        <v>BLACK</v>
      </c>
      <c r="G2067" s="20" t="str">
        <f>IFERROR(__xludf.DUMMYFUNCTION("""COMPUTED_VALUE"""),"Uncle Sams Cider (11/12/2021) 02")</f>
        <v>Uncle Sams Cider (11/12/2021) 02</v>
      </c>
      <c r="H2067" s="19"/>
    </row>
    <row r="2068">
      <c r="A2068" s="9"/>
      <c r="B2068" s="15"/>
      <c r="C2068" s="9">
        <f>IFERROR(__xludf.DUMMYFUNCTION("""COMPUTED_VALUE"""),44583.9711356134)</f>
        <v>44583.97114</v>
      </c>
      <c r="D2068" s="15">
        <f>IFERROR(__xludf.DUMMYFUNCTION("""COMPUTED_VALUE"""),1.005)</f>
        <v>1.005</v>
      </c>
      <c r="E2068" s="16">
        <f>IFERROR(__xludf.DUMMYFUNCTION("""COMPUTED_VALUE"""),65.0)</f>
        <v>65</v>
      </c>
      <c r="F2068" s="19" t="str">
        <f>IFERROR(__xludf.DUMMYFUNCTION("""COMPUTED_VALUE"""),"BLACK")</f>
        <v>BLACK</v>
      </c>
      <c r="G2068" s="20" t="str">
        <f>IFERROR(__xludf.DUMMYFUNCTION("""COMPUTED_VALUE"""),"Uncle Sams Cider (11/12/2021) 02")</f>
        <v>Uncle Sams Cider (11/12/2021) 02</v>
      </c>
      <c r="H2068" s="19"/>
    </row>
    <row r="2069">
      <c r="A2069" s="9"/>
      <c r="B2069" s="15"/>
      <c r="C2069" s="9">
        <f>IFERROR(__xludf.DUMMYFUNCTION("""COMPUTED_VALUE"""),44583.9607160416)</f>
        <v>44583.96072</v>
      </c>
      <c r="D2069" s="15">
        <f>IFERROR(__xludf.DUMMYFUNCTION("""COMPUTED_VALUE"""),1.006)</f>
        <v>1.006</v>
      </c>
      <c r="E2069" s="16">
        <f>IFERROR(__xludf.DUMMYFUNCTION("""COMPUTED_VALUE"""),65.0)</f>
        <v>65</v>
      </c>
      <c r="F2069" s="19" t="str">
        <f>IFERROR(__xludf.DUMMYFUNCTION("""COMPUTED_VALUE"""),"BLACK")</f>
        <v>BLACK</v>
      </c>
      <c r="G2069" s="20" t="str">
        <f>IFERROR(__xludf.DUMMYFUNCTION("""COMPUTED_VALUE"""),"Uncle Sams Cider (11/12/2021) 02")</f>
        <v>Uncle Sams Cider (11/12/2021) 02</v>
      </c>
      <c r="H2069" s="19"/>
    </row>
    <row r="2070">
      <c r="A2070" s="9"/>
      <c r="B2070" s="15"/>
      <c r="C2070" s="9">
        <f>IFERROR(__xludf.DUMMYFUNCTION("""COMPUTED_VALUE"""),44583.9502599768)</f>
        <v>44583.95026</v>
      </c>
      <c r="D2070" s="15">
        <f>IFERROR(__xludf.DUMMYFUNCTION("""COMPUTED_VALUE"""),1.005)</f>
        <v>1.005</v>
      </c>
      <c r="E2070" s="16">
        <f>IFERROR(__xludf.DUMMYFUNCTION("""COMPUTED_VALUE"""),65.0)</f>
        <v>65</v>
      </c>
      <c r="F2070" s="19" t="str">
        <f>IFERROR(__xludf.DUMMYFUNCTION("""COMPUTED_VALUE"""),"BLACK")</f>
        <v>BLACK</v>
      </c>
      <c r="G2070" s="20" t="str">
        <f>IFERROR(__xludf.DUMMYFUNCTION("""COMPUTED_VALUE"""),"Uncle Sams Cider (11/12/2021) 02")</f>
        <v>Uncle Sams Cider (11/12/2021) 02</v>
      </c>
      <c r="H2070" s="19"/>
    </row>
    <row r="2071">
      <c r="A2071" s="9"/>
      <c r="B2071" s="15"/>
      <c r="C2071" s="9">
        <f>IFERROR(__xludf.DUMMYFUNCTION("""COMPUTED_VALUE"""),44583.9398381365)</f>
        <v>44583.93984</v>
      </c>
      <c r="D2071" s="15">
        <f>IFERROR(__xludf.DUMMYFUNCTION("""COMPUTED_VALUE"""),1.006)</f>
        <v>1.006</v>
      </c>
      <c r="E2071" s="16">
        <f>IFERROR(__xludf.DUMMYFUNCTION("""COMPUTED_VALUE"""),64.0)</f>
        <v>64</v>
      </c>
      <c r="F2071" s="19" t="str">
        <f>IFERROR(__xludf.DUMMYFUNCTION("""COMPUTED_VALUE"""),"BLACK")</f>
        <v>BLACK</v>
      </c>
      <c r="G2071" s="20" t="str">
        <f>IFERROR(__xludf.DUMMYFUNCTION("""COMPUTED_VALUE"""),"Uncle Sams Cider (11/12/2021) 02")</f>
        <v>Uncle Sams Cider (11/12/2021) 02</v>
      </c>
      <c r="H2071" s="19"/>
    </row>
    <row r="2072">
      <c r="A2072" s="9"/>
      <c r="B2072" s="15"/>
      <c r="C2072" s="9">
        <f>IFERROR(__xludf.DUMMYFUNCTION("""COMPUTED_VALUE"""),44583.929417199)</f>
        <v>44583.92942</v>
      </c>
      <c r="D2072" s="15">
        <f>IFERROR(__xludf.DUMMYFUNCTION("""COMPUTED_VALUE"""),1.006)</f>
        <v>1.006</v>
      </c>
      <c r="E2072" s="16">
        <f>IFERROR(__xludf.DUMMYFUNCTION("""COMPUTED_VALUE"""),64.0)</f>
        <v>64</v>
      </c>
      <c r="F2072" s="19" t="str">
        <f>IFERROR(__xludf.DUMMYFUNCTION("""COMPUTED_VALUE"""),"BLACK")</f>
        <v>BLACK</v>
      </c>
      <c r="G2072" s="20" t="str">
        <f>IFERROR(__xludf.DUMMYFUNCTION("""COMPUTED_VALUE"""),"Uncle Sams Cider (11/12/2021) 02")</f>
        <v>Uncle Sams Cider (11/12/2021) 02</v>
      </c>
      <c r="H2072" s="19"/>
    </row>
    <row r="2073">
      <c r="A2073" s="9"/>
      <c r="B2073" s="15"/>
      <c r="C2073" s="9">
        <f>IFERROR(__xludf.DUMMYFUNCTION("""COMPUTED_VALUE"""),44583.9189617824)</f>
        <v>44583.91896</v>
      </c>
      <c r="D2073" s="15">
        <f>IFERROR(__xludf.DUMMYFUNCTION("""COMPUTED_VALUE"""),1.006)</f>
        <v>1.006</v>
      </c>
      <c r="E2073" s="16">
        <f>IFERROR(__xludf.DUMMYFUNCTION("""COMPUTED_VALUE"""),63.0)</f>
        <v>63</v>
      </c>
      <c r="F2073" s="19" t="str">
        <f>IFERROR(__xludf.DUMMYFUNCTION("""COMPUTED_VALUE"""),"BLACK")</f>
        <v>BLACK</v>
      </c>
      <c r="G2073" s="20" t="str">
        <f>IFERROR(__xludf.DUMMYFUNCTION("""COMPUTED_VALUE"""),"Uncle Sams Cider (11/12/2021) 02")</f>
        <v>Uncle Sams Cider (11/12/2021) 02</v>
      </c>
      <c r="H2073" s="19"/>
    </row>
    <row r="2074">
      <c r="A2074" s="9"/>
      <c r="B2074" s="15"/>
      <c r="C2074" s="9">
        <f>IFERROR(__xludf.DUMMYFUNCTION("""COMPUTED_VALUE"""),44583.9085400578)</f>
        <v>44583.90854</v>
      </c>
      <c r="D2074" s="15">
        <f>IFERROR(__xludf.DUMMYFUNCTION("""COMPUTED_VALUE"""),1.006)</f>
        <v>1.006</v>
      </c>
      <c r="E2074" s="16">
        <f>IFERROR(__xludf.DUMMYFUNCTION("""COMPUTED_VALUE"""),63.0)</f>
        <v>63</v>
      </c>
      <c r="F2074" s="19" t="str">
        <f>IFERROR(__xludf.DUMMYFUNCTION("""COMPUTED_VALUE"""),"BLACK")</f>
        <v>BLACK</v>
      </c>
      <c r="G2074" s="20" t="str">
        <f>IFERROR(__xludf.DUMMYFUNCTION("""COMPUTED_VALUE"""),"Uncle Sams Cider (11/12/2021) 02")</f>
        <v>Uncle Sams Cider (11/12/2021) 02</v>
      </c>
      <c r="H2074" s="19"/>
    </row>
    <row r="2075">
      <c r="A2075" s="9"/>
      <c r="B2075" s="15"/>
      <c r="C2075" s="9">
        <f>IFERROR(__xludf.DUMMYFUNCTION("""COMPUTED_VALUE"""),44583.8981182407)</f>
        <v>44583.89812</v>
      </c>
      <c r="D2075" s="15">
        <f>IFERROR(__xludf.DUMMYFUNCTION("""COMPUTED_VALUE"""),1.006)</f>
        <v>1.006</v>
      </c>
      <c r="E2075" s="16">
        <f>IFERROR(__xludf.DUMMYFUNCTION("""COMPUTED_VALUE"""),63.0)</f>
        <v>63</v>
      </c>
      <c r="F2075" s="19" t="str">
        <f>IFERROR(__xludf.DUMMYFUNCTION("""COMPUTED_VALUE"""),"BLACK")</f>
        <v>BLACK</v>
      </c>
      <c r="G2075" s="20" t="str">
        <f>IFERROR(__xludf.DUMMYFUNCTION("""COMPUTED_VALUE"""),"Uncle Sams Cider (11/12/2021) 02")</f>
        <v>Uncle Sams Cider (11/12/2021) 02</v>
      </c>
      <c r="H2075" s="19"/>
    </row>
    <row r="2076">
      <c r="A2076" s="9"/>
      <c r="B2076" s="15"/>
      <c r="C2076" s="9">
        <f>IFERROR(__xludf.DUMMYFUNCTION("""COMPUTED_VALUE"""),44583.8876856365)</f>
        <v>44583.88769</v>
      </c>
      <c r="D2076" s="15">
        <f>IFERROR(__xludf.DUMMYFUNCTION("""COMPUTED_VALUE"""),1.006)</f>
        <v>1.006</v>
      </c>
      <c r="E2076" s="16">
        <f>IFERROR(__xludf.DUMMYFUNCTION("""COMPUTED_VALUE"""),63.0)</f>
        <v>63</v>
      </c>
      <c r="F2076" s="19" t="str">
        <f>IFERROR(__xludf.DUMMYFUNCTION("""COMPUTED_VALUE"""),"BLACK")</f>
        <v>BLACK</v>
      </c>
      <c r="G2076" s="20" t="str">
        <f>IFERROR(__xludf.DUMMYFUNCTION("""COMPUTED_VALUE"""),"Uncle Sams Cider (11/12/2021) 02")</f>
        <v>Uncle Sams Cider (11/12/2021) 02</v>
      </c>
      <c r="H2076" s="19"/>
    </row>
    <row r="2077">
      <c r="A2077" s="9"/>
      <c r="B2077" s="15"/>
      <c r="C2077" s="9">
        <f>IFERROR(__xludf.DUMMYFUNCTION("""COMPUTED_VALUE"""),44583.8772400347)</f>
        <v>44583.87724</v>
      </c>
      <c r="D2077" s="15">
        <f>IFERROR(__xludf.DUMMYFUNCTION("""COMPUTED_VALUE"""),1.006)</f>
        <v>1.006</v>
      </c>
      <c r="E2077" s="16">
        <f>IFERROR(__xludf.DUMMYFUNCTION("""COMPUTED_VALUE"""),63.0)</f>
        <v>63</v>
      </c>
      <c r="F2077" s="19" t="str">
        <f>IFERROR(__xludf.DUMMYFUNCTION("""COMPUTED_VALUE"""),"BLACK")</f>
        <v>BLACK</v>
      </c>
      <c r="G2077" s="20" t="str">
        <f>IFERROR(__xludf.DUMMYFUNCTION("""COMPUTED_VALUE"""),"Uncle Sams Cider (11/12/2021) 02")</f>
        <v>Uncle Sams Cider (11/12/2021) 02</v>
      </c>
      <c r="H2077" s="19"/>
    </row>
    <row r="2078">
      <c r="A2078" s="9"/>
      <c r="B2078" s="15"/>
      <c r="C2078" s="9">
        <f>IFERROR(__xludf.DUMMYFUNCTION("""COMPUTED_VALUE"""),44583.8668173032)</f>
        <v>44583.86682</v>
      </c>
      <c r="D2078" s="15">
        <f>IFERROR(__xludf.DUMMYFUNCTION("""COMPUTED_VALUE"""),1.006)</f>
        <v>1.006</v>
      </c>
      <c r="E2078" s="16">
        <f>IFERROR(__xludf.DUMMYFUNCTION("""COMPUTED_VALUE"""),63.0)</f>
        <v>63</v>
      </c>
      <c r="F2078" s="19" t="str">
        <f>IFERROR(__xludf.DUMMYFUNCTION("""COMPUTED_VALUE"""),"BLACK")</f>
        <v>BLACK</v>
      </c>
      <c r="G2078" s="20" t="str">
        <f>IFERROR(__xludf.DUMMYFUNCTION("""COMPUTED_VALUE"""),"Uncle Sams Cider (11/12/2021) 02")</f>
        <v>Uncle Sams Cider (11/12/2021) 02</v>
      </c>
      <c r="H2078" s="19"/>
    </row>
    <row r="2079">
      <c r="A2079" s="9"/>
      <c r="B2079" s="15"/>
      <c r="C2079" s="9">
        <f>IFERROR(__xludf.DUMMYFUNCTION("""COMPUTED_VALUE"""),44583.8563376388)</f>
        <v>44583.85634</v>
      </c>
      <c r="D2079" s="15">
        <f>IFERROR(__xludf.DUMMYFUNCTION("""COMPUTED_VALUE"""),1.006)</f>
        <v>1.006</v>
      </c>
      <c r="E2079" s="16">
        <f>IFERROR(__xludf.DUMMYFUNCTION("""COMPUTED_VALUE"""),63.0)</f>
        <v>63</v>
      </c>
      <c r="F2079" s="19" t="str">
        <f>IFERROR(__xludf.DUMMYFUNCTION("""COMPUTED_VALUE"""),"BLACK")</f>
        <v>BLACK</v>
      </c>
      <c r="G2079" s="20" t="str">
        <f>IFERROR(__xludf.DUMMYFUNCTION("""COMPUTED_VALUE"""),"Uncle Sams Cider (11/12/2021) 02")</f>
        <v>Uncle Sams Cider (11/12/2021) 02</v>
      </c>
      <c r="H2079" s="19"/>
    </row>
    <row r="2080">
      <c r="A2080" s="9"/>
      <c r="B2080" s="15"/>
      <c r="C2080" s="9">
        <f>IFERROR(__xludf.DUMMYFUNCTION("""COMPUTED_VALUE"""),44583.8459159259)</f>
        <v>44583.84592</v>
      </c>
      <c r="D2080" s="15">
        <f>IFERROR(__xludf.DUMMYFUNCTION("""COMPUTED_VALUE"""),1.006)</f>
        <v>1.006</v>
      </c>
      <c r="E2080" s="16">
        <f>IFERROR(__xludf.DUMMYFUNCTION("""COMPUTED_VALUE"""),63.0)</f>
        <v>63</v>
      </c>
      <c r="F2080" s="19" t="str">
        <f>IFERROR(__xludf.DUMMYFUNCTION("""COMPUTED_VALUE"""),"BLACK")</f>
        <v>BLACK</v>
      </c>
      <c r="G2080" s="20" t="str">
        <f>IFERROR(__xludf.DUMMYFUNCTION("""COMPUTED_VALUE"""),"Uncle Sams Cider (11/12/2021) 02")</f>
        <v>Uncle Sams Cider (11/12/2021) 02</v>
      </c>
      <c r="H2080" s="19"/>
    </row>
    <row r="2081">
      <c r="A2081" s="9"/>
      <c r="B2081" s="15"/>
      <c r="C2081" s="9">
        <f>IFERROR(__xludf.DUMMYFUNCTION("""COMPUTED_VALUE"""),44583.8354954629)</f>
        <v>44583.8355</v>
      </c>
      <c r="D2081" s="15">
        <f>IFERROR(__xludf.DUMMYFUNCTION("""COMPUTED_VALUE"""),1.006)</f>
        <v>1.006</v>
      </c>
      <c r="E2081" s="16">
        <f>IFERROR(__xludf.DUMMYFUNCTION("""COMPUTED_VALUE"""),63.0)</f>
        <v>63</v>
      </c>
      <c r="F2081" s="19" t="str">
        <f>IFERROR(__xludf.DUMMYFUNCTION("""COMPUTED_VALUE"""),"BLACK")</f>
        <v>BLACK</v>
      </c>
      <c r="G2081" s="20" t="str">
        <f>IFERROR(__xludf.DUMMYFUNCTION("""COMPUTED_VALUE"""),"Uncle Sams Cider (11/12/2021) 02")</f>
        <v>Uncle Sams Cider (11/12/2021) 02</v>
      </c>
      <c r="H2081" s="19"/>
    </row>
    <row r="2082">
      <c r="A2082" s="9"/>
      <c r="B2082" s="15"/>
      <c r="C2082" s="9">
        <f>IFERROR(__xludf.DUMMYFUNCTION("""COMPUTED_VALUE"""),44583.8250731018)</f>
        <v>44583.82507</v>
      </c>
      <c r="D2082" s="15">
        <f>IFERROR(__xludf.DUMMYFUNCTION("""COMPUTED_VALUE"""),1.006)</f>
        <v>1.006</v>
      </c>
      <c r="E2082" s="16">
        <f>IFERROR(__xludf.DUMMYFUNCTION("""COMPUTED_VALUE"""),63.0)</f>
        <v>63</v>
      </c>
      <c r="F2082" s="19" t="str">
        <f>IFERROR(__xludf.DUMMYFUNCTION("""COMPUTED_VALUE"""),"BLACK")</f>
        <v>BLACK</v>
      </c>
      <c r="G2082" s="20" t="str">
        <f>IFERROR(__xludf.DUMMYFUNCTION("""COMPUTED_VALUE"""),"Uncle Sams Cider (11/12/2021) 02")</f>
        <v>Uncle Sams Cider (11/12/2021) 02</v>
      </c>
      <c r="H2082" s="19"/>
    </row>
    <row r="2083">
      <c r="A2083" s="9"/>
      <c r="B2083" s="15"/>
      <c r="C2083" s="9">
        <f>IFERROR(__xludf.DUMMYFUNCTION("""COMPUTED_VALUE"""),44583.8146168287)</f>
        <v>44583.81462</v>
      </c>
      <c r="D2083" s="15">
        <f>IFERROR(__xludf.DUMMYFUNCTION("""COMPUTED_VALUE"""),1.006)</f>
        <v>1.006</v>
      </c>
      <c r="E2083" s="16">
        <f>IFERROR(__xludf.DUMMYFUNCTION("""COMPUTED_VALUE"""),63.0)</f>
        <v>63</v>
      </c>
      <c r="F2083" s="19" t="str">
        <f>IFERROR(__xludf.DUMMYFUNCTION("""COMPUTED_VALUE"""),"BLACK")</f>
        <v>BLACK</v>
      </c>
      <c r="G2083" s="20" t="str">
        <f>IFERROR(__xludf.DUMMYFUNCTION("""COMPUTED_VALUE"""),"Uncle Sams Cider (11/12/2021) 02")</f>
        <v>Uncle Sams Cider (11/12/2021) 02</v>
      </c>
      <c r="H2083" s="19"/>
    </row>
    <row r="2084">
      <c r="A2084" s="9"/>
      <c r="B2084" s="15"/>
      <c r="C2084" s="9">
        <f>IFERROR(__xludf.DUMMYFUNCTION("""COMPUTED_VALUE"""),44583.8041847106)</f>
        <v>44583.80418</v>
      </c>
      <c r="D2084" s="15">
        <f>IFERROR(__xludf.DUMMYFUNCTION("""COMPUTED_VALUE"""),1.006)</f>
        <v>1.006</v>
      </c>
      <c r="E2084" s="16">
        <f>IFERROR(__xludf.DUMMYFUNCTION("""COMPUTED_VALUE"""),63.0)</f>
        <v>63</v>
      </c>
      <c r="F2084" s="19" t="str">
        <f>IFERROR(__xludf.DUMMYFUNCTION("""COMPUTED_VALUE"""),"BLACK")</f>
        <v>BLACK</v>
      </c>
      <c r="G2084" s="20" t="str">
        <f>IFERROR(__xludf.DUMMYFUNCTION("""COMPUTED_VALUE"""),"Uncle Sams Cider (11/12/2021) 02")</f>
        <v>Uncle Sams Cider (11/12/2021) 02</v>
      </c>
      <c r="H2084" s="19"/>
    </row>
    <row r="2085">
      <c r="A2085" s="9"/>
      <c r="B2085" s="15"/>
      <c r="C2085" s="9">
        <f>IFERROR(__xludf.DUMMYFUNCTION("""COMPUTED_VALUE"""),44583.7937272453)</f>
        <v>44583.79373</v>
      </c>
      <c r="D2085" s="15">
        <f>IFERROR(__xludf.DUMMYFUNCTION("""COMPUTED_VALUE"""),1.006)</f>
        <v>1.006</v>
      </c>
      <c r="E2085" s="16">
        <f>IFERROR(__xludf.DUMMYFUNCTION("""COMPUTED_VALUE"""),63.0)</f>
        <v>63</v>
      </c>
      <c r="F2085" s="19" t="str">
        <f>IFERROR(__xludf.DUMMYFUNCTION("""COMPUTED_VALUE"""),"BLACK")</f>
        <v>BLACK</v>
      </c>
      <c r="G2085" s="20" t="str">
        <f>IFERROR(__xludf.DUMMYFUNCTION("""COMPUTED_VALUE"""),"Uncle Sams Cider (11/12/2021) 02")</f>
        <v>Uncle Sams Cider (11/12/2021) 02</v>
      </c>
      <c r="H2085" s="19"/>
    </row>
    <row r="2086">
      <c r="A2086" s="9"/>
      <c r="B2086" s="15"/>
      <c r="C2086" s="9">
        <f>IFERROR(__xludf.DUMMYFUNCTION("""COMPUTED_VALUE"""),44583.7833076041)</f>
        <v>44583.78331</v>
      </c>
      <c r="D2086" s="15">
        <f>IFERROR(__xludf.DUMMYFUNCTION("""COMPUTED_VALUE"""),1.006)</f>
        <v>1.006</v>
      </c>
      <c r="E2086" s="16">
        <f>IFERROR(__xludf.DUMMYFUNCTION("""COMPUTED_VALUE"""),63.0)</f>
        <v>63</v>
      </c>
      <c r="F2086" s="19" t="str">
        <f>IFERROR(__xludf.DUMMYFUNCTION("""COMPUTED_VALUE"""),"BLACK")</f>
        <v>BLACK</v>
      </c>
      <c r="G2086" s="20" t="str">
        <f>IFERROR(__xludf.DUMMYFUNCTION("""COMPUTED_VALUE"""),"Uncle Sams Cider (11/12/2021) 02")</f>
        <v>Uncle Sams Cider (11/12/2021) 02</v>
      </c>
      <c r="H2086" s="19"/>
    </row>
    <row r="2087">
      <c r="A2087" s="9"/>
      <c r="B2087" s="15"/>
      <c r="C2087" s="9">
        <f>IFERROR(__xludf.DUMMYFUNCTION("""COMPUTED_VALUE"""),44583.7728875462)</f>
        <v>44583.77289</v>
      </c>
      <c r="D2087" s="15">
        <f>IFERROR(__xludf.DUMMYFUNCTION("""COMPUTED_VALUE"""),1.006)</f>
        <v>1.006</v>
      </c>
      <c r="E2087" s="16">
        <f>IFERROR(__xludf.DUMMYFUNCTION("""COMPUTED_VALUE"""),63.0)</f>
        <v>63</v>
      </c>
      <c r="F2087" s="19" t="str">
        <f>IFERROR(__xludf.DUMMYFUNCTION("""COMPUTED_VALUE"""),"BLACK")</f>
        <v>BLACK</v>
      </c>
      <c r="G2087" s="20" t="str">
        <f>IFERROR(__xludf.DUMMYFUNCTION("""COMPUTED_VALUE"""),"Uncle Sams Cider (11/12/2021) 02")</f>
        <v>Uncle Sams Cider (11/12/2021) 02</v>
      </c>
      <c r="H2087" s="19"/>
    </row>
    <row r="2088">
      <c r="A2088" s="9"/>
      <c r="B2088" s="15"/>
      <c r="C2088" s="9">
        <f>IFERROR(__xludf.DUMMYFUNCTION("""COMPUTED_VALUE"""),44583.7624202546)</f>
        <v>44583.76242</v>
      </c>
      <c r="D2088" s="15">
        <f>IFERROR(__xludf.DUMMYFUNCTION("""COMPUTED_VALUE"""),1.006)</f>
        <v>1.006</v>
      </c>
      <c r="E2088" s="16">
        <f>IFERROR(__xludf.DUMMYFUNCTION("""COMPUTED_VALUE"""),63.0)</f>
        <v>63</v>
      </c>
      <c r="F2088" s="19" t="str">
        <f>IFERROR(__xludf.DUMMYFUNCTION("""COMPUTED_VALUE"""),"BLACK")</f>
        <v>BLACK</v>
      </c>
      <c r="G2088" s="20" t="str">
        <f>IFERROR(__xludf.DUMMYFUNCTION("""COMPUTED_VALUE"""),"Uncle Sams Cider (11/12/2021) 02")</f>
        <v>Uncle Sams Cider (11/12/2021) 02</v>
      </c>
      <c r="H2088" s="19"/>
    </row>
    <row r="2089">
      <c r="A2089" s="9"/>
      <c r="B2089" s="15"/>
      <c r="C2089" s="9">
        <f>IFERROR(__xludf.DUMMYFUNCTION("""COMPUTED_VALUE"""),44583.7519994328)</f>
        <v>44583.752</v>
      </c>
      <c r="D2089" s="15">
        <f>IFERROR(__xludf.DUMMYFUNCTION("""COMPUTED_VALUE"""),1.006)</f>
        <v>1.006</v>
      </c>
      <c r="E2089" s="16">
        <f>IFERROR(__xludf.DUMMYFUNCTION("""COMPUTED_VALUE"""),63.0)</f>
        <v>63</v>
      </c>
      <c r="F2089" s="19" t="str">
        <f>IFERROR(__xludf.DUMMYFUNCTION("""COMPUTED_VALUE"""),"BLACK")</f>
        <v>BLACK</v>
      </c>
      <c r="G2089" s="20" t="str">
        <f>IFERROR(__xludf.DUMMYFUNCTION("""COMPUTED_VALUE"""),"Uncle Sams Cider (11/12/2021) 02")</f>
        <v>Uncle Sams Cider (11/12/2021) 02</v>
      </c>
      <c r="H2089" s="19"/>
    </row>
    <row r="2090">
      <c r="A2090" s="9"/>
      <c r="B2090" s="15"/>
      <c r="C2090" s="9">
        <f>IFERROR(__xludf.DUMMYFUNCTION("""COMPUTED_VALUE"""),44583.7415667939)</f>
        <v>44583.74157</v>
      </c>
      <c r="D2090" s="15">
        <f>IFERROR(__xludf.DUMMYFUNCTION("""COMPUTED_VALUE"""),1.006)</f>
        <v>1.006</v>
      </c>
      <c r="E2090" s="16">
        <f>IFERROR(__xludf.DUMMYFUNCTION("""COMPUTED_VALUE"""),63.0)</f>
        <v>63</v>
      </c>
      <c r="F2090" s="19" t="str">
        <f>IFERROR(__xludf.DUMMYFUNCTION("""COMPUTED_VALUE"""),"BLACK")</f>
        <v>BLACK</v>
      </c>
      <c r="G2090" s="20" t="str">
        <f>IFERROR(__xludf.DUMMYFUNCTION("""COMPUTED_VALUE"""),"Uncle Sams Cider (11/12/2021) 02")</f>
        <v>Uncle Sams Cider (11/12/2021) 02</v>
      </c>
      <c r="H2090" s="19"/>
    </row>
    <row r="2091">
      <c r="A2091" s="9"/>
      <c r="B2091" s="15"/>
      <c r="C2091" s="9">
        <f>IFERROR(__xludf.DUMMYFUNCTION("""COMPUTED_VALUE"""),44583.7311345254)</f>
        <v>44583.73113</v>
      </c>
      <c r="D2091" s="15">
        <f>IFERROR(__xludf.DUMMYFUNCTION("""COMPUTED_VALUE"""),1.006)</f>
        <v>1.006</v>
      </c>
      <c r="E2091" s="16">
        <f>IFERROR(__xludf.DUMMYFUNCTION("""COMPUTED_VALUE"""),63.0)</f>
        <v>63</v>
      </c>
      <c r="F2091" s="19" t="str">
        <f>IFERROR(__xludf.DUMMYFUNCTION("""COMPUTED_VALUE"""),"BLACK")</f>
        <v>BLACK</v>
      </c>
      <c r="G2091" s="20" t="str">
        <f>IFERROR(__xludf.DUMMYFUNCTION("""COMPUTED_VALUE"""),"Uncle Sams Cider (11/12/2021) 02")</f>
        <v>Uncle Sams Cider (11/12/2021) 02</v>
      </c>
      <c r="H2091" s="19"/>
    </row>
    <row r="2092">
      <c r="A2092" s="9"/>
      <c r="B2092" s="15"/>
      <c r="C2092" s="9">
        <f>IFERROR(__xludf.DUMMYFUNCTION("""COMPUTED_VALUE"""),44583.7207124189)</f>
        <v>44583.72071</v>
      </c>
      <c r="D2092" s="15">
        <f>IFERROR(__xludf.DUMMYFUNCTION("""COMPUTED_VALUE"""),1.006)</f>
        <v>1.006</v>
      </c>
      <c r="E2092" s="16">
        <f>IFERROR(__xludf.DUMMYFUNCTION("""COMPUTED_VALUE"""),63.0)</f>
        <v>63</v>
      </c>
      <c r="F2092" s="19" t="str">
        <f>IFERROR(__xludf.DUMMYFUNCTION("""COMPUTED_VALUE"""),"BLACK")</f>
        <v>BLACK</v>
      </c>
      <c r="G2092" s="20" t="str">
        <f>IFERROR(__xludf.DUMMYFUNCTION("""COMPUTED_VALUE"""),"Uncle Sams Cider (11/12/2021) 02")</f>
        <v>Uncle Sams Cider (11/12/2021) 02</v>
      </c>
      <c r="H2092" s="19"/>
    </row>
    <row r="2093">
      <c r="A2093" s="9"/>
      <c r="B2093" s="15"/>
      <c r="C2093" s="9">
        <f>IFERROR(__xludf.DUMMYFUNCTION("""COMPUTED_VALUE"""),44583.7102921759)</f>
        <v>44583.71029</v>
      </c>
      <c r="D2093" s="15">
        <f>IFERROR(__xludf.DUMMYFUNCTION("""COMPUTED_VALUE"""),1.006)</f>
        <v>1.006</v>
      </c>
      <c r="E2093" s="16">
        <f>IFERROR(__xludf.DUMMYFUNCTION("""COMPUTED_VALUE"""),63.0)</f>
        <v>63</v>
      </c>
      <c r="F2093" s="19" t="str">
        <f>IFERROR(__xludf.DUMMYFUNCTION("""COMPUTED_VALUE"""),"BLACK")</f>
        <v>BLACK</v>
      </c>
      <c r="G2093" s="20" t="str">
        <f>IFERROR(__xludf.DUMMYFUNCTION("""COMPUTED_VALUE"""),"Uncle Sams Cider (11/12/2021) 02")</f>
        <v>Uncle Sams Cider (11/12/2021) 02</v>
      </c>
      <c r="H2093" s="19"/>
    </row>
    <row r="2094">
      <c r="A2094" s="9"/>
      <c r="B2094" s="15"/>
      <c r="C2094" s="9">
        <f>IFERROR(__xludf.DUMMYFUNCTION("""COMPUTED_VALUE"""),44583.6998695717)</f>
        <v>44583.69987</v>
      </c>
      <c r="D2094" s="15">
        <f>IFERROR(__xludf.DUMMYFUNCTION("""COMPUTED_VALUE"""),1.006)</f>
        <v>1.006</v>
      </c>
      <c r="E2094" s="16">
        <f>IFERROR(__xludf.DUMMYFUNCTION("""COMPUTED_VALUE"""),63.0)</f>
        <v>63</v>
      </c>
      <c r="F2094" s="19" t="str">
        <f>IFERROR(__xludf.DUMMYFUNCTION("""COMPUTED_VALUE"""),"BLACK")</f>
        <v>BLACK</v>
      </c>
      <c r="G2094" s="20" t="str">
        <f>IFERROR(__xludf.DUMMYFUNCTION("""COMPUTED_VALUE"""),"Uncle Sams Cider (11/12/2021) 02")</f>
        <v>Uncle Sams Cider (11/12/2021) 02</v>
      </c>
      <c r="H2094" s="19"/>
    </row>
    <row r="2095">
      <c r="A2095" s="9"/>
      <c r="B2095" s="15"/>
      <c r="C2095" s="9">
        <f>IFERROR(__xludf.DUMMYFUNCTION("""COMPUTED_VALUE"""),44583.689435949)</f>
        <v>44583.68944</v>
      </c>
      <c r="D2095" s="15">
        <f>IFERROR(__xludf.DUMMYFUNCTION("""COMPUTED_VALUE"""),1.006)</f>
        <v>1.006</v>
      </c>
      <c r="E2095" s="16">
        <f>IFERROR(__xludf.DUMMYFUNCTION("""COMPUTED_VALUE"""),63.0)</f>
        <v>63</v>
      </c>
      <c r="F2095" s="19" t="str">
        <f>IFERROR(__xludf.DUMMYFUNCTION("""COMPUTED_VALUE"""),"BLACK")</f>
        <v>BLACK</v>
      </c>
      <c r="G2095" s="20" t="str">
        <f>IFERROR(__xludf.DUMMYFUNCTION("""COMPUTED_VALUE"""),"Uncle Sams Cider (11/12/2021) 02")</f>
        <v>Uncle Sams Cider (11/12/2021) 02</v>
      </c>
      <c r="H2095" s="19"/>
    </row>
    <row r="2096">
      <c r="A2096" s="9"/>
      <c r="B2096" s="15"/>
      <c r="C2096" s="9">
        <f>IFERROR(__xludf.DUMMYFUNCTION("""COMPUTED_VALUE"""),44583.6790156944)</f>
        <v>44583.67902</v>
      </c>
      <c r="D2096" s="15">
        <f>IFERROR(__xludf.DUMMYFUNCTION("""COMPUTED_VALUE"""),1.006)</f>
        <v>1.006</v>
      </c>
      <c r="E2096" s="16">
        <f>IFERROR(__xludf.DUMMYFUNCTION("""COMPUTED_VALUE"""),63.0)</f>
        <v>63</v>
      </c>
      <c r="F2096" s="19" t="str">
        <f>IFERROR(__xludf.DUMMYFUNCTION("""COMPUTED_VALUE"""),"BLACK")</f>
        <v>BLACK</v>
      </c>
      <c r="G2096" s="20" t="str">
        <f>IFERROR(__xludf.DUMMYFUNCTION("""COMPUTED_VALUE"""),"Uncle Sams Cider (11/12/2021) 02")</f>
        <v>Uncle Sams Cider (11/12/2021) 02</v>
      </c>
      <c r="H2096" s="19"/>
    </row>
    <row r="2097">
      <c r="A2097" s="9"/>
      <c r="B2097" s="15"/>
      <c r="C2097" s="9">
        <f>IFERROR(__xludf.DUMMYFUNCTION("""COMPUTED_VALUE"""),44583.6685687384)</f>
        <v>44583.66857</v>
      </c>
      <c r="D2097" s="15">
        <f>IFERROR(__xludf.DUMMYFUNCTION("""COMPUTED_VALUE"""),1.006)</f>
        <v>1.006</v>
      </c>
      <c r="E2097" s="16">
        <f>IFERROR(__xludf.DUMMYFUNCTION("""COMPUTED_VALUE"""),63.0)</f>
        <v>63</v>
      </c>
      <c r="F2097" s="19" t="str">
        <f>IFERROR(__xludf.DUMMYFUNCTION("""COMPUTED_VALUE"""),"BLACK")</f>
        <v>BLACK</v>
      </c>
      <c r="G2097" s="20" t="str">
        <f>IFERROR(__xludf.DUMMYFUNCTION("""COMPUTED_VALUE"""),"Uncle Sams Cider (11/12/2021) 02")</f>
        <v>Uncle Sams Cider (11/12/2021) 02</v>
      </c>
      <c r="H2097" s="19"/>
    </row>
    <row r="2098">
      <c r="A2098" s="9"/>
      <c r="B2098" s="15"/>
      <c r="C2098" s="9">
        <f>IFERROR(__xludf.DUMMYFUNCTION("""COMPUTED_VALUE"""),44583.6581362963)</f>
        <v>44583.65814</v>
      </c>
      <c r="D2098" s="15">
        <f>IFERROR(__xludf.DUMMYFUNCTION("""COMPUTED_VALUE"""),1.006)</f>
        <v>1.006</v>
      </c>
      <c r="E2098" s="16">
        <f>IFERROR(__xludf.DUMMYFUNCTION("""COMPUTED_VALUE"""),63.0)</f>
        <v>63</v>
      </c>
      <c r="F2098" s="19" t="str">
        <f>IFERROR(__xludf.DUMMYFUNCTION("""COMPUTED_VALUE"""),"BLACK")</f>
        <v>BLACK</v>
      </c>
      <c r="G2098" s="20" t="str">
        <f>IFERROR(__xludf.DUMMYFUNCTION("""COMPUTED_VALUE"""),"Uncle Sams Cider (11/12/2021) 02")</f>
        <v>Uncle Sams Cider (11/12/2021) 02</v>
      </c>
      <c r="H2098" s="19"/>
    </row>
    <row r="2099">
      <c r="A2099" s="9"/>
      <c r="B2099" s="15"/>
      <c r="C2099" s="9">
        <f>IFERROR(__xludf.DUMMYFUNCTION("""COMPUTED_VALUE"""),44583.64766978)</f>
        <v>44583.64767</v>
      </c>
      <c r="D2099" s="15">
        <f>IFERROR(__xludf.DUMMYFUNCTION("""COMPUTED_VALUE"""),1.006)</f>
        <v>1.006</v>
      </c>
      <c r="E2099" s="16">
        <f>IFERROR(__xludf.DUMMYFUNCTION("""COMPUTED_VALUE"""),63.0)</f>
        <v>63</v>
      </c>
      <c r="F2099" s="19" t="str">
        <f>IFERROR(__xludf.DUMMYFUNCTION("""COMPUTED_VALUE"""),"BLACK")</f>
        <v>BLACK</v>
      </c>
      <c r="G2099" s="20" t="str">
        <f>IFERROR(__xludf.DUMMYFUNCTION("""COMPUTED_VALUE"""),"Uncle Sams Cider (11/12/2021) 02")</f>
        <v>Uncle Sams Cider (11/12/2021) 02</v>
      </c>
      <c r="H2099" s="19"/>
    </row>
    <row r="2100">
      <c r="A2100" s="9"/>
      <c r="B2100" s="15"/>
      <c r="C2100" s="9">
        <f>IFERROR(__xludf.DUMMYFUNCTION("""COMPUTED_VALUE"""),44583.637250706)</f>
        <v>44583.63725</v>
      </c>
      <c r="D2100" s="15">
        <f>IFERROR(__xludf.DUMMYFUNCTION("""COMPUTED_VALUE"""),1.006)</f>
        <v>1.006</v>
      </c>
      <c r="E2100" s="16">
        <f>IFERROR(__xludf.DUMMYFUNCTION("""COMPUTED_VALUE"""),63.0)</f>
        <v>63</v>
      </c>
      <c r="F2100" s="19" t="str">
        <f>IFERROR(__xludf.DUMMYFUNCTION("""COMPUTED_VALUE"""),"BLACK")</f>
        <v>BLACK</v>
      </c>
      <c r="G2100" s="20" t="str">
        <f>IFERROR(__xludf.DUMMYFUNCTION("""COMPUTED_VALUE"""),"Uncle Sams Cider (11/12/2021) 02")</f>
        <v>Uncle Sams Cider (11/12/2021) 02</v>
      </c>
      <c r="H2100" s="19"/>
    </row>
    <row r="2101">
      <c r="A2101" s="9"/>
      <c r="B2101" s="15"/>
      <c r="C2101" s="9">
        <f>IFERROR(__xludf.DUMMYFUNCTION("""COMPUTED_VALUE"""),44583.6268172569)</f>
        <v>44583.62682</v>
      </c>
      <c r="D2101" s="15">
        <f>IFERROR(__xludf.DUMMYFUNCTION("""COMPUTED_VALUE"""),1.006)</f>
        <v>1.006</v>
      </c>
      <c r="E2101" s="16">
        <f>IFERROR(__xludf.DUMMYFUNCTION("""COMPUTED_VALUE"""),63.0)</f>
        <v>63</v>
      </c>
      <c r="F2101" s="19" t="str">
        <f>IFERROR(__xludf.DUMMYFUNCTION("""COMPUTED_VALUE"""),"BLACK")</f>
        <v>BLACK</v>
      </c>
      <c r="G2101" s="20" t="str">
        <f>IFERROR(__xludf.DUMMYFUNCTION("""COMPUTED_VALUE"""),"Uncle Sams Cider (11/12/2021) 02")</f>
        <v>Uncle Sams Cider (11/12/2021) 02</v>
      </c>
      <c r="H2101" s="19"/>
    </row>
    <row r="2102">
      <c r="A2102" s="9"/>
      <c r="B2102" s="15"/>
      <c r="C2102" s="9">
        <f>IFERROR(__xludf.DUMMYFUNCTION("""COMPUTED_VALUE"""),44583.6162896296)</f>
        <v>44583.61629</v>
      </c>
      <c r="D2102" s="15">
        <f>IFERROR(__xludf.DUMMYFUNCTION("""COMPUTED_VALUE"""),1.006)</f>
        <v>1.006</v>
      </c>
      <c r="E2102" s="16">
        <f>IFERROR(__xludf.DUMMYFUNCTION("""COMPUTED_VALUE"""),63.0)</f>
        <v>63</v>
      </c>
      <c r="F2102" s="19" t="str">
        <f>IFERROR(__xludf.DUMMYFUNCTION("""COMPUTED_VALUE"""),"BLACK")</f>
        <v>BLACK</v>
      </c>
      <c r="G2102" s="20" t="str">
        <f>IFERROR(__xludf.DUMMYFUNCTION("""COMPUTED_VALUE"""),"Uncle Sams Cider (11/12/2021) 02")</f>
        <v>Uncle Sams Cider (11/12/2021) 02</v>
      </c>
      <c r="H2102" s="19"/>
    </row>
    <row r="2103">
      <c r="A2103" s="9"/>
      <c r="B2103" s="15"/>
      <c r="C2103" s="9">
        <f>IFERROR(__xludf.DUMMYFUNCTION("""COMPUTED_VALUE"""),44583.6057968865)</f>
        <v>44583.6058</v>
      </c>
      <c r="D2103" s="15">
        <f>IFERROR(__xludf.DUMMYFUNCTION("""COMPUTED_VALUE"""),1.006)</f>
        <v>1.006</v>
      </c>
      <c r="E2103" s="16">
        <f>IFERROR(__xludf.DUMMYFUNCTION("""COMPUTED_VALUE"""),63.0)</f>
        <v>63</v>
      </c>
      <c r="F2103" s="19" t="str">
        <f>IFERROR(__xludf.DUMMYFUNCTION("""COMPUTED_VALUE"""),"BLACK")</f>
        <v>BLACK</v>
      </c>
      <c r="G2103" s="20" t="str">
        <f>IFERROR(__xludf.DUMMYFUNCTION("""COMPUTED_VALUE"""),"Uncle Sams Cider (11/12/2021) 02")</f>
        <v>Uncle Sams Cider (11/12/2021) 02</v>
      </c>
      <c r="H2103" s="19"/>
    </row>
    <row r="2104">
      <c r="A2104" s="9"/>
      <c r="B2104" s="15"/>
      <c r="C2104" s="9">
        <f>IFERROR(__xludf.DUMMYFUNCTION("""COMPUTED_VALUE"""),44583.5953523495)</f>
        <v>44583.59535</v>
      </c>
      <c r="D2104" s="15">
        <f>IFERROR(__xludf.DUMMYFUNCTION("""COMPUTED_VALUE"""),1.006)</f>
        <v>1.006</v>
      </c>
      <c r="E2104" s="16">
        <f>IFERROR(__xludf.DUMMYFUNCTION("""COMPUTED_VALUE"""),63.0)</f>
        <v>63</v>
      </c>
      <c r="F2104" s="19" t="str">
        <f>IFERROR(__xludf.DUMMYFUNCTION("""COMPUTED_VALUE"""),"BLACK")</f>
        <v>BLACK</v>
      </c>
      <c r="G2104" s="20" t="str">
        <f>IFERROR(__xludf.DUMMYFUNCTION("""COMPUTED_VALUE"""),"Uncle Sams Cider (11/12/2021) 02")</f>
        <v>Uncle Sams Cider (11/12/2021) 02</v>
      </c>
      <c r="H2104" s="19"/>
    </row>
    <row r="2105">
      <c r="A2105" s="9"/>
      <c r="B2105" s="15"/>
      <c r="C2105" s="9">
        <f>IFERROR(__xludf.DUMMYFUNCTION("""COMPUTED_VALUE"""),44583.5849306597)</f>
        <v>44583.58493</v>
      </c>
      <c r="D2105" s="15">
        <f>IFERROR(__xludf.DUMMYFUNCTION("""COMPUTED_VALUE"""),1.006)</f>
        <v>1.006</v>
      </c>
      <c r="E2105" s="16">
        <f>IFERROR(__xludf.DUMMYFUNCTION("""COMPUTED_VALUE"""),63.0)</f>
        <v>63</v>
      </c>
      <c r="F2105" s="19" t="str">
        <f>IFERROR(__xludf.DUMMYFUNCTION("""COMPUTED_VALUE"""),"BLACK")</f>
        <v>BLACK</v>
      </c>
      <c r="G2105" s="20" t="str">
        <f>IFERROR(__xludf.DUMMYFUNCTION("""COMPUTED_VALUE"""),"Uncle Sams Cider (11/12/2021) 02")</f>
        <v>Uncle Sams Cider (11/12/2021) 02</v>
      </c>
      <c r="H2105" s="19"/>
    </row>
    <row r="2106">
      <c r="A2106" s="9"/>
      <c r="B2106" s="15"/>
      <c r="C2106" s="9">
        <f>IFERROR(__xludf.DUMMYFUNCTION("""COMPUTED_VALUE"""),44583.5745085532)</f>
        <v>44583.57451</v>
      </c>
      <c r="D2106" s="15">
        <f>IFERROR(__xludf.DUMMYFUNCTION("""COMPUTED_VALUE"""),1.006)</f>
        <v>1.006</v>
      </c>
      <c r="E2106" s="16">
        <f>IFERROR(__xludf.DUMMYFUNCTION("""COMPUTED_VALUE"""),63.0)</f>
        <v>63</v>
      </c>
      <c r="F2106" s="19" t="str">
        <f>IFERROR(__xludf.DUMMYFUNCTION("""COMPUTED_VALUE"""),"BLACK")</f>
        <v>BLACK</v>
      </c>
      <c r="G2106" s="20" t="str">
        <f>IFERROR(__xludf.DUMMYFUNCTION("""COMPUTED_VALUE"""),"Uncle Sams Cider (11/12/2021) 02")</f>
        <v>Uncle Sams Cider (11/12/2021) 02</v>
      </c>
      <c r="H2106" s="19"/>
    </row>
    <row r="2107">
      <c r="A2107" s="9"/>
      <c r="B2107" s="15"/>
      <c r="C2107" s="9">
        <f>IFERROR(__xludf.DUMMYFUNCTION("""COMPUTED_VALUE"""),44583.5640890972)</f>
        <v>44583.56409</v>
      </c>
      <c r="D2107" s="15">
        <f>IFERROR(__xludf.DUMMYFUNCTION("""COMPUTED_VALUE"""),1.006)</f>
        <v>1.006</v>
      </c>
      <c r="E2107" s="16">
        <f>IFERROR(__xludf.DUMMYFUNCTION("""COMPUTED_VALUE"""),63.0)</f>
        <v>63</v>
      </c>
      <c r="F2107" s="19" t="str">
        <f>IFERROR(__xludf.DUMMYFUNCTION("""COMPUTED_VALUE"""),"BLACK")</f>
        <v>BLACK</v>
      </c>
      <c r="G2107" s="20" t="str">
        <f>IFERROR(__xludf.DUMMYFUNCTION("""COMPUTED_VALUE"""),"Uncle Sams Cider (11/12/2021) 02")</f>
        <v>Uncle Sams Cider (11/12/2021) 02</v>
      </c>
      <c r="H2107" s="19"/>
    </row>
    <row r="2108">
      <c r="A2108" s="9"/>
      <c r="B2108" s="15"/>
      <c r="C2108" s="9">
        <f>IFERROR(__xludf.DUMMYFUNCTION("""COMPUTED_VALUE"""),44583.5536673611)</f>
        <v>44583.55367</v>
      </c>
      <c r="D2108" s="15">
        <f>IFERROR(__xludf.DUMMYFUNCTION("""COMPUTED_VALUE"""),1.006)</f>
        <v>1.006</v>
      </c>
      <c r="E2108" s="16">
        <f>IFERROR(__xludf.DUMMYFUNCTION("""COMPUTED_VALUE"""),63.0)</f>
        <v>63</v>
      </c>
      <c r="F2108" s="19" t="str">
        <f>IFERROR(__xludf.DUMMYFUNCTION("""COMPUTED_VALUE"""),"BLACK")</f>
        <v>BLACK</v>
      </c>
      <c r="G2108" s="20" t="str">
        <f>IFERROR(__xludf.DUMMYFUNCTION("""COMPUTED_VALUE"""),"Uncle Sams Cider (11/12/2021) 02")</f>
        <v>Uncle Sams Cider (11/12/2021) 02</v>
      </c>
      <c r="H2108" s="19"/>
    </row>
    <row r="2109">
      <c r="A2109" s="9"/>
      <c r="B2109" s="15"/>
      <c r="C2109" s="9">
        <f>IFERROR(__xludf.DUMMYFUNCTION("""COMPUTED_VALUE"""),44583.5432470023)</f>
        <v>44583.54325</v>
      </c>
      <c r="D2109" s="15">
        <f>IFERROR(__xludf.DUMMYFUNCTION("""COMPUTED_VALUE"""),1.006)</f>
        <v>1.006</v>
      </c>
      <c r="E2109" s="16">
        <f>IFERROR(__xludf.DUMMYFUNCTION("""COMPUTED_VALUE"""),63.0)</f>
        <v>63</v>
      </c>
      <c r="F2109" s="19" t="str">
        <f>IFERROR(__xludf.DUMMYFUNCTION("""COMPUTED_VALUE"""),"BLACK")</f>
        <v>BLACK</v>
      </c>
      <c r="G2109" s="20" t="str">
        <f>IFERROR(__xludf.DUMMYFUNCTION("""COMPUTED_VALUE"""),"Uncle Sams Cider (11/12/2021) 02")</f>
        <v>Uncle Sams Cider (11/12/2021) 02</v>
      </c>
      <c r="H2109" s="19"/>
    </row>
    <row r="2110">
      <c r="A2110" s="9"/>
      <c r="B2110" s="15"/>
      <c r="C2110" s="9">
        <f>IFERROR(__xludf.DUMMYFUNCTION("""COMPUTED_VALUE"""),44583.5328156365)</f>
        <v>44583.53282</v>
      </c>
      <c r="D2110" s="15">
        <f>IFERROR(__xludf.DUMMYFUNCTION("""COMPUTED_VALUE"""),1.006)</f>
        <v>1.006</v>
      </c>
      <c r="E2110" s="16">
        <f>IFERROR(__xludf.DUMMYFUNCTION("""COMPUTED_VALUE"""),63.0)</f>
        <v>63</v>
      </c>
      <c r="F2110" s="19" t="str">
        <f>IFERROR(__xludf.DUMMYFUNCTION("""COMPUTED_VALUE"""),"BLACK")</f>
        <v>BLACK</v>
      </c>
      <c r="G2110" s="20" t="str">
        <f>IFERROR(__xludf.DUMMYFUNCTION("""COMPUTED_VALUE"""),"Uncle Sams Cider (11/12/2021) 02")</f>
        <v>Uncle Sams Cider (11/12/2021) 02</v>
      </c>
      <c r="H2110" s="19"/>
    </row>
    <row r="2111">
      <c r="A2111" s="9"/>
      <c r="B2111" s="15"/>
      <c r="C2111" s="9">
        <f>IFERROR(__xludf.DUMMYFUNCTION("""COMPUTED_VALUE"""),44583.5223943171)</f>
        <v>44583.52239</v>
      </c>
      <c r="D2111" s="15">
        <f>IFERROR(__xludf.DUMMYFUNCTION("""COMPUTED_VALUE"""),1.006)</f>
        <v>1.006</v>
      </c>
      <c r="E2111" s="16">
        <f>IFERROR(__xludf.DUMMYFUNCTION("""COMPUTED_VALUE"""),63.0)</f>
        <v>63</v>
      </c>
      <c r="F2111" s="19" t="str">
        <f>IFERROR(__xludf.DUMMYFUNCTION("""COMPUTED_VALUE"""),"BLACK")</f>
        <v>BLACK</v>
      </c>
      <c r="G2111" s="20" t="str">
        <f>IFERROR(__xludf.DUMMYFUNCTION("""COMPUTED_VALUE"""),"Uncle Sams Cider (11/12/2021) 02")</f>
        <v>Uncle Sams Cider (11/12/2021) 02</v>
      </c>
      <c r="H2111" s="19"/>
    </row>
    <row r="2112">
      <c r="A2112" s="9"/>
      <c r="B2112" s="15"/>
      <c r="C2112" s="9">
        <f>IFERROR(__xludf.DUMMYFUNCTION("""COMPUTED_VALUE"""),44583.5119627893)</f>
        <v>44583.51196</v>
      </c>
      <c r="D2112" s="15">
        <f>IFERROR(__xludf.DUMMYFUNCTION("""COMPUTED_VALUE"""),1.006)</f>
        <v>1.006</v>
      </c>
      <c r="E2112" s="16">
        <f>IFERROR(__xludf.DUMMYFUNCTION("""COMPUTED_VALUE"""),63.0)</f>
        <v>63</v>
      </c>
      <c r="F2112" s="19" t="str">
        <f>IFERROR(__xludf.DUMMYFUNCTION("""COMPUTED_VALUE"""),"BLACK")</f>
        <v>BLACK</v>
      </c>
      <c r="G2112" s="20" t="str">
        <f>IFERROR(__xludf.DUMMYFUNCTION("""COMPUTED_VALUE"""),"Uncle Sams Cider (11/12/2021) 02")</f>
        <v>Uncle Sams Cider (11/12/2021) 02</v>
      </c>
      <c r="H2112" s="19"/>
    </row>
    <row r="2113">
      <c r="A2113" s="9"/>
      <c r="B2113" s="15"/>
      <c r="C2113" s="9">
        <f>IFERROR(__xludf.DUMMYFUNCTION("""COMPUTED_VALUE"""),44583.5015292013)</f>
        <v>44583.50153</v>
      </c>
      <c r="D2113" s="15">
        <f>IFERROR(__xludf.DUMMYFUNCTION("""COMPUTED_VALUE"""),1.006)</f>
        <v>1.006</v>
      </c>
      <c r="E2113" s="16">
        <f>IFERROR(__xludf.DUMMYFUNCTION("""COMPUTED_VALUE"""),63.0)</f>
        <v>63</v>
      </c>
      <c r="F2113" s="19" t="str">
        <f>IFERROR(__xludf.DUMMYFUNCTION("""COMPUTED_VALUE"""),"BLACK")</f>
        <v>BLACK</v>
      </c>
      <c r="G2113" s="20" t="str">
        <f>IFERROR(__xludf.DUMMYFUNCTION("""COMPUTED_VALUE"""),"Uncle Sams Cider (11/12/2021) 02")</f>
        <v>Uncle Sams Cider (11/12/2021) 02</v>
      </c>
      <c r="H2113" s="19"/>
    </row>
    <row r="2114">
      <c r="A2114" s="9"/>
      <c r="B2114" s="15"/>
      <c r="C2114" s="9">
        <f>IFERROR(__xludf.DUMMYFUNCTION("""COMPUTED_VALUE"""),44583.491084699)</f>
        <v>44583.49108</v>
      </c>
      <c r="D2114" s="15">
        <f>IFERROR(__xludf.DUMMYFUNCTION("""COMPUTED_VALUE"""),1.006)</f>
        <v>1.006</v>
      </c>
      <c r="E2114" s="16">
        <f>IFERROR(__xludf.DUMMYFUNCTION("""COMPUTED_VALUE"""),63.0)</f>
        <v>63</v>
      </c>
      <c r="F2114" s="19" t="str">
        <f>IFERROR(__xludf.DUMMYFUNCTION("""COMPUTED_VALUE"""),"BLACK")</f>
        <v>BLACK</v>
      </c>
      <c r="G2114" s="20" t="str">
        <f>IFERROR(__xludf.DUMMYFUNCTION("""COMPUTED_VALUE"""),"Uncle Sams Cider (11/12/2021) 02")</f>
        <v>Uncle Sams Cider (11/12/2021) 02</v>
      </c>
      <c r="H2114" s="19"/>
    </row>
    <row r="2115">
      <c r="A2115" s="9"/>
      <c r="B2115" s="15"/>
      <c r="C2115" s="9">
        <f>IFERROR(__xludf.DUMMYFUNCTION("""COMPUTED_VALUE"""),44583.4806528935)</f>
        <v>44583.48065</v>
      </c>
      <c r="D2115" s="15">
        <f>IFERROR(__xludf.DUMMYFUNCTION("""COMPUTED_VALUE"""),1.006)</f>
        <v>1.006</v>
      </c>
      <c r="E2115" s="16">
        <f>IFERROR(__xludf.DUMMYFUNCTION("""COMPUTED_VALUE"""),64.0)</f>
        <v>64</v>
      </c>
      <c r="F2115" s="19" t="str">
        <f>IFERROR(__xludf.DUMMYFUNCTION("""COMPUTED_VALUE"""),"BLACK")</f>
        <v>BLACK</v>
      </c>
      <c r="G2115" s="20" t="str">
        <f>IFERROR(__xludf.DUMMYFUNCTION("""COMPUTED_VALUE"""),"Uncle Sams Cider (11/12/2021) 02")</f>
        <v>Uncle Sams Cider (11/12/2021) 02</v>
      </c>
      <c r="H2115" s="19"/>
    </row>
    <row r="2116">
      <c r="A2116" s="9"/>
      <c r="B2116" s="15"/>
      <c r="C2116" s="9">
        <f>IFERROR(__xludf.DUMMYFUNCTION("""COMPUTED_VALUE"""),44583.4702305902)</f>
        <v>44583.47023</v>
      </c>
      <c r="D2116" s="15">
        <f>IFERROR(__xludf.DUMMYFUNCTION("""COMPUTED_VALUE"""),1.006)</f>
        <v>1.006</v>
      </c>
      <c r="E2116" s="16">
        <f>IFERROR(__xludf.DUMMYFUNCTION("""COMPUTED_VALUE"""),64.0)</f>
        <v>64</v>
      </c>
      <c r="F2116" s="19" t="str">
        <f>IFERROR(__xludf.DUMMYFUNCTION("""COMPUTED_VALUE"""),"BLACK")</f>
        <v>BLACK</v>
      </c>
      <c r="G2116" s="20" t="str">
        <f>IFERROR(__xludf.DUMMYFUNCTION("""COMPUTED_VALUE"""),"Uncle Sams Cider (11/12/2021) 02")</f>
        <v>Uncle Sams Cider (11/12/2021) 02</v>
      </c>
      <c r="H2116" s="19"/>
    </row>
    <row r="2117">
      <c r="A2117" s="9"/>
      <c r="B2117" s="15"/>
      <c r="C2117" s="9">
        <f>IFERROR(__xludf.DUMMYFUNCTION("""COMPUTED_VALUE"""),44583.4598094328)</f>
        <v>44583.45981</v>
      </c>
      <c r="D2117" s="15">
        <f>IFERROR(__xludf.DUMMYFUNCTION("""COMPUTED_VALUE"""),1.006)</f>
        <v>1.006</v>
      </c>
      <c r="E2117" s="16">
        <f>IFERROR(__xludf.DUMMYFUNCTION("""COMPUTED_VALUE"""),64.0)</f>
        <v>64</v>
      </c>
      <c r="F2117" s="19" t="str">
        <f>IFERROR(__xludf.DUMMYFUNCTION("""COMPUTED_VALUE"""),"BLACK")</f>
        <v>BLACK</v>
      </c>
      <c r="G2117" s="20" t="str">
        <f>IFERROR(__xludf.DUMMYFUNCTION("""COMPUTED_VALUE"""),"Uncle Sams Cider (11/12/2021) 02")</f>
        <v>Uncle Sams Cider (11/12/2021) 02</v>
      </c>
      <c r="H2117" s="19"/>
    </row>
    <row r="2118">
      <c r="A2118" s="9"/>
      <c r="B2118" s="15"/>
      <c r="C2118" s="9">
        <f>IFERROR(__xludf.DUMMYFUNCTION("""COMPUTED_VALUE"""),44583.4493765162)</f>
        <v>44583.44938</v>
      </c>
      <c r="D2118" s="15">
        <f>IFERROR(__xludf.DUMMYFUNCTION("""COMPUTED_VALUE"""),1.006)</f>
        <v>1.006</v>
      </c>
      <c r="E2118" s="16">
        <f>IFERROR(__xludf.DUMMYFUNCTION("""COMPUTED_VALUE"""),64.0)</f>
        <v>64</v>
      </c>
      <c r="F2118" s="19" t="str">
        <f>IFERROR(__xludf.DUMMYFUNCTION("""COMPUTED_VALUE"""),"BLACK")</f>
        <v>BLACK</v>
      </c>
      <c r="G2118" s="20" t="str">
        <f>IFERROR(__xludf.DUMMYFUNCTION("""COMPUTED_VALUE"""),"Uncle Sams Cider (11/12/2021) 02")</f>
        <v>Uncle Sams Cider (11/12/2021) 02</v>
      </c>
      <c r="H2118" s="19"/>
    </row>
    <row r="2119">
      <c r="A2119" s="9"/>
      <c r="B2119" s="15"/>
      <c r="C2119" s="9">
        <f>IFERROR(__xludf.DUMMYFUNCTION("""COMPUTED_VALUE"""),44583.4389567592)</f>
        <v>44583.43896</v>
      </c>
      <c r="D2119" s="15">
        <f>IFERROR(__xludf.DUMMYFUNCTION("""COMPUTED_VALUE"""),1.006)</f>
        <v>1.006</v>
      </c>
      <c r="E2119" s="16">
        <f>IFERROR(__xludf.DUMMYFUNCTION("""COMPUTED_VALUE"""),64.0)</f>
        <v>64</v>
      </c>
      <c r="F2119" s="19" t="str">
        <f>IFERROR(__xludf.DUMMYFUNCTION("""COMPUTED_VALUE"""),"BLACK")</f>
        <v>BLACK</v>
      </c>
      <c r="G2119" s="20" t="str">
        <f>IFERROR(__xludf.DUMMYFUNCTION("""COMPUTED_VALUE"""),"Uncle Sams Cider (11/12/2021) 02")</f>
        <v>Uncle Sams Cider (11/12/2021) 02</v>
      </c>
      <c r="H2119" s="19"/>
    </row>
    <row r="2120">
      <c r="A2120" s="9"/>
      <c r="B2120" s="15"/>
      <c r="C2120" s="9">
        <f>IFERROR(__xludf.DUMMYFUNCTION("""COMPUTED_VALUE"""),44583.4285362152)</f>
        <v>44583.42854</v>
      </c>
      <c r="D2120" s="15">
        <f>IFERROR(__xludf.DUMMYFUNCTION("""COMPUTED_VALUE"""),1.006)</f>
        <v>1.006</v>
      </c>
      <c r="E2120" s="16">
        <f>IFERROR(__xludf.DUMMYFUNCTION("""COMPUTED_VALUE"""),64.0)</f>
        <v>64</v>
      </c>
      <c r="F2120" s="19" t="str">
        <f>IFERROR(__xludf.DUMMYFUNCTION("""COMPUTED_VALUE"""),"BLACK")</f>
        <v>BLACK</v>
      </c>
      <c r="G2120" s="20" t="str">
        <f>IFERROR(__xludf.DUMMYFUNCTION("""COMPUTED_VALUE"""),"Uncle Sams Cider (11/12/2021) 02")</f>
        <v>Uncle Sams Cider (11/12/2021) 02</v>
      </c>
      <c r="H2120" s="19"/>
    </row>
    <row r="2121">
      <c r="A2121" s="9"/>
      <c r="B2121" s="15"/>
      <c r="C2121" s="9">
        <f>IFERROR(__xludf.DUMMYFUNCTION("""COMPUTED_VALUE"""),44583.418114699)</f>
        <v>44583.41811</v>
      </c>
      <c r="D2121" s="15">
        <f>IFERROR(__xludf.DUMMYFUNCTION("""COMPUTED_VALUE"""),1.006)</f>
        <v>1.006</v>
      </c>
      <c r="E2121" s="16">
        <f>IFERROR(__xludf.DUMMYFUNCTION("""COMPUTED_VALUE"""),64.0)</f>
        <v>64</v>
      </c>
      <c r="F2121" s="19" t="str">
        <f>IFERROR(__xludf.DUMMYFUNCTION("""COMPUTED_VALUE"""),"BLACK")</f>
        <v>BLACK</v>
      </c>
      <c r="G2121" s="20" t="str">
        <f>IFERROR(__xludf.DUMMYFUNCTION("""COMPUTED_VALUE"""),"Uncle Sams Cider (11/12/2021) 02")</f>
        <v>Uncle Sams Cider (11/12/2021) 02</v>
      </c>
      <c r="H2121" s="19"/>
    </row>
    <row r="2122">
      <c r="A2122" s="9"/>
      <c r="B2122" s="15"/>
      <c r="C2122" s="9">
        <f>IFERROR(__xludf.DUMMYFUNCTION("""COMPUTED_VALUE"""),44583.4076820949)</f>
        <v>44583.40768</v>
      </c>
      <c r="D2122" s="15">
        <f>IFERROR(__xludf.DUMMYFUNCTION("""COMPUTED_VALUE"""),1.006)</f>
        <v>1.006</v>
      </c>
      <c r="E2122" s="16">
        <f>IFERROR(__xludf.DUMMYFUNCTION("""COMPUTED_VALUE"""),64.0)</f>
        <v>64</v>
      </c>
      <c r="F2122" s="19" t="str">
        <f>IFERROR(__xludf.DUMMYFUNCTION("""COMPUTED_VALUE"""),"BLACK")</f>
        <v>BLACK</v>
      </c>
      <c r="G2122" s="20" t="str">
        <f>IFERROR(__xludf.DUMMYFUNCTION("""COMPUTED_VALUE"""),"Uncle Sams Cider (11/12/2021) 02")</f>
        <v>Uncle Sams Cider (11/12/2021) 02</v>
      </c>
      <c r="H2122" s="19"/>
    </row>
    <row r="2123">
      <c r="A2123" s="9"/>
      <c r="B2123" s="15"/>
      <c r="C2123" s="9">
        <f>IFERROR(__xludf.DUMMYFUNCTION("""COMPUTED_VALUE"""),44583.3972270833)</f>
        <v>44583.39723</v>
      </c>
      <c r="D2123" s="15">
        <f>IFERROR(__xludf.DUMMYFUNCTION("""COMPUTED_VALUE"""),1.006)</f>
        <v>1.006</v>
      </c>
      <c r="E2123" s="16">
        <f>IFERROR(__xludf.DUMMYFUNCTION("""COMPUTED_VALUE"""),64.0)</f>
        <v>64</v>
      </c>
      <c r="F2123" s="19" t="str">
        <f>IFERROR(__xludf.DUMMYFUNCTION("""COMPUTED_VALUE"""),"BLACK")</f>
        <v>BLACK</v>
      </c>
      <c r="G2123" s="20" t="str">
        <f>IFERROR(__xludf.DUMMYFUNCTION("""COMPUTED_VALUE"""),"Uncle Sams Cider (11/12/2021) 02")</f>
        <v>Uncle Sams Cider (11/12/2021) 02</v>
      </c>
      <c r="H2123" s="19"/>
    </row>
    <row r="2124">
      <c r="A2124" s="9"/>
      <c r="B2124" s="15"/>
      <c r="C2124" s="9">
        <f>IFERROR(__xludf.DUMMYFUNCTION("""COMPUTED_VALUE"""),44583.3867954282)</f>
        <v>44583.3868</v>
      </c>
      <c r="D2124" s="15">
        <f>IFERROR(__xludf.DUMMYFUNCTION("""COMPUTED_VALUE"""),1.006)</f>
        <v>1.006</v>
      </c>
      <c r="E2124" s="16">
        <f>IFERROR(__xludf.DUMMYFUNCTION("""COMPUTED_VALUE"""),64.0)</f>
        <v>64</v>
      </c>
      <c r="F2124" s="19" t="str">
        <f>IFERROR(__xludf.DUMMYFUNCTION("""COMPUTED_VALUE"""),"BLACK")</f>
        <v>BLACK</v>
      </c>
      <c r="G2124" s="20" t="str">
        <f>IFERROR(__xludf.DUMMYFUNCTION("""COMPUTED_VALUE"""),"Uncle Sams Cider (11/12/2021) 02")</f>
        <v>Uncle Sams Cider (11/12/2021) 02</v>
      </c>
      <c r="H2124" s="19"/>
    </row>
    <row r="2125">
      <c r="A2125" s="9"/>
      <c r="B2125" s="15"/>
      <c r="C2125" s="9">
        <f>IFERROR(__xludf.DUMMYFUNCTION("""COMPUTED_VALUE"""),44583.3763732291)</f>
        <v>44583.37637</v>
      </c>
      <c r="D2125" s="15">
        <f>IFERROR(__xludf.DUMMYFUNCTION("""COMPUTED_VALUE"""),1.006)</f>
        <v>1.006</v>
      </c>
      <c r="E2125" s="16">
        <f>IFERROR(__xludf.DUMMYFUNCTION("""COMPUTED_VALUE"""),64.0)</f>
        <v>64</v>
      </c>
      <c r="F2125" s="19" t="str">
        <f>IFERROR(__xludf.DUMMYFUNCTION("""COMPUTED_VALUE"""),"BLACK")</f>
        <v>BLACK</v>
      </c>
      <c r="G2125" s="20" t="str">
        <f>IFERROR(__xludf.DUMMYFUNCTION("""COMPUTED_VALUE"""),"Uncle Sams Cider (11/12/2021) 02")</f>
        <v>Uncle Sams Cider (11/12/2021) 02</v>
      </c>
      <c r="H2125" s="19"/>
    </row>
    <row r="2126">
      <c r="A2126" s="9"/>
      <c r="B2126" s="15"/>
      <c r="C2126" s="9">
        <f>IFERROR(__xludf.DUMMYFUNCTION("""COMPUTED_VALUE"""),44583.3659522222)</f>
        <v>44583.36595</v>
      </c>
      <c r="D2126" s="15">
        <f>IFERROR(__xludf.DUMMYFUNCTION("""COMPUTED_VALUE"""),1.006)</f>
        <v>1.006</v>
      </c>
      <c r="E2126" s="16">
        <f>IFERROR(__xludf.DUMMYFUNCTION("""COMPUTED_VALUE"""),64.0)</f>
        <v>64</v>
      </c>
      <c r="F2126" s="19" t="str">
        <f>IFERROR(__xludf.DUMMYFUNCTION("""COMPUTED_VALUE"""),"BLACK")</f>
        <v>BLACK</v>
      </c>
      <c r="G2126" s="20" t="str">
        <f>IFERROR(__xludf.DUMMYFUNCTION("""COMPUTED_VALUE"""),"Uncle Sams Cider (11/12/2021) 02")</f>
        <v>Uncle Sams Cider (11/12/2021) 02</v>
      </c>
      <c r="H2126" s="19"/>
    </row>
    <row r="2127">
      <c r="A2127" s="9"/>
      <c r="B2127" s="15"/>
      <c r="C2127" s="9">
        <f>IFERROR(__xludf.DUMMYFUNCTION("""COMPUTED_VALUE"""),44583.3555194675)</f>
        <v>44583.35552</v>
      </c>
      <c r="D2127" s="15">
        <f>IFERROR(__xludf.DUMMYFUNCTION("""COMPUTED_VALUE"""),1.006)</f>
        <v>1.006</v>
      </c>
      <c r="E2127" s="16">
        <f>IFERROR(__xludf.DUMMYFUNCTION("""COMPUTED_VALUE"""),64.0)</f>
        <v>64</v>
      </c>
      <c r="F2127" s="19" t="str">
        <f>IFERROR(__xludf.DUMMYFUNCTION("""COMPUTED_VALUE"""),"BLACK")</f>
        <v>BLACK</v>
      </c>
      <c r="G2127" s="20" t="str">
        <f>IFERROR(__xludf.DUMMYFUNCTION("""COMPUTED_VALUE"""),"Uncle Sams Cider (11/12/2021) 02")</f>
        <v>Uncle Sams Cider (11/12/2021) 02</v>
      </c>
      <c r="H2127" s="19"/>
    </row>
    <row r="2128">
      <c r="A2128" s="9"/>
      <c r="B2128" s="15"/>
      <c r="C2128" s="9">
        <f>IFERROR(__xludf.DUMMYFUNCTION("""COMPUTED_VALUE"""),44583.3450995949)</f>
        <v>44583.3451</v>
      </c>
      <c r="D2128" s="15">
        <f>IFERROR(__xludf.DUMMYFUNCTION("""COMPUTED_VALUE"""),1.006)</f>
        <v>1.006</v>
      </c>
      <c r="E2128" s="16">
        <f>IFERROR(__xludf.DUMMYFUNCTION("""COMPUTED_VALUE"""),64.0)</f>
        <v>64</v>
      </c>
      <c r="F2128" s="19" t="str">
        <f>IFERROR(__xludf.DUMMYFUNCTION("""COMPUTED_VALUE"""),"BLACK")</f>
        <v>BLACK</v>
      </c>
      <c r="G2128" s="20" t="str">
        <f>IFERROR(__xludf.DUMMYFUNCTION("""COMPUTED_VALUE"""),"Uncle Sams Cider (11/12/2021) 02")</f>
        <v>Uncle Sams Cider (11/12/2021) 02</v>
      </c>
      <c r="H2128" s="19"/>
    </row>
    <row r="2129">
      <c r="A2129" s="9"/>
      <c r="B2129" s="15"/>
      <c r="C2129" s="9">
        <f>IFERROR(__xludf.DUMMYFUNCTION("""COMPUTED_VALUE"""),44583.3346796759)</f>
        <v>44583.33468</v>
      </c>
      <c r="D2129" s="15">
        <f>IFERROR(__xludf.DUMMYFUNCTION("""COMPUTED_VALUE"""),1.006)</f>
        <v>1.006</v>
      </c>
      <c r="E2129" s="16">
        <f>IFERROR(__xludf.DUMMYFUNCTION("""COMPUTED_VALUE"""),64.0)</f>
        <v>64</v>
      </c>
      <c r="F2129" s="19" t="str">
        <f>IFERROR(__xludf.DUMMYFUNCTION("""COMPUTED_VALUE"""),"BLACK")</f>
        <v>BLACK</v>
      </c>
      <c r="G2129" s="20" t="str">
        <f>IFERROR(__xludf.DUMMYFUNCTION("""COMPUTED_VALUE"""),"Uncle Sams Cider (11/12/2021) 02")</f>
        <v>Uncle Sams Cider (11/12/2021) 02</v>
      </c>
      <c r="H2129" s="19"/>
    </row>
    <row r="2130">
      <c r="A2130" s="9"/>
      <c r="B2130" s="15"/>
      <c r="C2130" s="9">
        <f>IFERROR(__xludf.DUMMYFUNCTION("""COMPUTED_VALUE"""),44583.3242472916)</f>
        <v>44583.32425</v>
      </c>
      <c r="D2130" s="15">
        <f>IFERROR(__xludf.DUMMYFUNCTION("""COMPUTED_VALUE"""),1.006)</f>
        <v>1.006</v>
      </c>
      <c r="E2130" s="16">
        <f>IFERROR(__xludf.DUMMYFUNCTION("""COMPUTED_VALUE"""),64.0)</f>
        <v>64</v>
      </c>
      <c r="F2130" s="19" t="str">
        <f>IFERROR(__xludf.DUMMYFUNCTION("""COMPUTED_VALUE"""),"BLACK")</f>
        <v>BLACK</v>
      </c>
      <c r="G2130" s="20" t="str">
        <f>IFERROR(__xludf.DUMMYFUNCTION("""COMPUTED_VALUE"""),"Uncle Sams Cider (11/12/2021) 02")</f>
        <v>Uncle Sams Cider (11/12/2021) 02</v>
      </c>
      <c r="H2130" s="19"/>
    </row>
    <row r="2131">
      <c r="A2131" s="9"/>
      <c r="B2131" s="15"/>
      <c r="C2131" s="9">
        <f>IFERROR(__xludf.DUMMYFUNCTION("""COMPUTED_VALUE"""),44583.3138269791)</f>
        <v>44583.31383</v>
      </c>
      <c r="D2131" s="15">
        <f>IFERROR(__xludf.DUMMYFUNCTION("""COMPUTED_VALUE"""),1.006)</f>
        <v>1.006</v>
      </c>
      <c r="E2131" s="16">
        <f>IFERROR(__xludf.DUMMYFUNCTION("""COMPUTED_VALUE"""),64.0)</f>
        <v>64</v>
      </c>
      <c r="F2131" s="19" t="str">
        <f>IFERROR(__xludf.DUMMYFUNCTION("""COMPUTED_VALUE"""),"BLACK")</f>
        <v>BLACK</v>
      </c>
      <c r="G2131" s="20" t="str">
        <f>IFERROR(__xludf.DUMMYFUNCTION("""COMPUTED_VALUE"""),"Uncle Sams Cider (11/12/2021) 02")</f>
        <v>Uncle Sams Cider (11/12/2021) 02</v>
      </c>
      <c r="H2131" s="19"/>
    </row>
    <row r="2132">
      <c r="A2132" s="9"/>
      <c r="B2132" s="15"/>
      <c r="C2132" s="9">
        <f>IFERROR(__xludf.DUMMYFUNCTION("""COMPUTED_VALUE"""),44583.3034062731)</f>
        <v>44583.30341</v>
      </c>
      <c r="D2132" s="15">
        <f>IFERROR(__xludf.DUMMYFUNCTION("""COMPUTED_VALUE"""),1.006)</f>
        <v>1.006</v>
      </c>
      <c r="E2132" s="16">
        <f>IFERROR(__xludf.DUMMYFUNCTION("""COMPUTED_VALUE"""),64.0)</f>
        <v>64</v>
      </c>
      <c r="F2132" s="19" t="str">
        <f>IFERROR(__xludf.DUMMYFUNCTION("""COMPUTED_VALUE"""),"BLACK")</f>
        <v>BLACK</v>
      </c>
      <c r="G2132" s="20" t="str">
        <f>IFERROR(__xludf.DUMMYFUNCTION("""COMPUTED_VALUE"""),"Uncle Sams Cider (11/12/2021) 02")</f>
        <v>Uncle Sams Cider (11/12/2021) 02</v>
      </c>
      <c r="H2132" s="19"/>
    </row>
    <row r="2133">
      <c r="A2133" s="9"/>
      <c r="B2133" s="15"/>
      <c r="C2133" s="9">
        <f>IFERROR(__xludf.DUMMYFUNCTION("""COMPUTED_VALUE"""),44583.2929504282)</f>
        <v>44583.29295</v>
      </c>
      <c r="D2133" s="15">
        <f>IFERROR(__xludf.DUMMYFUNCTION("""COMPUTED_VALUE"""),1.006)</f>
        <v>1.006</v>
      </c>
      <c r="E2133" s="16">
        <f>IFERROR(__xludf.DUMMYFUNCTION("""COMPUTED_VALUE"""),64.0)</f>
        <v>64</v>
      </c>
      <c r="F2133" s="19" t="str">
        <f>IFERROR(__xludf.DUMMYFUNCTION("""COMPUTED_VALUE"""),"BLACK")</f>
        <v>BLACK</v>
      </c>
      <c r="G2133" s="20" t="str">
        <f>IFERROR(__xludf.DUMMYFUNCTION("""COMPUTED_VALUE"""),"Uncle Sams Cider (11/12/2021) 02")</f>
        <v>Uncle Sams Cider (11/12/2021) 02</v>
      </c>
      <c r="H2133" s="19"/>
    </row>
    <row r="2134">
      <c r="A2134" s="9"/>
      <c r="B2134" s="15"/>
      <c r="C2134" s="9">
        <f>IFERROR(__xludf.DUMMYFUNCTION("""COMPUTED_VALUE"""),44583.2825182754)</f>
        <v>44583.28252</v>
      </c>
      <c r="D2134" s="15">
        <f>IFERROR(__xludf.DUMMYFUNCTION("""COMPUTED_VALUE"""),1.006)</f>
        <v>1.006</v>
      </c>
      <c r="E2134" s="16">
        <f>IFERROR(__xludf.DUMMYFUNCTION("""COMPUTED_VALUE"""),64.0)</f>
        <v>64</v>
      </c>
      <c r="F2134" s="19" t="str">
        <f>IFERROR(__xludf.DUMMYFUNCTION("""COMPUTED_VALUE"""),"BLACK")</f>
        <v>BLACK</v>
      </c>
      <c r="G2134" s="20" t="str">
        <f>IFERROR(__xludf.DUMMYFUNCTION("""COMPUTED_VALUE"""),"Uncle Sams Cider (11/12/2021) 02")</f>
        <v>Uncle Sams Cider (11/12/2021) 02</v>
      </c>
      <c r="H2134" s="19"/>
    </row>
    <row r="2135">
      <c r="A2135" s="9"/>
      <c r="B2135" s="15"/>
      <c r="C2135" s="9">
        <f>IFERROR(__xludf.DUMMYFUNCTION("""COMPUTED_VALUE"""),44583.2720951736)</f>
        <v>44583.2721</v>
      </c>
      <c r="D2135" s="15">
        <f>IFERROR(__xludf.DUMMYFUNCTION("""COMPUTED_VALUE"""),1.006)</f>
        <v>1.006</v>
      </c>
      <c r="E2135" s="16">
        <f>IFERROR(__xludf.DUMMYFUNCTION("""COMPUTED_VALUE"""),64.0)</f>
        <v>64</v>
      </c>
      <c r="F2135" s="19" t="str">
        <f>IFERROR(__xludf.DUMMYFUNCTION("""COMPUTED_VALUE"""),"BLACK")</f>
        <v>BLACK</v>
      </c>
      <c r="G2135" s="20" t="str">
        <f>IFERROR(__xludf.DUMMYFUNCTION("""COMPUTED_VALUE"""),"Uncle Sams Cider (11/12/2021) 02")</f>
        <v>Uncle Sams Cider (11/12/2021) 02</v>
      </c>
      <c r="H2135" s="19"/>
    </row>
    <row r="2136">
      <c r="A2136" s="9"/>
      <c r="B2136" s="15"/>
      <c r="C2136" s="9">
        <f>IFERROR(__xludf.DUMMYFUNCTION("""COMPUTED_VALUE"""),44583.2615919328)</f>
        <v>44583.26159</v>
      </c>
      <c r="D2136" s="15">
        <f>IFERROR(__xludf.DUMMYFUNCTION("""COMPUTED_VALUE"""),1.006)</f>
        <v>1.006</v>
      </c>
      <c r="E2136" s="16">
        <f>IFERROR(__xludf.DUMMYFUNCTION("""COMPUTED_VALUE"""),64.0)</f>
        <v>64</v>
      </c>
      <c r="F2136" s="19" t="str">
        <f>IFERROR(__xludf.DUMMYFUNCTION("""COMPUTED_VALUE"""),"BLACK")</f>
        <v>BLACK</v>
      </c>
      <c r="G2136" s="20" t="str">
        <f>IFERROR(__xludf.DUMMYFUNCTION("""COMPUTED_VALUE"""),"Uncle Sams Cider (11/12/2021) 02")</f>
        <v>Uncle Sams Cider (11/12/2021) 02</v>
      </c>
      <c r="H2136" s="19"/>
    </row>
    <row r="2137">
      <c r="A2137" s="9"/>
      <c r="B2137" s="15"/>
      <c r="C2137" s="9">
        <f>IFERROR(__xludf.DUMMYFUNCTION("""COMPUTED_VALUE"""),44583.2511681249)</f>
        <v>44583.25117</v>
      </c>
      <c r="D2137" s="15">
        <f>IFERROR(__xludf.DUMMYFUNCTION("""COMPUTED_VALUE"""),1.006)</f>
        <v>1.006</v>
      </c>
      <c r="E2137" s="16">
        <f>IFERROR(__xludf.DUMMYFUNCTION("""COMPUTED_VALUE"""),64.0)</f>
        <v>64</v>
      </c>
      <c r="F2137" s="19" t="str">
        <f>IFERROR(__xludf.DUMMYFUNCTION("""COMPUTED_VALUE"""),"BLACK")</f>
        <v>BLACK</v>
      </c>
      <c r="G2137" s="20" t="str">
        <f>IFERROR(__xludf.DUMMYFUNCTION("""COMPUTED_VALUE"""),"Uncle Sams Cider (11/12/2021) 02")</f>
        <v>Uncle Sams Cider (11/12/2021) 02</v>
      </c>
      <c r="H2137" s="19"/>
    </row>
    <row r="2138">
      <c r="A2138" s="9"/>
      <c r="B2138" s="15"/>
      <c r="C2138" s="9">
        <f>IFERROR(__xludf.DUMMYFUNCTION("""COMPUTED_VALUE"""),44583.2407462615)</f>
        <v>44583.24075</v>
      </c>
      <c r="D2138" s="15">
        <f>IFERROR(__xludf.DUMMYFUNCTION("""COMPUTED_VALUE"""),1.006)</f>
        <v>1.006</v>
      </c>
      <c r="E2138" s="16">
        <f>IFERROR(__xludf.DUMMYFUNCTION("""COMPUTED_VALUE"""),64.0)</f>
        <v>64</v>
      </c>
      <c r="F2138" s="19" t="str">
        <f>IFERROR(__xludf.DUMMYFUNCTION("""COMPUTED_VALUE"""),"BLACK")</f>
        <v>BLACK</v>
      </c>
      <c r="G2138" s="20" t="str">
        <f>IFERROR(__xludf.DUMMYFUNCTION("""COMPUTED_VALUE"""),"Uncle Sams Cider (11/12/2021) 02")</f>
        <v>Uncle Sams Cider (11/12/2021) 02</v>
      </c>
      <c r="H2138" s="19"/>
    </row>
    <row r="2139">
      <c r="A2139" s="9"/>
      <c r="B2139" s="15"/>
      <c r="C2139" s="9">
        <f>IFERROR(__xludf.DUMMYFUNCTION("""COMPUTED_VALUE"""),44583.230314155)</f>
        <v>44583.23031</v>
      </c>
      <c r="D2139" s="15">
        <f>IFERROR(__xludf.DUMMYFUNCTION("""COMPUTED_VALUE"""),1.006)</f>
        <v>1.006</v>
      </c>
      <c r="E2139" s="16">
        <f>IFERROR(__xludf.DUMMYFUNCTION("""COMPUTED_VALUE"""),64.0)</f>
        <v>64</v>
      </c>
      <c r="F2139" s="19" t="str">
        <f>IFERROR(__xludf.DUMMYFUNCTION("""COMPUTED_VALUE"""),"BLACK")</f>
        <v>BLACK</v>
      </c>
      <c r="G2139" s="20" t="str">
        <f>IFERROR(__xludf.DUMMYFUNCTION("""COMPUTED_VALUE"""),"Uncle Sams Cider (11/12/2021) 02")</f>
        <v>Uncle Sams Cider (11/12/2021) 02</v>
      </c>
      <c r="H2139" s="19"/>
    </row>
    <row r="2140">
      <c r="A2140" s="9"/>
      <c r="B2140" s="15"/>
      <c r="C2140" s="9">
        <f>IFERROR(__xludf.DUMMYFUNCTION("""COMPUTED_VALUE"""),44583.2198687847)</f>
        <v>44583.21987</v>
      </c>
      <c r="D2140" s="15">
        <f>IFERROR(__xludf.DUMMYFUNCTION("""COMPUTED_VALUE"""),1.006)</f>
        <v>1.006</v>
      </c>
      <c r="E2140" s="16">
        <f>IFERROR(__xludf.DUMMYFUNCTION("""COMPUTED_VALUE"""),64.0)</f>
        <v>64</v>
      </c>
      <c r="F2140" s="19" t="str">
        <f>IFERROR(__xludf.DUMMYFUNCTION("""COMPUTED_VALUE"""),"BLACK")</f>
        <v>BLACK</v>
      </c>
      <c r="G2140" s="20" t="str">
        <f>IFERROR(__xludf.DUMMYFUNCTION("""COMPUTED_VALUE"""),"Uncle Sams Cider (11/12/2021) 02")</f>
        <v>Uncle Sams Cider (11/12/2021) 02</v>
      </c>
      <c r="H2140" s="19"/>
    </row>
    <row r="2141">
      <c r="A2141" s="9"/>
      <c r="B2141" s="15"/>
      <c r="C2141" s="9">
        <f>IFERROR(__xludf.DUMMYFUNCTION("""COMPUTED_VALUE"""),44583.2094253703)</f>
        <v>44583.20943</v>
      </c>
      <c r="D2141" s="15">
        <f>IFERROR(__xludf.DUMMYFUNCTION("""COMPUTED_VALUE"""),1.006)</f>
        <v>1.006</v>
      </c>
      <c r="E2141" s="16">
        <f>IFERROR(__xludf.DUMMYFUNCTION("""COMPUTED_VALUE"""),64.0)</f>
        <v>64</v>
      </c>
      <c r="F2141" s="19" t="str">
        <f>IFERROR(__xludf.DUMMYFUNCTION("""COMPUTED_VALUE"""),"BLACK")</f>
        <v>BLACK</v>
      </c>
      <c r="G2141" s="20" t="str">
        <f>IFERROR(__xludf.DUMMYFUNCTION("""COMPUTED_VALUE"""),"Uncle Sams Cider (11/12/2021) 02")</f>
        <v>Uncle Sams Cider (11/12/2021) 02</v>
      </c>
      <c r="H2141" s="19"/>
    </row>
    <row r="2142">
      <c r="A2142" s="9"/>
      <c r="B2142" s="15"/>
      <c r="C2142" s="9">
        <f>IFERROR(__xludf.DUMMYFUNCTION("""COMPUTED_VALUE"""),44583.1990058217)</f>
        <v>44583.19901</v>
      </c>
      <c r="D2142" s="15">
        <f>IFERROR(__xludf.DUMMYFUNCTION("""COMPUTED_VALUE"""),1.006)</f>
        <v>1.006</v>
      </c>
      <c r="E2142" s="16">
        <f>IFERROR(__xludf.DUMMYFUNCTION("""COMPUTED_VALUE"""),64.0)</f>
        <v>64</v>
      </c>
      <c r="F2142" s="19" t="str">
        <f>IFERROR(__xludf.DUMMYFUNCTION("""COMPUTED_VALUE"""),"BLACK")</f>
        <v>BLACK</v>
      </c>
      <c r="G2142" s="20" t="str">
        <f>IFERROR(__xludf.DUMMYFUNCTION("""COMPUTED_VALUE"""),"Uncle Sams Cider (11/12/2021) 02")</f>
        <v>Uncle Sams Cider (11/12/2021) 02</v>
      </c>
      <c r="H2142" s="19"/>
    </row>
    <row r="2143">
      <c r="A2143" s="9"/>
      <c r="B2143" s="15"/>
      <c r="C2143" s="9">
        <f>IFERROR(__xludf.DUMMYFUNCTION("""COMPUTED_VALUE"""),44583.1885730208)</f>
        <v>44583.18857</v>
      </c>
      <c r="D2143" s="15">
        <f>IFERROR(__xludf.DUMMYFUNCTION("""COMPUTED_VALUE"""),1.006)</f>
        <v>1.006</v>
      </c>
      <c r="E2143" s="16">
        <f>IFERROR(__xludf.DUMMYFUNCTION("""COMPUTED_VALUE"""),64.0)</f>
        <v>64</v>
      </c>
      <c r="F2143" s="19" t="str">
        <f>IFERROR(__xludf.DUMMYFUNCTION("""COMPUTED_VALUE"""),"BLACK")</f>
        <v>BLACK</v>
      </c>
      <c r="G2143" s="20" t="str">
        <f>IFERROR(__xludf.DUMMYFUNCTION("""COMPUTED_VALUE"""),"Uncle Sams Cider (11/12/2021) 02")</f>
        <v>Uncle Sams Cider (11/12/2021) 02</v>
      </c>
      <c r="H2143" s="19"/>
    </row>
    <row r="2144">
      <c r="A2144" s="9"/>
      <c r="B2144" s="15"/>
      <c r="C2144" s="9">
        <f>IFERROR(__xludf.DUMMYFUNCTION("""COMPUTED_VALUE"""),44583.1780829861)</f>
        <v>44583.17808</v>
      </c>
      <c r="D2144" s="15">
        <f>IFERROR(__xludf.DUMMYFUNCTION("""COMPUTED_VALUE"""),1.006)</f>
        <v>1.006</v>
      </c>
      <c r="E2144" s="16">
        <f>IFERROR(__xludf.DUMMYFUNCTION("""COMPUTED_VALUE"""),64.0)</f>
        <v>64</v>
      </c>
      <c r="F2144" s="19" t="str">
        <f>IFERROR(__xludf.DUMMYFUNCTION("""COMPUTED_VALUE"""),"BLACK")</f>
        <v>BLACK</v>
      </c>
      <c r="G2144" s="20" t="str">
        <f>IFERROR(__xludf.DUMMYFUNCTION("""COMPUTED_VALUE"""),"Uncle Sams Cider (11/12/2021) 02")</f>
        <v>Uncle Sams Cider (11/12/2021) 02</v>
      </c>
      <c r="H2144" s="19"/>
    </row>
    <row r="2145">
      <c r="A2145" s="9"/>
      <c r="B2145" s="15"/>
      <c r="C2145" s="9">
        <f>IFERROR(__xludf.DUMMYFUNCTION("""COMPUTED_VALUE"""),44583.1676623958)</f>
        <v>44583.16766</v>
      </c>
      <c r="D2145" s="15">
        <f>IFERROR(__xludf.DUMMYFUNCTION("""COMPUTED_VALUE"""),1.006)</f>
        <v>1.006</v>
      </c>
      <c r="E2145" s="16">
        <f>IFERROR(__xludf.DUMMYFUNCTION("""COMPUTED_VALUE"""),65.0)</f>
        <v>65</v>
      </c>
      <c r="F2145" s="19" t="str">
        <f>IFERROR(__xludf.DUMMYFUNCTION("""COMPUTED_VALUE"""),"BLACK")</f>
        <v>BLACK</v>
      </c>
      <c r="G2145" s="20" t="str">
        <f>IFERROR(__xludf.DUMMYFUNCTION("""COMPUTED_VALUE"""),"Uncle Sams Cider (11/12/2021) 02")</f>
        <v>Uncle Sams Cider (11/12/2021) 02</v>
      </c>
      <c r="H2145" s="19"/>
    </row>
    <row r="2146">
      <c r="A2146" s="9"/>
      <c r="B2146" s="15"/>
      <c r="C2146" s="9">
        <f>IFERROR(__xludf.DUMMYFUNCTION("""COMPUTED_VALUE"""),44583.1572416898)</f>
        <v>44583.15724</v>
      </c>
      <c r="D2146" s="15">
        <f>IFERROR(__xludf.DUMMYFUNCTION("""COMPUTED_VALUE"""),1.006)</f>
        <v>1.006</v>
      </c>
      <c r="E2146" s="16">
        <f>IFERROR(__xludf.DUMMYFUNCTION("""COMPUTED_VALUE"""),65.0)</f>
        <v>65</v>
      </c>
      <c r="F2146" s="19" t="str">
        <f>IFERROR(__xludf.DUMMYFUNCTION("""COMPUTED_VALUE"""),"BLACK")</f>
        <v>BLACK</v>
      </c>
      <c r="G2146" s="20" t="str">
        <f>IFERROR(__xludf.DUMMYFUNCTION("""COMPUTED_VALUE"""),"Uncle Sams Cider (11/12/2021) 02")</f>
        <v>Uncle Sams Cider (11/12/2021) 02</v>
      </c>
      <c r="H2146" s="19"/>
    </row>
    <row r="2147">
      <c r="A2147" s="9"/>
      <c r="B2147" s="15"/>
      <c r="C2147" s="9">
        <f>IFERROR(__xludf.DUMMYFUNCTION("""COMPUTED_VALUE"""),44583.1468073263)</f>
        <v>44583.14681</v>
      </c>
      <c r="D2147" s="15">
        <f>IFERROR(__xludf.DUMMYFUNCTION("""COMPUTED_VALUE"""),1.006)</f>
        <v>1.006</v>
      </c>
      <c r="E2147" s="16">
        <f>IFERROR(__xludf.DUMMYFUNCTION("""COMPUTED_VALUE"""),65.0)</f>
        <v>65</v>
      </c>
      <c r="F2147" s="19" t="str">
        <f>IFERROR(__xludf.DUMMYFUNCTION("""COMPUTED_VALUE"""),"BLACK")</f>
        <v>BLACK</v>
      </c>
      <c r="G2147" s="20" t="str">
        <f>IFERROR(__xludf.DUMMYFUNCTION("""COMPUTED_VALUE"""),"Uncle Sams Cider (11/12/2021) 02")</f>
        <v>Uncle Sams Cider (11/12/2021) 02</v>
      </c>
      <c r="H2147" s="19"/>
    </row>
    <row r="2148">
      <c r="A2148" s="9"/>
      <c r="B2148" s="15"/>
      <c r="C2148" s="9">
        <f>IFERROR(__xludf.DUMMYFUNCTION("""COMPUTED_VALUE"""),44583.136384456)</f>
        <v>44583.13638</v>
      </c>
      <c r="D2148" s="15">
        <f>IFERROR(__xludf.DUMMYFUNCTION("""COMPUTED_VALUE"""),1.006)</f>
        <v>1.006</v>
      </c>
      <c r="E2148" s="16">
        <f>IFERROR(__xludf.DUMMYFUNCTION("""COMPUTED_VALUE"""),65.0)</f>
        <v>65</v>
      </c>
      <c r="F2148" s="19" t="str">
        <f>IFERROR(__xludf.DUMMYFUNCTION("""COMPUTED_VALUE"""),"BLACK")</f>
        <v>BLACK</v>
      </c>
      <c r="G2148" s="20" t="str">
        <f>IFERROR(__xludf.DUMMYFUNCTION("""COMPUTED_VALUE"""),"Uncle Sams Cider (11/12/2021) 02")</f>
        <v>Uncle Sams Cider (11/12/2021) 02</v>
      </c>
      <c r="H2148" s="19"/>
    </row>
    <row r="2149">
      <c r="A2149" s="9"/>
      <c r="B2149" s="15"/>
      <c r="C2149" s="9">
        <f>IFERROR(__xludf.DUMMYFUNCTION("""COMPUTED_VALUE"""),44583.1259641435)</f>
        <v>44583.12596</v>
      </c>
      <c r="D2149" s="15">
        <f>IFERROR(__xludf.DUMMYFUNCTION("""COMPUTED_VALUE"""),1.006)</f>
        <v>1.006</v>
      </c>
      <c r="E2149" s="16">
        <f>IFERROR(__xludf.DUMMYFUNCTION("""COMPUTED_VALUE"""),65.0)</f>
        <v>65</v>
      </c>
      <c r="F2149" s="19" t="str">
        <f>IFERROR(__xludf.DUMMYFUNCTION("""COMPUTED_VALUE"""),"BLACK")</f>
        <v>BLACK</v>
      </c>
      <c r="G2149" s="20" t="str">
        <f>IFERROR(__xludf.DUMMYFUNCTION("""COMPUTED_VALUE"""),"Uncle Sams Cider (11/12/2021) 02")</f>
        <v>Uncle Sams Cider (11/12/2021) 02</v>
      </c>
      <c r="H2149" s="19"/>
    </row>
    <row r="2150">
      <c r="A2150" s="9"/>
      <c r="B2150" s="15"/>
      <c r="C2150" s="9">
        <f>IFERROR(__xludf.DUMMYFUNCTION("""COMPUTED_VALUE"""),44583.1155325347)</f>
        <v>44583.11553</v>
      </c>
      <c r="D2150" s="15">
        <f>IFERROR(__xludf.DUMMYFUNCTION("""COMPUTED_VALUE"""),1.006)</f>
        <v>1.006</v>
      </c>
      <c r="E2150" s="16">
        <f>IFERROR(__xludf.DUMMYFUNCTION("""COMPUTED_VALUE"""),65.0)</f>
        <v>65</v>
      </c>
      <c r="F2150" s="19" t="str">
        <f>IFERROR(__xludf.DUMMYFUNCTION("""COMPUTED_VALUE"""),"BLACK")</f>
        <v>BLACK</v>
      </c>
      <c r="G2150" s="20" t="str">
        <f>IFERROR(__xludf.DUMMYFUNCTION("""COMPUTED_VALUE"""),"Uncle Sams Cider (11/12/2021) 02")</f>
        <v>Uncle Sams Cider (11/12/2021) 02</v>
      </c>
      <c r="H2150" s="19"/>
    </row>
    <row r="2151">
      <c r="A2151" s="9"/>
      <c r="B2151" s="15"/>
      <c r="C2151" s="9">
        <f>IFERROR(__xludf.DUMMYFUNCTION("""COMPUTED_VALUE"""),44583.1051114814)</f>
        <v>44583.10511</v>
      </c>
      <c r="D2151" s="15">
        <f>IFERROR(__xludf.DUMMYFUNCTION("""COMPUTED_VALUE"""),1.006)</f>
        <v>1.006</v>
      </c>
      <c r="E2151" s="16">
        <f>IFERROR(__xludf.DUMMYFUNCTION("""COMPUTED_VALUE"""),65.0)</f>
        <v>65</v>
      </c>
      <c r="F2151" s="19" t="str">
        <f>IFERROR(__xludf.DUMMYFUNCTION("""COMPUTED_VALUE"""),"BLACK")</f>
        <v>BLACK</v>
      </c>
      <c r="G2151" s="20" t="str">
        <f>IFERROR(__xludf.DUMMYFUNCTION("""COMPUTED_VALUE"""),"Uncle Sams Cider (11/12/2021) 02")</f>
        <v>Uncle Sams Cider (11/12/2021) 02</v>
      </c>
      <c r="H2151" s="19"/>
    </row>
    <row r="2152">
      <c r="A2152" s="9"/>
      <c r="B2152" s="15"/>
      <c r="C2152" s="9">
        <f>IFERROR(__xludf.DUMMYFUNCTION("""COMPUTED_VALUE"""),44583.0946452199)</f>
        <v>44583.09465</v>
      </c>
      <c r="D2152" s="15">
        <f>IFERROR(__xludf.DUMMYFUNCTION("""COMPUTED_VALUE"""),1.006)</f>
        <v>1.006</v>
      </c>
      <c r="E2152" s="16">
        <f>IFERROR(__xludf.DUMMYFUNCTION("""COMPUTED_VALUE"""),65.0)</f>
        <v>65</v>
      </c>
      <c r="F2152" s="19" t="str">
        <f>IFERROR(__xludf.DUMMYFUNCTION("""COMPUTED_VALUE"""),"BLACK")</f>
        <v>BLACK</v>
      </c>
      <c r="G2152" s="20" t="str">
        <f>IFERROR(__xludf.DUMMYFUNCTION("""COMPUTED_VALUE"""),"Uncle Sams Cider (11/12/2021) 02")</f>
        <v>Uncle Sams Cider (11/12/2021) 02</v>
      </c>
      <c r="H2152" s="19"/>
    </row>
    <row r="2153">
      <c r="A2153" s="9"/>
      <c r="B2153" s="15"/>
      <c r="C2153" s="9">
        <f>IFERROR(__xludf.DUMMYFUNCTION("""COMPUTED_VALUE"""),44583.0842238425)</f>
        <v>44583.08422</v>
      </c>
      <c r="D2153" s="15">
        <f>IFERROR(__xludf.DUMMYFUNCTION("""COMPUTED_VALUE"""),1.006)</f>
        <v>1.006</v>
      </c>
      <c r="E2153" s="16">
        <f>IFERROR(__xludf.DUMMYFUNCTION("""COMPUTED_VALUE"""),65.0)</f>
        <v>65</v>
      </c>
      <c r="F2153" s="19" t="str">
        <f>IFERROR(__xludf.DUMMYFUNCTION("""COMPUTED_VALUE"""),"BLACK")</f>
        <v>BLACK</v>
      </c>
      <c r="G2153" s="20" t="str">
        <f>IFERROR(__xludf.DUMMYFUNCTION("""COMPUTED_VALUE"""),"Uncle Sams Cider (11/12/2021) 02")</f>
        <v>Uncle Sams Cider (11/12/2021) 02</v>
      </c>
      <c r="H2153" s="19"/>
    </row>
    <row r="2154">
      <c r="A2154" s="9"/>
      <c r="B2154" s="15"/>
      <c r="C2154" s="9">
        <f>IFERROR(__xludf.DUMMYFUNCTION("""COMPUTED_VALUE"""),44583.0737342476)</f>
        <v>44583.07373</v>
      </c>
      <c r="D2154" s="15">
        <f>IFERROR(__xludf.DUMMYFUNCTION("""COMPUTED_VALUE"""),1.006)</f>
        <v>1.006</v>
      </c>
      <c r="E2154" s="16">
        <f>IFERROR(__xludf.DUMMYFUNCTION("""COMPUTED_VALUE"""),65.0)</f>
        <v>65</v>
      </c>
      <c r="F2154" s="19" t="str">
        <f>IFERROR(__xludf.DUMMYFUNCTION("""COMPUTED_VALUE"""),"BLACK")</f>
        <v>BLACK</v>
      </c>
      <c r="G2154" s="20" t="str">
        <f>IFERROR(__xludf.DUMMYFUNCTION("""COMPUTED_VALUE"""),"Uncle Sams Cider (11/12/2021) 02")</f>
        <v>Uncle Sams Cider (11/12/2021) 02</v>
      </c>
      <c r="H2154" s="19"/>
    </row>
    <row r="2155">
      <c r="A2155" s="9"/>
      <c r="B2155" s="15"/>
      <c r="C2155" s="9">
        <f>IFERROR(__xludf.DUMMYFUNCTION("""COMPUTED_VALUE"""),44583.063277118)</f>
        <v>44583.06328</v>
      </c>
      <c r="D2155" s="15">
        <f>IFERROR(__xludf.DUMMYFUNCTION("""COMPUTED_VALUE"""),1.006)</f>
        <v>1.006</v>
      </c>
      <c r="E2155" s="16">
        <f>IFERROR(__xludf.DUMMYFUNCTION("""COMPUTED_VALUE"""),65.0)</f>
        <v>65</v>
      </c>
      <c r="F2155" s="19" t="str">
        <f>IFERROR(__xludf.DUMMYFUNCTION("""COMPUTED_VALUE"""),"BLACK")</f>
        <v>BLACK</v>
      </c>
      <c r="G2155" s="20" t="str">
        <f>IFERROR(__xludf.DUMMYFUNCTION("""COMPUTED_VALUE"""),"Uncle Sams Cider (11/12/2021) 02")</f>
        <v>Uncle Sams Cider (11/12/2021) 02</v>
      </c>
      <c r="H2155" s="19"/>
    </row>
    <row r="2156">
      <c r="A2156" s="9"/>
      <c r="B2156" s="15"/>
      <c r="C2156" s="9">
        <f>IFERROR(__xludf.DUMMYFUNCTION("""COMPUTED_VALUE"""),44583.0528317476)</f>
        <v>44583.05283</v>
      </c>
      <c r="D2156" s="15">
        <f>IFERROR(__xludf.DUMMYFUNCTION("""COMPUTED_VALUE"""),1.006)</f>
        <v>1.006</v>
      </c>
      <c r="E2156" s="16">
        <f>IFERROR(__xludf.DUMMYFUNCTION("""COMPUTED_VALUE"""),65.0)</f>
        <v>65</v>
      </c>
      <c r="F2156" s="19" t="str">
        <f>IFERROR(__xludf.DUMMYFUNCTION("""COMPUTED_VALUE"""),"BLACK")</f>
        <v>BLACK</v>
      </c>
      <c r="G2156" s="20" t="str">
        <f>IFERROR(__xludf.DUMMYFUNCTION("""COMPUTED_VALUE"""),"Uncle Sams Cider (11/12/2021) 02")</f>
        <v>Uncle Sams Cider (11/12/2021) 02</v>
      </c>
      <c r="H2156" s="19"/>
    </row>
    <row r="2157">
      <c r="A2157" s="9"/>
      <c r="B2157" s="15"/>
      <c r="C2157" s="9">
        <f>IFERROR(__xludf.DUMMYFUNCTION("""COMPUTED_VALUE"""),44583.0424114814)</f>
        <v>44583.04241</v>
      </c>
      <c r="D2157" s="15">
        <f>IFERROR(__xludf.DUMMYFUNCTION("""COMPUTED_VALUE"""),1.006)</f>
        <v>1.006</v>
      </c>
      <c r="E2157" s="16">
        <f>IFERROR(__xludf.DUMMYFUNCTION("""COMPUTED_VALUE"""),65.0)</f>
        <v>65</v>
      </c>
      <c r="F2157" s="19" t="str">
        <f>IFERROR(__xludf.DUMMYFUNCTION("""COMPUTED_VALUE"""),"BLACK")</f>
        <v>BLACK</v>
      </c>
      <c r="G2157" s="20" t="str">
        <f>IFERROR(__xludf.DUMMYFUNCTION("""COMPUTED_VALUE"""),"Uncle Sams Cider (11/12/2021) 02")</f>
        <v>Uncle Sams Cider (11/12/2021) 02</v>
      </c>
      <c r="H2157" s="19"/>
    </row>
    <row r="2158">
      <c r="A2158" s="9"/>
      <c r="B2158" s="15"/>
      <c r="C2158" s="9">
        <f>IFERROR(__xludf.DUMMYFUNCTION("""COMPUTED_VALUE"""),44583.0319913657)</f>
        <v>44583.03199</v>
      </c>
      <c r="D2158" s="15">
        <f>IFERROR(__xludf.DUMMYFUNCTION("""COMPUTED_VALUE"""),1.006)</f>
        <v>1.006</v>
      </c>
      <c r="E2158" s="16">
        <f>IFERROR(__xludf.DUMMYFUNCTION("""COMPUTED_VALUE"""),65.0)</f>
        <v>65</v>
      </c>
      <c r="F2158" s="19" t="str">
        <f>IFERROR(__xludf.DUMMYFUNCTION("""COMPUTED_VALUE"""),"BLACK")</f>
        <v>BLACK</v>
      </c>
      <c r="G2158" s="20" t="str">
        <f>IFERROR(__xludf.DUMMYFUNCTION("""COMPUTED_VALUE"""),"Uncle Sams Cider (11/12/2021) 02")</f>
        <v>Uncle Sams Cider (11/12/2021) 02</v>
      </c>
      <c r="H2158" s="19"/>
    </row>
    <row r="2159">
      <c r="A2159" s="9"/>
      <c r="B2159" s="15"/>
      <c r="C2159" s="9">
        <f>IFERROR(__xludf.DUMMYFUNCTION("""COMPUTED_VALUE"""),44583.0215698032)</f>
        <v>44583.02157</v>
      </c>
      <c r="D2159" s="15">
        <f>IFERROR(__xludf.DUMMYFUNCTION("""COMPUTED_VALUE"""),1.006)</f>
        <v>1.006</v>
      </c>
      <c r="E2159" s="16">
        <f>IFERROR(__xludf.DUMMYFUNCTION("""COMPUTED_VALUE"""),65.0)</f>
        <v>65</v>
      </c>
      <c r="F2159" s="19" t="str">
        <f>IFERROR(__xludf.DUMMYFUNCTION("""COMPUTED_VALUE"""),"BLACK")</f>
        <v>BLACK</v>
      </c>
      <c r="G2159" s="20" t="str">
        <f>IFERROR(__xludf.DUMMYFUNCTION("""COMPUTED_VALUE"""),"Uncle Sams Cider (11/12/2021) 02")</f>
        <v>Uncle Sams Cider (11/12/2021) 02</v>
      </c>
      <c r="H2159" s="19"/>
    </row>
    <row r="2160">
      <c r="A2160" s="9"/>
      <c r="B2160" s="15"/>
      <c r="C2160" s="9">
        <f>IFERROR(__xludf.DUMMYFUNCTION("""COMPUTED_VALUE"""),44583.0111359259)</f>
        <v>44583.01114</v>
      </c>
      <c r="D2160" s="15">
        <f>IFERROR(__xludf.DUMMYFUNCTION("""COMPUTED_VALUE"""),1.006)</f>
        <v>1.006</v>
      </c>
      <c r="E2160" s="16">
        <f>IFERROR(__xludf.DUMMYFUNCTION("""COMPUTED_VALUE"""),65.0)</f>
        <v>65</v>
      </c>
      <c r="F2160" s="19" t="str">
        <f>IFERROR(__xludf.DUMMYFUNCTION("""COMPUTED_VALUE"""),"BLACK")</f>
        <v>BLACK</v>
      </c>
      <c r="G2160" s="20" t="str">
        <f>IFERROR(__xludf.DUMMYFUNCTION("""COMPUTED_VALUE"""),"Uncle Sams Cider (11/12/2021) 02")</f>
        <v>Uncle Sams Cider (11/12/2021) 02</v>
      </c>
      <c r="H2160" s="19"/>
    </row>
    <row r="2161">
      <c r="A2161" s="9"/>
      <c r="B2161" s="15"/>
      <c r="C2161" s="9">
        <f>IFERROR(__xludf.DUMMYFUNCTION("""COMPUTED_VALUE"""),44583.0007154513)</f>
        <v>44583.00072</v>
      </c>
      <c r="D2161" s="15">
        <f>IFERROR(__xludf.DUMMYFUNCTION("""COMPUTED_VALUE"""),1.006)</f>
        <v>1.006</v>
      </c>
      <c r="E2161" s="16">
        <f>IFERROR(__xludf.DUMMYFUNCTION("""COMPUTED_VALUE"""),65.0)</f>
        <v>65</v>
      </c>
      <c r="F2161" s="19" t="str">
        <f>IFERROR(__xludf.DUMMYFUNCTION("""COMPUTED_VALUE"""),"BLACK")</f>
        <v>BLACK</v>
      </c>
      <c r="G2161" s="20" t="str">
        <f>IFERROR(__xludf.DUMMYFUNCTION("""COMPUTED_VALUE"""),"Uncle Sams Cider (11/12/2021) 02")</f>
        <v>Uncle Sams Cider (11/12/2021) 02</v>
      </c>
      <c r="H2161" s="19"/>
    </row>
    <row r="2162">
      <c r="A2162" s="9"/>
      <c r="B2162" s="15"/>
      <c r="C2162" s="9">
        <f>IFERROR(__xludf.DUMMYFUNCTION("""COMPUTED_VALUE"""),44582.9902713078)</f>
        <v>44582.99027</v>
      </c>
      <c r="D2162" s="15">
        <f>IFERROR(__xludf.DUMMYFUNCTION("""COMPUTED_VALUE"""),1.006)</f>
        <v>1.006</v>
      </c>
      <c r="E2162" s="16">
        <f>IFERROR(__xludf.DUMMYFUNCTION("""COMPUTED_VALUE"""),65.0)</f>
        <v>65</v>
      </c>
      <c r="F2162" s="19" t="str">
        <f>IFERROR(__xludf.DUMMYFUNCTION("""COMPUTED_VALUE"""),"BLACK")</f>
        <v>BLACK</v>
      </c>
      <c r="G2162" s="20" t="str">
        <f>IFERROR(__xludf.DUMMYFUNCTION("""COMPUTED_VALUE"""),"Uncle Sams Cider (11/12/2021) 02")</f>
        <v>Uncle Sams Cider (11/12/2021) 02</v>
      </c>
      <c r="H2162" s="19"/>
    </row>
    <row r="2163">
      <c r="A2163" s="9"/>
      <c r="B2163" s="15"/>
      <c r="C2163" s="9">
        <f>IFERROR(__xludf.DUMMYFUNCTION("""COMPUTED_VALUE"""),44582.9798498495)</f>
        <v>44582.97985</v>
      </c>
      <c r="D2163" s="15">
        <f>IFERROR(__xludf.DUMMYFUNCTION("""COMPUTED_VALUE"""),1.006)</f>
        <v>1.006</v>
      </c>
      <c r="E2163" s="16">
        <f>IFERROR(__xludf.DUMMYFUNCTION("""COMPUTED_VALUE"""),65.0)</f>
        <v>65</v>
      </c>
      <c r="F2163" s="19" t="str">
        <f>IFERROR(__xludf.DUMMYFUNCTION("""COMPUTED_VALUE"""),"BLACK")</f>
        <v>BLACK</v>
      </c>
      <c r="G2163" s="20" t="str">
        <f>IFERROR(__xludf.DUMMYFUNCTION("""COMPUTED_VALUE"""),"Uncle Sams Cider (11/12/2021) 02")</f>
        <v>Uncle Sams Cider (11/12/2021) 02</v>
      </c>
      <c r="H2163" s="19"/>
    </row>
    <row r="2164">
      <c r="A2164" s="9"/>
      <c r="B2164" s="15"/>
      <c r="C2164" s="9">
        <f>IFERROR(__xludf.DUMMYFUNCTION("""COMPUTED_VALUE"""),44582.9694057407)</f>
        <v>44582.96941</v>
      </c>
      <c r="D2164" s="15">
        <f>IFERROR(__xludf.DUMMYFUNCTION("""COMPUTED_VALUE"""),1.006)</f>
        <v>1.006</v>
      </c>
      <c r="E2164" s="16">
        <f>IFERROR(__xludf.DUMMYFUNCTION("""COMPUTED_VALUE"""),65.0)</f>
        <v>65</v>
      </c>
      <c r="F2164" s="19" t="str">
        <f>IFERROR(__xludf.DUMMYFUNCTION("""COMPUTED_VALUE"""),"BLACK")</f>
        <v>BLACK</v>
      </c>
      <c r="G2164" s="20" t="str">
        <f>IFERROR(__xludf.DUMMYFUNCTION("""COMPUTED_VALUE"""),"Uncle Sams Cider (11/12/2021) 02")</f>
        <v>Uncle Sams Cider (11/12/2021) 02</v>
      </c>
      <c r="H2164" s="19"/>
    </row>
    <row r="2165">
      <c r="A2165" s="9"/>
      <c r="B2165" s="15"/>
      <c r="C2165" s="9">
        <f>IFERROR(__xludf.DUMMYFUNCTION("""COMPUTED_VALUE"""),44582.9589835069)</f>
        <v>44582.95898</v>
      </c>
      <c r="D2165" s="15">
        <f>IFERROR(__xludf.DUMMYFUNCTION("""COMPUTED_VALUE"""),1.006)</f>
        <v>1.006</v>
      </c>
      <c r="E2165" s="16">
        <f>IFERROR(__xludf.DUMMYFUNCTION("""COMPUTED_VALUE"""),65.0)</f>
        <v>65</v>
      </c>
      <c r="F2165" s="19" t="str">
        <f>IFERROR(__xludf.DUMMYFUNCTION("""COMPUTED_VALUE"""),"BLACK")</f>
        <v>BLACK</v>
      </c>
      <c r="G2165" s="20" t="str">
        <f>IFERROR(__xludf.DUMMYFUNCTION("""COMPUTED_VALUE"""),"Uncle Sams Cider (11/12/2021) 02")</f>
        <v>Uncle Sams Cider (11/12/2021) 02</v>
      </c>
      <c r="H2165" s="19"/>
    </row>
    <row r="2166">
      <c r="A2166" s="9"/>
      <c r="B2166" s="15"/>
      <c r="C2166" s="9">
        <f>IFERROR(__xludf.DUMMYFUNCTION("""COMPUTED_VALUE"""),44582.9485614583)</f>
        <v>44582.94856</v>
      </c>
      <c r="D2166" s="15">
        <f>IFERROR(__xludf.DUMMYFUNCTION("""COMPUTED_VALUE"""),1.006)</f>
        <v>1.006</v>
      </c>
      <c r="E2166" s="16">
        <f>IFERROR(__xludf.DUMMYFUNCTION("""COMPUTED_VALUE"""),65.0)</f>
        <v>65</v>
      </c>
      <c r="F2166" s="19" t="str">
        <f>IFERROR(__xludf.DUMMYFUNCTION("""COMPUTED_VALUE"""),"BLACK")</f>
        <v>BLACK</v>
      </c>
      <c r="G2166" s="20" t="str">
        <f>IFERROR(__xludf.DUMMYFUNCTION("""COMPUTED_VALUE"""),"Uncle Sams Cider (11/12/2021) 02")</f>
        <v>Uncle Sams Cider (11/12/2021) 02</v>
      </c>
      <c r="H2166" s="19"/>
    </row>
    <row r="2167">
      <c r="A2167" s="9"/>
      <c r="B2167" s="15"/>
      <c r="C2167" s="9">
        <f>IFERROR(__xludf.DUMMYFUNCTION("""COMPUTED_VALUE"""),44582.938127037)</f>
        <v>44582.93813</v>
      </c>
      <c r="D2167" s="15">
        <f>IFERROR(__xludf.DUMMYFUNCTION("""COMPUTED_VALUE"""),1.006)</f>
        <v>1.006</v>
      </c>
      <c r="E2167" s="16">
        <f>IFERROR(__xludf.DUMMYFUNCTION("""COMPUTED_VALUE"""),65.0)</f>
        <v>65</v>
      </c>
      <c r="F2167" s="19" t="str">
        <f>IFERROR(__xludf.DUMMYFUNCTION("""COMPUTED_VALUE"""),"BLACK")</f>
        <v>BLACK</v>
      </c>
      <c r="G2167" s="20" t="str">
        <f>IFERROR(__xludf.DUMMYFUNCTION("""COMPUTED_VALUE"""),"Uncle Sams Cider (11/12/2021) 02")</f>
        <v>Uncle Sams Cider (11/12/2021) 02</v>
      </c>
      <c r="H2167" s="19"/>
    </row>
    <row r="2168">
      <c r="A2168" s="9"/>
      <c r="B2168" s="15"/>
      <c r="C2168" s="9">
        <f>IFERROR(__xludf.DUMMYFUNCTION("""COMPUTED_VALUE"""),44582.9277070949)</f>
        <v>44582.92771</v>
      </c>
      <c r="D2168" s="15">
        <f>IFERROR(__xludf.DUMMYFUNCTION("""COMPUTED_VALUE"""),1.006)</f>
        <v>1.006</v>
      </c>
      <c r="E2168" s="16">
        <f>IFERROR(__xludf.DUMMYFUNCTION("""COMPUTED_VALUE"""),65.0)</f>
        <v>65</v>
      </c>
      <c r="F2168" s="19" t="str">
        <f>IFERROR(__xludf.DUMMYFUNCTION("""COMPUTED_VALUE"""),"BLACK")</f>
        <v>BLACK</v>
      </c>
      <c r="G2168" s="20" t="str">
        <f>IFERROR(__xludf.DUMMYFUNCTION("""COMPUTED_VALUE"""),"Uncle Sams Cider (11/12/2021) 02")</f>
        <v>Uncle Sams Cider (11/12/2021) 02</v>
      </c>
      <c r="H2168" s="19"/>
    </row>
    <row r="2169">
      <c r="A2169" s="9"/>
      <c r="B2169" s="15"/>
      <c r="C2169" s="9">
        <f>IFERROR(__xludf.DUMMYFUNCTION("""COMPUTED_VALUE"""),44582.9172853935)</f>
        <v>44582.91729</v>
      </c>
      <c r="D2169" s="15">
        <f>IFERROR(__xludf.DUMMYFUNCTION("""COMPUTED_VALUE"""),1.006)</f>
        <v>1.006</v>
      </c>
      <c r="E2169" s="16">
        <f>IFERROR(__xludf.DUMMYFUNCTION("""COMPUTED_VALUE"""),65.0)</f>
        <v>65</v>
      </c>
      <c r="F2169" s="19" t="str">
        <f>IFERROR(__xludf.DUMMYFUNCTION("""COMPUTED_VALUE"""),"BLACK")</f>
        <v>BLACK</v>
      </c>
      <c r="G2169" s="20" t="str">
        <f>IFERROR(__xludf.DUMMYFUNCTION("""COMPUTED_VALUE"""),"Uncle Sams Cider (11/12/2021) 02")</f>
        <v>Uncle Sams Cider (11/12/2021) 02</v>
      </c>
      <c r="H2169" s="19"/>
    </row>
    <row r="2170">
      <c r="A2170" s="9"/>
      <c r="B2170" s="15"/>
      <c r="C2170" s="9">
        <f>IFERROR(__xludf.DUMMYFUNCTION("""COMPUTED_VALUE"""),44582.90686478)</f>
        <v>44582.90686</v>
      </c>
      <c r="D2170" s="15">
        <f>IFERROR(__xludf.DUMMYFUNCTION("""COMPUTED_VALUE"""),1.006)</f>
        <v>1.006</v>
      </c>
      <c r="E2170" s="16">
        <f>IFERROR(__xludf.DUMMYFUNCTION("""COMPUTED_VALUE"""),65.0)</f>
        <v>65</v>
      </c>
      <c r="F2170" s="19" t="str">
        <f>IFERROR(__xludf.DUMMYFUNCTION("""COMPUTED_VALUE"""),"BLACK")</f>
        <v>BLACK</v>
      </c>
      <c r="G2170" s="20" t="str">
        <f>IFERROR(__xludf.DUMMYFUNCTION("""COMPUTED_VALUE"""),"Uncle Sams Cider (11/12/2021) 02")</f>
        <v>Uncle Sams Cider (11/12/2021) 02</v>
      </c>
      <c r="H2170" s="19"/>
    </row>
    <row r="2171">
      <c r="A2171" s="9"/>
      <c r="B2171" s="15"/>
      <c r="C2171" s="9">
        <f>IFERROR(__xludf.DUMMYFUNCTION("""COMPUTED_VALUE"""),44582.8964431944)</f>
        <v>44582.89644</v>
      </c>
      <c r="D2171" s="15">
        <f>IFERROR(__xludf.DUMMYFUNCTION("""COMPUTED_VALUE"""),1.006)</f>
        <v>1.006</v>
      </c>
      <c r="E2171" s="16">
        <f>IFERROR(__xludf.DUMMYFUNCTION("""COMPUTED_VALUE"""),65.0)</f>
        <v>65</v>
      </c>
      <c r="F2171" s="19" t="str">
        <f>IFERROR(__xludf.DUMMYFUNCTION("""COMPUTED_VALUE"""),"BLACK")</f>
        <v>BLACK</v>
      </c>
      <c r="G2171" s="20" t="str">
        <f>IFERROR(__xludf.DUMMYFUNCTION("""COMPUTED_VALUE"""),"Uncle Sams Cider (11/12/2021) 02")</f>
        <v>Uncle Sams Cider (11/12/2021) 02</v>
      </c>
      <c r="H2171" s="19"/>
    </row>
    <row r="2172">
      <c r="A2172" s="9"/>
      <c r="B2172" s="15"/>
      <c r="C2172" s="9">
        <f>IFERROR(__xludf.DUMMYFUNCTION("""COMPUTED_VALUE"""),44582.8860117592)</f>
        <v>44582.88601</v>
      </c>
      <c r="D2172" s="15">
        <f>IFERROR(__xludf.DUMMYFUNCTION("""COMPUTED_VALUE"""),1.005)</f>
        <v>1.005</v>
      </c>
      <c r="E2172" s="16">
        <f>IFERROR(__xludf.DUMMYFUNCTION("""COMPUTED_VALUE"""),65.0)</f>
        <v>65</v>
      </c>
      <c r="F2172" s="19" t="str">
        <f>IFERROR(__xludf.DUMMYFUNCTION("""COMPUTED_VALUE"""),"BLACK")</f>
        <v>BLACK</v>
      </c>
      <c r="G2172" s="20" t="str">
        <f>IFERROR(__xludf.DUMMYFUNCTION("""COMPUTED_VALUE"""),"Uncle Sams Cider (11/12/2021) 02")</f>
        <v>Uncle Sams Cider (11/12/2021) 02</v>
      </c>
      <c r="H2172" s="19"/>
    </row>
    <row r="2173">
      <c r="A2173" s="9"/>
      <c r="B2173" s="15"/>
      <c r="C2173" s="9">
        <f>IFERROR(__xludf.DUMMYFUNCTION("""COMPUTED_VALUE"""),44582.8755788773)</f>
        <v>44582.87558</v>
      </c>
      <c r="D2173" s="15">
        <f>IFERROR(__xludf.DUMMYFUNCTION("""COMPUTED_VALUE"""),1.006)</f>
        <v>1.006</v>
      </c>
      <c r="E2173" s="16">
        <f>IFERROR(__xludf.DUMMYFUNCTION("""COMPUTED_VALUE"""),66.0)</f>
        <v>66</v>
      </c>
      <c r="F2173" s="19" t="str">
        <f>IFERROR(__xludf.DUMMYFUNCTION("""COMPUTED_VALUE"""),"BLACK")</f>
        <v>BLACK</v>
      </c>
      <c r="G2173" s="20" t="str">
        <f>IFERROR(__xludf.DUMMYFUNCTION("""COMPUTED_VALUE"""),"Uncle Sams Cider (11/12/2021) 02")</f>
        <v>Uncle Sams Cider (11/12/2021) 02</v>
      </c>
      <c r="H2173" s="19"/>
    </row>
    <row r="2174">
      <c r="A2174" s="9"/>
      <c r="B2174" s="15"/>
      <c r="C2174" s="9">
        <f>IFERROR(__xludf.DUMMYFUNCTION("""COMPUTED_VALUE"""),44582.8651464236)</f>
        <v>44582.86515</v>
      </c>
      <c r="D2174" s="15">
        <f>IFERROR(__xludf.DUMMYFUNCTION("""COMPUTED_VALUE"""),1.005)</f>
        <v>1.005</v>
      </c>
      <c r="E2174" s="16">
        <f>IFERROR(__xludf.DUMMYFUNCTION("""COMPUTED_VALUE"""),66.0)</f>
        <v>66</v>
      </c>
      <c r="F2174" s="19" t="str">
        <f>IFERROR(__xludf.DUMMYFUNCTION("""COMPUTED_VALUE"""),"BLACK")</f>
        <v>BLACK</v>
      </c>
      <c r="G2174" s="20" t="str">
        <f>IFERROR(__xludf.DUMMYFUNCTION("""COMPUTED_VALUE"""),"Uncle Sams Cider (11/12/2021) 02")</f>
        <v>Uncle Sams Cider (11/12/2021) 02</v>
      </c>
      <c r="H2174" s="19"/>
    </row>
    <row r="2175">
      <c r="A2175" s="9"/>
      <c r="B2175" s="15"/>
      <c r="C2175" s="9">
        <f>IFERROR(__xludf.DUMMYFUNCTION("""COMPUTED_VALUE"""),44582.8547262268)</f>
        <v>44582.85473</v>
      </c>
      <c r="D2175" s="15">
        <f>IFERROR(__xludf.DUMMYFUNCTION("""COMPUTED_VALUE"""),1.006)</f>
        <v>1.006</v>
      </c>
      <c r="E2175" s="16">
        <f>IFERROR(__xludf.DUMMYFUNCTION("""COMPUTED_VALUE"""),66.0)</f>
        <v>66</v>
      </c>
      <c r="F2175" s="19" t="str">
        <f>IFERROR(__xludf.DUMMYFUNCTION("""COMPUTED_VALUE"""),"BLACK")</f>
        <v>BLACK</v>
      </c>
      <c r="G2175" s="20" t="str">
        <f>IFERROR(__xludf.DUMMYFUNCTION("""COMPUTED_VALUE"""),"Uncle Sams Cider (11/12/2021) 02")</f>
        <v>Uncle Sams Cider (11/12/2021) 02</v>
      </c>
      <c r="H2175" s="19"/>
    </row>
    <row r="2176">
      <c r="A2176" s="9"/>
      <c r="B2176" s="15"/>
      <c r="C2176" s="9">
        <f>IFERROR(__xludf.DUMMYFUNCTION("""COMPUTED_VALUE"""),44582.8443049884)</f>
        <v>44582.8443</v>
      </c>
      <c r="D2176" s="15">
        <f>IFERROR(__xludf.DUMMYFUNCTION("""COMPUTED_VALUE"""),1.006)</f>
        <v>1.006</v>
      </c>
      <c r="E2176" s="16">
        <f>IFERROR(__xludf.DUMMYFUNCTION("""COMPUTED_VALUE"""),66.0)</f>
        <v>66</v>
      </c>
      <c r="F2176" s="19" t="str">
        <f>IFERROR(__xludf.DUMMYFUNCTION("""COMPUTED_VALUE"""),"BLACK")</f>
        <v>BLACK</v>
      </c>
      <c r="G2176" s="20" t="str">
        <f>IFERROR(__xludf.DUMMYFUNCTION("""COMPUTED_VALUE"""),"Uncle Sams Cider (11/12/2021) 02")</f>
        <v>Uncle Sams Cider (11/12/2021) 02</v>
      </c>
      <c r="H2176" s="19"/>
    </row>
    <row r="2177">
      <c r="A2177" s="9"/>
      <c r="B2177" s="15"/>
      <c r="C2177" s="9">
        <f>IFERROR(__xludf.DUMMYFUNCTION("""COMPUTED_VALUE"""),44582.8338839351)</f>
        <v>44582.83388</v>
      </c>
      <c r="D2177" s="15">
        <f>IFERROR(__xludf.DUMMYFUNCTION("""COMPUTED_VALUE"""),1.006)</f>
        <v>1.006</v>
      </c>
      <c r="E2177" s="16">
        <f>IFERROR(__xludf.DUMMYFUNCTION("""COMPUTED_VALUE"""),66.0)</f>
        <v>66</v>
      </c>
      <c r="F2177" s="19" t="str">
        <f>IFERROR(__xludf.DUMMYFUNCTION("""COMPUTED_VALUE"""),"BLACK")</f>
        <v>BLACK</v>
      </c>
      <c r="G2177" s="20" t="str">
        <f>IFERROR(__xludf.DUMMYFUNCTION("""COMPUTED_VALUE"""),"Uncle Sams Cider (11/12/2021) 02")</f>
        <v>Uncle Sams Cider (11/12/2021) 02</v>
      </c>
      <c r="H2177" s="19"/>
    </row>
    <row r="2178">
      <c r="A2178" s="9"/>
      <c r="B2178" s="15"/>
      <c r="C2178" s="9">
        <f>IFERROR(__xludf.DUMMYFUNCTION("""COMPUTED_VALUE"""),44582.8234627199)</f>
        <v>44582.82346</v>
      </c>
      <c r="D2178" s="15">
        <f>IFERROR(__xludf.DUMMYFUNCTION("""COMPUTED_VALUE"""),1.005)</f>
        <v>1.005</v>
      </c>
      <c r="E2178" s="16">
        <f>IFERROR(__xludf.DUMMYFUNCTION("""COMPUTED_VALUE"""),66.0)</f>
        <v>66</v>
      </c>
      <c r="F2178" s="19" t="str">
        <f>IFERROR(__xludf.DUMMYFUNCTION("""COMPUTED_VALUE"""),"BLACK")</f>
        <v>BLACK</v>
      </c>
      <c r="G2178" s="20" t="str">
        <f>IFERROR(__xludf.DUMMYFUNCTION("""COMPUTED_VALUE"""),"Uncle Sams Cider (11/12/2021) 02")</f>
        <v>Uncle Sams Cider (11/12/2021) 02</v>
      </c>
      <c r="H2178" s="19"/>
    </row>
    <row r="2179">
      <c r="A2179" s="9"/>
      <c r="B2179" s="15"/>
      <c r="C2179" s="9">
        <f>IFERROR(__xludf.DUMMYFUNCTION("""COMPUTED_VALUE"""),44582.8130424074)</f>
        <v>44582.81304</v>
      </c>
      <c r="D2179" s="15">
        <f>IFERROR(__xludf.DUMMYFUNCTION("""COMPUTED_VALUE"""),1.006)</f>
        <v>1.006</v>
      </c>
      <c r="E2179" s="16">
        <f>IFERROR(__xludf.DUMMYFUNCTION("""COMPUTED_VALUE"""),66.0)</f>
        <v>66</v>
      </c>
      <c r="F2179" s="19" t="str">
        <f>IFERROR(__xludf.DUMMYFUNCTION("""COMPUTED_VALUE"""),"BLACK")</f>
        <v>BLACK</v>
      </c>
      <c r="G2179" s="20" t="str">
        <f>IFERROR(__xludf.DUMMYFUNCTION("""COMPUTED_VALUE"""),"Uncle Sams Cider (11/12/2021) 02")</f>
        <v>Uncle Sams Cider (11/12/2021) 02</v>
      </c>
      <c r="H2179" s="19"/>
    </row>
    <row r="2180">
      <c r="A2180" s="9"/>
      <c r="B2180" s="15"/>
      <c r="C2180" s="9">
        <f>IFERROR(__xludf.DUMMYFUNCTION("""COMPUTED_VALUE"""),44582.802619699)</f>
        <v>44582.80262</v>
      </c>
      <c r="D2180" s="15">
        <f>IFERROR(__xludf.DUMMYFUNCTION("""COMPUTED_VALUE"""),1.005)</f>
        <v>1.005</v>
      </c>
      <c r="E2180" s="16">
        <f>IFERROR(__xludf.DUMMYFUNCTION("""COMPUTED_VALUE"""),66.0)</f>
        <v>66</v>
      </c>
      <c r="F2180" s="19" t="str">
        <f>IFERROR(__xludf.DUMMYFUNCTION("""COMPUTED_VALUE"""),"BLACK")</f>
        <v>BLACK</v>
      </c>
      <c r="G2180" s="20" t="str">
        <f>IFERROR(__xludf.DUMMYFUNCTION("""COMPUTED_VALUE"""),"Uncle Sams Cider (11/12/2021) 02")</f>
        <v>Uncle Sams Cider (11/12/2021) 02</v>
      </c>
      <c r="H2180" s="19"/>
    </row>
    <row r="2181">
      <c r="A2181" s="9"/>
      <c r="B2181" s="15"/>
      <c r="C2181" s="9">
        <f>IFERROR(__xludf.DUMMYFUNCTION("""COMPUTED_VALUE"""),44582.792197581)</f>
        <v>44582.7922</v>
      </c>
      <c r="D2181" s="15">
        <f>IFERROR(__xludf.DUMMYFUNCTION("""COMPUTED_VALUE"""),1.006)</f>
        <v>1.006</v>
      </c>
      <c r="E2181" s="16">
        <f>IFERROR(__xludf.DUMMYFUNCTION("""COMPUTED_VALUE"""),66.0)</f>
        <v>66</v>
      </c>
      <c r="F2181" s="19" t="str">
        <f>IFERROR(__xludf.DUMMYFUNCTION("""COMPUTED_VALUE"""),"BLACK")</f>
        <v>BLACK</v>
      </c>
      <c r="G2181" s="20" t="str">
        <f>IFERROR(__xludf.DUMMYFUNCTION("""COMPUTED_VALUE"""),"Uncle Sams Cider (11/12/2021) 02")</f>
        <v>Uncle Sams Cider (11/12/2021) 02</v>
      </c>
      <c r="H2181" s="19"/>
    </row>
    <row r="2182">
      <c r="A2182" s="9"/>
      <c r="B2182" s="15"/>
      <c r="C2182" s="9">
        <f>IFERROR(__xludf.DUMMYFUNCTION("""COMPUTED_VALUE"""),44582.7817530787)</f>
        <v>44582.78175</v>
      </c>
      <c r="D2182" s="15">
        <f>IFERROR(__xludf.DUMMYFUNCTION("""COMPUTED_VALUE"""),1.006)</f>
        <v>1.006</v>
      </c>
      <c r="E2182" s="16">
        <f>IFERROR(__xludf.DUMMYFUNCTION("""COMPUTED_VALUE"""),66.0)</f>
        <v>66</v>
      </c>
      <c r="F2182" s="19" t="str">
        <f>IFERROR(__xludf.DUMMYFUNCTION("""COMPUTED_VALUE"""),"BLACK")</f>
        <v>BLACK</v>
      </c>
      <c r="G2182" s="20" t="str">
        <f>IFERROR(__xludf.DUMMYFUNCTION("""COMPUTED_VALUE"""),"Uncle Sams Cider (11/12/2021) 02")</f>
        <v>Uncle Sams Cider (11/12/2021) 02</v>
      </c>
      <c r="H2182" s="19"/>
    </row>
    <row r="2183">
      <c r="A2183" s="9"/>
      <c r="B2183" s="15"/>
      <c r="C2183" s="9">
        <f>IFERROR(__xludf.DUMMYFUNCTION("""COMPUTED_VALUE"""),44582.7713320254)</f>
        <v>44582.77133</v>
      </c>
      <c r="D2183" s="15">
        <f>IFERROR(__xludf.DUMMYFUNCTION("""COMPUTED_VALUE"""),1.006)</f>
        <v>1.006</v>
      </c>
      <c r="E2183" s="16">
        <f>IFERROR(__xludf.DUMMYFUNCTION("""COMPUTED_VALUE"""),66.0)</f>
        <v>66</v>
      </c>
      <c r="F2183" s="19" t="str">
        <f>IFERROR(__xludf.DUMMYFUNCTION("""COMPUTED_VALUE"""),"BLACK")</f>
        <v>BLACK</v>
      </c>
      <c r="G2183" s="20" t="str">
        <f>IFERROR(__xludf.DUMMYFUNCTION("""COMPUTED_VALUE"""),"Uncle Sams Cider (11/12/2021) 02")</f>
        <v>Uncle Sams Cider (11/12/2021) 02</v>
      </c>
      <c r="H2183" s="19"/>
    </row>
    <row r="2184">
      <c r="A2184" s="9"/>
      <c r="B2184" s="15"/>
      <c r="C2184" s="9">
        <f>IFERROR(__xludf.DUMMYFUNCTION("""COMPUTED_VALUE"""),44582.7609094444)</f>
        <v>44582.76091</v>
      </c>
      <c r="D2184" s="15">
        <f>IFERROR(__xludf.DUMMYFUNCTION("""COMPUTED_VALUE"""),1.006)</f>
        <v>1.006</v>
      </c>
      <c r="E2184" s="16">
        <f>IFERROR(__xludf.DUMMYFUNCTION("""COMPUTED_VALUE"""),66.0)</f>
        <v>66</v>
      </c>
      <c r="F2184" s="19" t="str">
        <f>IFERROR(__xludf.DUMMYFUNCTION("""COMPUTED_VALUE"""),"BLACK")</f>
        <v>BLACK</v>
      </c>
      <c r="G2184" s="20" t="str">
        <f>IFERROR(__xludf.DUMMYFUNCTION("""COMPUTED_VALUE"""),"Uncle Sams Cider (11/12/2021) 02")</f>
        <v>Uncle Sams Cider (11/12/2021) 02</v>
      </c>
      <c r="H2184" s="19"/>
    </row>
    <row r="2185">
      <c r="A2185" s="9"/>
      <c r="B2185" s="15"/>
      <c r="C2185" s="9">
        <f>IFERROR(__xludf.DUMMYFUNCTION("""COMPUTED_VALUE"""),44582.7504885185)</f>
        <v>44582.75049</v>
      </c>
      <c r="D2185" s="15">
        <f>IFERROR(__xludf.DUMMYFUNCTION("""COMPUTED_VALUE"""),1.006)</f>
        <v>1.006</v>
      </c>
      <c r="E2185" s="16">
        <f>IFERROR(__xludf.DUMMYFUNCTION("""COMPUTED_VALUE"""),66.0)</f>
        <v>66</v>
      </c>
      <c r="F2185" s="19" t="str">
        <f>IFERROR(__xludf.DUMMYFUNCTION("""COMPUTED_VALUE"""),"BLACK")</f>
        <v>BLACK</v>
      </c>
      <c r="G2185" s="20" t="str">
        <f>IFERROR(__xludf.DUMMYFUNCTION("""COMPUTED_VALUE"""),"Uncle Sams Cider (11/12/2021) 02")</f>
        <v>Uncle Sams Cider (11/12/2021) 02</v>
      </c>
      <c r="H2185" s="19"/>
    </row>
    <row r="2186">
      <c r="A2186" s="9"/>
      <c r="B2186" s="15"/>
      <c r="C2186" s="9">
        <f>IFERROR(__xludf.DUMMYFUNCTION("""COMPUTED_VALUE"""),44582.7400556828)</f>
        <v>44582.74006</v>
      </c>
      <c r="D2186" s="15">
        <f>IFERROR(__xludf.DUMMYFUNCTION("""COMPUTED_VALUE"""),1.006)</f>
        <v>1.006</v>
      </c>
      <c r="E2186" s="16">
        <f>IFERROR(__xludf.DUMMYFUNCTION("""COMPUTED_VALUE"""),66.0)</f>
        <v>66</v>
      </c>
      <c r="F2186" s="19" t="str">
        <f>IFERROR(__xludf.DUMMYFUNCTION("""COMPUTED_VALUE"""),"BLACK")</f>
        <v>BLACK</v>
      </c>
      <c r="G2186" s="20" t="str">
        <f>IFERROR(__xludf.DUMMYFUNCTION("""COMPUTED_VALUE"""),"Uncle Sams Cider (11/12/2021) 02")</f>
        <v>Uncle Sams Cider (11/12/2021) 02</v>
      </c>
      <c r="H2186" s="19"/>
    </row>
    <row r="2187">
      <c r="A2187" s="9"/>
      <c r="B2187" s="15"/>
      <c r="C2187" s="9">
        <f>IFERROR(__xludf.DUMMYFUNCTION("""COMPUTED_VALUE"""),44582.7296231365)</f>
        <v>44582.72962</v>
      </c>
      <c r="D2187" s="15">
        <f>IFERROR(__xludf.DUMMYFUNCTION("""COMPUTED_VALUE"""),1.006)</f>
        <v>1.006</v>
      </c>
      <c r="E2187" s="16">
        <f>IFERROR(__xludf.DUMMYFUNCTION("""COMPUTED_VALUE"""),66.0)</f>
        <v>66</v>
      </c>
      <c r="F2187" s="19" t="str">
        <f>IFERROR(__xludf.DUMMYFUNCTION("""COMPUTED_VALUE"""),"BLACK")</f>
        <v>BLACK</v>
      </c>
      <c r="G2187" s="20" t="str">
        <f>IFERROR(__xludf.DUMMYFUNCTION("""COMPUTED_VALUE"""),"Uncle Sams Cider (11/12/2021) 02")</f>
        <v>Uncle Sams Cider (11/12/2021) 02</v>
      </c>
      <c r="H2187" s="19"/>
    </row>
    <row r="2188">
      <c r="A2188" s="9"/>
      <c r="B2188" s="15"/>
      <c r="C2188" s="9">
        <f>IFERROR(__xludf.DUMMYFUNCTION("""COMPUTED_VALUE"""),44582.7191784953)</f>
        <v>44582.71918</v>
      </c>
      <c r="D2188" s="15">
        <f>IFERROR(__xludf.DUMMYFUNCTION("""COMPUTED_VALUE"""),1.006)</f>
        <v>1.006</v>
      </c>
      <c r="E2188" s="16">
        <f>IFERROR(__xludf.DUMMYFUNCTION("""COMPUTED_VALUE"""),66.0)</f>
        <v>66</v>
      </c>
      <c r="F2188" s="19" t="str">
        <f>IFERROR(__xludf.DUMMYFUNCTION("""COMPUTED_VALUE"""),"BLACK")</f>
        <v>BLACK</v>
      </c>
      <c r="G2188" s="20" t="str">
        <f>IFERROR(__xludf.DUMMYFUNCTION("""COMPUTED_VALUE"""),"Uncle Sams Cider (11/12/2021) 02")</f>
        <v>Uncle Sams Cider (11/12/2021) 02</v>
      </c>
      <c r="H2188" s="19"/>
    </row>
    <row r="2189">
      <c r="A2189" s="9"/>
      <c r="B2189" s="15"/>
      <c r="C2189" s="9">
        <f>IFERROR(__xludf.DUMMYFUNCTION("""COMPUTED_VALUE"""),44582.7087579513)</f>
        <v>44582.70876</v>
      </c>
      <c r="D2189" s="15">
        <f>IFERROR(__xludf.DUMMYFUNCTION("""COMPUTED_VALUE"""),1.006)</f>
        <v>1.006</v>
      </c>
      <c r="E2189" s="16">
        <f>IFERROR(__xludf.DUMMYFUNCTION("""COMPUTED_VALUE"""),66.0)</f>
        <v>66</v>
      </c>
      <c r="F2189" s="19" t="str">
        <f>IFERROR(__xludf.DUMMYFUNCTION("""COMPUTED_VALUE"""),"BLACK")</f>
        <v>BLACK</v>
      </c>
      <c r="G2189" s="20" t="str">
        <f>IFERROR(__xludf.DUMMYFUNCTION("""COMPUTED_VALUE"""),"Uncle Sams Cider (11/12/2021) 02")</f>
        <v>Uncle Sams Cider (11/12/2021) 02</v>
      </c>
      <c r="H2189" s="19"/>
    </row>
    <row r="2190">
      <c r="A2190" s="9"/>
      <c r="B2190" s="15"/>
      <c r="C2190" s="9">
        <f>IFERROR(__xludf.DUMMYFUNCTION("""COMPUTED_VALUE"""),44582.6983361111)</f>
        <v>44582.69834</v>
      </c>
      <c r="D2190" s="15">
        <f>IFERROR(__xludf.DUMMYFUNCTION("""COMPUTED_VALUE"""),1.006)</f>
        <v>1.006</v>
      </c>
      <c r="E2190" s="16">
        <f>IFERROR(__xludf.DUMMYFUNCTION("""COMPUTED_VALUE"""),66.0)</f>
        <v>66</v>
      </c>
      <c r="F2190" s="19" t="str">
        <f>IFERROR(__xludf.DUMMYFUNCTION("""COMPUTED_VALUE"""),"BLACK")</f>
        <v>BLACK</v>
      </c>
      <c r="G2190" s="20" t="str">
        <f>IFERROR(__xludf.DUMMYFUNCTION("""COMPUTED_VALUE"""),"Uncle Sams Cider (11/12/2021) 02")</f>
        <v>Uncle Sams Cider (11/12/2021) 02</v>
      </c>
      <c r="H2190" s="19"/>
    </row>
    <row r="2191">
      <c r="A2191" s="9"/>
      <c r="B2191" s="15"/>
      <c r="C2191" s="9">
        <f>IFERROR(__xludf.DUMMYFUNCTION("""COMPUTED_VALUE"""),44582.6879149074)</f>
        <v>44582.68791</v>
      </c>
      <c r="D2191" s="15">
        <f>IFERROR(__xludf.DUMMYFUNCTION("""COMPUTED_VALUE"""),1.006)</f>
        <v>1.006</v>
      </c>
      <c r="E2191" s="16">
        <f>IFERROR(__xludf.DUMMYFUNCTION("""COMPUTED_VALUE"""),66.0)</f>
        <v>66</v>
      </c>
      <c r="F2191" s="19" t="str">
        <f>IFERROR(__xludf.DUMMYFUNCTION("""COMPUTED_VALUE"""),"BLACK")</f>
        <v>BLACK</v>
      </c>
      <c r="G2191" s="20" t="str">
        <f>IFERROR(__xludf.DUMMYFUNCTION("""COMPUTED_VALUE"""),"Uncle Sams Cider (11/12/2021) 02")</f>
        <v>Uncle Sams Cider (11/12/2021) 02</v>
      </c>
      <c r="H2191" s="19"/>
    </row>
    <row r="2192">
      <c r="A2192" s="9"/>
      <c r="B2192" s="15"/>
      <c r="C2192" s="9">
        <f>IFERROR(__xludf.DUMMYFUNCTION("""COMPUTED_VALUE"""),44582.6774228356)</f>
        <v>44582.67742</v>
      </c>
      <c r="D2192" s="15">
        <f>IFERROR(__xludf.DUMMYFUNCTION("""COMPUTED_VALUE"""),1.006)</f>
        <v>1.006</v>
      </c>
      <c r="E2192" s="16">
        <f>IFERROR(__xludf.DUMMYFUNCTION("""COMPUTED_VALUE"""),66.0)</f>
        <v>66</v>
      </c>
      <c r="F2192" s="19" t="str">
        <f>IFERROR(__xludf.DUMMYFUNCTION("""COMPUTED_VALUE"""),"BLACK")</f>
        <v>BLACK</v>
      </c>
      <c r="G2192" s="20" t="str">
        <f>IFERROR(__xludf.DUMMYFUNCTION("""COMPUTED_VALUE"""),"Uncle Sams Cider (11/12/2021) 02")</f>
        <v>Uncle Sams Cider (11/12/2021) 02</v>
      </c>
      <c r="H2192" s="19"/>
    </row>
    <row r="2193">
      <c r="A2193" s="9"/>
      <c r="B2193" s="15"/>
      <c r="C2193" s="9">
        <f>IFERROR(__xludf.DUMMYFUNCTION("""COMPUTED_VALUE"""),44582.6670005902)</f>
        <v>44582.667</v>
      </c>
      <c r="D2193" s="15">
        <f>IFERROR(__xludf.DUMMYFUNCTION("""COMPUTED_VALUE"""),1.006)</f>
        <v>1.006</v>
      </c>
      <c r="E2193" s="16">
        <f>IFERROR(__xludf.DUMMYFUNCTION("""COMPUTED_VALUE"""),66.0)</f>
        <v>66</v>
      </c>
      <c r="F2193" s="19" t="str">
        <f>IFERROR(__xludf.DUMMYFUNCTION("""COMPUTED_VALUE"""),"BLACK")</f>
        <v>BLACK</v>
      </c>
      <c r="G2193" s="20" t="str">
        <f>IFERROR(__xludf.DUMMYFUNCTION("""COMPUTED_VALUE"""),"Uncle Sams Cider (11/12/2021) 02")</f>
        <v>Uncle Sams Cider (11/12/2021) 02</v>
      </c>
      <c r="H2193" s="19"/>
    </row>
    <row r="2194">
      <c r="A2194" s="9"/>
      <c r="B2194" s="15"/>
      <c r="C2194" s="9">
        <f>IFERROR(__xludf.DUMMYFUNCTION("""COMPUTED_VALUE"""),44582.6565565162)</f>
        <v>44582.65656</v>
      </c>
      <c r="D2194" s="15">
        <f>IFERROR(__xludf.DUMMYFUNCTION("""COMPUTED_VALUE"""),1.006)</f>
        <v>1.006</v>
      </c>
      <c r="E2194" s="16">
        <f>IFERROR(__xludf.DUMMYFUNCTION("""COMPUTED_VALUE"""),66.0)</f>
        <v>66</v>
      </c>
      <c r="F2194" s="19" t="str">
        <f>IFERROR(__xludf.DUMMYFUNCTION("""COMPUTED_VALUE"""),"BLACK")</f>
        <v>BLACK</v>
      </c>
      <c r="G2194" s="20" t="str">
        <f>IFERROR(__xludf.DUMMYFUNCTION("""COMPUTED_VALUE"""),"Uncle Sams Cider (11/12/2021) 02")</f>
        <v>Uncle Sams Cider (11/12/2021) 02</v>
      </c>
      <c r="H2194" s="19"/>
    </row>
    <row r="2195">
      <c r="A2195" s="9"/>
      <c r="B2195" s="15"/>
      <c r="C2195" s="9">
        <f>IFERROR(__xludf.DUMMYFUNCTION("""COMPUTED_VALUE"""),44582.6461343518)</f>
        <v>44582.64613</v>
      </c>
      <c r="D2195" s="15">
        <f>IFERROR(__xludf.DUMMYFUNCTION("""COMPUTED_VALUE"""),1.006)</f>
        <v>1.006</v>
      </c>
      <c r="E2195" s="16">
        <f>IFERROR(__xludf.DUMMYFUNCTION("""COMPUTED_VALUE"""),66.0)</f>
        <v>66</v>
      </c>
      <c r="F2195" s="19" t="str">
        <f>IFERROR(__xludf.DUMMYFUNCTION("""COMPUTED_VALUE"""),"BLACK")</f>
        <v>BLACK</v>
      </c>
      <c r="G2195" s="20" t="str">
        <f>IFERROR(__xludf.DUMMYFUNCTION("""COMPUTED_VALUE"""),"Uncle Sams Cider (11/12/2021) 02")</f>
        <v>Uncle Sams Cider (11/12/2021) 02</v>
      </c>
      <c r="H2195" s="19"/>
    </row>
    <row r="2196">
      <c r="A2196" s="9"/>
      <c r="B2196" s="15"/>
      <c r="C2196" s="9">
        <f>IFERROR(__xludf.DUMMYFUNCTION("""COMPUTED_VALUE"""),44582.6356914467)</f>
        <v>44582.63569</v>
      </c>
      <c r="D2196" s="15">
        <f>IFERROR(__xludf.DUMMYFUNCTION("""COMPUTED_VALUE"""),1.006)</f>
        <v>1.006</v>
      </c>
      <c r="E2196" s="16">
        <f>IFERROR(__xludf.DUMMYFUNCTION("""COMPUTED_VALUE"""),66.0)</f>
        <v>66</v>
      </c>
      <c r="F2196" s="19" t="str">
        <f>IFERROR(__xludf.DUMMYFUNCTION("""COMPUTED_VALUE"""),"BLACK")</f>
        <v>BLACK</v>
      </c>
      <c r="G2196" s="20" t="str">
        <f>IFERROR(__xludf.DUMMYFUNCTION("""COMPUTED_VALUE"""),"Uncle Sams Cider (11/12/2021) 02")</f>
        <v>Uncle Sams Cider (11/12/2021) 02</v>
      </c>
      <c r="H2196" s="19"/>
    </row>
    <row r="2197">
      <c r="A2197" s="9"/>
      <c r="B2197" s="15"/>
      <c r="C2197" s="9">
        <f>IFERROR(__xludf.DUMMYFUNCTION("""COMPUTED_VALUE"""),44582.6252714699)</f>
        <v>44582.62527</v>
      </c>
      <c r="D2197" s="15">
        <f>IFERROR(__xludf.DUMMYFUNCTION("""COMPUTED_VALUE"""),1.006)</f>
        <v>1.006</v>
      </c>
      <c r="E2197" s="16">
        <f>IFERROR(__xludf.DUMMYFUNCTION("""COMPUTED_VALUE"""),66.0)</f>
        <v>66</v>
      </c>
      <c r="F2197" s="19" t="str">
        <f>IFERROR(__xludf.DUMMYFUNCTION("""COMPUTED_VALUE"""),"BLACK")</f>
        <v>BLACK</v>
      </c>
      <c r="G2197" s="20" t="str">
        <f>IFERROR(__xludf.DUMMYFUNCTION("""COMPUTED_VALUE"""),"Uncle Sams Cider (11/12/2021) 02")</f>
        <v>Uncle Sams Cider (11/12/2021) 02</v>
      </c>
      <c r="H2197" s="19"/>
    </row>
    <row r="2198">
      <c r="A2198" s="9"/>
      <c r="B2198" s="15"/>
      <c r="C2198" s="9">
        <f>IFERROR(__xludf.DUMMYFUNCTION("""COMPUTED_VALUE"""),44582.6148394791)</f>
        <v>44582.61484</v>
      </c>
      <c r="D2198" s="15">
        <f>IFERROR(__xludf.DUMMYFUNCTION("""COMPUTED_VALUE"""),1.006)</f>
        <v>1.006</v>
      </c>
      <c r="E2198" s="16">
        <f>IFERROR(__xludf.DUMMYFUNCTION("""COMPUTED_VALUE"""),67.0)</f>
        <v>67</v>
      </c>
      <c r="F2198" s="19" t="str">
        <f>IFERROR(__xludf.DUMMYFUNCTION("""COMPUTED_VALUE"""),"BLACK")</f>
        <v>BLACK</v>
      </c>
      <c r="G2198" s="20" t="str">
        <f>IFERROR(__xludf.DUMMYFUNCTION("""COMPUTED_VALUE"""),"Uncle Sams Cider (11/12/2021) 02")</f>
        <v>Uncle Sams Cider (11/12/2021) 02</v>
      </c>
      <c r="H2198" s="19"/>
    </row>
    <row r="2199">
      <c r="A2199" s="9"/>
      <c r="B2199" s="15"/>
      <c r="C2199" s="9">
        <f>IFERROR(__xludf.DUMMYFUNCTION("""COMPUTED_VALUE"""),44582.6044158912)</f>
        <v>44582.60442</v>
      </c>
      <c r="D2199" s="15">
        <f>IFERROR(__xludf.DUMMYFUNCTION("""COMPUTED_VALUE"""),1.006)</f>
        <v>1.006</v>
      </c>
      <c r="E2199" s="16">
        <f>IFERROR(__xludf.DUMMYFUNCTION("""COMPUTED_VALUE"""),66.0)</f>
        <v>66</v>
      </c>
      <c r="F2199" s="19" t="str">
        <f>IFERROR(__xludf.DUMMYFUNCTION("""COMPUTED_VALUE"""),"BLACK")</f>
        <v>BLACK</v>
      </c>
      <c r="G2199" s="20" t="str">
        <f>IFERROR(__xludf.DUMMYFUNCTION("""COMPUTED_VALUE"""),"Uncle Sams Cider (11/12/2021) 02")</f>
        <v>Uncle Sams Cider (11/12/2021) 02</v>
      </c>
      <c r="H2199" s="19"/>
    </row>
    <row r="2200">
      <c r="A2200" s="9"/>
      <c r="B2200" s="15"/>
      <c r="C2200" s="9">
        <f>IFERROR(__xludf.DUMMYFUNCTION("""COMPUTED_VALUE"""),44582.5939928703)</f>
        <v>44582.59399</v>
      </c>
      <c r="D2200" s="15">
        <f>IFERROR(__xludf.DUMMYFUNCTION("""COMPUTED_VALUE"""),1.006)</f>
        <v>1.006</v>
      </c>
      <c r="E2200" s="16">
        <f>IFERROR(__xludf.DUMMYFUNCTION("""COMPUTED_VALUE"""),67.0)</f>
        <v>67</v>
      </c>
      <c r="F2200" s="19" t="str">
        <f>IFERROR(__xludf.DUMMYFUNCTION("""COMPUTED_VALUE"""),"BLACK")</f>
        <v>BLACK</v>
      </c>
      <c r="G2200" s="20" t="str">
        <f>IFERROR(__xludf.DUMMYFUNCTION("""COMPUTED_VALUE"""),"Uncle Sams Cider (11/12/2021) 02")</f>
        <v>Uncle Sams Cider (11/12/2021) 02</v>
      </c>
      <c r="H2200" s="19"/>
    </row>
    <row r="2201">
      <c r="A2201" s="9"/>
      <c r="B2201" s="15"/>
      <c r="C2201" s="9">
        <f>IFERROR(__xludf.DUMMYFUNCTION("""COMPUTED_VALUE"""),44582.5835362268)</f>
        <v>44582.58354</v>
      </c>
      <c r="D2201" s="15">
        <f>IFERROR(__xludf.DUMMYFUNCTION("""COMPUTED_VALUE"""),1.006)</f>
        <v>1.006</v>
      </c>
      <c r="E2201" s="16">
        <f>IFERROR(__xludf.DUMMYFUNCTION("""COMPUTED_VALUE"""),67.0)</f>
        <v>67</v>
      </c>
      <c r="F2201" s="19" t="str">
        <f>IFERROR(__xludf.DUMMYFUNCTION("""COMPUTED_VALUE"""),"BLACK")</f>
        <v>BLACK</v>
      </c>
      <c r="G2201" s="20" t="str">
        <f>IFERROR(__xludf.DUMMYFUNCTION("""COMPUTED_VALUE"""),"Uncle Sams Cider (11/12/2021) 02")</f>
        <v>Uncle Sams Cider (11/12/2021) 02</v>
      </c>
      <c r="H2201" s="19"/>
    </row>
    <row r="2202">
      <c r="A2202" s="9"/>
      <c r="B2202" s="15"/>
      <c r="C2202" s="9">
        <f>IFERROR(__xludf.DUMMYFUNCTION("""COMPUTED_VALUE"""),44582.5731031481)</f>
        <v>44582.5731</v>
      </c>
      <c r="D2202" s="15">
        <f>IFERROR(__xludf.DUMMYFUNCTION("""COMPUTED_VALUE"""),1.006)</f>
        <v>1.006</v>
      </c>
      <c r="E2202" s="16">
        <f>IFERROR(__xludf.DUMMYFUNCTION("""COMPUTED_VALUE"""),67.0)</f>
        <v>67</v>
      </c>
      <c r="F2202" s="19" t="str">
        <f>IFERROR(__xludf.DUMMYFUNCTION("""COMPUTED_VALUE"""),"BLACK")</f>
        <v>BLACK</v>
      </c>
      <c r="G2202" s="20" t="str">
        <f>IFERROR(__xludf.DUMMYFUNCTION("""COMPUTED_VALUE"""),"Uncle Sams Cider (11/12/2021) 02")</f>
        <v>Uncle Sams Cider (11/12/2021) 02</v>
      </c>
      <c r="H2202" s="19"/>
    </row>
    <row r="2203">
      <c r="A2203" s="9"/>
      <c r="B2203" s="15"/>
      <c r="C2203" s="9">
        <f>IFERROR(__xludf.DUMMYFUNCTION("""COMPUTED_VALUE"""),44582.5626823958)</f>
        <v>44582.56268</v>
      </c>
      <c r="D2203" s="15">
        <f>IFERROR(__xludf.DUMMYFUNCTION("""COMPUTED_VALUE"""),1.005)</f>
        <v>1.005</v>
      </c>
      <c r="E2203" s="16">
        <f>IFERROR(__xludf.DUMMYFUNCTION("""COMPUTED_VALUE"""),67.0)</f>
        <v>67</v>
      </c>
      <c r="F2203" s="19" t="str">
        <f>IFERROR(__xludf.DUMMYFUNCTION("""COMPUTED_VALUE"""),"BLACK")</f>
        <v>BLACK</v>
      </c>
      <c r="G2203" s="20" t="str">
        <f>IFERROR(__xludf.DUMMYFUNCTION("""COMPUTED_VALUE"""),"Uncle Sams Cider (11/12/2021) 02")</f>
        <v>Uncle Sams Cider (11/12/2021) 02</v>
      </c>
      <c r="H2203" s="19"/>
    </row>
    <row r="2204">
      <c r="A2204" s="9"/>
      <c r="B2204" s="15"/>
      <c r="C2204" s="9">
        <f>IFERROR(__xludf.DUMMYFUNCTION("""COMPUTED_VALUE"""),44582.5522594791)</f>
        <v>44582.55226</v>
      </c>
      <c r="D2204" s="15">
        <f>IFERROR(__xludf.DUMMYFUNCTION("""COMPUTED_VALUE"""),1.006)</f>
        <v>1.006</v>
      </c>
      <c r="E2204" s="16">
        <f>IFERROR(__xludf.DUMMYFUNCTION("""COMPUTED_VALUE"""),67.0)</f>
        <v>67</v>
      </c>
      <c r="F2204" s="19" t="str">
        <f>IFERROR(__xludf.DUMMYFUNCTION("""COMPUTED_VALUE"""),"BLACK")</f>
        <v>BLACK</v>
      </c>
      <c r="G2204" s="20" t="str">
        <f>IFERROR(__xludf.DUMMYFUNCTION("""COMPUTED_VALUE"""),"Uncle Sams Cider (11/12/2021) 02")</f>
        <v>Uncle Sams Cider (11/12/2021) 02</v>
      </c>
      <c r="H2204" s="19"/>
    </row>
    <row r="2205">
      <c r="A2205" s="9"/>
      <c r="B2205" s="15"/>
      <c r="C2205" s="9">
        <f>IFERROR(__xludf.DUMMYFUNCTION("""COMPUTED_VALUE"""),44582.541836655)</f>
        <v>44582.54184</v>
      </c>
      <c r="D2205" s="15">
        <f>IFERROR(__xludf.DUMMYFUNCTION("""COMPUTED_VALUE"""),1.006)</f>
        <v>1.006</v>
      </c>
      <c r="E2205" s="16">
        <f>IFERROR(__xludf.DUMMYFUNCTION("""COMPUTED_VALUE"""),67.0)</f>
        <v>67</v>
      </c>
      <c r="F2205" s="19" t="str">
        <f>IFERROR(__xludf.DUMMYFUNCTION("""COMPUTED_VALUE"""),"BLACK")</f>
        <v>BLACK</v>
      </c>
      <c r="G2205" s="20" t="str">
        <f>IFERROR(__xludf.DUMMYFUNCTION("""COMPUTED_VALUE"""),"Uncle Sams Cider (11/12/2021) 02")</f>
        <v>Uncle Sams Cider (11/12/2021) 02</v>
      </c>
      <c r="H2205" s="19"/>
    </row>
    <row r="2206">
      <c r="A2206" s="9"/>
      <c r="B2206" s="15"/>
      <c r="C2206" s="9">
        <f>IFERROR(__xludf.DUMMYFUNCTION("""COMPUTED_VALUE"""),44582.5314153587)</f>
        <v>44582.53142</v>
      </c>
      <c r="D2206" s="15">
        <f>IFERROR(__xludf.DUMMYFUNCTION("""COMPUTED_VALUE"""),1.006)</f>
        <v>1.006</v>
      </c>
      <c r="E2206" s="16">
        <f>IFERROR(__xludf.DUMMYFUNCTION("""COMPUTED_VALUE"""),67.0)</f>
        <v>67</v>
      </c>
      <c r="F2206" s="19" t="str">
        <f>IFERROR(__xludf.DUMMYFUNCTION("""COMPUTED_VALUE"""),"BLACK")</f>
        <v>BLACK</v>
      </c>
      <c r="G2206" s="20" t="str">
        <f>IFERROR(__xludf.DUMMYFUNCTION("""COMPUTED_VALUE"""),"Uncle Sams Cider (11/12/2021) 02")</f>
        <v>Uncle Sams Cider (11/12/2021) 02</v>
      </c>
      <c r="H2206" s="19"/>
    </row>
    <row r="2207">
      <c r="A2207" s="9"/>
      <c r="B2207" s="15"/>
      <c r="C2207" s="9">
        <f>IFERROR(__xludf.DUMMYFUNCTION("""COMPUTED_VALUE"""),44582.5209830787)</f>
        <v>44582.52098</v>
      </c>
      <c r="D2207" s="15">
        <f>IFERROR(__xludf.DUMMYFUNCTION("""COMPUTED_VALUE"""),1.005)</f>
        <v>1.005</v>
      </c>
      <c r="E2207" s="16">
        <f>IFERROR(__xludf.DUMMYFUNCTION("""COMPUTED_VALUE"""),67.0)</f>
        <v>67</v>
      </c>
      <c r="F2207" s="19" t="str">
        <f>IFERROR(__xludf.DUMMYFUNCTION("""COMPUTED_VALUE"""),"BLACK")</f>
        <v>BLACK</v>
      </c>
      <c r="G2207" s="20" t="str">
        <f>IFERROR(__xludf.DUMMYFUNCTION("""COMPUTED_VALUE"""),"Uncle Sams Cider (11/12/2021) 02")</f>
        <v>Uncle Sams Cider (11/12/2021) 02</v>
      </c>
      <c r="H2207" s="19"/>
    </row>
    <row r="2208">
      <c r="A2208" s="9"/>
      <c r="B2208" s="15"/>
      <c r="C2208" s="9">
        <f>IFERROR(__xludf.DUMMYFUNCTION("""COMPUTED_VALUE"""),44582.510525625)</f>
        <v>44582.51053</v>
      </c>
      <c r="D2208" s="15">
        <f>IFERROR(__xludf.DUMMYFUNCTION("""COMPUTED_VALUE"""),1.006)</f>
        <v>1.006</v>
      </c>
      <c r="E2208" s="16">
        <f>IFERROR(__xludf.DUMMYFUNCTION("""COMPUTED_VALUE"""),67.0)</f>
        <v>67</v>
      </c>
      <c r="F2208" s="19" t="str">
        <f>IFERROR(__xludf.DUMMYFUNCTION("""COMPUTED_VALUE"""),"BLACK")</f>
        <v>BLACK</v>
      </c>
      <c r="G2208" s="20" t="str">
        <f>IFERROR(__xludf.DUMMYFUNCTION("""COMPUTED_VALUE"""),"Uncle Sams Cider (11/12/2021) 02")</f>
        <v>Uncle Sams Cider (11/12/2021) 02</v>
      </c>
      <c r="H2208" s="19"/>
    </row>
    <row r="2209">
      <c r="A2209" s="9"/>
      <c r="B2209" s="15"/>
      <c r="C2209" s="9">
        <f>IFERROR(__xludf.DUMMYFUNCTION("""COMPUTED_VALUE"""),44582.5001058796)</f>
        <v>44582.50011</v>
      </c>
      <c r="D2209" s="15">
        <f>IFERROR(__xludf.DUMMYFUNCTION("""COMPUTED_VALUE"""),1.006)</f>
        <v>1.006</v>
      </c>
      <c r="E2209" s="16">
        <f>IFERROR(__xludf.DUMMYFUNCTION("""COMPUTED_VALUE"""),67.0)</f>
        <v>67</v>
      </c>
      <c r="F2209" s="19" t="str">
        <f>IFERROR(__xludf.DUMMYFUNCTION("""COMPUTED_VALUE"""),"BLACK")</f>
        <v>BLACK</v>
      </c>
      <c r="G2209" s="20" t="str">
        <f>IFERROR(__xludf.DUMMYFUNCTION("""COMPUTED_VALUE"""),"Uncle Sams Cider (11/12/2021) 02")</f>
        <v>Uncle Sams Cider (11/12/2021) 02</v>
      </c>
      <c r="H2209" s="19"/>
    </row>
    <row r="2210">
      <c r="A2210" s="9"/>
      <c r="B2210" s="15"/>
      <c r="C2210" s="9">
        <f>IFERROR(__xludf.DUMMYFUNCTION("""COMPUTED_VALUE"""),44582.4896858333)</f>
        <v>44582.48969</v>
      </c>
      <c r="D2210" s="15">
        <f>IFERROR(__xludf.DUMMYFUNCTION("""COMPUTED_VALUE"""),1.006)</f>
        <v>1.006</v>
      </c>
      <c r="E2210" s="16">
        <f>IFERROR(__xludf.DUMMYFUNCTION("""COMPUTED_VALUE"""),67.0)</f>
        <v>67</v>
      </c>
      <c r="F2210" s="19" t="str">
        <f>IFERROR(__xludf.DUMMYFUNCTION("""COMPUTED_VALUE"""),"BLACK")</f>
        <v>BLACK</v>
      </c>
      <c r="G2210" s="20" t="str">
        <f>IFERROR(__xludf.DUMMYFUNCTION("""COMPUTED_VALUE"""),"Uncle Sams Cider (11/12/2021) 02")</f>
        <v>Uncle Sams Cider (11/12/2021) 02</v>
      </c>
      <c r="H2210" s="19"/>
    </row>
    <row r="2211">
      <c r="A2211" s="9"/>
      <c r="B2211" s="15"/>
      <c r="C2211" s="9">
        <f>IFERROR(__xludf.DUMMYFUNCTION("""COMPUTED_VALUE"""),44582.4792540509)</f>
        <v>44582.47925</v>
      </c>
      <c r="D2211" s="15">
        <f>IFERROR(__xludf.DUMMYFUNCTION("""COMPUTED_VALUE"""),1.006)</f>
        <v>1.006</v>
      </c>
      <c r="E2211" s="16">
        <f>IFERROR(__xludf.DUMMYFUNCTION("""COMPUTED_VALUE"""),67.0)</f>
        <v>67</v>
      </c>
      <c r="F2211" s="19" t="str">
        <f>IFERROR(__xludf.DUMMYFUNCTION("""COMPUTED_VALUE"""),"BLACK")</f>
        <v>BLACK</v>
      </c>
      <c r="G2211" s="20" t="str">
        <f>IFERROR(__xludf.DUMMYFUNCTION("""COMPUTED_VALUE"""),"Uncle Sams Cider (11/12/2021) 02")</f>
        <v>Uncle Sams Cider (11/12/2021) 02</v>
      </c>
      <c r="H2211" s="19"/>
    </row>
    <row r="2212">
      <c r="A2212" s="9"/>
      <c r="B2212" s="15"/>
      <c r="C2212" s="9">
        <f>IFERROR(__xludf.DUMMYFUNCTION("""COMPUTED_VALUE"""),44582.4688331712)</f>
        <v>44582.46883</v>
      </c>
      <c r="D2212" s="15">
        <f>IFERROR(__xludf.DUMMYFUNCTION("""COMPUTED_VALUE"""),1.005)</f>
        <v>1.005</v>
      </c>
      <c r="E2212" s="16">
        <f>IFERROR(__xludf.DUMMYFUNCTION("""COMPUTED_VALUE"""),67.0)</f>
        <v>67</v>
      </c>
      <c r="F2212" s="19" t="str">
        <f>IFERROR(__xludf.DUMMYFUNCTION("""COMPUTED_VALUE"""),"BLACK")</f>
        <v>BLACK</v>
      </c>
      <c r="G2212" s="20" t="str">
        <f>IFERROR(__xludf.DUMMYFUNCTION("""COMPUTED_VALUE"""),"Uncle Sams Cider (11/12/2021) 02")</f>
        <v>Uncle Sams Cider (11/12/2021) 02</v>
      </c>
      <c r="H2212" s="19"/>
    </row>
    <row r="2213">
      <c r="A2213" s="9"/>
      <c r="B2213" s="15"/>
      <c r="C2213" s="9">
        <f>IFERROR(__xludf.DUMMYFUNCTION("""COMPUTED_VALUE"""),44582.458387824)</f>
        <v>44582.45839</v>
      </c>
      <c r="D2213" s="15">
        <f>IFERROR(__xludf.DUMMYFUNCTION("""COMPUTED_VALUE"""),1.005)</f>
        <v>1.005</v>
      </c>
      <c r="E2213" s="16">
        <f>IFERROR(__xludf.DUMMYFUNCTION("""COMPUTED_VALUE"""),67.0)</f>
        <v>67</v>
      </c>
      <c r="F2213" s="19" t="str">
        <f>IFERROR(__xludf.DUMMYFUNCTION("""COMPUTED_VALUE"""),"BLACK")</f>
        <v>BLACK</v>
      </c>
      <c r="G2213" s="20" t="str">
        <f>IFERROR(__xludf.DUMMYFUNCTION("""COMPUTED_VALUE"""),"Uncle Sams Cider (11/12/2021) 02")</f>
        <v>Uncle Sams Cider (11/12/2021) 02</v>
      </c>
      <c r="H2213" s="19"/>
    </row>
    <row r="2214">
      <c r="A2214" s="9"/>
      <c r="B2214" s="15"/>
      <c r="C2214" s="9">
        <f>IFERROR(__xludf.DUMMYFUNCTION("""COMPUTED_VALUE"""),44582.4479679398)</f>
        <v>44582.44797</v>
      </c>
      <c r="D2214" s="15">
        <f>IFERROR(__xludf.DUMMYFUNCTION("""COMPUTED_VALUE"""),1.006)</f>
        <v>1.006</v>
      </c>
      <c r="E2214" s="16">
        <f>IFERROR(__xludf.DUMMYFUNCTION("""COMPUTED_VALUE"""),67.0)</f>
        <v>67</v>
      </c>
      <c r="F2214" s="19" t="str">
        <f>IFERROR(__xludf.DUMMYFUNCTION("""COMPUTED_VALUE"""),"BLACK")</f>
        <v>BLACK</v>
      </c>
      <c r="G2214" s="20" t="str">
        <f>IFERROR(__xludf.DUMMYFUNCTION("""COMPUTED_VALUE"""),"Uncle Sams Cider (11/12/2021) 02")</f>
        <v>Uncle Sams Cider (11/12/2021) 02</v>
      </c>
      <c r="H2214" s="19"/>
    </row>
    <row r="2215">
      <c r="A2215" s="9"/>
      <c r="B2215" s="15"/>
      <c r="C2215" s="9">
        <f>IFERROR(__xludf.DUMMYFUNCTION("""COMPUTED_VALUE"""),44582.4375352199)</f>
        <v>44582.43754</v>
      </c>
      <c r="D2215" s="15">
        <f>IFERROR(__xludf.DUMMYFUNCTION("""COMPUTED_VALUE"""),1.006)</f>
        <v>1.006</v>
      </c>
      <c r="E2215" s="16">
        <f>IFERROR(__xludf.DUMMYFUNCTION("""COMPUTED_VALUE"""),67.0)</f>
        <v>67</v>
      </c>
      <c r="F2215" s="19" t="str">
        <f>IFERROR(__xludf.DUMMYFUNCTION("""COMPUTED_VALUE"""),"BLACK")</f>
        <v>BLACK</v>
      </c>
      <c r="G2215" s="20" t="str">
        <f>IFERROR(__xludf.DUMMYFUNCTION("""COMPUTED_VALUE"""),"Uncle Sams Cider (11/12/2021) 02")</f>
        <v>Uncle Sams Cider (11/12/2021) 02</v>
      </c>
      <c r="H2215" s="19"/>
    </row>
    <row r="2216">
      <c r="A2216" s="9"/>
      <c r="B2216" s="15"/>
      <c r="C2216" s="9">
        <f>IFERROR(__xludf.DUMMYFUNCTION("""COMPUTED_VALUE"""),44582.4271012384)</f>
        <v>44582.4271</v>
      </c>
      <c r="D2216" s="15">
        <f>IFERROR(__xludf.DUMMYFUNCTION("""COMPUTED_VALUE"""),1.006)</f>
        <v>1.006</v>
      </c>
      <c r="E2216" s="16">
        <f>IFERROR(__xludf.DUMMYFUNCTION("""COMPUTED_VALUE"""),67.0)</f>
        <v>67</v>
      </c>
      <c r="F2216" s="19" t="str">
        <f>IFERROR(__xludf.DUMMYFUNCTION("""COMPUTED_VALUE"""),"BLACK")</f>
        <v>BLACK</v>
      </c>
      <c r="G2216" s="20" t="str">
        <f>IFERROR(__xludf.DUMMYFUNCTION("""COMPUTED_VALUE"""),"Uncle Sams Cider (11/12/2021) 02")</f>
        <v>Uncle Sams Cider (11/12/2021) 02</v>
      </c>
      <c r="H2216" s="19"/>
    </row>
    <row r="2217">
      <c r="A2217" s="9"/>
      <c r="B2217" s="15"/>
      <c r="C2217" s="9">
        <f>IFERROR(__xludf.DUMMYFUNCTION("""COMPUTED_VALUE"""),44582.4166803587)</f>
        <v>44582.41668</v>
      </c>
      <c r="D2217" s="15">
        <f>IFERROR(__xludf.DUMMYFUNCTION("""COMPUTED_VALUE"""),1.006)</f>
        <v>1.006</v>
      </c>
      <c r="E2217" s="16">
        <f>IFERROR(__xludf.DUMMYFUNCTION("""COMPUTED_VALUE"""),67.0)</f>
        <v>67</v>
      </c>
      <c r="F2217" s="19" t="str">
        <f>IFERROR(__xludf.DUMMYFUNCTION("""COMPUTED_VALUE"""),"BLACK")</f>
        <v>BLACK</v>
      </c>
      <c r="G2217" s="20" t="str">
        <f>IFERROR(__xludf.DUMMYFUNCTION("""COMPUTED_VALUE"""),"Uncle Sams Cider (11/12/2021) 02")</f>
        <v>Uncle Sams Cider (11/12/2021) 02</v>
      </c>
      <c r="H2217" s="19"/>
    </row>
    <row r="2218">
      <c r="A2218" s="9"/>
      <c r="B2218" s="15"/>
      <c r="C2218" s="9">
        <f>IFERROR(__xludf.DUMMYFUNCTION("""COMPUTED_VALUE"""),44582.4062229745)</f>
        <v>44582.40622</v>
      </c>
      <c r="D2218" s="15">
        <f>IFERROR(__xludf.DUMMYFUNCTION("""COMPUTED_VALUE"""),1.006)</f>
        <v>1.006</v>
      </c>
      <c r="E2218" s="16">
        <f>IFERROR(__xludf.DUMMYFUNCTION("""COMPUTED_VALUE"""),67.0)</f>
        <v>67</v>
      </c>
      <c r="F2218" s="19" t="str">
        <f>IFERROR(__xludf.DUMMYFUNCTION("""COMPUTED_VALUE"""),"BLACK")</f>
        <v>BLACK</v>
      </c>
      <c r="G2218" s="20" t="str">
        <f>IFERROR(__xludf.DUMMYFUNCTION("""COMPUTED_VALUE"""),"Uncle Sams Cider (11/12/2021) 02")</f>
        <v>Uncle Sams Cider (11/12/2021) 02</v>
      </c>
      <c r="H2218" s="19"/>
    </row>
    <row r="2219">
      <c r="A2219" s="9"/>
      <c r="B2219" s="15"/>
      <c r="C2219" s="9">
        <f>IFERROR(__xludf.DUMMYFUNCTION("""COMPUTED_VALUE"""),44582.3958006944)</f>
        <v>44582.3958</v>
      </c>
      <c r="D2219" s="15">
        <f>IFERROR(__xludf.DUMMYFUNCTION("""COMPUTED_VALUE"""),1.006)</f>
        <v>1.006</v>
      </c>
      <c r="E2219" s="16">
        <f>IFERROR(__xludf.DUMMYFUNCTION("""COMPUTED_VALUE"""),67.0)</f>
        <v>67</v>
      </c>
      <c r="F2219" s="19" t="str">
        <f>IFERROR(__xludf.DUMMYFUNCTION("""COMPUTED_VALUE"""),"BLACK")</f>
        <v>BLACK</v>
      </c>
      <c r="G2219" s="20" t="str">
        <f>IFERROR(__xludf.DUMMYFUNCTION("""COMPUTED_VALUE"""),"Uncle Sams Cider (11/12/2021) 02")</f>
        <v>Uncle Sams Cider (11/12/2021) 02</v>
      </c>
      <c r="H2219" s="19"/>
    </row>
    <row r="2220">
      <c r="A2220" s="9"/>
      <c r="B2220" s="15"/>
      <c r="C2220" s="9">
        <f>IFERROR(__xludf.DUMMYFUNCTION("""COMPUTED_VALUE"""),44582.3853791203)</f>
        <v>44582.38538</v>
      </c>
      <c r="D2220" s="15">
        <f>IFERROR(__xludf.DUMMYFUNCTION("""COMPUTED_VALUE"""),1.006)</f>
        <v>1.006</v>
      </c>
      <c r="E2220" s="16">
        <f>IFERROR(__xludf.DUMMYFUNCTION("""COMPUTED_VALUE"""),67.0)</f>
        <v>67</v>
      </c>
      <c r="F2220" s="19" t="str">
        <f>IFERROR(__xludf.DUMMYFUNCTION("""COMPUTED_VALUE"""),"BLACK")</f>
        <v>BLACK</v>
      </c>
      <c r="G2220" s="20" t="str">
        <f>IFERROR(__xludf.DUMMYFUNCTION("""COMPUTED_VALUE"""),"Uncle Sams Cider (11/12/2021) 02")</f>
        <v>Uncle Sams Cider (11/12/2021) 02</v>
      </c>
      <c r="H2220" s="19"/>
    </row>
    <row r="2221">
      <c r="A2221" s="9"/>
      <c r="B2221" s="15"/>
      <c r="C2221" s="9">
        <f>IFERROR(__xludf.DUMMYFUNCTION("""COMPUTED_VALUE"""),44582.3749481249)</f>
        <v>44582.37495</v>
      </c>
      <c r="D2221" s="15">
        <f>IFERROR(__xludf.DUMMYFUNCTION("""COMPUTED_VALUE"""),1.006)</f>
        <v>1.006</v>
      </c>
      <c r="E2221" s="16">
        <f>IFERROR(__xludf.DUMMYFUNCTION("""COMPUTED_VALUE"""),67.0)</f>
        <v>67</v>
      </c>
      <c r="F2221" s="19" t="str">
        <f>IFERROR(__xludf.DUMMYFUNCTION("""COMPUTED_VALUE"""),"BLACK")</f>
        <v>BLACK</v>
      </c>
      <c r="G2221" s="20" t="str">
        <f>IFERROR(__xludf.DUMMYFUNCTION("""COMPUTED_VALUE"""),"Uncle Sams Cider (11/12/2021) 02")</f>
        <v>Uncle Sams Cider (11/12/2021) 02</v>
      </c>
      <c r="H2221" s="19"/>
    </row>
    <row r="2222">
      <c r="A2222" s="9"/>
      <c r="B2222" s="15"/>
      <c r="C2222" s="9">
        <f>IFERROR(__xludf.DUMMYFUNCTION("""COMPUTED_VALUE"""),44582.3645263425)</f>
        <v>44582.36453</v>
      </c>
      <c r="D2222" s="15">
        <f>IFERROR(__xludf.DUMMYFUNCTION("""COMPUTED_VALUE"""),1.006)</f>
        <v>1.006</v>
      </c>
      <c r="E2222" s="16">
        <f>IFERROR(__xludf.DUMMYFUNCTION("""COMPUTED_VALUE"""),67.0)</f>
        <v>67</v>
      </c>
      <c r="F2222" s="19" t="str">
        <f>IFERROR(__xludf.DUMMYFUNCTION("""COMPUTED_VALUE"""),"BLACK")</f>
        <v>BLACK</v>
      </c>
      <c r="G2222" s="20" t="str">
        <f>IFERROR(__xludf.DUMMYFUNCTION("""COMPUTED_VALUE"""),"Uncle Sams Cider (11/12/2021) 02")</f>
        <v>Uncle Sams Cider (11/12/2021) 02</v>
      </c>
      <c r="H2222" s="19"/>
    </row>
    <row r="2223">
      <c r="A2223" s="9"/>
      <c r="B2223" s="15"/>
      <c r="C2223" s="9">
        <f>IFERROR(__xludf.DUMMYFUNCTION("""COMPUTED_VALUE"""),44582.3540952777)</f>
        <v>44582.3541</v>
      </c>
      <c r="D2223" s="15">
        <f>IFERROR(__xludf.DUMMYFUNCTION("""COMPUTED_VALUE"""),1.006)</f>
        <v>1.006</v>
      </c>
      <c r="E2223" s="16">
        <f>IFERROR(__xludf.DUMMYFUNCTION("""COMPUTED_VALUE"""),68.0)</f>
        <v>68</v>
      </c>
      <c r="F2223" s="19" t="str">
        <f>IFERROR(__xludf.DUMMYFUNCTION("""COMPUTED_VALUE"""),"BLACK")</f>
        <v>BLACK</v>
      </c>
      <c r="G2223" s="20" t="str">
        <f>IFERROR(__xludf.DUMMYFUNCTION("""COMPUTED_VALUE"""),"Uncle Sams Cider (11/12/2021) 02")</f>
        <v>Uncle Sams Cider (11/12/2021) 02</v>
      </c>
      <c r="H2223" s="19"/>
    </row>
    <row r="2224">
      <c r="A2224" s="9"/>
      <c r="B2224" s="15"/>
      <c r="C2224" s="9">
        <f>IFERROR(__xludf.DUMMYFUNCTION("""COMPUTED_VALUE"""),44582.3436503587)</f>
        <v>44582.34365</v>
      </c>
      <c r="D2224" s="15">
        <f>IFERROR(__xludf.DUMMYFUNCTION("""COMPUTED_VALUE"""),1.006)</f>
        <v>1.006</v>
      </c>
      <c r="E2224" s="16">
        <f>IFERROR(__xludf.DUMMYFUNCTION("""COMPUTED_VALUE"""),68.0)</f>
        <v>68</v>
      </c>
      <c r="F2224" s="19" t="str">
        <f>IFERROR(__xludf.DUMMYFUNCTION("""COMPUTED_VALUE"""),"BLACK")</f>
        <v>BLACK</v>
      </c>
      <c r="G2224" s="20" t="str">
        <f>IFERROR(__xludf.DUMMYFUNCTION("""COMPUTED_VALUE"""),"Uncle Sams Cider (11/12/2021) 02")</f>
        <v>Uncle Sams Cider (11/12/2021) 02</v>
      </c>
      <c r="H2224" s="19"/>
    </row>
    <row r="2225">
      <c r="A2225" s="9"/>
      <c r="B2225" s="15"/>
      <c r="C2225" s="9">
        <f>IFERROR(__xludf.DUMMYFUNCTION("""COMPUTED_VALUE"""),44582.3332278356)</f>
        <v>44582.33323</v>
      </c>
      <c r="D2225" s="15">
        <f>IFERROR(__xludf.DUMMYFUNCTION("""COMPUTED_VALUE"""),1.005)</f>
        <v>1.005</v>
      </c>
      <c r="E2225" s="16">
        <f>IFERROR(__xludf.DUMMYFUNCTION("""COMPUTED_VALUE"""),68.0)</f>
        <v>68</v>
      </c>
      <c r="F2225" s="19" t="str">
        <f>IFERROR(__xludf.DUMMYFUNCTION("""COMPUTED_VALUE"""),"BLACK")</f>
        <v>BLACK</v>
      </c>
      <c r="G2225" s="20" t="str">
        <f>IFERROR(__xludf.DUMMYFUNCTION("""COMPUTED_VALUE"""),"Uncle Sams Cider (11/12/2021) 02")</f>
        <v>Uncle Sams Cider (11/12/2021) 02</v>
      </c>
      <c r="H2225" s="19"/>
    </row>
    <row r="2226">
      <c r="A2226" s="9"/>
      <c r="B2226" s="15"/>
      <c r="C2226" s="9">
        <f>IFERROR(__xludf.DUMMYFUNCTION("""COMPUTED_VALUE"""),44582.322807662)</f>
        <v>44582.32281</v>
      </c>
      <c r="D2226" s="15">
        <f>IFERROR(__xludf.DUMMYFUNCTION("""COMPUTED_VALUE"""),1.006)</f>
        <v>1.006</v>
      </c>
      <c r="E2226" s="16">
        <f>IFERROR(__xludf.DUMMYFUNCTION("""COMPUTED_VALUE"""),68.0)</f>
        <v>68</v>
      </c>
      <c r="F2226" s="19" t="str">
        <f>IFERROR(__xludf.DUMMYFUNCTION("""COMPUTED_VALUE"""),"BLACK")</f>
        <v>BLACK</v>
      </c>
      <c r="G2226" s="20" t="str">
        <f>IFERROR(__xludf.DUMMYFUNCTION("""COMPUTED_VALUE"""),"Uncle Sams Cider (11/12/2021) 02")</f>
        <v>Uncle Sams Cider (11/12/2021) 02</v>
      </c>
      <c r="H2226" s="19"/>
    </row>
    <row r="2227">
      <c r="A2227" s="9"/>
      <c r="B2227" s="15"/>
      <c r="C2227" s="9">
        <f>IFERROR(__xludf.DUMMYFUNCTION("""COMPUTED_VALUE"""),44582.3123848842)</f>
        <v>44582.31238</v>
      </c>
      <c r="D2227" s="15">
        <f>IFERROR(__xludf.DUMMYFUNCTION("""COMPUTED_VALUE"""),1.006)</f>
        <v>1.006</v>
      </c>
      <c r="E2227" s="16">
        <f>IFERROR(__xludf.DUMMYFUNCTION("""COMPUTED_VALUE"""),67.0)</f>
        <v>67</v>
      </c>
      <c r="F2227" s="19" t="str">
        <f>IFERROR(__xludf.DUMMYFUNCTION("""COMPUTED_VALUE"""),"BLACK")</f>
        <v>BLACK</v>
      </c>
      <c r="G2227" s="20" t="str">
        <f>IFERROR(__xludf.DUMMYFUNCTION("""COMPUTED_VALUE"""),"Uncle Sams Cider (11/12/2021) 02")</f>
        <v>Uncle Sams Cider (11/12/2021) 02</v>
      </c>
      <c r="H2227" s="19"/>
    </row>
    <row r="2228">
      <c r="A2228" s="9"/>
      <c r="B2228" s="15"/>
      <c r="C2228" s="9">
        <f>IFERROR(__xludf.DUMMYFUNCTION("""COMPUTED_VALUE"""),44582.3019526504)</f>
        <v>44582.30195</v>
      </c>
      <c r="D2228" s="15">
        <f>IFERROR(__xludf.DUMMYFUNCTION("""COMPUTED_VALUE"""),1.006)</f>
        <v>1.006</v>
      </c>
      <c r="E2228" s="16">
        <f>IFERROR(__xludf.DUMMYFUNCTION("""COMPUTED_VALUE"""),67.0)</f>
        <v>67</v>
      </c>
      <c r="F2228" s="19" t="str">
        <f>IFERROR(__xludf.DUMMYFUNCTION("""COMPUTED_VALUE"""),"BLACK")</f>
        <v>BLACK</v>
      </c>
      <c r="G2228" s="20" t="str">
        <f>IFERROR(__xludf.DUMMYFUNCTION("""COMPUTED_VALUE"""),"Uncle Sams Cider (11/12/2021) 02")</f>
        <v>Uncle Sams Cider (11/12/2021) 02</v>
      </c>
      <c r="H2228" s="19"/>
    </row>
    <row r="2229">
      <c r="A2229" s="9"/>
      <c r="B2229" s="15"/>
      <c r="C2229" s="9">
        <f>IFERROR(__xludf.DUMMYFUNCTION("""COMPUTED_VALUE"""),44582.2915310185)</f>
        <v>44582.29153</v>
      </c>
      <c r="D2229" s="15">
        <f>IFERROR(__xludf.DUMMYFUNCTION("""COMPUTED_VALUE"""),1.005)</f>
        <v>1.005</v>
      </c>
      <c r="E2229" s="16">
        <f>IFERROR(__xludf.DUMMYFUNCTION("""COMPUTED_VALUE"""),66.0)</f>
        <v>66</v>
      </c>
      <c r="F2229" s="19" t="str">
        <f>IFERROR(__xludf.DUMMYFUNCTION("""COMPUTED_VALUE"""),"BLACK")</f>
        <v>BLACK</v>
      </c>
      <c r="G2229" s="20" t="str">
        <f>IFERROR(__xludf.DUMMYFUNCTION("""COMPUTED_VALUE"""),"Uncle Sams Cider (11/12/2021) 02")</f>
        <v>Uncle Sams Cider (11/12/2021) 02</v>
      </c>
      <c r="H2229" s="19"/>
    </row>
    <row r="2230">
      <c r="A2230" s="9"/>
      <c r="B2230" s="15"/>
      <c r="C2230" s="9">
        <f>IFERROR(__xludf.DUMMYFUNCTION("""COMPUTED_VALUE"""),44582.2810515972)</f>
        <v>44582.28105</v>
      </c>
      <c r="D2230" s="15">
        <f>IFERROR(__xludf.DUMMYFUNCTION("""COMPUTED_VALUE"""),1.006)</f>
        <v>1.006</v>
      </c>
      <c r="E2230" s="16">
        <f>IFERROR(__xludf.DUMMYFUNCTION("""COMPUTED_VALUE"""),66.0)</f>
        <v>66</v>
      </c>
      <c r="F2230" s="19" t="str">
        <f>IFERROR(__xludf.DUMMYFUNCTION("""COMPUTED_VALUE"""),"BLACK")</f>
        <v>BLACK</v>
      </c>
      <c r="G2230" s="20" t="str">
        <f>IFERROR(__xludf.DUMMYFUNCTION("""COMPUTED_VALUE"""),"Uncle Sams Cider (11/12/2021) 02")</f>
        <v>Uncle Sams Cider (11/12/2021) 02</v>
      </c>
      <c r="H2230" s="19"/>
    </row>
    <row r="2231">
      <c r="A2231" s="9"/>
      <c r="B2231" s="15"/>
      <c r="C2231" s="9">
        <f>IFERROR(__xludf.DUMMYFUNCTION("""COMPUTED_VALUE"""),44582.2706317361)</f>
        <v>44582.27063</v>
      </c>
      <c r="D2231" s="15">
        <f>IFERROR(__xludf.DUMMYFUNCTION("""COMPUTED_VALUE"""),1.006)</f>
        <v>1.006</v>
      </c>
      <c r="E2231" s="16">
        <f>IFERROR(__xludf.DUMMYFUNCTION("""COMPUTED_VALUE"""),66.0)</f>
        <v>66</v>
      </c>
      <c r="F2231" s="19" t="str">
        <f>IFERROR(__xludf.DUMMYFUNCTION("""COMPUTED_VALUE"""),"BLACK")</f>
        <v>BLACK</v>
      </c>
      <c r="G2231" s="20" t="str">
        <f>IFERROR(__xludf.DUMMYFUNCTION("""COMPUTED_VALUE"""),"Uncle Sams Cider (11/12/2021) 02")</f>
        <v>Uncle Sams Cider (11/12/2021) 02</v>
      </c>
      <c r="H2231" s="19"/>
    </row>
    <row r="2232">
      <c r="A2232" s="9"/>
      <c r="B2232" s="15"/>
      <c r="C2232" s="9">
        <f>IFERROR(__xludf.DUMMYFUNCTION("""COMPUTED_VALUE"""),44582.2602106712)</f>
        <v>44582.26021</v>
      </c>
      <c r="D2232" s="15">
        <f>IFERROR(__xludf.DUMMYFUNCTION("""COMPUTED_VALUE"""),1.006)</f>
        <v>1.006</v>
      </c>
      <c r="E2232" s="16">
        <f>IFERROR(__xludf.DUMMYFUNCTION("""COMPUTED_VALUE"""),65.0)</f>
        <v>65</v>
      </c>
      <c r="F2232" s="19" t="str">
        <f>IFERROR(__xludf.DUMMYFUNCTION("""COMPUTED_VALUE"""),"BLACK")</f>
        <v>BLACK</v>
      </c>
      <c r="G2232" s="20" t="str">
        <f>IFERROR(__xludf.DUMMYFUNCTION("""COMPUTED_VALUE"""),"Uncle Sams Cider (11/12/2021) 02")</f>
        <v>Uncle Sams Cider (11/12/2021) 02</v>
      </c>
      <c r="H2232" s="19"/>
    </row>
    <row r="2233">
      <c r="A2233" s="9"/>
      <c r="B2233" s="15"/>
      <c r="C2233" s="9">
        <f>IFERROR(__xludf.DUMMYFUNCTION("""COMPUTED_VALUE"""),44582.2497901273)</f>
        <v>44582.24979</v>
      </c>
      <c r="D2233" s="15">
        <f>IFERROR(__xludf.DUMMYFUNCTION("""COMPUTED_VALUE"""),1.006)</f>
        <v>1.006</v>
      </c>
      <c r="E2233" s="16">
        <f>IFERROR(__xludf.DUMMYFUNCTION("""COMPUTED_VALUE"""),65.0)</f>
        <v>65</v>
      </c>
      <c r="F2233" s="19" t="str">
        <f>IFERROR(__xludf.DUMMYFUNCTION("""COMPUTED_VALUE"""),"BLACK")</f>
        <v>BLACK</v>
      </c>
      <c r="G2233" s="20" t="str">
        <f>IFERROR(__xludf.DUMMYFUNCTION("""COMPUTED_VALUE"""),"Uncle Sams Cider (11/12/2021) 02")</f>
        <v>Uncle Sams Cider (11/12/2021) 02</v>
      </c>
      <c r="H2233" s="19"/>
    </row>
    <row r="2234">
      <c r="A2234" s="9"/>
      <c r="B2234" s="15"/>
      <c r="C2234" s="9">
        <f>IFERROR(__xludf.DUMMYFUNCTION("""COMPUTED_VALUE"""),44582.2393100578)</f>
        <v>44582.23931</v>
      </c>
      <c r="D2234" s="15">
        <f>IFERROR(__xludf.DUMMYFUNCTION("""COMPUTED_VALUE"""),1.006)</f>
        <v>1.006</v>
      </c>
      <c r="E2234" s="16">
        <f>IFERROR(__xludf.DUMMYFUNCTION("""COMPUTED_VALUE"""),64.0)</f>
        <v>64</v>
      </c>
      <c r="F2234" s="19" t="str">
        <f>IFERROR(__xludf.DUMMYFUNCTION("""COMPUTED_VALUE"""),"BLACK")</f>
        <v>BLACK</v>
      </c>
      <c r="G2234" s="20" t="str">
        <f>IFERROR(__xludf.DUMMYFUNCTION("""COMPUTED_VALUE"""),"Uncle Sams Cider (11/12/2021) 02")</f>
        <v>Uncle Sams Cider (11/12/2021) 02</v>
      </c>
      <c r="H2234" s="19"/>
    </row>
    <row r="2235">
      <c r="A2235" s="9"/>
      <c r="B2235" s="15"/>
      <c r="C2235" s="9">
        <f>IFERROR(__xludf.DUMMYFUNCTION("""COMPUTED_VALUE"""),44582.2288880439)</f>
        <v>44582.22889</v>
      </c>
      <c r="D2235" s="15">
        <f>IFERROR(__xludf.DUMMYFUNCTION("""COMPUTED_VALUE"""),1.006)</f>
        <v>1.006</v>
      </c>
      <c r="E2235" s="16">
        <f>IFERROR(__xludf.DUMMYFUNCTION("""COMPUTED_VALUE"""),64.0)</f>
        <v>64</v>
      </c>
      <c r="F2235" s="19" t="str">
        <f>IFERROR(__xludf.DUMMYFUNCTION("""COMPUTED_VALUE"""),"BLACK")</f>
        <v>BLACK</v>
      </c>
      <c r="G2235" s="20" t="str">
        <f>IFERROR(__xludf.DUMMYFUNCTION("""COMPUTED_VALUE"""),"Uncle Sams Cider (11/12/2021) 02")</f>
        <v>Uncle Sams Cider (11/12/2021) 02</v>
      </c>
      <c r="H2235" s="19"/>
    </row>
    <row r="2236">
      <c r="A2236" s="9"/>
      <c r="B2236" s="15"/>
      <c r="C2236" s="9">
        <f>IFERROR(__xludf.DUMMYFUNCTION("""COMPUTED_VALUE"""),44582.2184672338)</f>
        <v>44582.21847</v>
      </c>
      <c r="D2236" s="15">
        <f>IFERROR(__xludf.DUMMYFUNCTION("""COMPUTED_VALUE"""),1.006)</f>
        <v>1.006</v>
      </c>
      <c r="E2236" s="16">
        <f>IFERROR(__xludf.DUMMYFUNCTION("""COMPUTED_VALUE"""),64.0)</f>
        <v>64</v>
      </c>
      <c r="F2236" s="19" t="str">
        <f>IFERROR(__xludf.DUMMYFUNCTION("""COMPUTED_VALUE"""),"BLACK")</f>
        <v>BLACK</v>
      </c>
      <c r="G2236" s="20" t="str">
        <f>IFERROR(__xludf.DUMMYFUNCTION("""COMPUTED_VALUE"""),"Uncle Sams Cider (11/12/2021) 02")</f>
        <v>Uncle Sams Cider (11/12/2021) 02</v>
      </c>
      <c r="H2236" s="19"/>
    </row>
    <row r="2237">
      <c r="A2237" s="9"/>
      <c r="B2237" s="15"/>
      <c r="C2237" s="9">
        <f>IFERROR(__xludf.DUMMYFUNCTION("""COMPUTED_VALUE"""),44582.2080230092)</f>
        <v>44582.20802</v>
      </c>
      <c r="D2237" s="15">
        <f>IFERROR(__xludf.DUMMYFUNCTION("""COMPUTED_VALUE"""),1.006)</f>
        <v>1.006</v>
      </c>
      <c r="E2237" s="16">
        <f>IFERROR(__xludf.DUMMYFUNCTION("""COMPUTED_VALUE"""),63.0)</f>
        <v>63</v>
      </c>
      <c r="F2237" s="19" t="str">
        <f>IFERROR(__xludf.DUMMYFUNCTION("""COMPUTED_VALUE"""),"BLACK")</f>
        <v>BLACK</v>
      </c>
      <c r="G2237" s="20" t="str">
        <f>IFERROR(__xludf.DUMMYFUNCTION("""COMPUTED_VALUE"""),"Uncle Sams Cider (11/12/2021) 02")</f>
        <v>Uncle Sams Cider (11/12/2021) 02</v>
      </c>
      <c r="H2237" s="19"/>
    </row>
    <row r="2238">
      <c r="A2238" s="9"/>
      <c r="B2238" s="15"/>
      <c r="C2238" s="9">
        <f>IFERROR(__xludf.DUMMYFUNCTION("""COMPUTED_VALUE"""),44582.1975686921)</f>
        <v>44582.19757</v>
      </c>
      <c r="D2238" s="15">
        <f>IFERROR(__xludf.DUMMYFUNCTION("""COMPUTED_VALUE"""),1.006)</f>
        <v>1.006</v>
      </c>
      <c r="E2238" s="16">
        <f>IFERROR(__xludf.DUMMYFUNCTION("""COMPUTED_VALUE"""),63.0)</f>
        <v>63</v>
      </c>
      <c r="F2238" s="19" t="str">
        <f>IFERROR(__xludf.DUMMYFUNCTION("""COMPUTED_VALUE"""),"BLACK")</f>
        <v>BLACK</v>
      </c>
      <c r="G2238" s="20" t="str">
        <f>IFERROR(__xludf.DUMMYFUNCTION("""COMPUTED_VALUE"""),"Uncle Sams Cider (11/12/2021) 02")</f>
        <v>Uncle Sams Cider (11/12/2021) 02</v>
      </c>
      <c r="H2238" s="19"/>
    </row>
    <row r="2239">
      <c r="A2239" s="9"/>
      <c r="B2239" s="15"/>
      <c r="C2239" s="9">
        <f>IFERROR(__xludf.DUMMYFUNCTION("""COMPUTED_VALUE"""),44582.1871134722)</f>
        <v>44582.18711</v>
      </c>
      <c r="D2239" s="15">
        <f>IFERROR(__xludf.DUMMYFUNCTION("""COMPUTED_VALUE"""),1.006)</f>
        <v>1.006</v>
      </c>
      <c r="E2239" s="16">
        <f>IFERROR(__xludf.DUMMYFUNCTION("""COMPUTED_VALUE"""),63.0)</f>
        <v>63</v>
      </c>
      <c r="F2239" s="19" t="str">
        <f>IFERROR(__xludf.DUMMYFUNCTION("""COMPUTED_VALUE"""),"BLACK")</f>
        <v>BLACK</v>
      </c>
      <c r="G2239" s="20" t="str">
        <f>IFERROR(__xludf.DUMMYFUNCTION("""COMPUTED_VALUE"""),"Uncle Sams Cider (11/12/2021) 02")</f>
        <v>Uncle Sams Cider (11/12/2021) 02</v>
      </c>
      <c r="H2239" s="19"/>
    </row>
    <row r="2240">
      <c r="A2240" s="9"/>
      <c r="B2240" s="15"/>
      <c r="C2240" s="9">
        <f>IFERROR(__xludf.DUMMYFUNCTION("""COMPUTED_VALUE"""),44582.1766224768)</f>
        <v>44582.17662</v>
      </c>
      <c r="D2240" s="15">
        <f>IFERROR(__xludf.DUMMYFUNCTION("""COMPUTED_VALUE"""),1.006)</f>
        <v>1.006</v>
      </c>
      <c r="E2240" s="16">
        <f>IFERROR(__xludf.DUMMYFUNCTION("""COMPUTED_VALUE"""),63.0)</f>
        <v>63</v>
      </c>
      <c r="F2240" s="19" t="str">
        <f>IFERROR(__xludf.DUMMYFUNCTION("""COMPUTED_VALUE"""),"BLACK")</f>
        <v>BLACK</v>
      </c>
      <c r="G2240" s="20" t="str">
        <f>IFERROR(__xludf.DUMMYFUNCTION("""COMPUTED_VALUE"""),"Uncle Sams Cider (11/12/2021) 02")</f>
        <v>Uncle Sams Cider (11/12/2021) 02</v>
      </c>
      <c r="H2240" s="19"/>
    </row>
    <row r="2241">
      <c r="A2241" s="9"/>
      <c r="B2241" s="15"/>
      <c r="C2241" s="9">
        <f>IFERROR(__xludf.DUMMYFUNCTION("""COMPUTED_VALUE"""),44582.1661999537)</f>
        <v>44582.1662</v>
      </c>
      <c r="D2241" s="15">
        <f>IFERROR(__xludf.DUMMYFUNCTION("""COMPUTED_VALUE"""),1.006)</f>
        <v>1.006</v>
      </c>
      <c r="E2241" s="16">
        <f>IFERROR(__xludf.DUMMYFUNCTION("""COMPUTED_VALUE"""),63.0)</f>
        <v>63</v>
      </c>
      <c r="F2241" s="19" t="str">
        <f>IFERROR(__xludf.DUMMYFUNCTION("""COMPUTED_VALUE"""),"BLACK")</f>
        <v>BLACK</v>
      </c>
      <c r="G2241" s="20" t="str">
        <f>IFERROR(__xludf.DUMMYFUNCTION("""COMPUTED_VALUE"""),"Uncle Sams Cider (11/12/2021) 02")</f>
        <v>Uncle Sams Cider (11/12/2021) 02</v>
      </c>
      <c r="H2241" s="19"/>
    </row>
    <row r="2242">
      <c r="A2242" s="9"/>
      <c r="B2242" s="15"/>
      <c r="C2242" s="9">
        <f>IFERROR(__xludf.DUMMYFUNCTION("""COMPUTED_VALUE"""),44582.1557784027)</f>
        <v>44582.15578</v>
      </c>
      <c r="D2242" s="15">
        <f>IFERROR(__xludf.DUMMYFUNCTION("""COMPUTED_VALUE"""),1.006)</f>
        <v>1.006</v>
      </c>
      <c r="E2242" s="16">
        <f>IFERROR(__xludf.DUMMYFUNCTION("""COMPUTED_VALUE"""),63.0)</f>
        <v>63</v>
      </c>
      <c r="F2242" s="19" t="str">
        <f>IFERROR(__xludf.DUMMYFUNCTION("""COMPUTED_VALUE"""),"BLACK")</f>
        <v>BLACK</v>
      </c>
      <c r="G2242" s="20" t="str">
        <f>IFERROR(__xludf.DUMMYFUNCTION("""COMPUTED_VALUE"""),"Uncle Sams Cider (11/12/2021) 02")</f>
        <v>Uncle Sams Cider (11/12/2021) 02</v>
      </c>
      <c r="H2242" s="19"/>
    </row>
    <row r="2243">
      <c r="A2243" s="9"/>
      <c r="B2243" s="15"/>
      <c r="C2243" s="9">
        <f>IFERROR(__xludf.DUMMYFUNCTION("""COMPUTED_VALUE"""),44582.1453436689)</f>
        <v>44582.14534</v>
      </c>
      <c r="D2243" s="15">
        <f>IFERROR(__xludf.DUMMYFUNCTION("""COMPUTED_VALUE"""),1.006)</f>
        <v>1.006</v>
      </c>
      <c r="E2243" s="16">
        <f>IFERROR(__xludf.DUMMYFUNCTION("""COMPUTED_VALUE"""),63.0)</f>
        <v>63</v>
      </c>
      <c r="F2243" s="19" t="str">
        <f>IFERROR(__xludf.DUMMYFUNCTION("""COMPUTED_VALUE"""),"BLACK")</f>
        <v>BLACK</v>
      </c>
      <c r="G2243" s="20" t="str">
        <f>IFERROR(__xludf.DUMMYFUNCTION("""COMPUTED_VALUE"""),"Uncle Sams Cider (11/12/2021) 02")</f>
        <v>Uncle Sams Cider (11/12/2021) 02</v>
      </c>
      <c r="H2243" s="19"/>
    </row>
    <row r="2244">
      <c r="A2244" s="9"/>
      <c r="B2244" s="15"/>
      <c r="C2244" s="9">
        <f>IFERROR(__xludf.DUMMYFUNCTION("""COMPUTED_VALUE"""),44582.1349104861)</f>
        <v>44582.13491</v>
      </c>
      <c r="D2244" s="15">
        <f>IFERROR(__xludf.DUMMYFUNCTION("""COMPUTED_VALUE"""),1.006)</f>
        <v>1.006</v>
      </c>
      <c r="E2244" s="16">
        <f>IFERROR(__xludf.DUMMYFUNCTION("""COMPUTED_VALUE"""),63.0)</f>
        <v>63</v>
      </c>
      <c r="F2244" s="19" t="str">
        <f>IFERROR(__xludf.DUMMYFUNCTION("""COMPUTED_VALUE"""),"BLACK")</f>
        <v>BLACK</v>
      </c>
      <c r="G2244" s="20" t="str">
        <f>IFERROR(__xludf.DUMMYFUNCTION("""COMPUTED_VALUE"""),"Uncle Sams Cider (11/12/2021) 02")</f>
        <v>Uncle Sams Cider (11/12/2021) 02</v>
      </c>
      <c r="H2244" s="19"/>
    </row>
    <row r="2245">
      <c r="A2245" s="9"/>
      <c r="B2245" s="15"/>
      <c r="C2245" s="9">
        <f>IFERROR(__xludf.DUMMYFUNCTION("""COMPUTED_VALUE"""),44582.1244676967)</f>
        <v>44582.12447</v>
      </c>
      <c r="D2245" s="15">
        <f>IFERROR(__xludf.DUMMYFUNCTION("""COMPUTED_VALUE"""),1.006)</f>
        <v>1.006</v>
      </c>
      <c r="E2245" s="16">
        <f>IFERROR(__xludf.DUMMYFUNCTION("""COMPUTED_VALUE"""),63.0)</f>
        <v>63</v>
      </c>
      <c r="F2245" s="19" t="str">
        <f>IFERROR(__xludf.DUMMYFUNCTION("""COMPUTED_VALUE"""),"BLACK")</f>
        <v>BLACK</v>
      </c>
      <c r="G2245" s="20" t="str">
        <f>IFERROR(__xludf.DUMMYFUNCTION("""COMPUTED_VALUE"""),"Uncle Sams Cider (11/12/2021) 02")</f>
        <v>Uncle Sams Cider (11/12/2021) 02</v>
      </c>
      <c r="H2245" s="19"/>
    </row>
    <row r="2246">
      <c r="A2246" s="9"/>
      <c r="B2246" s="15"/>
      <c r="C2246" s="9">
        <f>IFERROR(__xludf.DUMMYFUNCTION("""COMPUTED_VALUE"""),44582.1140456828)</f>
        <v>44582.11405</v>
      </c>
      <c r="D2246" s="15">
        <f>IFERROR(__xludf.DUMMYFUNCTION("""COMPUTED_VALUE"""),1.006)</f>
        <v>1.006</v>
      </c>
      <c r="E2246" s="16">
        <f>IFERROR(__xludf.DUMMYFUNCTION("""COMPUTED_VALUE"""),63.0)</f>
        <v>63</v>
      </c>
      <c r="F2246" s="19" t="str">
        <f>IFERROR(__xludf.DUMMYFUNCTION("""COMPUTED_VALUE"""),"BLACK")</f>
        <v>BLACK</v>
      </c>
      <c r="G2246" s="20" t="str">
        <f>IFERROR(__xludf.DUMMYFUNCTION("""COMPUTED_VALUE"""),"Uncle Sams Cider (11/12/2021) 02")</f>
        <v>Uncle Sams Cider (11/12/2021) 02</v>
      </c>
      <c r="H2246" s="19"/>
    </row>
    <row r="2247">
      <c r="A2247" s="9"/>
      <c r="B2247" s="15"/>
      <c r="C2247" s="9">
        <f>IFERROR(__xludf.DUMMYFUNCTION("""COMPUTED_VALUE"""),44582.1036115972)</f>
        <v>44582.10361</v>
      </c>
      <c r="D2247" s="15">
        <f>IFERROR(__xludf.DUMMYFUNCTION("""COMPUTED_VALUE"""),1.006)</f>
        <v>1.006</v>
      </c>
      <c r="E2247" s="16">
        <f>IFERROR(__xludf.DUMMYFUNCTION("""COMPUTED_VALUE"""),63.0)</f>
        <v>63</v>
      </c>
      <c r="F2247" s="19" t="str">
        <f>IFERROR(__xludf.DUMMYFUNCTION("""COMPUTED_VALUE"""),"BLACK")</f>
        <v>BLACK</v>
      </c>
      <c r="G2247" s="20" t="str">
        <f>IFERROR(__xludf.DUMMYFUNCTION("""COMPUTED_VALUE"""),"Uncle Sams Cider (11/12/2021) 02")</f>
        <v>Uncle Sams Cider (11/12/2021) 02</v>
      </c>
      <c r="H2247" s="19"/>
    </row>
    <row r="2248">
      <c r="A2248" s="9"/>
      <c r="B2248" s="15"/>
      <c r="C2248" s="9">
        <f>IFERROR(__xludf.DUMMYFUNCTION("""COMPUTED_VALUE"""),44582.0931881713)</f>
        <v>44582.09319</v>
      </c>
      <c r="D2248" s="15">
        <f>IFERROR(__xludf.DUMMYFUNCTION("""COMPUTED_VALUE"""),1.006)</f>
        <v>1.006</v>
      </c>
      <c r="E2248" s="16">
        <f>IFERROR(__xludf.DUMMYFUNCTION("""COMPUTED_VALUE"""),63.0)</f>
        <v>63</v>
      </c>
      <c r="F2248" s="19" t="str">
        <f>IFERROR(__xludf.DUMMYFUNCTION("""COMPUTED_VALUE"""),"BLACK")</f>
        <v>BLACK</v>
      </c>
      <c r="G2248" s="20" t="str">
        <f>IFERROR(__xludf.DUMMYFUNCTION("""COMPUTED_VALUE"""),"Uncle Sams Cider (11/12/2021) 02")</f>
        <v>Uncle Sams Cider (11/12/2021) 02</v>
      </c>
      <c r="H2248" s="19"/>
    </row>
    <row r="2249">
      <c r="A2249" s="9"/>
      <c r="B2249" s="15"/>
      <c r="C2249" s="9">
        <f>IFERROR(__xludf.DUMMYFUNCTION("""COMPUTED_VALUE"""),44582.0827537268)</f>
        <v>44582.08275</v>
      </c>
      <c r="D2249" s="15">
        <f>IFERROR(__xludf.DUMMYFUNCTION("""COMPUTED_VALUE"""),1.006)</f>
        <v>1.006</v>
      </c>
      <c r="E2249" s="16">
        <f>IFERROR(__xludf.DUMMYFUNCTION("""COMPUTED_VALUE"""),63.0)</f>
        <v>63</v>
      </c>
      <c r="F2249" s="19" t="str">
        <f>IFERROR(__xludf.DUMMYFUNCTION("""COMPUTED_VALUE"""),"BLACK")</f>
        <v>BLACK</v>
      </c>
      <c r="G2249" s="20" t="str">
        <f>IFERROR(__xludf.DUMMYFUNCTION("""COMPUTED_VALUE"""),"Uncle Sams Cider (11/12/2021) 02")</f>
        <v>Uncle Sams Cider (11/12/2021) 02</v>
      </c>
      <c r="H2249" s="19"/>
    </row>
    <row r="2250">
      <c r="A2250" s="9"/>
      <c r="B2250" s="15"/>
      <c r="C2250" s="9">
        <f>IFERROR(__xludf.DUMMYFUNCTION("""COMPUTED_VALUE"""),44582.0723333449)</f>
        <v>44582.07233</v>
      </c>
      <c r="D2250" s="15">
        <f>IFERROR(__xludf.DUMMYFUNCTION("""COMPUTED_VALUE"""),1.006)</f>
        <v>1.006</v>
      </c>
      <c r="E2250" s="16">
        <f>IFERROR(__xludf.DUMMYFUNCTION("""COMPUTED_VALUE"""),63.0)</f>
        <v>63</v>
      </c>
      <c r="F2250" s="19" t="str">
        <f>IFERROR(__xludf.DUMMYFUNCTION("""COMPUTED_VALUE"""),"BLACK")</f>
        <v>BLACK</v>
      </c>
      <c r="G2250" s="20" t="str">
        <f>IFERROR(__xludf.DUMMYFUNCTION("""COMPUTED_VALUE"""),"Uncle Sams Cider (11/12/2021) 02")</f>
        <v>Uncle Sams Cider (11/12/2021) 02</v>
      </c>
      <c r="H2250" s="19"/>
    </row>
    <row r="2251">
      <c r="A2251" s="9"/>
      <c r="B2251" s="15"/>
      <c r="C2251" s="9">
        <f>IFERROR(__xludf.DUMMYFUNCTION("""COMPUTED_VALUE"""),44582.0619006134)</f>
        <v>44582.0619</v>
      </c>
      <c r="D2251" s="15">
        <f>IFERROR(__xludf.DUMMYFUNCTION("""COMPUTED_VALUE"""),1.006)</f>
        <v>1.006</v>
      </c>
      <c r="E2251" s="16">
        <f>IFERROR(__xludf.DUMMYFUNCTION("""COMPUTED_VALUE"""),63.0)</f>
        <v>63</v>
      </c>
      <c r="F2251" s="19" t="str">
        <f>IFERROR(__xludf.DUMMYFUNCTION("""COMPUTED_VALUE"""),"BLACK")</f>
        <v>BLACK</v>
      </c>
      <c r="G2251" s="20" t="str">
        <f>IFERROR(__xludf.DUMMYFUNCTION("""COMPUTED_VALUE"""),"Uncle Sams Cider (11/12/2021) 02")</f>
        <v>Uncle Sams Cider (11/12/2021) 02</v>
      </c>
      <c r="H2251" s="19"/>
    </row>
    <row r="2252">
      <c r="A2252" s="9"/>
      <c r="B2252" s="15"/>
      <c r="C2252" s="9">
        <f>IFERROR(__xludf.DUMMYFUNCTION("""COMPUTED_VALUE"""),44582.0514784837)</f>
        <v>44582.05148</v>
      </c>
      <c r="D2252" s="15">
        <f>IFERROR(__xludf.DUMMYFUNCTION("""COMPUTED_VALUE"""),1.006)</f>
        <v>1.006</v>
      </c>
      <c r="E2252" s="16">
        <f>IFERROR(__xludf.DUMMYFUNCTION("""COMPUTED_VALUE"""),63.0)</f>
        <v>63</v>
      </c>
      <c r="F2252" s="19" t="str">
        <f>IFERROR(__xludf.DUMMYFUNCTION("""COMPUTED_VALUE"""),"BLACK")</f>
        <v>BLACK</v>
      </c>
      <c r="G2252" s="20" t="str">
        <f>IFERROR(__xludf.DUMMYFUNCTION("""COMPUTED_VALUE"""),"Uncle Sams Cider (11/12/2021) 02")</f>
        <v>Uncle Sams Cider (11/12/2021) 02</v>
      </c>
      <c r="H2252" s="19"/>
    </row>
    <row r="2253">
      <c r="A2253" s="9"/>
      <c r="B2253" s="15"/>
      <c r="C2253" s="9">
        <f>IFERROR(__xludf.DUMMYFUNCTION("""COMPUTED_VALUE"""),44582.0410577546)</f>
        <v>44582.04106</v>
      </c>
      <c r="D2253" s="15">
        <f>IFERROR(__xludf.DUMMYFUNCTION("""COMPUTED_VALUE"""),1.006)</f>
        <v>1.006</v>
      </c>
      <c r="E2253" s="16">
        <f>IFERROR(__xludf.DUMMYFUNCTION("""COMPUTED_VALUE"""),63.0)</f>
        <v>63</v>
      </c>
      <c r="F2253" s="19" t="str">
        <f>IFERROR(__xludf.DUMMYFUNCTION("""COMPUTED_VALUE"""),"BLACK")</f>
        <v>BLACK</v>
      </c>
      <c r="G2253" s="20" t="str">
        <f>IFERROR(__xludf.DUMMYFUNCTION("""COMPUTED_VALUE"""),"Uncle Sams Cider (11/12/2021) 02")</f>
        <v>Uncle Sams Cider (11/12/2021) 02</v>
      </c>
      <c r="H2253" s="19"/>
    </row>
    <row r="2254">
      <c r="A2254" s="9"/>
      <c r="B2254" s="15"/>
      <c r="C2254" s="9">
        <f>IFERROR(__xludf.DUMMYFUNCTION("""COMPUTED_VALUE"""),44582.0306145717)</f>
        <v>44582.03061</v>
      </c>
      <c r="D2254" s="15">
        <f>IFERROR(__xludf.DUMMYFUNCTION("""COMPUTED_VALUE"""),1.006)</f>
        <v>1.006</v>
      </c>
      <c r="E2254" s="16">
        <f>IFERROR(__xludf.DUMMYFUNCTION("""COMPUTED_VALUE"""),63.0)</f>
        <v>63</v>
      </c>
      <c r="F2254" s="19" t="str">
        <f>IFERROR(__xludf.DUMMYFUNCTION("""COMPUTED_VALUE"""),"BLACK")</f>
        <v>BLACK</v>
      </c>
      <c r="G2254" s="20" t="str">
        <f>IFERROR(__xludf.DUMMYFUNCTION("""COMPUTED_VALUE"""),"Uncle Sams Cider (11/12/2021) 02")</f>
        <v>Uncle Sams Cider (11/12/2021) 02</v>
      </c>
      <c r="H2254" s="19"/>
    </row>
    <row r="2255">
      <c r="A2255" s="9"/>
      <c r="B2255" s="15"/>
      <c r="C2255" s="9">
        <f>IFERROR(__xludf.DUMMYFUNCTION("""COMPUTED_VALUE"""),44582.0201233912)</f>
        <v>44582.02012</v>
      </c>
      <c r="D2255" s="15">
        <f>IFERROR(__xludf.DUMMYFUNCTION("""COMPUTED_VALUE"""),1.006)</f>
        <v>1.006</v>
      </c>
      <c r="E2255" s="16">
        <f>IFERROR(__xludf.DUMMYFUNCTION("""COMPUTED_VALUE"""),63.0)</f>
        <v>63</v>
      </c>
      <c r="F2255" s="19" t="str">
        <f>IFERROR(__xludf.DUMMYFUNCTION("""COMPUTED_VALUE"""),"BLACK")</f>
        <v>BLACK</v>
      </c>
      <c r="G2255" s="20" t="str">
        <f>IFERROR(__xludf.DUMMYFUNCTION("""COMPUTED_VALUE"""),"Uncle Sams Cider (11/12/2021) 02")</f>
        <v>Uncle Sams Cider (11/12/2021) 02</v>
      </c>
      <c r="H2255" s="19"/>
    </row>
    <row r="2256">
      <c r="A2256" s="9"/>
      <c r="B2256" s="15"/>
      <c r="C2256" s="9">
        <f>IFERROR(__xludf.DUMMYFUNCTION("""COMPUTED_VALUE"""),44582.0097037268)</f>
        <v>44582.0097</v>
      </c>
      <c r="D2256" s="15">
        <f>IFERROR(__xludf.DUMMYFUNCTION("""COMPUTED_VALUE"""),1.006)</f>
        <v>1.006</v>
      </c>
      <c r="E2256" s="16">
        <f>IFERROR(__xludf.DUMMYFUNCTION("""COMPUTED_VALUE"""),63.0)</f>
        <v>63</v>
      </c>
      <c r="F2256" s="19" t="str">
        <f>IFERROR(__xludf.DUMMYFUNCTION("""COMPUTED_VALUE"""),"BLACK")</f>
        <v>BLACK</v>
      </c>
      <c r="G2256" s="20" t="str">
        <f>IFERROR(__xludf.DUMMYFUNCTION("""COMPUTED_VALUE"""),"Uncle Sams Cider (11/12/2021) 02")</f>
        <v>Uncle Sams Cider (11/12/2021) 02</v>
      </c>
      <c r="H2256" s="19"/>
    </row>
    <row r="2257">
      <c r="A2257" s="9"/>
      <c r="B2257" s="15"/>
      <c r="C2257" s="9">
        <f>IFERROR(__xludf.DUMMYFUNCTION("""COMPUTED_VALUE"""),44581.9992467708)</f>
        <v>44581.99925</v>
      </c>
      <c r="D2257" s="15">
        <f>IFERROR(__xludf.DUMMYFUNCTION("""COMPUTED_VALUE"""),1.006)</f>
        <v>1.006</v>
      </c>
      <c r="E2257" s="16">
        <f>IFERROR(__xludf.DUMMYFUNCTION("""COMPUTED_VALUE"""),63.0)</f>
        <v>63</v>
      </c>
      <c r="F2257" s="19" t="str">
        <f>IFERROR(__xludf.DUMMYFUNCTION("""COMPUTED_VALUE"""),"BLACK")</f>
        <v>BLACK</v>
      </c>
      <c r="G2257" s="20" t="str">
        <f>IFERROR(__xludf.DUMMYFUNCTION("""COMPUTED_VALUE"""),"Uncle Sams Cider (11/12/2021) 02")</f>
        <v>Uncle Sams Cider (11/12/2021) 02</v>
      </c>
      <c r="H2257" s="19"/>
    </row>
    <row r="2258">
      <c r="A2258" s="9"/>
      <c r="B2258" s="15"/>
      <c r="C2258" s="9">
        <f>IFERROR(__xludf.DUMMYFUNCTION("""COMPUTED_VALUE"""),44581.9888257291)</f>
        <v>44581.98883</v>
      </c>
      <c r="D2258" s="15">
        <f>IFERROR(__xludf.DUMMYFUNCTION("""COMPUTED_VALUE"""),1.006)</f>
        <v>1.006</v>
      </c>
      <c r="E2258" s="16">
        <f>IFERROR(__xludf.DUMMYFUNCTION("""COMPUTED_VALUE"""),63.0)</f>
        <v>63</v>
      </c>
      <c r="F2258" s="19" t="str">
        <f>IFERROR(__xludf.DUMMYFUNCTION("""COMPUTED_VALUE"""),"BLACK")</f>
        <v>BLACK</v>
      </c>
      <c r="G2258" s="20" t="str">
        <f>IFERROR(__xludf.DUMMYFUNCTION("""COMPUTED_VALUE"""),"Uncle Sams Cider (11/12/2021) 02")</f>
        <v>Uncle Sams Cider (11/12/2021) 02</v>
      </c>
      <c r="H2258" s="19"/>
    </row>
    <row r="2259">
      <c r="A2259" s="9"/>
      <c r="B2259" s="15"/>
      <c r="C2259" s="9">
        <f>IFERROR(__xludf.DUMMYFUNCTION("""COMPUTED_VALUE"""),44581.9783693634)</f>
        <v>44581.97837</v>
      </c>
      <c r="D2259" s="15">
        <f>IFERROR(__xludf.DUMMYFUNCTION("""COMPUTED_VALUE"""),1.006)</f>
        <v>1.006</v>
      </c>
      <c r="E2259" s="16">
        <f>IFERROR(__xludf.DUMMYFUNCTION("""COMPUTED_VALUE"""),63.0)</f>
        <v>63</v>
      </c>
      <c r="F2259" s="19" t="str">
        <f>IFERROR(__xludf.DUMMYFUNCTION("""COMPUTED_VALUE"""),"BLACK")</f>
        <v>BLACK</v>
      </c>
      <c r="G2259" s="20" t="str">
        <f>IFERROR(__xludf.DUMMYFUNCTION("""COMPUTED_VALUE"""),"Uncle Sams Cider (11/12/2021) 02")</f>
        <v>Uncle Sams Cider (11/12/2021) 02</v>
      </c>
      <c r="H2259" s="19"/>
    </row>
    <row r="2260">
      <c r="A2260" s="9"/>
      <c r="B2260" s="15"/>
      <c r="C2260" s="9">
        <f>IFERROR(__xludf.DUMMYFUNCTION("""COMPUTED_VALUE"""),44581.9679470833)</f>
        <v>44581.96795</v>
      </c>
      <c r="D2260" s="15">
        <f>IFERROR(__xludf.DUMMYFUNCTION("""COMPUTED_VALUE"""),1.006)</f>
        <v>1.006</v>
      </c>
      <c r="E2260" s="16">
        <f>IFERROR(__xludf.DUMMYFUNCTION("""COMPUTED_VALUE"""),63.0)</f>
        <v>63</v>
      </c>
      <c r="F2260" s="19" t="str">
        <f>IFERROR(__xludf.DUMMYFUNCTION("""COMPUTED_VALUE"""),"BLACK")</f>
        <v>BLACK</v>
      </c>
      <c r="G2260" s="20" t="str">
        <f>IFERROR(__xludf.DUMMYFUNCTION("""COMPUTED_VALUE"""),"Uncle Sams Cider (11/12/2021) 02")</f>
        <v>Uncle Sams Cider (11/12/2021) 02</v>
      </c>
      <c r="H2260" s="19"/>
    </row>
    <row r="2261">
      <c r="A2261" s="9"/>
      <c r="B2261" s="15"/>
      <c r="C2261" s="9">
        <f>IFERROR(__xludf.DUMMYFUNCTION("""COMPUTED_VALUE"""),44581.9574916898)</f>
        <v>44581.95749</v>
      </c>
      <c r="D2261" s="15">
        <f>IFERROR(__xludf.DUMMYFUNCTION("""COMPUTED_VALUE"""),1.006)</f>
        <v>1.006</v>
      </c>
      <c r="E2261" s="16">
        <f>IFERROR(__xludf.DUMMYFUNCTION("""COMPUTED_VALUE"""),63.0)</f>
        <v>63</v>
      </c>
      <c r="F2261" s="19" t="str">
        <f>IFERROR(__xludf.DUMMYFUNCTION("""COMPUTED_VALUE"""),"BLACK")</f>
        <v>BLACK</v>
      </c>
      <c r="G2261" s="20" t="str">
        <f>IFERROR(__xludf.DUMMYFUNCTION("""COMPUTED_VALUE"""),"Uncle Sams Cider (11/12/2021) 02")</f>
        <v>Uncle Sams Cider (11/12/2021) 02</v>
      </c>
      <c r="H2261" s="19"/>
    </row>
    <row r="2262">
      <c r="A2262" s="9"/>
      <c r="B2262" s="15"/>
      <c r="C2262" s="9">
        <f>IFERROR(__xludf.DUMMYFUNCTION("""COMPUTED_VALUE"""),44581.9470603703)</f>
        <v>44581.94706</v>
      </c>
      <c r="D2262" s="15">
        <f>IFERROR(__xludf.DUMMYFUNCTION("""COMPUTED_VALUE"""),1.006)</f>
        <v>1.006</v>
      </c>
      <c r="E2262" s="16">
        <f>IFERROR(__xludf.DUMMYFUNCTION("""COMPUTED_VALUE"""),63.0)</f>
        <v>63</v>
      </c>
      <c r="F2262" s="19" t="str">
        <f>IFERROR(__xludf.DUMMYFUNCTION("""COMPUTED_VALUE"""),"BLACK")</f>
        <v>BLACK</v>
      </c>
      <c r="G2262" s="20" t="str">
        <f>IFERROR(__xludf.DUMMYFUNCTION("""COMPUTED_VALUE"""),"Uncle Sams Cider (11/12/2021) 02")</f>
        <v>Uncle Sams Cider (11/12/2021) 02</v>
      </c>
      <c r="H2262" s="19"/>
    </row>
    <row r="2263">
      <c r="A2263" s="9"/>
      <c r="B2263" s="15"/>
      <c r="C2263" s="9">
        <f>IFERROR(__xludf.DUMMYFUNCTION("""COMPUTED_VALUE"""),44581.9366261805)</f>
        <v>44581.93663</v>
      </c>
      <c r="D2263" s="15">
        <f>IFERROR(__xludf.DUMMYFUNCTION("""COMPUTED_VALUE"""),1.006)</f>
        <v>1.006</v>
      </c>
      <c r="E2263" s="16">
        <f>IFERROR(__xludf.DUMMYFUNCTION("""COMPUTED_VALUE"""),63.0)</f>
        <v>63</v>
      </c>
      <c r="F2263" s="19" t="str">
        <f>IFERROR(__xludf.DUMMYFUNCTION("""COMPUTED_VALUE"""),"BLACK")</f>
        <v>BLACK</v>
      </c>
      <c r="G2263" s="20" t="str">
        <f>IFERROR(__xludf.DUMMYFUNCTION("""COMPUTED_VALUE"""),"Uncle Sams Cider (11/12/2021) 02")</f>
        <v>Uncle Sams Cider (11/12/2021) 02</v>
      </c>
      <c r="H2263" s="19"/>
    </row>
    <row r="2264">
      <c r="A2264" s="9"/>
      <c r="B2264" s="15"/>
      <c r="C2264" s="9">
        <f>IFERROR(__xludf.DUMMYFUNCTION("""COMPUTED_VALUE"""),44581.9262042245)</f>
        <v>44581.9262</v>
      </c>
      <c r="D2264" s="15">
        <f>IFERROR(__xludf.DUMMYFUNCTION("""COMPUTED_VALUE"""),1.006)</f>
        <v>1.006</v>
      </c>
      <c r="E2264" s="16">
        <f>IFERROR(__xludf.DUMMYFUNCTION("""COMPUTED_VALUE"""),63.0)</f>
        <v>63</v>
      </c>
      <c r="F2264" s="19" t="str">
        <f>IFERROR(__xludf.DUMMYFUNCTION("""COMPUTED_VALUE"""),"BLACK")</f>
        <v>BLACK</v>
      </c>
      <c r="G2264" s="20" t="str">
        <f>IFERROR(__xludf.DUMMYFUNCTION("""COMPUTED_VALUE"""),"Uncle Sams Cider (11/12/2021) 02")</f>
        <v>Uncle Sams Cider (11/12/2021) 02</v>
      </c>
      <c r="H2264" s="19"/>
    </row>
    <row r="2265">
      <c r="A2265" s="9"/>
      <c r="B2265" s="15"/>
      <c r="C2265" s="9">
        <f>IFERROR(__xludf.DUMMYFUNCTION("""COMPUTED_VALUE"""),44581.9157824884)</f>
        <v>44581.91578</v>
      </c>
      <c r="D2265" s="15">
        <f>IFERROR(__xludf.DUMMYFUNCTION("""COMPUTED_VALUE"""),1.006)</f>
        <v>1.006</v>
      </c>
      <c r="E2265" s="16">
        <f>IFERROR(__xludf.DUMMYFUNCTION("""COMPUTED_VALUE"""),63.0)</f>
        <v>63</v>
      </c>
      <c r="F2265" s="19" t="str">
        <f>IFERROR(__xludf.DUMMYFUNCTION("""COMPUTED_VALUE"""),"BLACK")</f>
        <v>BLACK</v>
      </c>
      <c r="G2265" s="20" t="str">
        <f>IFERROR(__xludf.DUMMYFUNCTION("""COMPUTED_VALUE"""),"Uncle Sams Cider (11/12/2021) 02")</f>
        <v>Uncle Sams Cider (11/12/2021) 02</v>
      </c>
      <c r="H2265" s="19"/>
    </row>
    <row r="2266">
      <c r="A2266" s="9"/>
      <c r="B2266" s="15"/>
      <c r="C2266" s="9">
        <f>IFERROR(__xludf.DUMMYFUNCTION("""COMPUTED_VALUE"""),44581.9053034027)</f>
        <v>44581.9053</v>
      </c>
      <c r="D2266" s="15">
        <f>IFERROR(__xludf.DUMMYFUNCTION("""COMPUTED_VALUE"""),1.006)</f>
        <v>1.006</v>
      </c>
      <c r="E2266" s="16">
        <f>IFERROR(__xludf.DUMMYFUNCTION("""COMPUTED_VALUE"""),63.0)</f>
        <v>63</v>
      </c>
      <c r="F2266" s="19" t="str">
        <f>IFERROR(__xludf.DUMMYFUNCTION("""COMPUTED_VALUE"""),"BLACK")</f>
        <v>BLACK</v>
      </c>
      <c r="G2266" s="20" t="str">
        <f>IFERROR(__xludf.DUMMYFUNCTION("""COMPUTED_VALUE"""),"Uncle Sams Cider (11/12/2021) 02")</f>
        <v>Uncle Sams Cider (11/12/2021) 02</v>
      </c>
      <c r="H2266" s="19"/>
    </row>
    <row r="2267">
      <c r="A2267" s="9"/>
      <c r="B2267" s="15"/>
      <c r="C2267" s="9">
        <f>IFERROR(__xludf.DUMMYFUNCTION("""COMPUTED_VALUE"""),44581.8948575926)</f>
        <v>44581.89486</v>
      </c>
      <c r="D2267" s="15">
        <f>IFERROR(__xludf.DUMMYFUNCTION("""COMPUTED_VALUE"""),1.006)</f>
        <v>1.006</v>
      </c>
      <c r="E2267" s="16">
        <f>IFERROR(__xludf.DUMMYFUNCTION("""COMPUTED_VALUE"""),63.0)</f>
        <v>63</v>
      </c>
      <c r="F2267" s="19" t="str">
        <f>IFERROR(__xludf.DUMMYFUNCTION("""COMPUTED_VALUE"""),"BLACK")</f>
        <v>BLACK</v>
      </c>
      <c r="G2267" s="20" t="str">
        <f>IFERROR(__xludf.DUMMYFUNCTION("""COMPUTED_VALUE"""),"Uncle Sams Cider (11/12/2021) 02")</f>
        <v>Uncle Sams Cider (11/12/2021) 02</v>
      </c>
      <c r="H2267" s="19"/>
    </row>
    <row r="2268">
      <c r="A2268" s="9"/>
      <c r="B2268" s="15"/>
      <c r="C2268" s="9">
        <f>IFERROR(__xludf.DUMMYFUNCTION("""COMPUTED_VALUE"""),44581.8844372338)</f>
        <v>44581.88444</v>
      </c>
      <c r="D2268" s="15">
        <f>IFERROR(__xludf.DUMMYFUNCTION("""COMPUTED_VALUE"""),1.006)</f>
        <v>1.006</v>
      </c>
      <c r="E2268" s="16">
        <f>IFERROR(__xludf.DUMMYFUNCTION("""COMPUTED_VALUE"""),63.0)</f>
        <v>63</v>
      </c>
      <c r="F2268" s="19" t="str">
        <f>IFERROR(__xludf.DUMMYFUNCTION("""COMPUTED_VALUE"""),"BLACK")</f>
        <v>BLACK</v>
      </c>
      <c r="G2268" s="20" t="str">
        <f>IFERROR(__xludf.DUMMYFUNCTION("""COMPUTED_VALUE"""),"Uncle Sams Cider (11/12/2021) 02")</f>
        <v>Uncle Sams Cider (11/12/2021) 02</v>
      </c>
      <c r="H2268" s="19"/>
    </row>
    <row r="2269">
      <c r="A2269" s="9"/>
      <c r="B2269" s="15"/>
      <c r="C2269" s="9">
        <f>IFERROR(__xludf.DUMMYFUNCTION("""COMPUTED_VALUE"""),44581.8740043865)</f>
        <v>44581.874</v>
      </c>
      <c r="D2269" s="15">
        <f>IFERROR(__xludf.DUMMYFUNCTION("""COMPUTED_VALUE"""),1.006)</f>
        <v>1.006</v>
      </c>
      <c r="E2269" s="16">
        <f>IFERROR(__xludf.DUMMYFUNCTION("""COMPUTED_VALUE"""),63.0)</f>
        <v>63</v>
      </c>
      <c r="F2269" s="19" t="str">
        <f>IFERROR(__xludf.DUMMYFUNCTION("""COMPUTED_VALUE"""),"BLACK")</f>
        <v>BLACK</v>
      </c>
      <c r="G2269" s="20" t="str">
        <f>IFERROR(__xludf.DUMMYFUNCTION("""COMPUTED_VALUE"""),"Uncle Sams Cider (11/12/2021) 02")</f>
        <v>Uncle Sams Cider (11/12/2021) 02</v>
      </c>
      <c r="H2269" s="19"/>
    </row>
    <row r="2270">
      <c r="A2270" s="9"/>
      <c r="B2270" s="15"/>
      <c r="C2270" s="9">
        <f>IFERROR(__xludf.DUMMYFUNCTION("""COMPUTED_VALUE"""),44581.863572824)</f>
        <v>44581.86357</v>
      </c>
      <c r="D2270" s="15">
        <f>IFERROR(__xludf.DUMMYFUNCTION("""COMPUTED_VALUE"""),1.006)</f>
        <v>1.006</v>
      </c>
      <c r="E2270" s="16">
        <f>IFERROR(__xludf.DUMMYFUNCTION("""COMPUTED_VALUE"""),63.0)</f>
        <v>63</v>
      </c>
      <c r="F2270" s="19" t="str">
        <f>IFERROR(__xludf.DUMMYFUNCTION("""COMPUTED_VALUE"""),"BLACK")</f>
        <v>BLACK</v>
      </c>
      <c r="G2270" s="20" t="str">
        <f>IFERROR(__xludf.DUMMYFUNCTION("""COMPUTED_VALUE"""),"Uncle Sams Cider (11/12/2021) 02")</f>
        <v>Uncle Sams Cider (11/12/2021) 02</v>
      </c>
      <c r="H2270" s="19"/>
    </row>
    <row r="2271">
      <c r="A2271" s="9"/>
      <c r="B2271" s="15"/>
      <c r="C2271" s="9">
        <f>IFERROR(__xludf.DUMMYFUNCTION("""COMPUTED_VALUE"""),44581.8531501967)</f>
        <v>44581.85315</v>
      </c>
      <c r="D2271" s="15">
        <f>IFERROR(__xludf.DUMMYFUNCTION("""COMPUTED_VALUE"""),1.006)</f>
        <v>1.006</v>
      </c>
      <c r="E2271" s="16">
        <f>IFERROR(__xludf.DUMMYFUNCTION("""COMPUTED_VALUE"""),63.0)</f>
        <v>63</v>
      </c>
      <c r="F2271" s="19" t="str">
        <f>IFERROR(__xludf.DUMMYFUNCTION("""COMPUTED_VALUE"""),"BLACK")</f>
        <v>BLACK</v>
      </c>
      <c r="G2271" s="20" t="str">
        <f>IFERROR(__xludf.DUMMYFUNCTION("""COMPUTED_VALUE"""),"Uncle Sams Cider (11/12/2021) 02")</f>
        <v>Uncle Sams Cider (11/12/2021) 02</v>
      </c>
      <c r="H2271" s="19"/>
    </row>
    <row r="2272">
      <c r="A2272" s="9"/>
      <c r="B2272" s="15"/>
      <c r="C2272" s="9">
        <f>IFERROR(__xludf.DUMMYFUNCTION("""COMPUTED_VALUE"""),44581.8426936111)</f>
        <v>44581.84269</v>
      </c>
      <c r="D2272" s="15">
        <f>IFERROR(__xludf.DUMMYFUNCTION("""COMPUTED_VALUE"""),1.006)</f>
        <v>1.006</v>
      </c>
      <c r="E2272" s="16">
        <f>IFERROR(__xludf.DUMMYFUNCTION("""COMPUTED_VALUE"""),63.0)</f>
        <v>63</v>
      </c>
      <c r="F2272" s="19" t="str">
        <f>IFERROR(__xludf.DUMMYFUNCTION("""COMPUTED_VALUE"""),"BLACK")</f>
        <v>BLACK</v>
      </c>
      <c r="G2272" s="20" t="str">
        <f>IFERROR(__xludf.DUMMYFUNCTION("""COMPUTED_VALUE"""),"Uncle Sams Cider (11/12/2021) 02")</f>
        <v>Uncle Sams Cider (11/12/2021) 02</v>
      </c>
      <c r="H2272" s="19"/>
    </row>
    <row r="2273">
      <c r="A2273" s="9"/>
      <c r="B2273" s="15"/>
      <c r="C2273" s="9">
        <f>IFERROR(__xludf.DUMMYFUNCTION("""COMPUTED_VALUE"""),44581.8322726041)</f>
        <v>44581.83227</v>
      </c>
      <c r="D2273" s="15">
        <f>IFERROR(__xludf.DUMMYFUNCTION("""COMPUTED_VALUE"""),1.006)</f>
        <v>1.006</v>
      </c>
      <c r="E2273" s="16">
        <f>IFERROR(__xludf.DUMMYFUNCTION("""COMPUTED_VALUE"""),63.0)</f>
        <v>63</v>
      </c>
      <c r="F2273" s="19" t="str">
        <f>IFERROR(__xludf.DUMMYFUNCTION("""COMPUTED_VALUE"""),"BLACK")</f>
        <v>BLACK</v>
      </c>
      <c r="G2273" s="20" t="str">
        <f>IFERROR(__xludf.DUMMYFUNCTION("""COMPUTED_VALUE"""),"Uncle Sams Cider (11/12/2021) 02")</f>
        <v>Uncle Sams Cider (11/12/2021) 02</v>
      </c>
      <c r="H2273" s="19"/>
    </row>
    <row r="2274">
      <c r="A2274" s="9"/>
      <c r="B2274" s="15"/>
      <c r="C2274" s="9">
        <f>IFERROR(__xludf.DUMMYFUNCTION("""COMPUTED_VALUE"""),44581.8218285763)</f>
        <v>44581.82183</v>
      </c>
      <c r="D2274" s="15">
        <f>IFERROR(__xludf.DUMMYFUNCTION("""COMPUTED_VALUE"""),1.006)</f>
        <v>1.006</v>
      </c>
      <c r="E2274" s="16">
        <f>IFERROR(__xludf.DUMMYFUNCTION("""COMPUTED_VALUE"""),63.0)</f>
        <v>63</v>
      </c>
      <c r="F2274" s="19" t="str">
        <f>IFERROR(__xludf.DUMMYFUNCTION("""COMPUTED_VALUE"""),"BLACK")</f>
        <v>BLACK</v>
      </c>
      <c r="G2274" s="20" t="str">
        <f>IFERROR(__xludf.DUMMYFUNCTION("""COMPUTED_VALUE"""),"Uncle Sams Cider (11/12/2021) 02")</f>
        <v>Uncle Sams Cider (11/12/2021) 02</v>
      </c>
      <c r="H2274" s="19"/>
    </row>
    <row r="2275">
      <c r="A2275" s="9"/>
      <c r="B2275" s="15"/>
      <c r="C2275" s="9">
        <f>IFERROR(__xludf.DUMMYFUNCTION("""COMPUTED_VALUE"""),44581.8113961226)</f>
        <v>44581.8114</v>
      </c>
      <c r="D2275" s="15">
        <f>IFERROR(__xludf.DUMMYFUNCTION("""COMPUTED_VALUE"""),1.006)</f>
        <v>1.006</v>
      </c>
      <c r="E2275" s="16">
        <f>IFERROR(__xludf.DUMMYFUNCTION("""COMPUTED_VALUE"""),63.0)</f>
        <v>63</v>
      </c>
      <c r="F2275" s="19" t="str">
        <f>IFERROR(__xludf.DUMMYFUNCTION("""COMPUTED_VALUE"""),"BLACK")</f>
        <v>BLACK</v>
      </c>
      <c r="G2275" s="20" t="str">
        <f>IFERROR(__xludf.DUMMYFUNCTION("""COMPUTED_VALUE"""),"Uncle Sams Cider (11/12/2021) 02")</f>
        <v>Uncle Sams Cider (11/12/2021) 02</v>
      </c>
      <c r="H2275" s="19"/>
    </row>
    <row r="2276">
      <c r="A2276" s="9"/>
      <c r="B2276" s="15"/>
      <c r="C2276" s="9">
        <f>IFERROR(__xludf.DUMMYFUNCTION("""COMPUTED_VALUE"""),44581.8009733912)</f>
        <v>44581.80097</v>
      </c>
      <c r="D2276" s="15">
        <f>IFERROR(__xludf.DUMMYFUNCTION("""COMPUTED_VALUE"""),1.006)</f>
        <v>1.006</v>
      </c>
      <c r="E2276" s="16">
        <f>IFERROR(__xludf.DUMMYFUNCTION("""COMPUTED_VALUE"""),63.0)</f>
        <v>63</v>
      </c>
      <c r="F2276" s="19" t="str">
        <f>IFERROR(__xludf.DUMMYFUNCTION("""COMPUTED_VALUE"""),"BLACK")</f>
        <v>BLACK</v>
      </c>
      <c r="G2276" s="20" t="str">
        <f>IFERROR(__xludf.DUMMYFUNCTION("""COMPUTED_VALUE"""),"Uncle Sams Cider (11/12/2021) 02")</f>
        <v>Uncle Sams Cider (11/12/2021) 02</v>
      </c>
      <c r="H2276" s="19"/>
    </row>
    <row r="2277">
      <c r="A2277" s="9"/>
      <c r="B2277" s="15"/>
      <c r="C2277" s="9">
        <f>IFERROR(__xludf.DUMMYFUNCTION("""COMPUTED_VALUE"""),44581.7905285185)</f>
        <v>44581.79053</v>
      </c>
      <c r="D2277" s="15">
        <f>IFERROR(__xludf.DUMMYFUNCTION("""COMPUTED_VALUE"""),1.006)</f>
        <v>1.006</v>
      </c>
      <c r="E2277" s="16">
        <f>IFERROR(__xludf.DUMMYFUNCTION("""COMPUTED_VALUE"""),63.0)</f>
        <v>63</v>
      </c>
      <c r="F2277" s="19" t="str">
        <f>IFERROR(__xludf.DUMMYFUNCTION("""COMPUTED_VALUE"""),"BLACK")</f>
        <v>BLACK</v>
      </c>
      <c r="G2277" s="20" t="str">
        <f>IFERROR(__xludf.DUMMYFUNCTION("""COMPUTED_VALUE"""),"Uncle Sams Cider (11/12/2021) 02")</f>
        <v>Uncle Sams Cider (11/12/2021) 02</v>
      </c>
      <c r="H2277" s="19"/>
    </row>
    <row r="2278">
      <c r="A2278" s="9"/>
      <c r="B2278" s="15"/>
      <c r="C2278" s="9">
        <f>IFERROR(__xludf.DUMMYFUNCTION("""COMPUTED_VALUE"""),44581.7800731597)</f>
        <v>44581.78007</v>
      </c>
      <c r="D2278" s="15">
        <f>IFERROR(__xludf.DUMMYFUNCTION("""COMPUTED_VALUE"""),1.006)</f>
        <v>1.006</v>
      </c>
      <c r="E2278" s="16">
        <f>IFERROR(__xludf.DUMMYFUNCTION("""COMPUTED_VALUE"""),63.0)</f>
        <v>63</v>
      </c>
      <c r="F2278" s="19" t="str">
        <f>IFERROR(__xludf.DUMMYFUNCTION("""COMPUTED_VALUE"""),"BLACK")</f>
        <v>BLACK</v>
      </c>
      <c r="G2278" s="20" t="str">
        <f>IFERROR(__xludf.DUMMYFUNCTION("""COMPUTED_VALUE"""),"Uncle Sams Cider (11/12/2021) 02")</f>
        <v>Uncle Sams Cider (11/12/2021) 02</v>
      </c>
      <c r="H2278" s="19"/>
    </row>
    <row r="2279">
      <c r="A2279" s="9"/>
      <c r="B2279" s="15"/>
      <c r="C2279" s="9">
        <f>IFERROR(__xludf.DUMMYFUNCTION("""COMPUTED_VALUE"""),44581.769652662)</f>
        <v>44581.76965</v>
      </c>
      <c r="D2279" s="15">
        <f>IFERROR(__xludf.DUMMYFUNCTION("""COMPUTED_VALUE"""),1.006)</f>
        <v>1.006</v>
      </c>
      <c r="E2279" s="16">
        <f>IFERROR(__xludf.DUMMYFUNCTION("""COMPUTED_VALUE"""),63.0)</f>
        <v>63</v>
      </c>
      <c r="F2279" s="19" t="str">
        <f>IFERROR(__xludf.DUMMYFUNCTION("""COMPUTED_VALUE"""),"BLACK")</f>
        <v>BLACK</v>
      </c>
      <c r="G2279" s="20" t="str">
        <f>IFERROR(__xludf.DUMMYFUNCTION("""COMPUTED_VALUE"""),"Uncle Sams Cider (11/12/2021) 02")</f>
        <v>Uncle Sams Cider (11/12/2021) 02</v>
      </c>
      <c r="H2279" s="19"/>
    </row>
    <row r="2280">
      <c r="A2280" s="9"/>
      <c r="B2280" s="15"/>
      <c r="C2280" s="9">
        <f>IFERROR(__xludf.DUMMYFUNCTION("""COMPUTED_VALUE"""),44581.7592199884)</f>
        <v>44581.75922</v>
      </c>
      <c r="D2280" s="15">
        <f>IFERROR(__xludf.DUMMYFUNCTION("""COMPUTED_VALUE"""),1.006)</f>
        <v>1.006</v>
      </c>
      <c r="E2280" s="16">
        <f>IFERROR(__xludf.DUMMYFUNCTION("""COMPUTED_VALUE"""),63.0)</f>
        <v>63</v>
      </c>
      <c r="F2280" s="19" t="str">
        <f>IFERROR(__xludf.DUMMYFUNCTION("""COMPUTED_VALUE"""),"BLACK")</f>
        <v>BLACK</v>
      </c>
      <c r="G2280" s="20" t="str">
        <f>IFERROR(__xludf.DUMMYFUNCTION("""COMPUTED_VALUE"""),"Uncle Sams Cider (11/12/2021) 02")</f>
        <v>Uncle Sams Cider (11/12/2021) 02</v>
      </c>
      <c r="H2280" s="19"/>
    </row>
    <row r="2281">
      <c r="A2281" s="9"/>
      <c r="B2281" s="15"/>
      <c r="C2281" s="9">
        <f>IFERROR(__xludf.DUMMYFUNCTION("""COMPUTED_VALUE"""),44581.7487881828)</f>
        <v>44581.74879</v>
      </c>
      <c r="D2281" s="15">
        <f>IFERROR(__xludf.DUMMYFUNCTION("""COMPUTED_VALUE"""),1.006)</f>
        <v>1.006</v>
      </c>
      <c r="E2281" s="16">
        <f>IFERROR(__xludf.DUMMYFUNCTION("""COMPUTED_VALUE"""),63.0)</f>
        <v>63</v>
      </c>
      <c r="F2281" s="19" t="str">
        <f>IFERROR(__xludf.DUMMYFUNCTION("""COMPUTED_VALUE"""),"BLACK")</f>
        <v>BLACK</v>
      </c>
      <c r="G2281" s="20" t="str">
        <f>IFERROR(__xludf.DUMMYFUNCTION("""COMPUTED_VALUE"""),"Uncle Sams Cider (11/12/2021) 02")</f>
        <v>Uncle Sams Cider (11/12/2021) 02</v>
      </c>
      <c r="H2281" s="19"/>
    </row>
    <row r="2282">
      <c r="A2282" s="9"/>
      <c r="B2282" s="15"/>
      <c r="C2282" s="9">
        <f>IFERROR(__xludf.DUMMYFUNCTION("""COMPUTED_VALUE"""),44581.7383320254)</f>
        <v>44581.73833</v>
      </c>
      <c r="D2282" s="15">
        <f>IFERROR(__xludf.DUMMYFUNCTION("""COMPUTED_VALUE"""),1.006)</f>
        <v>1.006</v>
      </c>
      <c r="E2282" s="16">
        <f>IFERROR(__xludf.DUMMYFUNCTION("""COMPUTED_VALUE"""),63.0)</f>
        <v>63</v>
      </c>
      <c r="F2282" s="19" t="str">
        <f>IFERROR(__xludf.DUMMYFUNCTION("""COMPUTED_VALUE"""),"BLACK")</f>
        <v>BLACK</v>
      </c>
      <c r="G2282" s="20" t="str">
        <f>IFERROR(__xludf.DUMMYFUNCTION("""COMPUTED_VALUE"""),"Uncle Sams Cider (11/12/2021) 02")</f>
        <v>Uncle Sams Cider (11/12/2021) 02</v>
      </c>
      <c r="H2282" s="19"/>
    </row>
    <row r="2283">
      <c r="A2283" s="9"/>
      <c r="B2283" s="15"/>
      <c r="C2283" s="9">
        <f>IFERROR(__xludf.DUMMYFUNCTION("""COMPUTED_VALUE"""),44581.7279108912)</f>
        <v>44581.72791</v>
      </c>
      <c r="D2283" s="15">
        <f>IFERROR(__xludf.DUMMYFUNCTION("""COMPUTED_VALUE"""),1.006)</f>
        <v>1.006</v>
      </c>
      <c r="E2283" s="16">
        <f>IFERROR(__xludf.DUMMYFUNCTION("""COMPUTED_VALUE"""),63.0)</f>
        <v>63</v>
      </c>
      <c r="F2283" s="19" t="str">
        <f>IFERROR(__xludf.DUMMYFUNCTION("""COMPUTED_VALUE"""),"BLACK")</f>
        <v>BLACK</v>
      </c>
      <c r="G2283" s="20" t="str">
        <f>IFERROR(__xludf.DUMMYFUNCTION("""COMPUTED_VALUE"""),"Uncle Sams Cider (11/12/2021) 02")</f>
        <v>Uncle Sams Cider (11/12/2021) 02</v>
      </c>
      <c r="H2283" s="19"/>
    </row>
    <row r="2284">
      <c r="A2284" s="9"/>
      <c r="B2284" s="15"/>
      <c r="C2284" s="9">
        <f>IFERROR(__xludf.DUMMYFUNCTION("""COMPUTED_VALUE"""),44581.7174552199)</f>
        <v>44581.71746</v>
      </c>
      <c r="D2284" s="15">
        <f>IFERROR(__xludf.DUMMYFUNCTION("""COMPUTED_VALUE"""),1.006)</f>
        <v>1.006</v>
      </c>
      <c r="E2284" s="16">
        <f>IFERROR(__xludf.DUMMYFUNCTION("""COMPUTED_VALUE"""),63.0)</f>
        <v>63</v>
      </c>
      <c r="F2284" s="19" t="str">
        <f>IFERROR(__xludf.DUMMYFUNCTION("""COMPUTED_VALUE"""),"BLACK")</f>
        <v>BLACK</v>
      </c>
      <c r="G2284" s="20" t="str">
        <f>IFERROR(__xludf.DUMMYFUNCTION("""COMPUTED_VALUE"""),"Uncle Sams Cider (11/12/2021) 02")</f>
        <v>Uncle Sams Cider (11/12/2021) 02</v>
      </c>
      <c r="H2284" s="19"/>
    </row>
    <row r="2285">
      <c r="A2285" s="9"/>
      <c r="B2285" s="15"/>
      <c r="C2285" s="9">
        <f>IFERROR(__xludf.DUMMYFUNCTION("""COMPUTED_VALUE"""),44581.7070207754)</f>
        <v>44581.70702</v>
      </c>
      <c r="D2285" s="15">
        <f>IFERROR(__xludf.DUMMYFUNCTION("""COMPUTED_VALUE"""),1.006)</f>
        <v>1.006</v>
      </c>
      <c r="E2285" s="16">
        <f>IFERROR(__xludf.DUMMYFUNCTION("""COMPUTED_VALUE"""),63.0)</f>
        <v>63</v>
      </c>
      <c r="F2285" s="19" t="str">
        <f>IFERROR(__xludf.DUMMYFUNCTION("""COMPUTED_VALUE"""),"BLACK")</f>
        <v>BLACK</v>
      </c>
      <c r="G2285" s="20" t="str">
        <f>IFERROR(__xludf.DUMMYFUNCTION("""COMPUTED_VALUE"""),"Uncle Sams Cider (11/12/2021) 02")</f>
        <v>Uncle Sams Cider (11/12/2021) 02</v>
      </c>
      <c r="H2285" s="19"/>
    </row>
    <row r="2286">
      <c r="A2286" s="9"/>
      <c r="B2286" s="15"/>
      <c r="C2286" s="9">
        <f>IFERROR(__xludf.DUMMYFUNCTION("""COMPUTED_VALUE"""),44581.6965523263)</f>
        <v>44581.69655</v>
      </c>
      <c r="D2286" s="15">
        <f>IFERROR(__xludf.DUMMYFUNCTION("""COMPUTED_VALUE"""),1.006)</f>
        <v>1.006</v>
      </c>
      <c r="E2286" s="16">
        <f>IFERROR(__xludf.DUMMYFUNCTION("""COMPUTED_VALUE"""),63.0)</f>
        <v>63</v>
      </c>
      <c r="F2286" s="19" t="str">
        <f>IFERROR(__xludf.DUMMYFUNCTION("""COMPUTED_VALUE"""),"BLACK")</f>
        <v>BLACK</v>
      </c>
      <c r="G2286" s="20" t="str">
        <f>IFERROR(__xludf.DUMMYFUNCTION("""COMPUTED_VALUE"""),"Uncle Sams Cider (11/12/2021) 02")</f>
        <v>Uncle Sams Cider (11/12/2021) 02</v>
      </c>
      <c r="H2286" s="19"/>
    </row>
    <row r="2287">
      <c r="A2287" s="9"/>
      <c r="B2287" s="15"/>
      <c r="C2287" s="9">
        <f>IFERROR(__xludf.DUMMYFUNCTION("""COMPUTED_VALUE"""),44581.6861304282)</f>
        <v>44581.68613</v>
      </c>
      <c r="D2287" s="15">
        <f>IFERROR(__xludf.DUMMYFUNCTION("""COMPUTED_VALUE"""),1.006)</f>
        <v>1.006</v>
      </c>
      <c r="E2287" s="16">
        <f>IFERROR(__xludf.DUMMYFUNCTION("""COMPUTED_VALUE"""),63.0)</f>
        <v>63</v>
      </c>
      <c r="F2287" s="19" t="str">
        <f>IFERROR(__xludf.DUMMYFUNCTION("""COMPUTED_VALUE"""),"BLACK")</f>
        <v>BLACK</v>
      </c>
      <c r="G2287" s="20" t="str">
        <f>IFERROR(__xludf.DUMMYFUNCTION("""COMPUTED_VALUE"""),"Uncle Sams Cider (11/12/2021) 02")</f>
        <v>Uncle Sams Cider (11/12/2021) 02</v>
      </c>
      <c r="H2287" s="19"/>
    </row>
    <row r="2288">
      <c r="A2288" s="9"/>
      <c r="B2288" s="15"/>
      <c r="C2288" s="9">
        <f>IFERROR(__xludf.DUMMYFUNCTION("""COMPUTED_VALUE"""),44581.6757100578)</f>
        <v>44581.67571</v>
      </c>
      <c r="D2288" s="15">
        <f>IFERROR(__xludf.DUMMYFUNCTION("""COMPUTED_VALUE"""),1.006)</f>
        <v>1.006</v>
      </c>
      <c r="E2288" s="16">
        <f>IFERROR(__xludf.DUMMYFUNCTION("""COMPUTED_VALUE"""),63.0)</f>
        <v>63</v>
      </c>
      <c r="F2288" s="19" t="str">
        <f>IFERROR(__xludf.DUMMYFUNCTION("""COMPUTED_VALUE"""),"BLACK")</f>
        <v>BLACK</v>
      </c>
      <c r="G2288" s="20" t="str">
        <f>IFERROR(__xludf.DUMMYFUNCTION("""COMPUTED_VALUE"""),"Uncle Sams Cider (11/12/2021) 02")</f>
        <v>Uncle Sams Cider (11/12/2021) 02</v>
      </c>
      <c r="H2288" s="19"/>
    </row>
    <row r="2289">
      <c r="A2289" s="9"/>
      <c r="B2289" s="15"/>
      <c r="C2289" s="9">
        <f>IFERROR(__xludf.DUMMYFUNCTION("""COMPUTED_VALUE"""),44581.6652878356)</f>
        <v>44581.66529</v>
      </c>
      <c r="D2289" s="15">
        <f>IFERROR(__xludf.DUMMYFUNCTION("""COMPUTED_VALUE"""),1.006)</f>
        <v>1.006</v>
      </c>
      <c r="E2289" s="16">
        <f>IFERROR(__xludf.DUMMYFUNCTION("""COMPUTED_VALUE"""),63.0)</f>
        <v>63</v>
      </c>
      <c r="F2289" s="19" t="str">
        <f>IFERROR(__xludf.DUMMYFUNCTION("""COMPUTED_VALUE"""),"BLACK")</f>
        <v>BLACK</v>
      </c>
      <c r="G2289" s="20" t="str">
        <f>IFERROR(__xludf.DUMMYFUNCTION("""COMPUTED_VALUE"""),"Uncle Sams Cider (11/12/2021) 02")</f>
        <v>Uncle Sams Cider (11/12/2021) 02</v>
      </c>
      <c r="H2289" s="19"/>
    </row>
    <row r="2290">
      <c r="A2290" s="9"/>
      <c r="B2290" s="15"/>
      <c r="C2290" s="9">
        <f>IFERROR(__xludf.DUMMYFUNCTION("""COMPUTED_VALUE"""),44581.6548665046)</f>
        <v>44581.65487</v>
      </c>
      <c r="D2290" s="15">
        <f>IFERROR(__xludf.DUMMYFUNCTION("""COMPUTED_VALUE"""),1.006)</f>
        <v>1.006</v>
      </c>
      <c r="E2290" s="16">
        <f>IFERROR(__xludf.DUMMYFUNCTION("""COMPUTED_VALUE"""),63.0)</f>
        <v>63</v>
      </c>
      <c r="F2290" s="19" t="str">
        <f>IFERROR(__xludf.DUMMYFUNCTION("""COMPUTED_VALUE"""),"BLACK")</f>
        <v>BLACK</v>
      </c>
      <c r="G2290" s="20" t="str">
        <f>IFERROR(__xludf.DUMMYFUNCTION("""COMPUTED_VALUE"""),"Uncle Sams Cider (11/12/2021) 02")</f>
        <v>Uncle Sams Cider (11/12/2021) 02</v>
      </c>
      <c r="H2290" s="19"/>
    </row>
    <row r="2291">
      <c r="A2291" s="9"/>
      <c r="B2291" s="15"/>
      <c r="C2291" s="9">
        <f>IFERROR(__xludf.DUMMYFUNCTION("""COMPUTED_VALUE"""),44581.6444458912)</f>
        <v>44581.64445</v>
      </c>
      <c r="D2291" s="15">
        <f>IFERROR(__xludf.DUMMYFUNCTION("""COMPUTED_VALUE"""),1.006)</f>
        <v>1.006</v>
      </c>
      <c r="E2291" s="16">
        <f>IFERROR(__xludf.DUMMYFUNCTION("""COMPUTED_VALUE"""),64.0)</f>
        <v>64</v>
      </c>
      <c r="F2291" s="19" t="str">
        <f>IFERROR(__xludf.DUMMYFUNCTION("""COMPUTED_VALUE"""),"BLACK")</f>
        <v>BLACK</v>
      </c>
      <c r="G2291" s="20" t="str">
        <f>IFERROR(__xludf.DUMMYFUNCTION("""COMPUTED_VALUE"""),"Uncle Sams Cider (11/12/2021) 02")</f>
        <v>Uncle Sams Cider (11/12/2021) 02</v>
      </c>
      <c r="H2291" s="19"/>
    </row>
    <row r="2292">
      <c r="A2292" s="9"/>
      <c r="B2292" s="15"/>
      <c r="C2292" s="9">
        <f>IFERROR(__xludf.DUMMYFUNCTION("""COMPUTED_VALUE"""),44581.634024456)</f>
        <v>44581.63402</v>
      </c>
      <c r="D2292" s="15">
        <f>IFERROR(__xludf.DUMMYFUNCTION("""COMPUTED_VALUE"""),1.006)</f>
        <v>1.006</v>
      </c>
      <c r="E2292" s="16">
        <f>IFERROR(__xludf.DUMMYFUNCTION("""COMPUTED_VALUE"""),64.0)</f>
        <v>64</v>
      </c>
      <c r="F2292" s="19" t="str">
        <f>IFERROR(__xludf.DUMMYFUNCTION("""COMPUTED_VALUE"""),"BLACK")</f>
        <v>BLACK</v>
      </c>
      <c r="G2292" s="20" t="str">
        <f>IFERROR(__xludf.DUMMYFUNCTION("""COMPUTED_VALUE"""),"Uncle Sams Cider (11/12/2021) 02")</f>
        <v>Uncle Sams Cider (11/12/2021) 02</v>
      </c>
      <c r="H2292" s="19"/>
    </row>
    <row r="2293">
      <c r="A2293" s="9"/>
      <c r="B2293" s="15"/>
      <c r="C2293" s="9">
        <f>IFERROR(__xludf.DUMMYFUNCTION("""COMPUTED_VALUE"""),44581.623600625)</f>
        <v>44581.6236</v>
      </c>
      <c r="D2293" s="15">
        <f>IFERROR(__xludf.DUMMYFUNCTION("""COMPUTED_VALUE"""),1.006)</f>
        <v>1.006</v>
      </c>
      <c r="E2293" s="16">
        <f>IFERROR(__xludf.DUMMYFUNCTION("""COMPUTED_VALUE"""),64.0)</f>
        <v>64</v>
      </c>
      <c r="F2293" s="19" t="str">
        <f>IFERROR(__xludf.DUMMYFUNCTION("""COMPUTED_VALUE"""),"BLACK")</f>
        <v>BLACK</v>
      </c>
      <c r="G2293" s="20" t="str">
        <f>IFERROR(__xludf.DUMMYFUNCTION("""COMPUTED_VALUE"""),"Uncle Sams Cider (11/12/2021) 02")</f>
        <v>Uncle Sams Cider (11/12/2021) 02</v>
      </c>
      <c r="H2293" s="19"/>
    </row>
    <row r="2294">
      <c r="A2294" s="9"/>
      <c r="B2294" s="15"/>
      <c r="C2294" s="9">
        <f>IFERROR(__xludf.DUMMYFUNCTION("""COMPUTED_VALUE"""),44581.6131556712)</f>
        <v>44581.61316</v>
      </c>
      <c r="D2294" s="15">
        <f>IFERROR(__xludf.DUMMYFUNCTION("""COMPUTED_VALUE"""),1.006)</f>
        <v>1.006</v>
      </c>
      <c r="E2294" s="16">
        <f>IFERROR(__xludf.DUMMYFUNCTION("""COMPUTED_VALUE"""),64.0)</f>
        <v>64</v>
      </c>
      <c r="F2294" s="19" t="str">
        <f>IFERROR(__xludf.DUMMYFUNCTION("""COMPUTED_VALUE"""),"BLACK")</f>
        <v>BLACK</v>
      </c>
      <c r="G2294" s="20" t="str">
        <f>IFERROR(__xludf.DUMMYFUNCTION("""COMPUTED_VALUE"""),"Uncle Sams Cider (11/12/2021) 02")</f>
        <v>Uncle Sams Cider (11/12/2021) 02</v>
      </c>
      <c r="H2294" s="19"/>
    </row>
    <row r="2295">
      <c r="A2295" s="9"/>
      <c r="B2295" s="15"/>
      <c r="C2295" s="9">
        <f>IFERROR(__xludf.DUMMYFUNCTION("""COMPUTED_VALUE"""),44581.6027356134)</f>
        <v>44581.60274</v>
      </c>
      <c r="D2295" s="15">
        <f>IFERROR(__xludf.DUMMYFUNCTION("""COMPUTED_VALUE"""),1.006)</f>
        <v>1.006</v>
      </c>
      <c r="E2295" s="16">
        <f>IFERROR(__xludf.DUMMYFUNCTION("""COMPUTED_VALUE"""),64.0)</f>
        <v>64</v>
      </c>
      <c r="F2295" s="19" t="str">
        <f>IFERROR(__xludf.DUMMYFUNCTION("""COMPUTED_VALUE"""),"BLACK")</f>
        <v>BLACK</v>
      </c>
      <c r="G2295" s="20" t="str">
        <f>IFERROR(__xludf.DUMMYFUNCTION("""COMPUTED_VALUE"""),"Uncle Sams Cider (11/12/2021) 02")</f>
        <v>Uncle Sams Cider (11/12/2021) 02</v>
      </c>
      <c r="H2295" s="19"/>
    </row>
    <row r="2296">
      <c r="A2296" s="9"/>
      <c r="B2296" s="15"/>
      <c r="C2296" s="9">
        <f>IFERROR(__xludf.DUMMYFUNCTION("""COMPUTED_VALUE"""),44581.5922456597)</f>
        <v>44581.59225</v>
      </c>
      <c r="D2296" s="15">
        <f>IFERROR(__xludf.DUMMYFUNCTION("""COMPUTED_VALUE"""),1.006)</f>
        <v>1.006</v>
      </c>
      <c r="E2296" s="16">
        <f>IFERROR(__xludf.DUMMYFUNCTION("""COMPUTED_VALUE"""),64.0)</f>
        <v>64</v>
      </c>
      <c r="F2296" s="19" t="str">
        <f>IFERROR(__xludf.DUMMYFUNCTION("""COMPUTED_VALUE"""),"BLACK")</f>
        <v>BLACK</v>
      </c>
      <c r="G2296" s="20" t="str">
        <f>IFERROR(__xludf.DUMMYFUNCTION("""COMPUTED_VALUE"""),"Uncle Sams Cider (11/12/2021) 02")</f>
        <v>Uncle Sams Cider (11/12/2021) 02</v>
      </c>
      <c r="H2296" s="19"/>
    </row>
    <row r="2297">
      <c r="A2297" s="9"/>
      <c r="B2297" s="15"/>
      <c r="C2297" s="9">
        <f>IFERROR(__xludf.DUMMYFUNCTION("""COMPUTED_VALUE"""),44581.5817896296)</f>
        <v>44581.58179</v>
      </c>
      <c r="D2297" s="15">
        <f>IFERROR(__xludf.DUMMYFUNCTION("""COMPUTED_VALUE"""),1.006)</f>
        <v>1.006</v>
      </c>
      <c r="E2297" s="16">
        <f>IFERROR(__xludf.DUMMYFUNCTION("""COMPUTED_VALUE"""),64.0)</f>
        <v>64</v>
      </c>
      <c r="F2297" s="19" t="str">
        <f>IFERROR(__xludf.DUMMYFUNCTION("""COMPUTED_VALUE"""),"BLACK")</f>
        <v>BLACK</v>
      </c>
      <c r="G2297" s="20" t="str">
        <f>IFERROR(__xludf.DUMMYFUNCTION("""COMPUTED_VALUE"""),"Uncle Sams Cider (11/12/2021) 02")</f>
        <v>Uncle Sams Cider (11/12/2021) 02</v>
      </c>
      <c r="H2297" s="19"/>
    </row>
    <row r="2298">
      <c r="A2298" s="9"/>
      <c r="B2298" s="15"/>
      <c r="C2298" s="9">
        <f>IFERROR(__xludf.DUMMYFUNCTION("""COMPUTED_VALUE"""),44581.5713672337)</f>
        <v>44581.57137</v>
      </c>
      <c r="D2298" s="15">
        <f>IFERROR(__xludf.DUMMYFUNCTION("""COMPUTED_VALUE"""),1.006)</f>
        <v>1.006</v>
      </c>
      <c r="E2298" s="16">
        <f>IFERROR(__xludf.DUMMYFUNCTION("""COMPUTED_VALUE"""),64.0)</f>
        <v>64</v>
      </c>
      <c r="F2298" s="19" t="str">
        <f>IFERROR(__xludf.DUMMYFUNCTION("""COMPUTED_VALUE"""),"BLACK")</f>
        <v>BLACK</v>
      </c>
      <c r="G2298" s="20" t="str">
        <f>IFERROR(__xludf.DUMMYFUNCTION("""COMPUTED_VALUE"""),"Uncle Sams Cider (11/12/2021) 02")</f>
        <v>Uncle Sams Cider (11/12/2021) 02</v>
      </c>
      <c r="H2298" s="19"/>
    </row>
    <row r="2299">
      <c r="A2299" s="9"/>
      <c r="B2299" s="15"/>
      <c r="C2299" s="9">
        <f>IFERROR(__xludf.DUMMYFUNCTION("""COMPUTED_VALUE"""),44581.56094875)</f>
        <v>44581.56095</v>
      </c>
      <c r="D2299" s="15">
        <f>IFERROR(__xludf.DUMMYFUNCTION("""COMPUTED_VALUE"""),1.006)</f>
        <v>1.006</v>
      </c>
      <c r="E2299" s="16">
        <f>IFERROR(__xludf.DUMMYFUNCTION("""COMPUTED_VALUE"""),64.0)</f>
        <v>64</v>
      </c>
      <c r="F2299" s="19" t="str">
        <f>IFERROR(__xludf.DUMMYFUNCTION("""COMPUTED_VALUE"""),"BLACK")</f>
        <v>BLACK</v>
      </c>
      <c r="G2299" s="20" t="str">
        <f>IFERROR(__xludf.DUMMYFUNCTION("""COMPUTED_VALUE"""),"Uncle Sams Cider (11/12/2021) 02")</f>
        <v>Uncle Sams Cider (11/12/2021) 02</v>
      </c>
      <c r="H2299" s="19"/>
    </row>
    <row r="2300">
      <c r="A2300" s="9"/>
      <c r="B2300" s="15"/>
      <c r="C2300" s="9">
        <f>IFERROR(__xludf.DUMMYFUNCTION("""COMPUTED_VALUE"""),44581.5505158217)</f>
        <v>44581.55052</v>
      </c>
      <c r="D2300" s="15">
        <f>IFERROR(__xludf.DUMMYFUNCTION("""COMPUTED_VALUE"""),1.006)</f>
        <v>1.006</v>
      </c>
      <c r="E2300" s="16">
        <f>IFERROR(__xludf.DUMMYFUNCTION("""COMPUTED_VALUE"""),64.0)</f>
        <v>64</v>
      </c>
      <c r="F2300" s="19" t="str">
        <f>IFERROR(__xludf.DUMMYFUNCTION("""COMPUTED_VALUE"""),"BLACK")</f>
        <v>BLACK</v>
      </c>
      <c r="G2300" s="20" t="str">
        <f>IFERROR(__xludf.DUMMYFUNCTION("""COMPUTED_VALUE"""),"Uncle Sams Cider (11/12/2021) 02")</f>
        <v>Uncle Sams Cider (11/12/2021) 02</v>
      </c>
      <c r="H2300" s="19"/>
    </row>
    <row r="2301">
      <c r="A2301" s="9"/>
      <c r="B2301" s="15"/>
      <c r="C2301" s="9">
        <f>IFERROR(__xludf.DUMMYFUNCTION("""COMPUTED_VALUE"""),44581.5400615625)</f>
        <v>44581.54006</v>
      </c>
      <c r="D2301" s="15">
        <f>IFERROR(__xludf.DUMMYFUNCTION("""COMPUTED_VALUE"""),1.006)</f>
        <v>1.006</v>
      </c>
      <c r="E2301" s="16">
        <f>IFERROR(__xludf.DUMMYFUNCTION("""COMPUTED_VALUE"""),64.0)</f>
        <v>64</v>
      </c>
      <c r="F2301" s="19" t="str">
        <f>IFERROR(__xludf.DUMMYFUNCTION("""COMPUTED_VALUE"""),"BLACK")</f>
        <v>BLACK</v>
      </c>
      <c r="G2301" s="20" t="str">
        <f>IFERROR(__xludf.DUMMYFUNCTION("""COMPUTED_VALUE"""),"Uncle Sams Cider (11/12/2021) 02")</f>
        <v>Uncle Sams Cider (11/12/2021) 02</v>
      </c>
      <c r="H2301" s="19"/>
    </row>
    <row r="2302">
      <c r="A2302" s="9"/>
      <c r="B2302" s="15"/>
      <c r="C2302" s="9">
        <f>IFERROR(__xludf.DUMMYFUNCTION("""COMPUTED_VALUE"""),44581.5296035763)</f>
        <v>44581.5296</v>
      </c>
      <c r="D2302" s="15">
        <f>IFERROR(__xludf.DUMMYFUNCTION("""COMPUTED_VALUE"""),1.006)</f>
        <v>1.006</v>
      </c>
      <c r="E2302" s="16">
        <f>IFERROR(__xludf.DUMMYFUNCTION("""COMPUTED_VALUE"""),64.0)</f>
        <v>64</v>
      </c>
      <c r="F2302" s="19" t="str">
        <f>IFERROR(__xludf.DUMMYFUNCTION("""COMPUTED_VALUE"""),"BLACK")</f>
        <v>BLACK</v>
      </c>
      <c r="G2302" s="20" t="str">
        <f>IFERROR(__xludf.DUMMYFUNCTION("""COMPUTED_VALUE"""),"Uncle Sams Cider (11/12/2021) 02")</f>
        <v>Uncle Sams Cider (11/12/2021) 02</v>
      </c>
      <c r="H2302" s="19"/>
    </row>
    <row r="2303">
      <c r="A2303" s="9"/>
      <c r="B2303" s="15"/>
      <c r="C2303" s="9">
        <f>IFERROR(__xludf.DUMMYFUNCTION("""COMPUTED_VALUE"""),44581.5191825578)</f>
        <v>44581.51918</v>
      </c>
      <c r="D2303" s="15">
        <f>IFERROR(__xludf.DUMMYFUNCTION("""COMPUTED_VALUE"""),1.006)</f>
        <v>1.006</v>
      </c>
      <c r="E2303" s="16">
        <f>IFERROR(__xludf.DUMMYFUNCTION("""COMPUTED_VALUE"""),64.0)</f>
        <v>64</v>
      </c>
      <c r="F2303" s="19" t="str">
        <f>IFERROR(__xludf.DUMMYFUNCTION("""COMPUTED_VALUE"""),"BLACK")</f>
        <v>BLACK</v>
      </c>
      <c r="G2303" s="20" t="str">
        <f>IFERROR(__xludf.DUMMYFUNCTION("""COMPUTED_VALUE"""),"Uncle Sams Cider (11/12/2021) 02")</f>
        <v>Uncle Sams Cider (11/12/2021) 02</v>
      </c>
      <c r="H2303" s="19"/>
    </row>
    <row r="2304">
      <c r="A2304" s="9"/>
      <c r="B2304" s="15"/>
      <c r="C2304" s="9">
        <f>IFERROR(__xludf.DUMMYFUNCTION("""COMPUTED_VALUE"""),44581.5087602662)</f>
        <v>44581.50876</v>
      </c>
      <c r="D2304" s="15">
        <f>IFERROR(__xludf.DUMMYFUNCTION("""COMPUTED_VALUE"""),1.006)</f>
        <v>1.006</v>
      </c>
      <c r="E2304" s="16">
        <f>IFERROR(__xludf.DUMMYFUNCTION("""COMPUTED_VALUE"""),64.0)</f>
        <v>64</v>
      </c>
      <c r="F2304" s="19" t="str">
        <f>IFERROR(__xludf.DUMMYFUNCTION("""COMPUTED_VALUE"""),"BLACK")</f>
        <v>BLACK</v>
      </c>
      <c r="G2304" s="20" t="str">
        <f>IFERROR(__xludf.DUMMYFUNCTION("""COMPUTED_VALUE"""),"Uncle Sams Cider (11/12/2021) 02")</f>
        <v>Uncle Sams Cider (11/12/2021) 02</v>
      </c>
      <c r="H2304" s="19"/>
    </row>
    <row r="2305">
      <c r="A2305" s="9"/>
      <c r="B2305" s="15"/>
      <c r="C2305" s="9">
        <f>IFERROR(__xludf.DUMMYFUNCTION("""COMPUTED_VALUE"""),44581.4983393287)</f>
        <v>44581.49834</v>
      </c>
      <c r="D2305" s="15">
        <f>IFERROR(__xludf.DUMMYFUNCTION("""COMPUTED_VALUE"""),1.006)</f>
        <v>1.006</v>
      </c>
      <c r="E2305" s="16">
        <f>IFERROR(__xludf.DUMMYFUNCTION("""COMPUTED_VALUE"""),64.0)</f>
        <v>64</v>
      </c>
      <c r="F2305" s="19" t="str">
        <f>IFERROR(__xludf.DUMMYFUNCTION("""COMPUTED_VALUE"""),"BLACK")</f>
        <v>BLACK</v>
      </c>
      <c r="G2305" s="20" t="str">
        <f>IFERROR(__xludf.DUMMYFUNCTION("""COMPUTED_VALUE"""),"Uncle Sams Cider (11/12/2021) 02")</f>
        <v>Uncle Sams Cider (11/12/2021) 02</v>
      </c>
      <c r="H2305" s="19"/>
    </row>
    <row r="2306">
      <c r="A2306" s="9"/>
      <c r="B2306" s="15"/>
      <c r="C2306" s="9">
        <f>IFERROR(__xludf.DUMMYFUNCTION("""COMPUTED_VALUE"""),44581.4878835763)</f>
        <v>44581.48788</v>
      </c>
      <c r="D2306" s="15">
        <f>IFERROR(__xludf.DUMMYFUNCTION("""COMPUTED_VALUE"""),1.006)</f>
        <v>1.006</v>
      </c>
      <c r="E2306" s="16">
        <f>IFERROR(__xludf.DUMMYFUNCTION("""COMPUTED_VALUE"""),64.0)</f>
        <v>64</v>
      </c>
      <c r="F2306" s="19" t="str">
        <f>IFERROR(__xludf.DUMMYFUNCTION("""COMPUTED_VALUE"""),"BLACK")</f>
        <v>BLACK</v>
      </c>
      <c r="G2306" s="20" t="str">
        <f>IFERROR(__xludf.DUMMYFUNCTION("""COMPUTED_VALUE"""),"Uncle Sams Cider (11/12/2021) 02")</f>
        <v>Uncle Sams Cider (11/12/2021) 02</v>
      </c>
      <c r="H2306" s="19"/>
    </row>
    <row r="2307">
      <c r="A2307" s="9"/>
      <c r="B2307" s="15"/>
      <c r="C2307" s="9">
        <f>IFERROR(__xludf.DUMMYFUNCTION("""COMPUTED_VALUE"""),44581.4774624768)</f>
        <v>44581.47746</v>
      </c>
      <c r="D2307" s="15">
        <f>IFERROR(__xludf.DUMMYFUNCTION("""COMPUTED_VALUE"""),1.006)</f>
        <v>1.006</v>
      </c>
      <c r="E2307" s="16">
        <f>IFERROR(__xludf.DUMMYFUNCTION("""COMPUTED_VALUE"""),64.0)</f>
        <v>64</v>
      </c>
      <c r="F2307" s="19" t="str">
        <f>IFERROR(__xludf.DUMMYFUNCTION("""COMPUTED_VALUE"""),"BLACK")</f>
        <v>BLACK</v>
      </c>
      <c r="G2307" s="20" t="str">
        <f>IFERROR(__xludf.DUMMYFUNCTION("""COMPUTED_VALUE"""),"Uncle Sams Cider (11/12/2021) 02")</f>
        <v>Uncle Sams Cider (11/12/2021) 02</v>
      </c>
      <c r="H2307" s="19"/>
    </row>
    <row r="2308">
      <c r="A2308" s="9"/>
      <c r="B2308" s="15"/>
      <c r="C2308" s="9">
        <f>IFERROR(__xludf.DUMMYFUNCTION("""COMPUTED_VALUE"""),44581.4670416898)</f>
        <v>44581.46704</v>
      </c>
      <c r="D2308" s="15">
        <f>IFERROR(__xludf.DUMMYFUNCTION("""COMPUTED_VALUE"""),1.006)</f>
        <v>1.006</v>
      </c>
      <c r="E2308" s="16">
        <f>IFERROR(__xludf.DUMMYFUNCTION("""COMPUTED_VALUE"""),64.0)</f>
        <v>64</v>
      </c>
      <c r="F2308" s="19" t="str">
        <f>IFERROR(__xludf.DUMMYFUNCTION("""COMPUTED_VALUE"""),"BLACK")</f>
        <v>BLACK</v>
      </c>
      <c r="G2308" s="20" t="str">
        <f>IFERROR(__xludf.DUMMYFUNCTION("""COMPUTED_VALUE"""),"Uncle Sams Cider (11/12/2021) 02")</f>
        <v>Uncle Sams Cider (11/12/2021) 02</v>
      </c>
      <c r="H2308" s="19"/>
    </row>
    <row r="2309">
      <c r="A2309" s="9"/>
      <c r="B2309" s="15"/>
      <c r="C2309" s="9">
        <f>IFERROR(__xludf.DUMMYFUNCTION("""COMPUTED_VALUE"""),44581.4566073726)</f>
        <v>44581.45661</v>
      </c>
      <c r="D2309" s="15">
        <f>IFERROR(__xludf.DUMMYFUNCTION("""COMPUTED_VALUE"""),1.006)</f>
        <v>1.006</v>
      </c>
      <c r="E2309" s="16">
        <f>IFERROR(__xludf.DUMMYFUNCTION("""COMPUTED_VALUE"""),64.0)</f>
        <v>64</v>
      </c>
      <c r="F2309" s="19" t="str">
        <f>IFERROR(__xludf.DUMMYFUNCTION("""COMPUTED_VALUE"""),"BLACK")</f>
        <v>BLACK</v>
      </c>
      <c r="G2309" s="20" t="str">
        <f>IFERROR(__xludf.DUMMYFUNCTION("""COMPUTED_VALUE"""),"Uncle Sams Cider (11/12/2021) 02")</f>
        <v>Uncle Sams Cider (11/12/2021) 02</v>
      </c>
      <c r="H2309" s="19"/>
    </row>
    <row r="2310">
      <c r="A2310" s="9"/>
      <c r="B2310" s="15"/>
      <c r="C2310" s="9">
        <f>IFERROR(__xludf.DUMMYFUNCTION("""COMPUTED_VALUE"""),44581.4461631018)</f>
        <v>44581.44616</v>
      </c>
      <c r="D2310" s="15">
        <f>IFERROR(__xludf.DUMMYFUNCTION("""COMPUTED_VALUE"""),1.006)</f>
        <v>1.006</v>
      </c>
      <c r="E2310" s="16">
        <f>IFERROR(__xludf.DUMMYFUNCTION("""COMPUTED_VALUE"""),64.0)</f>
        <v>64</v>
      </c>
      <c r="F2310" s="19" t="str">
        <f>IFERROR(__xludf.DUMMYFUNCTION("""COMPUTED_VALUE"""),"BLACK")</f>
        <v>BLACK</v>
      </c>
      <c r="G2310" s="20" t="str">
        <f>IFERROR(__xludf.DUMMYFUNCTION("""COMPUTED_VALUE"""),"Uncle Sams Cider (11/12/2021) 02")</f>
        <v>Uncle Sams Cider (11/12/2021) 02</v>
      </c>
      <c r="H2310" s="19"/>
    </row>
    <row r="2311">
      <c r="A2311" s="9"/>
      <c r="B2311" s="15"/>
      <c r="C2311" s="9">
        <f>IFERROR(__xludf.DUMMYFUNCTION("""COMPUTED_VALUE"""),44581.4357067013)</f>
        <v>44581.43571</v>
      </c>
      <c r="D2311" s="15">
        <f>IFERROR(__xludf.DUMMYFUNCTION("""COMPUTED_VALUE"""),1.006)</f>
        <v>1.006</v>
      </c>
      <c r="E2311" s="16">
        <f>IFERROR(__xludf.DUMMYFUNCTION("""COMPUTED_VALUE"""),64.0)</f>
        <v>64</v>
      </c>
      <c r="F2311" s="19" t="str">
        <f>IFERROR(__xludf.DUMMYFUNCTION("""COMPUTED_VALUE"""),"BLACK")</f>
        <v>BLACK</v>
      </c>
      <c r="G2311" s="20" t="str">
        <f>IFERROR(__xludf.DUMMYFUNCTION("""COMPUTED_VALUE"""),"Uncle Sams Cider (11/12/2021) 02")</f>
        <v>Uncle Sams Cider (11/12/2021) 02</v>
      </c>
      <c r="H2311" s="19"/>
    </row>
    <row r="2312">
      <c r="A2312" s="9"/>
      <c r="B2312" s="15"/>
      <c r="C2312" s="9">
        <f>IFERROR(__xludf.DUMMYFUNCTION("""COMPUTED_VALUE"""),44581.4252851273)</f>
        <v>44581.42529</v>
      </c>
      <c r="D2312" s="15">
        <f>IFERROR(__xludf.DUMMYFUNCTION("""COMPUTED_VALUE"""),1.006)</f>
        <v>1.006</v>
      </c>
      <c r="E2312" s="16">
        <f>IFERROR(__xludf.DUMMYFUNCTION("""COMPUTED_VALUE"""),64.0)</f>
        <v>64</v>
      </c>
      <c r="F2312" s="19" t="str">
        <f>IFERROR(__xludf.DUMMYFUNCTION("""COMPUTED_VALUE"""),"BLACK")</f>
        <v>BLACK</v>
      </c>
      <c r="G2312" s="20" t="str">
        <f>IFERROR(__xludf.DUMMYFUNCTION("""COMPUTED_VALUE"""),"Uncle Sams Cider (11/12/2021) 02")</f>
        <v>Uncle Sams Cider (11/12/2021) 02</v>
      </c>
      <c r="H2312" s="19"/>
    </row>
    <row r="2313">
      <c r="A2313" s="9"/>
      <c r="B2313" s="15"/>
      <c r="C2313" s="9">
        <f>IFERROR(__xludf.DUMMYFUNCTION("""COMPUTED_VALUE"""),44581.4148641203)</f>
        <v>44581.41486</v>
      </c>
      <c r="D2313" s="15">
        <f>IFERROR(__xludf.DUMMYFUNCTION("""COMPUTED_VALUE"""),1.006)</f>
        <v>1.006</v>
      </c>
      <c r="E2313" s="16">
        <f>IFERROR(__xludf.DUMMYFUNCTION("""COMPUTED_VALUE"""),64.0)</f>
        <v>64</v>
      </c>
      <c r="F2313" s="19" t="str">
        <f>IFERROR(__xludf.DUMMYFUNCTION("""COMPUTED_VALUE"""),"BLACK")</f>
        <v>BLACK</v>
      </c>
      <c r="G2313" s="20" t="str">
        <f>IFERROR(__xludf.DUMMYFUNCTION("""COMPUTED_VALUE"""),"Uncle Sams Cider (11/12/2021) 02")</f>
        <v>Uncle Sams Cider (11/12/2021) 02</v>
      </c>
      <c r="H2313" s="19"/>
    </row>
    <row r="2314">
      <c r="A2314" s="9"/>
      <c r="B2314" s="15"/>
      <c r="C2314" s="9">
        <f>IFERROR(__xludf.DUMMYFUNCTION("""COMPUTED_VALUE"""),44581.4044416435)</f>
        <v>44581.40444</v>
      </c>
      <c r="D2314" s="15">
        <f>IFERROR(__xludf.DUMMYFUNCTION("""COMPUTED_VALUE"""),1.006)</f>
        <v>1.006</v>
      </c>
      <c r="E2314" s="16">
        <f>IFERROR(__xludf.DUMMYFUNCTION("""COMPUTED_VALUE"""),64.0)</f>
        <v>64</v>
      </c>
      <c r="F2314" s="19" t="str">
        <f>IFERROR(__xludf.DUMMYFUNCTION("""COMPUTED_VALUE"""),"BLACK")</f>
        <v>BLACK</v>
      </c>
      <c r="G2314" s="20" t="str">
        <f>IFERROR(__xludf.DUMMYFUNCTION("""COMPUTED_VALUE"""),"Uncle Sams Cider (11/12/2021) 02")</f>
        <v>Uncle Sams Cider (11/12/2021) 02</v>
      </c>
      <c r="H2314" s="19"/>
    </row>
    <row r="2315">
      <c r="A2315" s="9"/>
      <c r="B2315" s="15"/>
      <c r="C2315" s="9">
        <f>IFERROR(__xludf.DUMMYFUNCTION("""COMPUTED_VALUE"""),44581.3940213194)</f>
        <v>44581.39402</v>
      </c>
      <c r="D2315" s="15">
        <f>IFERROR(__xludf.DUMMYFUNCTION("""COMPUTED_VALUE"""),1.006)</f>
        <v>1.006</v>
      </c>
      <c r="E2315" s="16">
        <f>IFERROR(__xludf.DUMMYFUNCTION("""COMPUTED_VALUE"""),64.0)</f>
        <v>64</v>
      </c>
      <c r="F2315" s="19" t="str">
        <f>IFERROR(__xludf.DUMMYFUNCTION("""COMPUTED_VALUE"""),"BLACK")</f>
        <v>BLACK</v>
      </c>
      <c r="G2315" s="20" t="str">
        <f>IFERROR(__xludf.DUMMYFUNCTION("""COMPUTED_VALUE"""),"Uncle Sams Cider (11/12/2021) 02")</f>
        <v>Uncle Sams Cider (11/12/2021) 02</v>
      </c>
      <c r="H2315" s="19"/>
    </row>
    <row r="2316">
      <c r="A2316" s="9"/>
      <c r="B2316" s="15"/>
      <c r="C2316" s="9">
        <f>IFERROR(__xludf.DUMMYFUNCTION("""COMPUTED_VALUE"""),44581.3835992361)</f>
        <v>44581.3836</v>
      </c>
      <c r="D2316" s="15">
        <f>IFERROR(__xludf.DUMMYFUNCTION("""COMPUTED_VALUE"""),1.006)</f>
        <v>1.006</v>
      </c>
      <c r="E2316" s="16">
        <f>IFERROR(__xludf.DUMMYFUNCTION("""COMPUTED_VALUE"""),64.0)</f>
        <v>64</v>
      </c>
      <c r="F2316" s="19" t="str">
        <f>IFERROR(__xludf.DUMMYFUNCTION("""COMPUTED_VALUE"""),"BLACK")</f>
        <v>BLACK</v>
      </c>
      <c r="G2316" s="20" t="str">
        <f>IFERROR(__xludf.DUMMYFUNCTION("""COMPUTED_VALUE"""),"Uncle Sams Cider (11/12/2021) 02")</f>
        <v>Uncle Sams Cider (11/12/2021) 02</v>
      </c>
      <c r="H2316" s="19"/>
    </row>
    <row r="2317">
      <c r="A2317" s="9"/>
      <c r="B2317" s="15"/>
      <c r="C2317" s="9">
        <f>IFERROR(__xludf.DUMMYFUNCTION("""COMPUTED_VALUE"""),44581.373166574)</f>
        <v>44581.37317</v>
      </c>
      <c r="D2317" s="15">
        <f>IFERROR(__xludf.DUMMYFUNCTION("""COMPUTED_VALUE"""),1.006)</f>
        <v>1.006</v>
      </c>
      <c r="E2317" s="16">
        <f>IFERROR(__xludf.DUMMYFUNCTION("""COMPUTED_VALUE"""),64.0)</f>
        <v>64</v>
      </c>
      <c r="F2317" s="19" t="str">
        <f>IFERROR(__xludf.DUMMYFUNCTION("""COMPUTED_VALUE"""),"BLACK")</f>
        <v>BLACK</v>
      </c>
      <c r="G2317" s="20" t="str">
        <f>IFERROR(__xludf.DUMMYFUNCTION("""COMPUTED_VALUE"""),"Uncle Sams Cider (11/12/2021) 02")</f>
        <v>Uncle Sams Cider (11/12/2021) 02</v>
      </c>
      <c r="H2317" s="19"/>
    </row>
    <row r="2318">
      <c r="A2318" s="9"/>
      <c r="B2318" s="15"/>
      <c r="C2318" s="9">
        <f>IFERROR(__xludf.DUMMYFUNCTION("""COMPUTED_VALUE"""),44581.3627438194)</f>
        <v>44581.36274</v>
      </c>
      <c r="D2318" s="15">
        <f>IFERROR(__xludf.DUMMYFUNCTION("""COMPUTED_VALUE"""),1.006)</f>
        <v>1.006</v>
      </c>
      <c r="E2318" s="16">
        <f>IFERROR(__xludf.DUMMYFUNCTION("""COMPUTED_VALUE"""),64.0)</f>
        <v>64</v>
      </c>
      <c r="F2318" s="19" t="str">
        <f>IFERROR(__xludf.DUMMYFUNCTION("""COMPUTED_VALUE"""),"BLACK")</f>
        <v>BLACK</v>
      </c>
      <c r="G2318" s="20" t="str">
        <f>IFERROR(__xludf.DUMMYFUNCTION("""COMPUTED_VALUE"""),"Uncle Sams Cider (11/12/2021) 02")</f>
        <v>Uncle Sams Cider (11/12/2021) 02</v>
      </c>
      <c r="H2318" s="19"/>
    </row>
    <row r="2319">
      <c r="A2319" s="9"/>
      <c r="B2319" s="15"/>
      <c r="C2319" s="9">
        <f>IFERROR(__xludf.DUMMYFUNCTION("""COMPUTED_VALUE"""),44581.3523102083)</f>
        <v>44581.35231</v>
      </c>
      <c r="D2319" s="15">
        <f>IFERROR(__xludf.DUMMYFUNCTION("""COMPUTED_VALUE"""),1.006)</f>
        <v>1.006</v>
      </c>
      <c r="E2319" s="16">
        <f>IFERROR(__xludf.DUMMYFUNCTION("""COMPUTED_VALUE"""),64.0)</f>
        <v>64</v>
      </c>
      <c r="F2319" s="19" t="str">
        <f>IFERROR(__xludf.DUMMYFUNCTION("""COMPUTED_VALUE"""),"BLACK")</f>
        <v>BLACK</v>
      </c>
      <c r="G2319" s="20" t="str">
        <f>IFERROR(__xludf.DUMMYFUNCTION("""COMPUTED_VALUE"""),"Uncle Sams Cider (11/12/2021) 02")</f>
        <v>Uncle Sams Cider (11/12/2021) 02</v>
      </c>
      <c r="H2319" s="19"/>
    </row>
    <row r="2320">
      <c r="A2320" s="9"/>
      <c r="B2320" s="15"/>
      <c r="C2320" s="9">
        <f>IFERROR(__xludf.DUMMYFUNCTION("""COMPUTED_VALUE"""),44581.3418670254)</f>
        <v>44581.34187</v>
      </c>
      <c r="D2320" s="15">
        <f>IFERROR(__xludf.DUMMYFUNCTION("""COMPUTED_VALUE"""),1.006)</f>
        <v>1.006</v>
      </c>
      <c r="E2320" s="16">
        <f>IFERROR(__xludf.DUMMYFUNCTION("""COMPUTED_VALUE"""),64.0)</f>
        <v>64</v>
      </c>
      <c r="F2320" s="19" t="str">
        <f>IFERROR(__xludf.DUMMYFUNCTION("""COMPUTED_VALUE"""),"BLACK")</f>
        <v>BLACK</v>
      </c>
      <c r="G2320" s="20" t="str">
        <f>IFERROR(__xludf.DUMMYFUNCTION("""COMPUTED_VALUE"""),"Uncle Sams Cider (11/12/2021) 02")</f>
        <v>Uncle Sams Cider (11/12/2021) 02</v>
      </c>
      <c r="H2320" s="19"/>
    </row>
    <row r="2321">
      <c r="A2321" s="9"/>
      <c r="B2321" s="15"/>
      <c r="C2321" s="9">
        <f>IFERROR(__xludf.DUMMYFUNCTION("""COMPUTED_VALUE"""),44581.3314463773)</f>
        <v>44581.33145</v>
      </c>
      <c r="D2321" s="15">
        <f>IFERROR(__xludf.DUMMYFUNCTION("""COMPUTED_VALUE"""),1.006)</f>
        <v>1.006</v>
      </c>
      <c r="E2321" s="16">
        <f>IFERROR(__xludf.DUMMYFUNCTION("""COMPUTED_VALUE"""),64.0)</f>
        <v>64</v>
      </c>
      <c r="F2321" s="19" t="str">
        <f>IFERROR(__xludf.DUMMYFUNCTION("""COMPUTED_VALUE"""),"BLACK")</f>
        <v>BLACK</v>
      </c>
      <c r="G2321" s="20" t="str">
        <f>IFERROR(__xludf.DUMMYFUNCTION("""COMPUTED_VALUE"""),"Uncle Sams Cider (11/12/2021) 02")</f>
        <v>Uncle Sams Cider (11/12/2021) 02</v>
      </c>
      <c r="H2321" s="19"/>
    </row>
    <row r="2322">
      <c r="A2322" s="9"/>
      <c r="B2322" s="15"/>
      <c r="C2322" s="9">
        <f>IFERROR(__xludf.DUMMYFUNCTION("""COMPUTED_VALUE"""),44581.3210251273)</f>
        <v>44581.32103</v>
      </c>
      <c r="D2322" s="15">
        <f>IFERROR(__xludf.DUMMYFUNCTION("""COMPUTED_VALUE"""),1.006)</f>
        <v>1.006</v>
      </c>
      <c r="E2322" s="16">
        <f>IFERROR(__xludf.DUMMYFUNCTION("""COMPUTED_VALUE"""),64.0)</f>
        <v>64</v>
      </c>
      <c r="F2322" s="19" t="str">
        <f>IFERROR(__xludf.DUMMYFUNCTION("""COMPUTED_VALUE"""),"BLACK")</f>
        <v>BLACK</v>
      </c>
      <c r="G2322" s="20" t="str">
        <f>IFERROR(__xludf.DUMMYFUNCTION("""COMPUTED_VALUE"""),"Uncle Sams Cider (11/12/2021) 02")</f>
        <v>Uncle Sams Cider (11/12/2021) 02</v>
      </c>
      <c r="H2322" s="19"/>
    </row>
    <row r="2323">
      <c r="A2323" s="9"/>
      <c r="B2323" s="15"/>
      <c r="C2323" s="9">
        <f>IFERROR(__xludf.DUMMYFUNCTION("""COMPUTED_VALUE"""),44581.3105677777)</f>
        <v>44581.31057</v>
      </c>
      <c r="D2323" s="15">
        <f>IFERROR(__xludf.DUMMYFUNCTION("""COMPUTED_VALUE"""),1.006)</f>
        <v>1.006</v>
      </c>
      <c r="E2323" s="16">
        <f>IFERROR(__xludf.DUMMYFUNCTION("""COMPUTED_VALUE"""),64.0)</f>
        <v>64</v>
      </c>
      <c r="F2323" s="19" t="str">
        <f>IFERROR(__xludf.DUMMYFUNCTION("""COMPUTED_VALUE"""),"BLACK")</f>
        <v>BLACK</v>
      </c>
      <c r="G2323" s="20" t="str">
        <f>IFERROR(__xludf.DUMMYFUNCTION("""COMPUTED_VALUE"""),"Uncle Sams Cider (11/12/2021) 02")</f>
        <v>Uncle Sams Cider (11/12/2021) 02</v>
      </c>
      <c r="H2323" s="19"/>
    </row>
    <row r="2324">
      <c r="A2324" s="9"/>
      <c r="B2324" s="15"/>
      <c r="C2324" s="9">
        <f>IFERROR(__xludf.DUMMYFUNCTION("""COMPUTED_VALUE"""),44581.3001361458)</f>
        <v>44581.30014</v>
      </c>
      <c r="D2324" s="15">
        <f>IFERROR(__xludf.DUMMYFUNCTION("""COMPUTED_VALUE"""),1.006)</f>
        <v>1.006</v>
      </c>
      <c r="E2324" s="16">
        <f>IFERROR(__xludf.DUMMYFUNCTION("""COMPUTED_VALUE"""),64.0)</f>
        <v>64</v>
      </c>
      <c r="F2324" s="19" t="str">
        <f>IFERROR(__xludf.DUMMYFUNCTION("""COMPUTED_VALUE"""),"BLACK")</f>
        <v>BLACK</v>
      </c>
      <c r="G2324" s="20" t="str">
        <f>IFERROR(__xludf.DUMMYFUNCTION("""COMPUTED_VALUE"""),"Uncle Sams Cider (11/12/2021) 02")</f>
        <v>Uncle Sams Cider (11/12/2021) 02</v>
      </c>
      <c r="H2324" s="19"/>
    </row>
    <row r="2325">
      <c r="A2325" s="9"/>
      <c r="B2325" s="15"/>
      <c r="C2325" s="9">
        <f>IFERROR(__xludf.DUMMYFUNCTION("""COMPUTED_VALUE"""),44581.2897024074)</f>
        <v>44581.2897</v>
      </c>
      <c r="D2325" s="15">
        <f>IFERROR(__xludf.DUMMYFUNCTION("""COMPUTED_VALUE"""),1.006)</f>
        <v>1.006</v>
      </c>
      <c r="E2325" s="16">
        <f>IFERROR(__xludf.DUMMYFUNCTION("""COMPUTED_VALUE"""),64.0)</f>
        <v>64</v>
      </c>
      <c r="F2325" s="19" t="str">
        <f>IFERROR(__xludf.DUMMYFUNCTION("""COMPUTED_VALUE"""),"BLACK")</f>
        <v>BLACK</v>
      </c>
      <c r="G2325" s="20" t="str">
        <f>IFERROR(__xludf.DUMMYFUNCTION("""COMPUTED_VALUE"""),"Uncle Sams Cider (11/12/2021) 02")</f>
        <v>Uncle Sams Cider (11/12/2021) 02</v>
      </c>
      <c r="H2325" s="19"/>
    </row>
    <row r="2326">
      <c r="A2326" s="9"/>
      <c r="B2326" s="15"/>
      <c r="C2326" s="9">
        <f>IFERROR(__xludf.DUMMYFUNCTION("""COMPUTED_VALUE"""),44581.2792807638)</f>
        <v>44581.27928</v>
      </c>
      <c r="D2326" s="15">
        <f>IFERROR(__xludf.DUMMYFUNCTION("""COMPUTED_VALUE"""),1.006)</f>
        <v>1.006</v>
      </c>
      <c r="E2326" s="16">
        <f>IFERROR(__xludf.DUMMYFUNCTION("""COMPUTED_VALUE"""),64.0)</f>
        <v>64</v>
      </c>
      <c r="F2326" s="19" t="str">
        <f>IFERROR(__xludf.DUMMYFUNCTION("""COMPUTED_VALUE"""),"BLACK")</f>
        <v>BLACK</v>
      </c>
      <c r="G2326" s="20" t="str">
        <f>IFERROR(__xludf.DUMMYFUNCTION("""COMPUTED_VALUE"""),"Uncle Sams Cider (11/12/2021) 02")</f>
        <v>Uncle Sams Cider (11/12/2021) 02</v>
      </c>
      <c r="H2326" s="19"/>
    </row>
    <row r="2327">
      <c r="A2327" s="9"/>
      <c r="B2327" s="15"/>
      <c r="C2327" s="9">
        <f>IFERROR(__xludf.DUMMYFUNCTION("""COMPUTED_VALUE"""),44581.2688470601)</f>
        <v>44581.26885</v>
      </c>
      <c r="D2327" s="15">
        <f>IFERROR(__xludf.DUMMYFUNCTION("""COMPUTED_VALUE"""),1.006)</f>
        <v>1.006</v>
      </c>
      <c r="E2327" s="16">
        <f>IFERROR(__xludf.DUMMYFUNCTION("""COMPUTED_VALUE"""),64.0)</f>
        <v>64</v>
      </c>
      <c r="F2327" s="19" t="str">
        <f>IFERROR(__xludf.DUMMYFUNCTION("""COMPUTED_VALUE"""),"BLACK")</f>
        <v>BLACK</v>
      </c>
      <c r="G2327" s="20" t="str">
        <f>IFERROR(__xludf.DUMMYFUNCTION("""COMPUTED_VALUE"""),"Uncle Sams Cider (11/12/2021) 02")</f>
        <v>Uncle Sams Cider (11/12/2021) 02</v>
      </c>
      <c r="H2327" s="19"/>
    </row>
    <row r="2328">
      <c r="A2328" s="9"/>
      <c r="B2328" s="15"/>
      <c r="C2328" s="9">
        <f>IFERROR(__xludf.DUMMYFUNCTION("""COMPUTED_VALUE"""),44581.2584156597)</f>
        <v>44581.25842</v>
      </c>
      <c r="D2328" s="15">
        <f>IFERROR(__xludf.DUMMYFUNCTION("""COMPUTED_VALUE"""),1.006)</f>
        <v>1.006</v>
      </c>
      <c r="E2328" s="16">
        <f>IFERROR(__xludf.DUMMYFUNCTION("""COMPUTED_VALUE"""),64.0)</f>
        <v>64</v>
      </c>
      <c r="F2328" s="19" t="str">
        <f>IFERROR(__xludf.DUMMYFUNCTION("""COMPUTED_VALUE"""),"BLACK")</f>
        <v>BLACK</v>
      </c>
      <c r="G2328" s="20" t="str">
        <f>IFERROR(__xludf.DUMMYFUNCTION("""COMPUTED_VALUE"""),"Uncle Sams Cider (11/12/2021) 02")</f>
        <v>Uncle Sams Cider (11/12/2021) 02</v>
      </c>
      <c r="H2328" s="19"/>
    </row>
    <row r="2329">
      <c r="A2329" s="9"/>
      <c r="B2329" s="15"/>
      <c r="C2329" s="9">
        <f>IFERROR(__xludf.DUMMYFUNCTION("""COMPUTED_VALUE"""),44581.247993287)</f>
        <v>44581.24799</v>
      </c>
      <c r="D2329" s="15">
        <f>IFERROR(__xludf.DUMMYFUNCTION("""COMPUTED_VALUE"""),1.006)</f>
        <v>1.006</v>
      </c>
      <c r="E2329" s="16">
        <f>IFERROR(__xludf.DUMMYFUNCTION("""COMPUTED_VALUE"""),64.0)</f>
        <v>64</v>
      </c>
      <c r="F2329" s="19" t="str">
        <f>IFERROR(__xludf.DUMMYFUNCTION("""COMPUTED_VALUE"""),"BLACK")</f>
        <v>BLACK</v>
      </c>
      <c r="G2329" s="20" t="str">
        <f>IFERROR(__xludf.DUMMYFUNCTION("""COMPUTED_VALUE"""),"Uncle Sams Cider (11/12/2021) 02")</f>
        <v>Uncle Sams Cider (11/12/2021) 02</v>
      </c>
      <c r="H2329" s="19"/>
    </row>
    <row r="2330">
      <c r="A2330" s="9"/>
      <c r="B2330" s="15"/>
      <c r="C2330" s="9">
        <f>IFERROR(__xludf.DUMMYFUNCTION("""COMPUTED_VALUE"""),44581.2375718518)</f>
        <v>44581.23757</v>
      </c>
      <c r="D2330" s="15">
        <f>IFERROR(__xludf.DUMMYFUNCTION("""COMPUTED_VALUE"""),1.006)</f>
        <v>1.006</v>
      </c>
      <c r="E2330" s="16">
        <f>IFERROR(__xludf.DUMMYFUNCTION("""COMPUTED_VALUE"""),64.0)</f>
        <v>64</v>
      </c>
      <c r="F2330" s="19" t="str">
        <f>IFERROR(__xludf.DUMMYFUNCTION("""COMPUTED_VALUE"""),"BLACK")</f>
        <v>BLACK</v>
      </c>
      <c r="G2330" s="20" t="str">
        <f>IFERROR(__xludf.DUMMYFUNCTION("""COMPUTED_VALUE"""),"Uncle Sams Cider (11/12/2021) 02")</f>
        <v>Uncle Sams Cider (11/12/2021) 02</v>
      </c>
      <c r="H2330" s="19"/>
    </row>
    <row r="2331">
      <c r="A2331" s="9"/>
      <c r="B2331" s="15"/>
      <c r="C2331" s="9">
        <f>IFERROR(__xludf.DUMMYFUNCTION("""COMPUTED_VALUE"""),44581.22714875)</f>
        <v>44581.22715</v>
      </c>
      <c r="D2331" s="15">
        <f>IFERROR(__xludf.DUMMYFUNCTION("""COMPUTED_VALUE"""),1.006)</f>
        <v>1.006</v>
      </c>
      <c r="E2331" s="16">
        <f>IFERROR(__xludf.DUMMYFUNCTION("""COMPUTED_VALUE"""),64.0)</f>
        <v>64</v>
      </c>
      <c r="F2331" s="19" t="str">
        <f>IFERROR(__xludf.DUMMYFUNCTION("""COMPUTED_VALUE"""),"BLACK")</f>
        <v>BLACK</v>
      </c>
      <c r="G2331" s="20" t="str">
        <f>IFERROR(__xludf.DUMMYFUNCTION("""COMPUTED_VALUE"""),"Uncle Sams Cider (11/12/2021) 02")</f>
        <v>Uncle Sams Cider (11/12/2021) 02</v>
      </c>
      <c r="H2331" s="19"/>
    </row>
    <row r="2332">
      <c r="A2332" s="9"/>
      <c r="B2332" s="15"/>
      <c r="C2332" s="9">
        <f>IFERROR(__xludf.DUMMYFUNCTION("""COMPUTED_VALUE"""),44581.2167264236)</f>
        <v>44581.21673</v>
      </c>
      <c r="D2332" s="15">
        <f>IFERROR(__xludf.DUMMYFUNCTION("""COMPUTED_VALUE"""),1.006)</f>
        <v>1.006</v>
      </c>
      <c r="E2332" s="16">
        <f>IFERROR(__xludf.DUMMYFUNCTION("""COMPUTED_VALUE"""),64.0)</f>
        <v>64</v>
      </c>
      <c r="F2332" s="19" t="str">
        <f>IFERROR(__xludf.DUMMYFUNCTION("""COMPUTED_VALUE"""),"BLACK")</f>
        <v>BLACK</v>
      </c>
      <c r="G2332" s="20" t="str">
        <f>IFERROR(__xludf.DUMMYFUNCTION("""COMPUTED_VALUE"""),"Uncle Sams Cider (11/12/2021) 02")</f>
        <v>Uncle Sams Cider (11/12/2021) 02</v>
      </c>
      <c r="H2332" s="19"/>
    </row>
    <row r="2333">
      <c r="A2333" s="9"/>
      <c r="B2333" s="15"/>
      <c r="C2333" s="9">
        <f>IFERROR(__xludf.DUMMYFUNCTION("""COMPUTED_VALUE"""),44581.2062243518)</f>
        <v>44581.20622</v>
      </c>
      <c r="D2333" s="15">
        <f>IFERROR(__xludf.DUMMYFUNCTION("""COMPUTED_VALUE"""),1.006)</f>
        <v>1.006</v>
      </c>
      <c r="E2333" s="16">
        <f>IFERROR(__xludf.DUMMYFUNCTION("""COMPUTED_VALUE"""),64.0)</f>
        <v>64</v>
      </c>
      <c r="F2333" s="19" t="str">
        <f>IFERROR(__xludf.DUMMYFUNCTION("""COMPUTED_VALUE"""),"BLACK")</f>
        <v>BLACK</v>
      </c>
      <c r="G2333" s="20" t="str">
        <f>IFERROR(__xludf.DUMMYFUNCTION("""COMPUTED_VALUE"""),"Uncle Sams Cider (11/12/2021) 02")</f>
        <v>Uncle Sams Cider (11/12/2021) 02</v>
      </c>
      <c r="H2333" s="19"/>
    </row>
    <row r="2334">
      <c r="A2334" s="9"/>
      <c r="B2334" s="15"/>
      <c r="C2334" s="9">
        <f>IFERROR(__xludf.DUMMYFUNCTION("""COMPUTED_VALUE"""),44581.1958036226)</f>
        <v>44581.1958</v>
      </c>
      <c r="D2334" s="15">
        <f>IFERROR(__xludf.DUMMYFUNCTION("""COMPUTED_VALUE"""),1.006)</f>
        <v>1.006</v>
      </c>
      <c r="E2334" s="16">
        <f>IFERROR(__xludf.DUMMYFUNCTION("""COMPUTED_VALUE"""),64.0)</f>
        <v>64</v>
      </c>
      <c r="F2334" s="19" t="str">
        <f>IFERROR(__xludf.DUMMYFUNCTION("""COMPUTED_VALUE"""),"BLACK")</f>
        <v>BLACK</v>
      </c>
      <c r="G2334" s="20" t="str">
        <f>IFERROR(__xludf.DUMMYFUNCTION("""COMPUTED_VALUE"""),"Uncle Sams Cider (11/12/2021) 02")</f>
        <v>Uncle Sams Cider (11/12/2021) 02</v>
      </c>
      <c r="H2334" s="19"/>
    </row>
    <row r="2335">
      <c r="A2335" s="9"/>
      <c r="B2335" s="15"/>
      <c r="C2335" s="9">
        <f>IFERROR(__xludf.DUMMYFUNCTION("""COMPUTED_VALUE"""),44581.1853833564)</f>
        <v>44581.18538</v>
      </c>
      <c r="D2335" s="15">
        <f>IFERROR(__xludf.DUMMYFUNCTION("""COMPUTED_VALUE"""),1.006)</f>
        <v>1.006</v>
      </c>
      <c r="E2335" s="16">
        <f>IFERROR(__xludf.DUMMYFUNCTION("""COMPUTED_VALUE"""),64.0)</f>
        <v>64</v>
      </c>
      <c r="F2335" s="19" t="str">
        <f>IFERROR(__xludf.DUMMYFUNCTION("""COMPUTED_VALUE"""),"BLACK")</f>
        <v>BLACK</v>
      </c>
      <c r="G2335" s="20" t="str">
        <f>IFERROR(__xludf.DUMMYFUNCTION("""COMPUTED_VALUE"""),"Uncle Sams Cider (11/12/2021) 02")</f>
        <v>Uncle Sams Cider (11/12/2021) 02</v>
      </c>
      <c r="H2335" s="19"/>
    </row>
    <row r="2336">
      <c r="A2336" s="9"/>
      <c r="B2336" s="15"/>
      <c r="C2336" s="9">
        <f>IFERROR(__xludf.DUMMYFUNCTION("""COMPUTED_VALUE"""),44581.1749638773)</f>
        <v>44581.17496</v>
      </c>
      <c r="D2336" s="15">
        <f>IFERROR(__xludf.DUMMYFUNCTION("""COMPUTED_VALUE"""),1.006)</f>
        <v>1.006</v>
      </c>
      <c r="E2336" s="16">
        <f>IFERROR(__xludf.DUMMYFUNCTION("""COMPUTED_VALUE"""),65.0)</f>
        <v>65</v>
      </c>
      <c r="F2336" s="19" t="str">
        <f>IFERROR(__xludf.DUMMYFUNCTION("""COMPUTED_VALUE"""),"BLACK")</f>
        <v>BLACK</v>
      </c>
      <c r="G2336" s="20" t="str">
        <f>IFERROR(__xludf.DUMMYFUNCTION("""COMPUTED_VALUE"""),"Uncle Sams Cider (11/12/2021) 02")</f>
        <v>Uncle Sams Cider (11/12/2021) 02</v>
      </c>
      <c r="H2336" s="19"/>
    </row>
    <row r="2337">
      <c r="A2337" s="9"/>
      <c r="B2337" s="15"/>
      <c r="C2337" s="9">
        <f>IFERROR(__xludf.DUMMYFUNCTION("""COMPUTED_VALUE"""),44581.1645193402)</f>
        <v>44581.16452</v>
      </c>
      <c r="D2337" s="15">
        <f>IFERROR(__xludf.DUMMYFUNCTION("""COMPUTED_VALUE"""),1.006)</f>
        <v>1.006</v>
      </c>
      <c r="E2337" s="16">
        <f>IFERROR(__xludf.DUMMYFUNCTION("""COMPUTED_VALUE"""),65.0)</f>
        <v>65</v>
      </c>
      <c r="F2337" s="19" t="str">
        <f>IFERROR(__xludf.DUMMYFUNCTION("""COMPUTED_VALUE"""),"BLACK")</f>
        <v>BLACK</v>
      </c>
      <c r="G2337" s="20" t="str">
        <f>IFERROR(__xludf.DUMMYFUNCTION("""COMPUTED_VALUE"""),"Uncle Sams Cider (11/12/2021) 02")</f>
        <v>Uncle Sams Cider (11/12/2021) 02</v>
      </c>
      <c r="H2337" s="19"/>
    </row>
    <row r="2338">
      <c r="A2338" s="9"/>
      <c r="B2338" s="15"/>
      <c r="C2338" s="9">
        <f>IFERROR(__xludf.DUMMYFUNCTION("""COMPUTED_VALUE"""),44581.1540960995)</f>
        <v>44581.1541</v>
      </c>
      <c r="D2338" s="15">
        <f>IFERROR(__xludf.DUMMYFUNCTION("""COMPUTED_VALUE"""),1.006)</f>
        <v>1.006</v>
      </c>
      <c r="E2338" s="16">
        <f>IFERROR(__xludf.DUMMYFUNCTION("""COMPUTED_VALUE"""),65.0)</f>
        <v>65</v>
      </c>
      <c r="F2338" s="19" t="str">
        <f>IFERROR(__xludf.DUMMYFUNCTION("""COMPUTED_VALUE"""),"BLACK")</f>
        <v>BLACK</v>
      </c>
      <c r="G2338" s="20" t="str">
        <f>IFERROR(__xludf.DUMMYFUNCTION("""COMPUTED_VALUE"""),"Uncle Sams Cider (11/12/2021) 02")</f>
        <v>Uncle Sams Cider (11/12/2021) 02</v>
      </c>
      <c r="H2338" s="19"/>
    </row>
    <row r="2339">
      <c r="A2339" s="9"/>
      <c r="B2339" s="15"/>
      <c r="C2339" s="9">
        <f>IFERROR(__xludf.DUMMYFUNCTION("""COMPUTED_VALUE"""),44581.143640405)</f>
        <v>44581.14364</v>
      </c>
      <c r="D2339" s="15">
        <f>IFERROR(__xludf.DUMMYFUNCTION("""COMPUTED_VALUE"""),1.006)</f>
        <v>1.006</v>
      </c>
      <c r="E2339" s="16">
        <f>IFERROR(__xludf.DUMMYFUNCTION("""COMPUTED_VALUE"""),65.0)</f>
        <v>65</v>
      </c>
      <c r="F2339" s="19" t="str">
        <f>IFERROR(__xludf.DUMMYFUNCTION("""COMPUTED_VALUE"""),"BLACK")</f>
        <v>BLACK</v>
      </c>
      <c r="G2339" s="20" t="str">
        <f>IFERROR(__xludf.DUMMYFUNCTION("""COMPUTED_VALUE"""),"Uncle Sams Cider (11/12/2021) 02")</f>
        <v>Uncle Sams Cider (11/12/2021) 02</v>
      </c>
      <c r="H2339" s="19"/>
    </row>
    <row r="2340">
      <c r="A2340" s="9"/>
      <c r="B2340" s="15"/>
      <c r="C2340" s="9">
        <f>IFERROR(__xludf.DUMMYFUNCTION("""COMPUTED_VALUE"""),44581.1331840509)</f>
        <v>44581.13318</v>
      </c>
      <c r="D2340" s="15">
        <f>IFERROR(__xludf.DUMMYFUNCTION("""COMPUTED_VALUE"""),1.006)</f>
        <v>1.006</v>
      </c>
      <c r="E2340" s="16">
        <f>IFERROR(__xludf.DUMMYFUNCTION("""COMPUTED_VALUE"""),65.0)</f>
        <v>65</v>
      </c>
      <c r="F2340" s="19" t="str">
        <f>IFERROR(__xludf.DUMMYFUNCTION("""COMPUTED_VALUE"""),"BLACK")</f>
        <v>BLACK</v>
      </c>
      <c r="G2340" s="20" t="str">
        <f>IFERROR(__xludf.DUMMYFUNCTION("""COMPUTED_VALUE"""),"Uncle Sams Cider (11/12/2021) 02")</f>
        <v>Uncle Sams Cider (11/12/2021) 02</v>
      </c>
      <c r="H2340" s="19"/>
    </row>
    <row r="2341">
      <c r="A2341" s="9"/>
      <c r="B2341" s="15"/>
      <c r="C2341" s="9">
        <f>IFERROR(__xludf.DUMMYFUNCTION("""COMPUTED_VALUE"""),44581.1227619791)</f>
        <v>44581.12276</v>
      </c>
      <c r="D2341" s="15">
        <f>IFERROR(__xludf.DUMMYFUNCTION("""COMPUTED_VALUE"""),1.006)</f>
        <v>1.006</v>
      </c>
      <c r="E2341" s="16">
        <f>IFERROR(__xludf.DUMMYFUNCTION("""COMPUTED_VALUE"""),65.0)</f>
        <v>65</v>
      </c>
      <c r="F2341" s="19" t="str">
        <f>IFERROR(__xludf.DUMMYFUNCTION("""COMPUTED_VALUE"""),"BLACK")</f>
        <v>BLACK</v>
      </c>
      <c r="G2341" s="20" t="str">
        <f>IFERROR(__xludf.DUMMYFUNCTION("""COMPUTED_VALUE"""),"Uncle Sams Cider (11/12/2021) 02")</f>
        <v>Uncle Sams Cider (11/12/2021) 02</v>
      </c>
      <c r="H2341" s="19"/>
    </row>
    <row r="2342">
      <c r="A2342" s="9"/>
      <c r="B2342" s="15"/>
      <c r="C2342" s="9">
        <f>IFERROR(__xludf.DUMMYFUNCTION("""COMPUTED_VALUE"""),44581.1123311111)</f>
        <v>44581.11233</v>
      </c>
      <c r="D2342" s="15">
        <f>IFERROR(__xludf.DUMMYFUNCTION("""COMPUTED_VALUE"""),1.006)</f>
        <v>1.006</v>
      </c>
      <c r="E2342" s="16">
        <f>IFERROR(__xludf.DUMMYFUNCTION("""COMPUTED_VALUE"""),65.0)</f>
        <v>65</v>
      </c>
      <c r="F2342" s="19" t="str">
        <f>IFERROR(__xludf.DUMMYFUNCTION("""COMPUTED_VALUE"""),"BLACK")</f>
        <v>BLACK</v>
      </c>
      <c r="G2342" s="20" t="str">
        <f>IFERROR(__xludf.DUMMYFUNCTION("""COMPUTED_VALUE"""),"Uncle Sams Cider (11/12/2021) 02")</f>
        <v>Uncle Sams Cider (11/12/2021) 02</v>
      </c>
      <c r="H2342" s="19"/>
    </row>
    <row r="2343">
      <c r="A2343" s="9"/>
      <c r="B2343" s="15"/>
      <c r="C2343" s="9">
        <f>IFERROR(__xludf.DUMMYFUNCTION("""COMPUTED_VALUE"""),44581.1019090046)</f>
        <v>44581.10191</v>
      </c>
      <c r="D2343" s="15">
        <f>IFERROR(__xludf.DUMMYFUNCTION("""COMPUTED_VALUE"""),1.006)</f>
        <v>1.006</v>
      </c>
      <c r="E2343" s="16">
        <f>IFERROR(__xludf.DUMMYFUNCTION("""COMPUTED_VALUE"""),65.0)</f>
        <v>65</v>
      </c>
      <c r="F2343" s="19" t="str">
        <f>IFERROR(__xludf.DUMMYFUNCTION("""COMPUTED_VALUE"""),"BLACK")</f>
        <v>BLACK</v>
      </c>
      <c r="G2343" s="20" t="str">
        <f>IFERROR(__xludf.DUMMYFUNCTION("""COMPUTED_VALUE"""),"Uncle Sams Cider (11/12/2021) 02")</f>
        <v>Uncle Sams Cider (11/12/2021) 02</v>
      </c>
      <c r="H2343" s="19"/>
    </row>
    <row r="2344">
      <c r="A2344" s="9"/>
      <c r="B2344" s="15"/>
      <c r="C2344" s="9">
        <f>IFERROR(__xludf.DUMMYFUNCTION("""COMPUTED_VALUE"""),44581.09148853)</f>
        <v>44581.09149</v>
      </c>
      <c r="D2344" s="15">
        <f>IFERROR(__xludf.DUMMYFUNCTION("""COMPUTED_VALUE"""),1.006)</f>
        <v>1.006</v>
      </c>
      <c r="E2344" s="16">
        <f>IFERROR(__xludf.DUMMYFUNCTION("""COMPUTED_VALUE"""),65.0)</f>
        <v>65</v>
      </c>
      <c r="F2344" s="19" t="str">
        <f>IFERROR(__xludf.DUMMYFUNCTION("""COMPUTED_VALUE"""),"BLACK")</f>
        <v>BLACK</v>
      </c>
      <c r="G2344" s="20" t="str">
        <f>IFERROR(__xludf.DUMMYFUNCTION("""COMPUTED_VALUE"""),"Uncle Sams Cider (11/12/2021) 02")</f>
        <v>Uncle Sams Cider (11/12/2021) 02</v>
      </c>
      <c r="H2344" s="19"/>
    </row>
    <row r="2345">
      <c r="A2345" s="9"/>
      <c r="B2345" s="15"/>
      <c r="C2345" s="9">
        <f>IFERROR(__xludf.DUMMYFUNCTION("""COMPUTED_VALUE"""),44581.0810673958)</f>
        <v>44581.08107</v>
      </c>
      <c r="D2345" s="15">
        <f>IFERROR(__xludf.DUMMYFUNCTION("""COMPUTED_VALUE"""),1.006)</f>
        <v>1.006</v>
      </c>
      <c r="E2345" s="16">
        <f>IFERROR(__xludf.DUMMYFUNCTION("""COMPUTED_VALUE"""),65.0)</f>
        <v>65</v>
      </c>
      <c r="F2345" s="19" t="str">
        <f>IFERROR(__xludf.DUMMYFUNCTION("""COMPUTED_VALUE"""),"BLACK")</f>
        <v>BLACK</v>
      </c>
      <c r="G2345" s="20" t="str">
        <f>IFERROR(__xludf.DUMMYFUNCTION("""COMPUTED_VALUE"""),"Uncle Sams Cider (11/12/2021) 02")</f>
        <v>Uncle Sams Cider (11/12/2021) 02</v>
      </c>
      <c r="H2345" s="19"/>
    </row>
    <row r="2346">
      <c r="A2346" s="9"/>
      <c r="B2346" s="15"/>
      <c r="C2346" s="9">
        <f>IFERROR(__xludf.DUMMYFUNCTION("""COMPUTED_VALUE"""),44581.0706219212)</f>
        <v>44581.07062</v>
      </c>
      <c r="D2346" s="15">
        <f>IFERROR(__xludf.DUMMYFUNCTION("""COMPUTED_VALUE"""),1.006)</f>
        <v>1.006</v>
      </c>
      <c r="E2346" s="16">
        <f>IFERROR(__xludf.DUMMYFUNCTION("""COMPUTED_VALUE"""),65.0)</f>
        <v>65</v>
      </c>
      <c r="F2346" s="19" t="str">
        <f>IFERROR(__xludf.DUMMYFUNCTION("""COMPUTED_VALUE"""),"BLACK")</f>
        <v>BLACK</v>
      </c>
      <c r="G2346" s="20" t="str">
        <f>IFERROR(__xludf.DUMMYFUNCTION("""COMPUTED_VALUE"""),"Uncle Sams Cider (11/12/2021) 02")</f>
        <v>Uncle Sams Cider (11/12/2021) 02</v>
      </c>
      <c r="H2346" s="19"/>
    </row>
    <row r="2347">
      <c r="A2347" s="9"/>
      <c r="B2347" s="15"/>
      <c r="C2347" s="9">
        <f>IFERROR(__xludf.DUMMYFUNCTION("""COMPUTED_VALUE"""),44581.06020103)</f>
        <v>44581.0602</v>
      </c>
      <c r="D2347" s="15">
        <f>IFERROR(__xludf.DUMMYFUNCTION("""COMPUTED_VALUE"""),1.006)</f>
        <v>1.006</v>
      </c>
      <c r="E2347" s="16">
        <f>IFERROR(__xludf.DUMMYFUNCTION("""COMPUTED_VALUE"""),65.0)</f>
        <v>65</v>
      </c>
      <c r="F2347" s="19" t="str">
        <f>IFERROR(__xludf.DUMMYFUNCTION("""COMPUTED_VALUE"""),"BLACK")</f>
        <v>BLACK</v>
      </c>
      <c r="G2347" s="20" t="str">
        <f>IFERROR(__xludf.DUMMYFUNCTION("""COMPUTED_VALUE"""),"Uncle Sams Cider (11/12/2021) 02")</f>
        <v>Uncle Sams Cider (11/12/2021) 02</v>
      </c>
      <c r="H2347" s="19"/>
    </row>
    <row r="2348">
      <c r="A2348" s="9"/>
      <c r="B2348" s="15"/>
      <c r="C2348" s="9">
        <f>IFERROR(__xludf.DUMMYFUNCTION("""COMPUTED_VALUE"""),44581.0497687384)</f>
        <v>44581.04977</v>
      </c>
      <c r="D2348" s="15">
        <f>IFERROR(__xludf.DUMMYFUNCTION("""COMPUTED_VALUE"""),1.006)</f>
        <v>1.006</v>
      </c>
      <c r="E2348" s="16">
        <f>IFERROR(__xludf.DUMMYFUNCTION("""COMPUTED_VALUE"""),65.0)</f>
        <v>65</v>
      </c>
      <c r="F2348" s="19" t="str">
        <f>IFERROR(__xludf.DUMMYFUNCTION("""COMPUTED_VALUE"""),"BLACK")</f>
        <v>BLACK</v>
      </c>
      <c r="G2348" s="20" t="str">
        <f>IFERROR(__xludf.DUMMYFUNCTION("""COMPUTED_VALUE"""),"Uncle Sams Cider (11/12/2021) 02")</f>
        <v>Uncle Sams Cider (11/12/2021) 02</v>
      </c>
      <c r="H2348" s="19"/>
    </row>
    <row r="2349">
      <c r="A2349" s="9"/>
      <c r="B2349" s="15"/>
      <c r="C2349" s="9">
        <f>IFERROR(__xludf.DUMMYFUNCTION("""COMPUTED_VALUE"""),44581.0393495486)</f>
        <v>44581.03935</v>
      </c>
      <c r="D2349" s="15">
        <f>IFERROR(__xludf.DUMMYFUNCTION("""COMPUTED_VALUE"""),1.006)</f>
        <v>1.006</v>
      </c>
      <c r="E2349" s="16">
        <f>IFERROR(__xludf.DUMMYFUNCTION("""COMPUTED_VALUE"""),65.0)</f>
        <v>65</v>
      </c>
      <c r="F2349" s="19" t="str">
        <f>IFERROR(__xludf.DUMMYFUNCTION("""COMPUTED_VALUE"""),"BLACK")</f>
        <v>BLACK</v>
      </c>
      <c r="G2349" s="20" t="str">
        <f>IFERROR(__xludf.DUMMYFUNCTION("""COMPUTED_VALUE"""),"Uncle Sams Cider (11/12/2021) 02")</f>
        <v>Uncle Sams Cider (11/12/2021) 02</v>
      </c>
      <c r="H2349" s="19"/>
    </row>
    <row r="2350">
      <c r="A2350" s="9"/>
      <c r="B2350" s="15"/>
      <c r="C2350" s="9">
        <f>IFERROR(__xludf.DUMMYFUNCTION("""COMPUTED_VALUE"""),44581.02891625)</f>
        <v>44581.02892</v>
      </c>
      <c r="D2350" s="15">
        <f>IFERROR(__xludf.DUMMYFUNCTION("""COMPUTED_VALUE"""),1.006)</f>
        <v>1.006</v>
      </c>
      <c r="E2350" s="16">
        <f>IFERROR(__xludf.DUMMYFUNCTION("""COMPUTED_VALUE"""),65.0)</f>
        <v>65</v>
      </c>
      <c r="F2350" s="19" t="str">
        <f>IFERROR(__xludf.DUMMYFUNCTION("""COMPUTED_VALUE"""),"BLACK")</f>
        <v>BLACK</v>
      </c>
      <c r="G2350" s="20" t="str">
        <f>IFERROR(__xludf.DUMMYFUNCTION("""COMPUTED_VALUE"""),"Uncle Sams Cider (11/12/2021) 02")</f>
        <v>Uncle Sams Cider (11/12/2021) 02</v>
      </c>
      <c r="H2350" s="19"/>
    </row>
    <row r="2351">
      <c r="A2351" s="9"/>
      <c r="B2351" s="15"/>
      <c r="C2351" s="9">
        <f>IFERROR(__xludf.DUMMYFUNCTION("""COMPUTED_VALUE"""),44581.0184935995)</f>
        <v>44581.01849</v>
      </c>
      <c r="D2351" s="15">
        <f>IFERROR(__xludf.DUMMYFUNCTION("""COMPUTED_VALUE"""),1.006)</f>
        <v>1.006</v>
      </c>
      <c r="E2351" s="16">
        <f>IFERROR(__xludf.DUMMYFUNCTION("""COMPUTED_VALUE"""),65.0)</f>
        <v>65</v>
      </c>
      <c r="F2351" s="19" t="str">
        <f>IFERROR(__xludf.DUMMYFUNCTION("""COMPUTED_VALUE"""),"BLACK")</f>
        <v>BLACK</v>
      </c>
      <c r="G2351" s="20" t="str">
        <f>IFERROR(__xludf.DUMMYFUNCTION("""COMPUTED_VALUE"""),"Uncle Sams Cider (11/12/2021) 02")</f>
        <v>Uncle Sams Cider (11/12/2021) 02</v>
      </c>
      <c r="H2351" s="19"/>
    </row>
    <row r="2352">
      <c r="A2352" s="9"/>
      <c r="B2352" s="15"/>
      <c r="C2352" s="9">
        <f>IFERROR(__xludf.DUMMYFUNCTION("""COMPUTED_VALUE"""),44581.0080721759)</f>
        <v>44581.00807</v>
      </c>
      <c r="D2352" s="15">
        <f>IFERROR(__xludf.DUMMYFUNCTION("""COMPUTED_VALUE"""),1.006)</f>
        <v>1.006</v>
      </c>
      <c r="E2352" s="16">
        <f>IFERROR(__xludf.DUMMYFUNCTION("""COMPUTED_VALUE"""),65.0)</f>
        <v>65</v>
      </c>
      <c r="F2352" s="19" t="str">
        <f>IFERROR(__xludf.DUMMYFUNCTION("""COMPUTED_VALUE"""),"BLACK")</f>
        <v>BLACK</v>
      </c>
      <c r="G2352" s="20" t="str">
        <f>IFERROR(__xludf.DUMMYFUNCTION("""COMPUTED_VALUE"""),"Uncle Sams Cider (11/12/2021) 02")</f>
        <v>Uncle Sams Cider (11/12/2021) 02</v>
      </c>
      <c r="H2352" s="19"/>
    </row>
    <row r="2353">
      <c r="A2353" s="9"/>
      <c r="B2353" s="15"/>
      <c r="C2353" s="9">
        <f>IFERROR(__xludf.DUMMYFUNCTION("""COMPUTED_VALUE"""),44580.9976136342)</f>
        <v>44580.99761</v>
      </c>
      <c r="D2353" s="15">
        <f>IFERROR(__xludf.DUMMYFUNCTION("""COMPUTED_VALUE"""),1.006)</f>
        <v>1.006</v>
      </c>
      <c r="E2353" s="16">
        <f>IFERROR(__xludf.DUMMYFUNCTION("""COMPUTED_VALUE"""),65.0)</f>
        <v>65</v>
      </c>
      <c r="F2353" s="19" t="str">
        <f>IFERROR(__xludf.DUMMYFUNCTION("""COMPUTED_VALUE"""),"BLACK")</f>
        <v>BLACK</v>
      </c>
      <c r="G2353" s="20" t="str">
        <f>IFERROR(__xludf.DUMMYFUNCTION("""COMPUTED_VALUE"""),"Uncle Sams Cider (11/12/2021) 02")</f>
        <v>Uncle Sams Cider (11/12/2021) 02</v>
      </c>
      <c r="H2353" s="19"/>
    </row>
    <row r="2354">
      <c r="A2354" s="9"/>
      <c r="B2354" s="15"/>
      <c r="C2354" s="9">
        <f>IFERROR(__xludf.DUMMYFUNCTION("""COMPUTED_VALUE"""),44580.9871789236)</f>
        <v>44580.98718</v>
      </c>
      <c r="D2354" s="15">
        <f>IFERROR(__xludf.DUMMYFUNCTION("""COMPUTED_VALUE"""),1.006)</f>
        <v>1.006</v>
      </c>
      <c r="E2354" s="16">
        <f>IFERROR(__xludf.DUMMYFUNCTION("""COMPUTED_VALUE"""),65.0)</f>
        <v>65</v>
      </c>
      <c r="F2354" s="19" t="str">
        <f>IFERROR(__xludf.DUMMYFUNCTION("""COMPUTED_VALUE"""),"BLACK")</f>
        <v>BLACK</v>
      </c>
      <c r="G2354" s="20" t="str">
        <f>IFERROR(__xludf.DUMMYFUNCTION("""COMPUTED_VALUE"""),"Uncle Sams Cider (11/12/2021) 02")</f>
        <v>Uncle Sams Cider (11/12/2021) 02</v>
      </c>
      <c r="H2354" s="19"/>
    </row>
    <row r="2355">
      <c r="A2355" s="9"/>
      <c r="B2355" s="15"/>
      <c r="C2355" s="9">
        <f>IFERROR(__xludf.DUMMYFUNCTION("""COMPUTED_VALUE"""),44580.9767585185)</f>
        <v>44580.97676</v>
      </c>
      <c r="D2355" s="15">
        <f>IFERROR(__xludf.DUMMYFUNCTION("""COMPUTED_VALUE"""),1.006)</f>
        <v>1.006</v>
      </c>
      <c r="E2355" s="16">
        <f>IFERROR(__xludf.DUMMYFUNCTION("""COMPUTED_VALUE"""),65.0)</f>
        <v>65</v>
      </c>
      <c r="F2355" s="19" t="str">
        <f>IFERROR(__xludf.DUMMYFUNCTION("""COMPUTED_VALUE"""),"BLACK")</f>
        <v>BLACK</v>
      </c>
      <c r="G2355" s="20" t="str">
        <f>IFERROR(__xludf.DUMMYFUNCTION("""COMPUTED_VALUE"""),"Uncle Sams Cider (11/12/2021) 02")</f>
        <v>Uncle Sams Cider (11/12/2021) 02</v>
      </c>
      <c r="H2355" s="19"/>
    </row>
    <row r="2356">
      <c r="A2356" s="9"/>
      <c r="B2356" s="15"/>
      <c r="C2356" s="9">
        <f>IFERROR(__xludf.DUMMYFUNCTION("""COMPUTED_VALUE"""),44580.9663244675)</f>
        <v>44580.96632</v>
      </c>
      <c r="D2356" s="15">
        <f>IFERROR(__xludf.DUMMYFUNCTION("""COMPUTED_VALUE"""),1.006)</f>
        <v>1.006</v>
      </c>
      <c r="E2356" s="16">
        <f>IFERROR(__xludf.DUMMYFUNCTION("""COMPUTED_VALUE"""),65.0)</f>
        <v>65</v>
      </c>
      <c r="F2356" s="19" t="str">
        <f>IFERROR(__xludf.DUMMYFUNCTION("""COMPUTED_VALUE"""),"BLACK")</f>
        <v>BLACK</v>
      </c>
      <c r="G2356" s="20" t="str">
        <f>IFERROR(__xludf.DUMMYFUNCTION("""COMPUTED_VALUE"""),"Uncle Sams Cider (11/12/2021) 02")</f>
        <v>Uncle Sams Cider (11/12/2021) 02</v>
      </c>
      <c r="H2356" s="19"/>
    </row>
    <row r="2357">
      <c r="A2357" s="9"/>
      <c r="B2357" s="15"/>
      <c r="C2357" s="9">
        <f>IFERROR(__xludf.DUMMYFUNCTION("""COMPUTED_VALUE"""),44580.9559030671)</f>
        <v>44580.9559</v>
      </c>
      <c r="D2357" s="15">
        <f>IFERROR(__xludf.DUMMYFUNCTION("""COMPUTED_VALUE"""),1.006)</f>
        <v>1.006</v>
      </c>
      <c r="E2357" s="16">
        <f>IFERROR(__xludf.DUMMYFUNCTION("""COMPUTED_VALUE"""),65.0)</f>
        <v>65</v>
      </c>
      <c r="F2357" s="19" t="str">
        <f>IFERROR(__xludf.DUMMYFUNCTION("""COMPUTED_VALUE"""),"BLACK")</f>
        <v>BLACK</v>
      </c>
      <c r="G2357" s="20" t="str">
        <f>IFERROR(__xludf.DUMMYFUNCTION("""COMPUTED_VALUE"""),"Uncle Sams Cider (11/12/2021) 02")</f>
        <v>Uncle Sams Cider (11/12/2021) 02</v>
      </c>
      <c r="H2357" s="19"/>
    </row>
    <row r="2358">
      <c r="A2358" s="9"/>
      <c r="B2358" s="15"/>
      <c r="C2358" s="9">
        <f>IFERROR(__xludf.DUMMYFUNCTION("""COMPUTED_VALUE"""),44580.9454806481)</f>
        <v>44580.94548</v>
      </c>
      <c r="D2358" s="15">
        <f>IFERROR(__xludf.DUMMYFUNCTION("""COMPUTED_VALUE"""),1.006)</f>
        <v>1.006</v>
      </c>
      <c r="E2358" s="16">
        <f>IFERROR(__xludf.DUMMYFUNCTION("""COMPUTED_VALUE"""),65.0)</f>
        <v>65</v>
      </c>
      <c r="F2358" s="19" t="str">
        <f>IFERROR(__xludf.DUMMYFUNCTION("""COMPUTED_VALUE"""),"BLACK")</f>
        <v>BLACK</v>
      </c>
      <c r="G2358" s="20" t="str">
        <f>IFERROR(__xludf.DUMMYFUNCTION("""COMPUTED_VALUE"""),"Uncle Sams Cider (11/12/2021) 02")</f>
        <v>Uncle Sams Cider (11/12/2021) 02</v>
      </c>
      <c r="H2358" s="19"/>
    </row>
    <row r="2359">
      <c r="A2359" s="9"/>
      <c r="B2359" s="15"/>
      <c r="C2359" s="9">
        <f>IFERROR(__xludf.DUMMYFUNCTION("""COMPUTED_VALUE"""),44580.9350608912)</f>
        <v>44580.93506</v>
      </c>
      <c r="D2359" s="15">
        <f>IFERROR(__xludf.DUMMYFUNCTION("""COMPUTED_VALUE"""),1.006)</f>
        <v>1.006</v>
      </c>
      <c r="E2359" s="16">
        <f>IFERROR(__xludf.DUMMYFUNCTION("""COMPUTED_VALUE"""),65.0)</f>
        <v>65</v>
      </c>
      <c r="F2359" s="19" t="str">
        <f>IFERROR(__xludf.DUMMYFUNCTION("""COMPUTED_VALUE"""),"BLACK")</f>
        <v>BLACK</v>
      </c>
      <c r="G2359" s="20" t="str">
        <f>IFERROR(__xludf.DUMMYFUNCTION("""COMPUTED_VALUE"""),"Uncle Sams Cider (11/12/2021) 02")</f>
        <v>Uncle Sams Cider (11/12/2021) 02</v>
      </c>
      <c r="H2359" s="19"/>
    </row>
    <row r="2360">
      <c r="A2360" s="9"/>
      <c r="B2360" s="15"/>
      <c r="C2360" s="9">
        <f>IFERROR(__xludf.DUMMYFUNCTION("""COMPUTED_VALUE"""),44580.9246412384)</f>
        <v>44580.92464</v>
      </c>
      <c r="D2360" s="15">
        <f>IFERROR(__xludf.DUMMYFUNCTION("""COMPUTED_VALUE"""),1.006)</f>
        <v>1.006</v>
      </c>
      <c r="E2360" s="16">
        <f>IFERROR(__xludf.DUMMYFUNCTION("""COMPUTED_VALUE"""),65.0)</f>
        <v>65</v>
      </c>
      <c r="F2360" s="19" t="str">
        <f>IFERROR(__xludf.DUMMYFUNCTION("""COMPUTED_VALUE"""),"BLACK")</f>
        <v>BLACK</v>
      </c>
      <c r="G2360" s="20" t="str">
        <f>IFERROR(__xludf.DUMMYFUNCTION("""COMPUTED_VALUE"""),"Uncle Sams Cider (11/12/2021) 02")</f>
        <v>Uncle Sams Cider (11/12/2021) 02</v>
      </c>
      <c r="H2360" s="19"/>
    </row>
    <row r="2361">
      <c r="A2361" s="9"/>
      <c r="B2361" s="15"/>
      <c r="C2361" s="9">
        <f>IFERROR(__xludf.DUMMYFUNCTION("""COMPUTED_VALUE"""),44580.9142057523)</f>
        <v>44580.91421</v>
      </c>
      <c r="D2361" s="15">
        <f>IFERROR(__xludf.DUMMYFUNCTION("""COMPUTED_VALUE"""),1.006)</f>
        <v>1.006</v>
      </c>
      <c r="E2361" s="16">
        <f>IFERROR(__xludf.DUMMYFUNCTION("""COMPUTED_VALUE"""),65.0)</f>
        <v>65</v>
      </c>
      <c r="F2361" s="19" t="str">
        <f>IFERROR(__xludf.DUMMYFUNCTION("""COMPUTED_VALUE"""),"BLACK")</f>
        <v>BLACK</v>
      </c>
      <c r="G2361" s="20" t="str">
        <f>IFERROR(__xludf.DUMMYFUNCTION("""COMPUTED_VALUE"""),"Uncle Sams Cider (11/12/2021) 02")</f>
        <v>Uncle Sams Cider (11/12/2021) 02</v>
      </c>
      <c r="H2361" s="19"/>
    </row>
    <row r="2362">
      <c r="A2362" s="9"/>
      <c r="B2362" s="15"/>
      <c r="C2362" s="9">
        <f>IFERROR(__xludf.DUMMYFUNCTION("""COMPUTED_VALUE"""),44580.9037849305)</f>
        <v>44580.90378</v>
      </c>
      <c r="D2362" s="15">
        <f>IFERROR(__xludf.DUMMYFUNCTION("""COMPUTED_VALUE"""),1.006)</f>
        <v>1.006</v>
      </c>
      <c r="E2362" s="16">
        <f>IFERROR(__xludf.DUMMYFUNCTION("""COMPUTED_VALUE"""),65.0)</f>
        <v>65</v>
      </c>
      <c r="F2362" s="19" t="str">
        <f>IFERROR(__xludf.DUMMYFUNCTION("""COMPUTED_VALUE"""),"BLACK")</f>
        <v>BLACK</v>
      </c>
      <c r="G2362" s="20" t="str">
        <f>IFERROR(__xludf.DUMMYFUNCTION("""COMPUTED_VALUE"""),"Uncle Sams Cider (11/12/2021) 02")</f>
        <v>Uncle Sams Cider (11/12/2021) 02</v>
      </c>
      <c r="H2362" s="19"/>
    </row>
    <row r="2363">
      <c r="A2363" s="9"/>
      <c r="B2363" s="15"/>
      <c r="C2363" s="9">
        <f>IFERROR(__xludf.DUMMYFUNCTION("""COMPUTED_VALUE"""),44580.893364537)</f>
        <v>44580.89336</v>
      </c>
      <c r="D2363" s="15">
        <f>IFERROR(__xludf.DUMMYFUNCTION("""COMPUTED_VALUE"""),1.006)</f>
        <v>1.006</v>
      </c>
      <c r="E2363" s="16">
        <f>IFERROR(__xludf.DUMMYFUNCTION("""COMPUTED_VALUE"""),65.0)</f>
        <v>65</v>
      </c>
      <c r="F2363" s="19" t="str">
        <f>IFERROR(__xludf.DUMMYFUNCTION("""COMPUTED_VALUE"""),"BLACK")</f>
        <v>BLACK</v>
      </c>
      <c r="G2363" s="20" t="str">
        <f>IFERROR(__xludf.DUMMYFUNCTION("""COMPUTED_VALUE"""),"Uncle Sams Cider (11/12/2021) 02")</f>
        <v>Uncle Sams Cider (11/12/2021) 02</v>
      </c>
      <c r="H2363" s="19"/>
    </row>
    <row r="2364">
      <c r="A2364" s="9"/>
      <c r="B2364" s="15"/>
      <c r="C2364" s="9">
        <f>IFERROR(__xludf.DUMMYFUNCTION("""COMPUTED_VALUE"""),44580.8829432291)</f>
        <v>44580.88294</v>
      </c>
      <c r="D2364" s="15">
        <f>IFERROR(__xludf.DUMMYFUNCTION("""COMPUTED_VALUE"""),1.006)</f>
        <v>1.006</v>
      </c>
      <c r="E2364" s="16">
        <f>IFERROR(__xludf.DUMMYFUNCTION("""COMPUTED_VALUE"""),65.0)</f>
        <v>65</v>
      </c>
      <c r="F2364" s="19" t="str">
        <f>IFERROR(__xludf.DUMMYFUNCTION("""COMPUTED_VALUE"""),"BLACK")</f>
        <v>BLACK</v>
      </c>
      <c r="G2364" s="20" t="str">
        <f>IFERROR(__xludf.DUMMYFUNCTION("""COMPUTED_VALUE"""),"Uncle Sams Cider (11/12/2021) 02")</f>
        <v>Uncle Sams Cider (11/12/2021) 02</v>
      </c>
      <c r="H2364" s="19"/>
    </row>
    <row r="2365">
      <c r="A2365" s="9"/>
      <c r="B2365" s="15"/>
      <c r="C2365" s="9">
        <f>IFERROR(__xludf.DUMMYFUNCTION("""COMPUTED_VALUE"""),44580.8725214583)</f>
        <v>44580.87252</v>
      </c>
      <c r="D2365" s="15">
        <f>IFERROR(__xludf.DUMMYFUNCTION("""COMPUTED_VALUE"""),1.006)</f>
        <v>1.006</v>
      </c>
      <c r="E2365" s="16">
        <f>IFERROR(__xludf.DUMMYFUNCTION("""COMPUTED_VALUE"""),65.0)</f>
        <v>65</v>
      </c>
      <c r="F2365" s="19" t="str">
        <f>IFERROR(__xludf.DUMMYFUNCTION("""COMPUTED_VALUE"""),"BLACK")</f>
        <v>BLACK</v>
      </c>
      <c r="G2365" s="20" t="str">
        <f>IFERROR(__xludf.DUMMYFUNCTION("""COMPUTED_VALUE"""),"Uncle Sams Cider (11/12/2021) 02")</f>
        <v>Uncle Sams Cider (11/12/2021) 02</v>
      </c>
      <c r="H2365" s="19"/>
    </row>
    <row r="2366">
      <c r="A2366" s="9"/>
      <c r="B2366" s="15"/>
      <c r="C2366" s="9">
        <f>IFERROR(__xludf.DUMMYFUNCTION("""COMPUTED_VALUE"""),44580.8620554166)</f>
        <v>44580.86206</v>
      </c>
      <c r="D2366" s="15">
        <f>IFERROR(__xludf.DUMMYFUNCTION("""COMPUTED_VALUE"""),1.006)</f>
        <v>1.006</v>
      </c>
      <c r="E2366" s="16">
        <f>IFERROR(__xludf.DUMMYFUNCTION("""COMPUTED_VALUE"""),65.0)</f>
        <v>65</v>
      </c>
      <c r="F2366" s="19" t="str">
        <f>IFERROR(__xludf.DUMMYFUNCTION("""COMPUTED_VALUE"""),"BLACK")</f>
        <v>BLACK</v>
      </c>
      <c r="G2366" s="20" t="str">
        <f>IFERROR(__xludf.DUMMYFUNCTION("""COMPUTED_VALUE"""),"Uncle Sams Cider (11/12/2021) 02")</f>
        <v>Uncle Sams Cider (11/12/2021) 02</v>
      </c>
      <c r="H2366" s="19"/>
    </row>
    <row r="2367">
      <c r="A2367" s="9"/>
      <c r="B2367" s="15"/>
      <c r="C2367" s="9">
        <f>IFERROR(__xludf.DUMMYFUNCTION("""COMPUTED_VALUE"""),44580.8516230324)</f>
        <v>44580.85162</v>
      </c>
      <c r="D2367" s="15">
        <f>IFERROR(__xludf.DUMMYFUNCTION("""COMPUTED_VALUE"""),1.006)</f>
        <v>1.006</v>
      </c>
      <c r="E2367" s="16">
        <f>IFERROR(__xludf.DUMMYFUNCTION("""COMPUTED_VALUE"""),65.0)</f>
        <v>65</v>
      </c>
      <c r="F2367" s="19" t="str">
        <f>IFERROR(__xludf.DUMMYFUNCTION("""COMPUTED_VALUE"""),"BLACK")</f>
        <v>BLACK</v>
      </c>
      <c r="G2367" s="20" t="str">
        <f>IFERROR(__xludf.DUMMYFUNCTION("""COMPUTED_VALUE"""),"Uncle Sams Cider (11/12/2021) 02")</f>
        <v>Uncle Sams Cider (11/12/2021) 02</v>
      </c>
      <c r="H2367" s="19"/>
    </row>
    <row r="2368">
      <c r="A2368" s="9"/>
      <c r="B2368" s="15"/>
      <c r="C2368" s="9">
        <f>IFERROR(__xludf.DUMMYFUNCTION("""COMPUTED_VALUE"""),44580.8411663425)</f>
        <v>44580.84117</v>
      </c>
      <c r="D2368" s="15">
        <f>IFERROR(__xludf.DUMMYFUNCTION("""COMPUTED_VALUE"""),1.006)</f>
        <v>1.006</v>
      </c>
      <c r="E2368" s="16">
        <f>IFERROR(__xludf.DUMMYFUNCTION("""COMPUTED_VALUE"""),65.0)</f>
        <v>65</v>
      </c>
      <c r="F2368" s="19" t="str">
        <f>IFERROR(__xludf.DUMMYFUNCTION("""COMPUTED_VALUE"""),"BLACK")</f>
        <v>BLACK</v>
      </c>
      <c r="G2368" s="20" t="str">
        <f>IFERROR(__xludf.DUMMYFUNCTION("""COMPUTED_VALUE"""),"Uncle Sams Cider (11/12/2021) 02")</f>
        <v>Uncle Sams Cider (11/12/2021) 02</v>
      </c>
      <c r="H2368" s="19"/>
    </row>
    <row r="2369">
      <c r="A2369" s="9"/>
      <c r="B2369" s="15"/>
      <c r="C2369" s="9">
        <f>IFERROR(__xludf.DUMMYFUNCTION("""COMPUTED_VALUE"""),44580.8307453935)</f>
        <v>44580.83075</v>
      </c>
      <c r="D2369" s="15">
        <f>IFERROR(__xludf.DUMMYFUNCTION("""COMPUTED_VALUE"""),1.006)</f>
        <v>1.006</v>
      </c>
      <c r="E2369" s="16">
        <f>IFERROR(__xludf.DUMMYFUNCTION("""COMPUTED_VALUE"""),66.0)</f>
        <v>66</v>
      </c>
      <c r="F2369" s="19" t="str">
        <f>IFERROR(__xludf.DUMMYFUNCTION("""COMPUTED_VALUE"""),"BLACK")</f>
        <v>BLACK</v>
      </c>
      <c r="G2369" s="20" t="str">
        <f>IFERROR(__xludf.DUMMYFUNCTION("""COMPUTED_VALUE"""),"Uncle Sams Cider (11/12/2021) 02")</f>
        <v>Uncle Sams Cider (11/12/2021) 02</v>
      </c>
      <c r="H2369" s="19"/>
    </row>
    <row r="2370">
      <c r="A2370" s="9"/>
      <c r="B2370" s="15"/>
      <c r="C2370" s="9">
        <f>IFERROR(__xludf.DUMMYFUNCTION("""COMPUTED_VALUE"""),44580.8202885069)</f>
        <v>44580.82029</v>
      </c>
      <c r="D2370" s="15">
        <f>IFERROR(__xludf.DUMMYFUNCTION("""COMPUTED_VALUE"""),1.006)</f>
        <v>1.006</v>
      </c>
      <c r="E2370" s="16">
        <f>IFERROR(__xludf.DUMMYFUNCTION("""COMPUTED_VALUE"""),65.0)</f>
        <v>65</v>
      </c>
      <c r="F2370" s="19" t="str">
        <f>IFERROR(__xludf.DUMMYFUNCTION("""COMPUTED_VALUE"""),"BLACK")</f>
        <v>BLACK</v>
      </c>
      <c r="G2370" s="20" t="str">
        <f>IFERROR(__xludf.DUMMYFUNCTION("""COMPUTED_VALUE"""),"Uncle Sams Cider (11/12/2021) 02")</f>
        <v>Uncle Sams Cider (11/12/2021) 02</v>
      </c>
      <c r="H2370" s="19"/>
    </row>
    <row r="2371">
      <c r="A2371" s="9"/>
      <c r="B2371" s="15"/>
      <c r="C2371" s="9">
        <f>IFERROR(__xludf.DUMMYFUNCTION("""COMPUTED_VALUE"""),44580.809855162)</f>
        <v>44580.80986</v>
      </c>
      <c r="D2371" s="15">
        <f>IFERROR(__xludf.DUMMYFUNCTION("""COMPUTED_VALUE"""),1.006)</f>
        <v>1.006</v>
      </c>
      <c r="E2371" s="16">
        <f>IFERROR(__xludf.DUMMYFUNCTION("""COMPUTED_VALUE"""),66.0)</f>
        <v>66</v>
      </c>
      <c r="F2371" s="19" t="str">
        <f>IFERROR(__xludf.DUMMYFUNCTION("""COMPUTED_VALUE"""),"BLACK")</f>
        <v>BLACK</v>
      </c>
      <c r="G2371" s="20" t="str">
        <f>IFERROR(__xludf.DUMMYFUNCTION("""COMPUTED_VALUE"""),"Uncle Sams Cider (11/12/2021) 02")</f>
        <v>Uncle Sams Cider (11/12/2021) 02</v>
      </c>
      <c r="H2371" s="19"/>
    </row>
    <row r="2372">
      <c r="A2372" s="9"/>
      <c r="B2372" s="15"/>
      <c r="C2372" s="9">
        <f>IFERROR(__xludf.DUMMYFUNCTION("""COMPUTED_VALUE"""),44580.7994340856)</f>
        <v>44580.79943</v>
      </c>
      <c r="D2372" s="15">
        <f>IFERROR(__xludf.DUMMYFUNCTION("""COMPUTED_VALUE"""),1.006)</f>
        <v>1.006</v>
      </c>
      <c r="E2372" s="16">
        <f>IFERROR(__xludf.DUMMYFUNCTION("""COMPUTED_VALUE"""),66.0)</f>
        <v>66</v>
      </c>
      <c r="F2372" s="19" t="str">
        <f>IFERROR(__xludf.DUMMYFUNCTION("""COMPUTED_VALUE"""),"BLACK")</f>
        <v>BLACK</v>
      </c>
      <c r="G2372" s="20" t="str">
        <f>IFERROR(__xludf.DUMMYFUNCTION("""COMPUTED_VALUE"""),"Uncle Sams Cider (11/12/2021) 02")</f>
        <v>Uncle Sams Cider (11/12/2021) 02</v>
      </c>
      <c r="H2372" s="19"/>
    </row>
    <row r="2373">
      <c r="A2373" s="9"/>
      <c r="B2373" s="15"/>
      <c r="C2373" s="9">
        <f>IFERROR(__xludf.DUMMYFUNCTION("""COMPUTED_VALUE"""),44580.789001412)</f>
        <v>44580.789</v>
      </c>
      <c r="D2373" s="15">
        <f>IFERROR(__xludf.DUMMYFUNCTION("""COMPUTED_VALUE"""),1.006)</f>
        <v>1.006</v>
      </c>
      <c r="E2373" s="16">
        <f>IFERROR(__xludf.DUMMYFUNCTION("""COMPUTED_VALUE"""),66.0)</f>
        <v>66</v>
      </c>
      <c r="F2373" s="19" t="str">
        <f>IFERROR(__xludf.DUMMYFUNCTION("""COMPUTED_VALUE"""),"BLACK")</f>
        <v>BLACK</v>
      </c>
      <c r="G2373" s="20" t="str">
        <f>IFERROR(__xludf.DUMMYFUNCTION("""COMPUTED_VALUE"""),"Uncle Sams Cider (11/12/2021) 02")</f>
        <v>Uncle Sams Cider (11/12/2021) 02</v>
      </c>
      <c r="H2373" s="19"/>
    </row>
    <row r="2374">
      <c r="A2374" s="9"/>
      <c r="B2374" s="15"/>
      <c r="C2374" s="9">
        <f>IFERROR(__xludf.DUMMYFUNCTION("""COMPUTED_VALUE"""),44580.778567905)</f>
        <v>44580.77857</v>
      </c>
      <c r="D2374" s="15">
        <f>IFERROR(__xludf.DUMMYFUNCTION("""COMPUTED_VALUE"""),1.006)</f>
        <v>1.006</v>
      </c>
      <c r="E2374" s="16">
        <f>IFERROR(__xludf.DUMMYFUNCTION("""COMPUTED_VALUE"""),66.0)</f>
        <v>66</v>
      </c>
      <c r="F2374" s="19" t="str">
        <f>IFERROR(__xludf.DUMMYFUNCTION("""COMPUTED_VALUE"""),"BLACK")</f>
        <v>BLACK</v>
      </c>
      <c r="G2374" s="20" t="str">
        <f>IFERROR(__xludf.DUMMYFUNCTION("""COMPUTED_VALUE"""),"Uncle Sams Cider (11/12/2021) 02")</f>
        <v>Uncle Sams Cider (11/12/2021) 02</v>
      </c>
      <c r="H2374" s="19"/>
    </row>
    <row r="2375">
      <c r="A2375" s="9"/>
      <c r="B2375" s="15"/>
      <c r="C2375" s="9">
        <f>IFERROR(__xludf.DUMMYFUNCTION("""COMPUTED_VALUE"""),44580.76810103)</f>
        <v>44580.7681</v>
      </c>
      <c r="D2375" s="15">
        <f>IFERROR(__xludf.DUMMYFUNCTION("""COMPUTED_VALUE"""),1.006)</f>
        <v>1.006</v>
      </c>
      <c r="E2375" s="16">
        <f>IFERROR(__xludf.DUMMYFUNCTION("""COMPUTED_VALUE"""),66.0)</f>
        <v>66</v>
      </c>
      <c r="F2375" s="19" t="str">
        <f>IFERROR(__xludf.DUMMYFUNCTION("""COMPUTED_VALUE"""),"BLACK")</f>
        <v>BLACK</v>
      </c>
      <c r="G2375" s="20" t="str">
        <f>IFERROR(__xludf.DUMMYFUNCTION("""COMPUTED_VALUE"""),"Uncle Sams Cider (11/12/2021) 02")</f>
        <v>Uncle Sams Cider (11/12/2021) 02</v>
      </c>
      <c r="H2375" s="19"/>
    </row>
    <row r="2376">
      <c r="A2376" s="9"/>
      <c r="B2376" s="15"/>
      <c r="C2376" s="9">
        <f>IFERROR(__xludf.DUMMYFUNCTION("""COMPUTED_VALUE"""),44580.7576792013)</f>
        <v>44580.75768</v>
      </c>
      <c r="D2376" s="15">
        <f>IFERROR(__xludf.DUMMYFUNCTION("""COMPUTED_VALUE"""),1.006)</f>
        <v>1.006</v>
      </c>
      <c r="E2376" s="16">
        <f>IFERROR(__xludf.DUMMYFUNCTION("""COMPUTED_VALUE"""),66.0)</f>
        <v>66</v>
      </c>
      <c r="F2376" s="19" t="str">
        <f>IFERROR(__xludf.DUMMYFUNCTION("""COMPUTED_VALUE"""),"BLACK")</f>
        <v>BLACK</v>
      </c>
      <c r="G2376" s="20" t="str">
        <f>IFERROR(__xludf.DUMMYFUNCTION("""COMPUTED_VALUE"""),"Uncle Sams Cider (11/12/2021) 02")</f>
        <v>Uncle Sams Cider (11/12/2021) 02</v>
      </c>
      <c r="H2376" s="19"/>
    </row>
    <row r="2377">
      <c r="A2377" s="9"/>
      <c r="B2377" s="15"/>
      <c r="C2377" s="9">
        <f>IFERROR(__xludf.DUMMYFUNCTION("""COMPUTED_VALUE"""),44580.7472466782)</f>
        <v>44580.74725</v>
      </c>
      <c r="D2377" s="15">
        <f>IFERROR(__xludf.DUMMYFUNCTION("""COMPUTED_VALUE"""),1.006)</f>
        <v>1.006</v>
      </c>
      <c r="E2377" s="16">
        <f>IFERROR(__xludf.DUMMYFUNCTION("""COMPUTED_VALUE"""),66.0)</f>
        <v>66</v>
      </c>
      <c r="F2377" s="19" t="str">
        <f>IFERROR(__xludf.DUMMYFUNCTION("""COMPUTED_VALUE"""),"BLACK")</f>
        <v>BLACK</v>
      </c>
      <c r="G2377" s="20" t="str">
        <f>IFERROR(__xludf.DUMMYFUNCTION("""COMPUTED_VALUE"""),"Uncle Sams Cider (11/12/2021) 02")</f>
        <v>Uncle Sams Cider (11/12/2021) 02</v>
      </c>
      <c r="H2377" s="19"/>
    </row>
    <row r="2378">
      <c r="A2378" s="9"/>
      <c r="B2378" s="15"/>
      <c r="C2378" s="9">
        <f>IFERROR(__xludf.DUMMYFUNCTION("""COMPUTED_VALUE"""),44580.7368146064)</f>
        <v>44580.73681</v>
      </c>
      <c r="D2378" s="15">
        <f>IFERROR(__xludf.DUMMYFUNCTION("""COMPUTED_VALUE"""),1.006)</f>
        <v>1.006</v>
      </c>
      <c r="E2378" s="16">
        <f>IFERROR(__xludf.DUMMYFUNCTION("""COMPUTED_VALUE"""),66.0)</f>
        <v>66</v>
      </c>
      <c r="F2378" s="19" t="str">
        <f>IFERROR(__xludf.DUMMYFUNCTION("""COMPUTED_VALUE"""),"BLACK")</f>
        <v>BLACK</v>
      </c>
      <c r="G2378" s="20" t="str">
        <f>IFERROR(__xludf.DUMMYFUNCTION("""COMPUTED_VALUE"""),"Uncle Sams Cider (11/12/2021) 02")</f>
        <v>Uncle Sams Cider (11/12/2021) 02</v>
      </c>
      <c r="H2378" s="19"/>
    </row>
    <row r="2379">
      <c r="A2379" s="9"/>
      <c r="B2379" s="15"/>
      <c r="C2379" s="9">
        <f>IFERROR(__xludf.DUMMYFUNCTION("""COMPUTED_VALUE"""),44580.7263931365)</f>
        <v>44580.72639</v>
      </c>
      <c r="D2379" s="15">
        <f>IFERROR(__xludf.DUMMYFUNCTION("""COMPUTED_VALUE"""),1.006)</f>
        <v>1.006</v>
      </c>
      <c r="E2379" s="16">
        <f>IFERROR(__xludf.DUMMYFUNCTION("""COMPUTED_VALUE"""),66.0)</f>
        <v>66</v>
      </c>
      <c r="F2379" s="19" t="str">
        <f>IFERROR(__xludf.DUMMYFUNCTION("""COMPUTED_VALUE"""),"BLACK")</f>
        <v>BLACK</v>
      </c>
      <c r="G2379" s="20" t="str">
        <f>IFERROR(__xludf.DUMMYFUNCTION("""COMPUTED_VALUE"""),"Uncle Sams Cider (11/12/2021) 02")</f>
        <v>Uncle Sams Cider (11/12/2021) 02</v>
      </c>
      <c r="H2379" s="19"/>
    </row>
    <row r="2380">
      <c r="A2380" s="9"/>
      <c r="B2380" s="15"/>
      <c r="C2380" s="9">
        <f>IFERROR(__xludf.DUMMYFUNCTION("""COMPUTED_VALUE"""),44580.7159608796)</f>
        <v>44580.71596</v>
      </c>
      <c r="D2380" s="15">
        <f>IFERROR(__xludf.DUMMYFUNCTION("""COMPUTED_VALUE"""),1.006)</f>
        <v>1.006</v>
      </c>
      <c r="E2380" s="16">
        <f>IFERROR(__xludf.DUMMYFUNCTION("""COMPUTED_VALUE"""),66.0)</f>
        <v>66</v>
      </c>
      <c r="F2380" s="19" t="str">
        <f>IFERROR(__xludf.DUMMYFUNCTION("""COMPUTED_VALUE"""),"BLACK")</f>
        <v>BLACK</v>
      </c>
      <c r="G2380" s="20" t="str">
        <f>IFERROR(__xludf.DUMMYFUNCTION("""COMPUTED_VALUE"""),"Uncle Sams Cider (11/12/2021) 02")</f>
        <v>Uncle Sams Cider (11/12/2021) 02</v>
      </c>
      <c r="H2380" s="19"/>
    </row>
    <row r="2381">
      <c r="A2381" s="9"/>
      <c r="B2381" s="15"/>
      <c r="C2381" s="9">
        <f>IFERROR(__xludf.DUMMYFUNCTION("""COMPUTED_VALUE"""),44580.7055397222)</f>
        <v>44580.70554</v>
      </c>
      <c r="D2381" s="15">
        <f>IFERROR(__xludf.DUMMYFUNCTION("""COMPUTED_VALUE"""),1.006)</f>
        <v>1.006</v>
      </c>
      <c r="E2381" s="16">
        <f>IFERROR(__xludf.DUMMYFUNCTION("""COMPUTED_VALUE"""),66.0)</f>
        <v>66</v>
      </c>
      <c r="F2381" s="19" t="str">
        <f>IFERROR(__xludf.DUMMYFUNCTION("""COMPUTED_VALUE"""),"BLACK")</f>
        <v>BLACK</v>
      </c>
      <c r="G2381" s="20" t="str">
        <f>IFERROR(__xludf.DUMMYFUNCTION("""COMPUTED_VALUE"""),"Uncle Sams Cider (11/12/2021) 02")</f>
        <v>Uncle Sams Cider (11/12/2021) 02</v>
      </c>
      <c r="H2381" s="19"/>
    </row>
    <row r="2382">
      <c r="A2382" s="9"/>
      <c r="B2382" s="15"/>
      <c r="C2382" s="9">
        <f>IFERROR(__xludf.DUMMYFUNCTION("""COMPUTED_VALUE"""),44580.6950962731)</f>
        <v>44580.6951</v>
      </c>
      <c r="D2382" s="15">
        <f>IFERROR(__xludf.DUMMYFUNCTION("""COMPUTED_VALUE"""),1.006)</f>
        <v>1.006</v>
      </c>
      <c r="E2382" s="16">
        <f>IFERROR(__xludf.DUMMYFUNCTION("""COMPUTED_VALUE"""),66.0)</f>
        <v>66</v>
      </c>
      <c r="F2382" s="19" t="str">
        <f>IFERROR(__xludf.DUMMYFUNCTION("""COMPUTED_VALUE"""),"BLACK")</f>
        <v>BLACK</v>
      </c>
      <c r="G2382" s="20" t="str">
        <f>IFERROR(__xludf.DUMMYFUNCTION("""COMPUTED_VALUE"""),"Uncle Sams Cider (11/12/2021) 02")</f>
        <v>Uncle Sams Cider (11/12/2021) 02</v>
      </c>
      <c r="H2382" s="19"/>
    </row>
    <row r="2383">
      <c r="A2383" s="9"/>
      <c r="B2383" s="15"/>
      <c r="C2383" s="9">
        <f>IFERROR(__xludf.DUMMYFUNCTION("""COMPUTED_VALUE"""),44580.6846757291)</f>
        <v>44580.68468</v>
      </c>
      <c r="D2383" s="15">
        <f>IFERROR(__xludf.DUMMYFUNCTION("""COMPUTED_VALUE"""),1.006)</f>
        <v>1.006</v>
      </c>
      <c r="E2383" s="16">
        <f>IFERROR(__xludf.DUMMYFUNCTION("""COMPUTED_VALUE"""),66.0)</f>
        <v>66</v>
      </c>
      <c r="F2383" s="19" t="str">
        <f>IFERROR(__xludf.DUMMYFUNCTION("""COMPUTED_VALUE"""),"BLACK")</f>
        <v>BLACK</v>
      </c>
      <c r="G2383" s="20" t="str">
        <f>IFERROR(__xludf.DUMMYFUNCTION("""COMPUTED_VALUE"""),"Uncle Sams Cider (11/12/2021) 02")</f>
        <v>Uncle Sams Cider (11/12/2021) 02</v>
      </c>
      <c r="H2383" s="19"/>
    </row>
    <row r="2384">
      <c r="A2384" s="9"/>
      <c r="B2384" s="15"/>
      <c r="C2384" s="9">
        <f>IFERROR(__xludf.DUMMYFUNCTION("""COMPUTED_VALUE"""),44580.6742207754)</f>
        <v>44580.67422</v>
      </c>
      <c r="D2384" s="15">
        <f>IFERROR(__xludf.DUMMYFUNCTION("""COMPUTED_VALUE"""),1.006)</f>
        <v>1.006</v>
      </c>
      <c r="E2384" s="16">
        <f>IFERROR(__xludf.DUMMYFUNCTION("""COMPUTED_VALUE"""),66.0)</f>
        <v>66</v>
      </c>
      <c r="F2384" s="19" t="str">
        <f>IFERROR(__xludf.DUMMYFUNCTION("""COMPUTED_VALUE"""),"BLACK")</f>
        <v>BLACK</v>
      </c>
      <c r="G2384" s="20" t="str">
        <f>IFERROR(__xludf.DUMMYFUNCTION("""COMPUTED_VALUE"""),"Uncle Sams Cider (11/12/2021) 02")</f>
        <v>Uncle Sams Cider (11/12/2021) 02</v>
      </c>
      <c r="H2384" s="19"/>
    </row>
    <row r="2385">
      <c r="A2385" s="9"/>
      <c r="B2385" s="15"/>
      <c r="C2385" s="9">
        <f>IFERROR(__xludf.DUMMYFUNCTION("""COMPUTED_VALUE"""),44580.6637761342)</f>
        <v>44580.66378</v>
      </c>
      <c r="D2385" s="15">
        <f>IFERROR(__xludf.DUMMYFUNCTION("""COMPUTED_VALUE"""),1.006)</f>
        <v>1.006</v>
      </c>
      <c r="E2385" s="16">
        <f>IFERROR(__xludf.DUMMYFUNCTION("""COMPUTED_VALUE"""),66.0)</f>
        <v>66</v>
      </c>
      <c r="F2385" s="19" t="str">
        <f>IFERROR(__xludf.DUMMYFUNCTION("""COMPUTED_VALUE"""),"BLACK")</f>
        <v>BLACK</v>
      </c>
      <c r="G2385" s="20" t="str">
        <f>IFERROR(__xludf.DUMMYFUNCTION("""COMPUTED_VALUE"""),"Uncle Sams Cider (11/12/2021) 02")</f>
        <v>Uncle Sams Cider (11/12/2021) 02</v>
      </c>
      <c r="H2385" s="19"/>
    </row>
    <row r="2386">
      <c r="A2386" s="9"/>
      <c r="B2386" s="15"/>
      <c r="C2386" s="9">
        <f>IFERROR(__xludf.DUMMYFUNCTION("""COMPUTED_VALUE"""),44580.6533426851)</f>
        <v>44580.65334</v>
      </c>
      <c r="D2386" s="15">
        <f>IFERROR(__xludf.DUMMYFUNCTION("""COMPUTED_VALUE"""),1.006)</f>
        <v>1.006</v>
      </c>
      <c r="E2386" s="16">
        <f>IFERROR(__xludf.DUMMYFUNCTION("""COMPUTED_VALUE"""),66.0)</f>
        <v>66</v>
      </c>
      <c r="F2386" s="19" t="str">
        <f>IFERROR(__xludf.DUMMYFUNCTION("""COMPUTED_VALUE"""),"BLACK")</f>
        <v>BLACK</v>
      </c>
      <c r="G2386" s="20" t="str">
        <f>IFERROR(__xludf.DUMMYFUNCTION("""COMPUTED_VALUE"""),"Uncle Sams Cider (11/12/2021) 02")</f>
        <v>Uncle Sams Cider (11/12/2021) 02</v>
      </c>
      <c r="H2386" s="19"/>
    </row>
    <row r="2387">
      <c r="A2387" s="9"/>
      <c r="B2387" s="15"/>
      <c r="C2387" s="9">
        <f>IFERROR(__xludf.DUMMYFUNCTION("""COMPUTED_VALUE"""),44580.6429208796)</f>
        <v>44580.64292</v>
      </c>
      <c r="D2387" s="15">
        <f>IFERROR(__xludf.DUMMYFUNCTION("""COMPUTED_VALUE"""),1.006)</f>
        <v>1.006</v>
      </c>
      <c r="E2387" s="16">
        <f>IFERROR(__xludf.DUMMYFUNCTION("""COMPUTED_VALUE"""),66.0)</f>
        <v>66</v>
      </c>
      <c r="F2387" s="19" t="str">
        <f>IFERROR(__xludf.DUMMYFUNCTION("""COMPUTED_VALUE"""),"BLACK")</f>
        <v>BLACK</v>
      </c>
      <c r="G2387" s="20" t="str">
        <f>IFERROR(__xludf.DUMMYFUNCTION("""COMPUTED_VALUE"""),"Uncle Sams Cider (11/12/2021) 02")</f>
        <v>Uncle Sams Cider (11/12/2021) 02</v>
      </c>
      <c r="H2387" s="19"/>
    </row>
    <row r="2388">
      <c r="A2388" s="9"/>
      <c r="B2388" s="15"/>
      <c r="C2388" s="9">
        <f>IFERROR(__xludf.DUMMYFUNCTION("""COMPUTED_VALUE"""),44580.6325000462)</f>
        <v>44580.6325</v>
      </c>
      <c r="D2388" s="15">
        <f>IFERROR(__xludf.DUMMYFUNCTION("""COMPUTED_VALUE"""),1.006)</f>
        <v>1.006</v>
      </c>
      <c r="E2388" s="16">
        <f>IFERROR(__xludf.DUMMYFUNCTION("""COMPUTED_VALUE"""),66.0)</f>
        <v>66</v>
      </c>
      <c r="F2388" s="19" t="str">
        <f>IFERROR(__xludf.DUMMYFUNCTION("""COMPUTED_VALUE"""),"BLACK")</f>
        <v>BLACK</v>
      </c>
      <c r="G2388" s="20" t="str">
        <f>IFERROR(__xludf.DUMMYFUNCTION("""COMPUTED_VALUE"""),"Uncle Sams Cider (11/12/2021) 02")</f>
        <v>Uncle Sams Cider (11/12/2021) 02</v>
      </c>
      <c r="H2388" s="19"/>
    </row>
    <row r="2389">
      <c r="A2389" s="9"/>
      <c r="B2389" s="15"/>
      <c r="C2389" s="9">
        <f>IFERROR(__xludf.DUMMYFUNCTION("""COMPUTED_VALUE"""),44580.6220794328)</f>
        <v>44580.62208</v>
      </c>
      <c r="D2389" s="15">
        <f>IFERROR(__xludf.DUMMYFUNCTION("""COMPUTED_VALUE"""),1.006)</f>
        <v>1.006</v>
      </c>
      <c r="E2389" s="16">
        <f>IFERROR(__xludf.DUMMYFUNCTION("""COMPUTED_VALUE"""),66.0)</f>
        <v>66</v>
      </c>
      <c r="F2389" s="19" t="str">
        <f>IFERROR(__xludf.DUMMYFUNCTION("""COMPUTED_VALUE"""),"BLACK")</f>
        <v>BLACK</v>
      </c>
      <c r="G2389" s="20" t="str">
        <f>IFERROR(__xludf.DUMMYFUNCTION("""COMPUTED_VALUE"""),"Uncle Sams Cider (11/12/2021) 02")</f>
        <v>Uncle Sams Cider (11/12/2021) 02</v>
      </c>
      <c r="H2389" s="19"/>
    </row>
    <row r="2390">
      <c r="A2390" s="9"/>
      <c r="B2390" s="15"/>
      <c r="C2390" s="9">
        <f>IFERROR(__xludf.DUMMYFUNCTION("""COMPUTED_VALUE"""),44580.6116456944)</f>
        <v>44580.61165</v>
      </c>
      <c r="D2390" s="15">
        <f>IFERROR(__xludf.DUMMYFUNCTION("""COMPUTED_VALUE"""),1.006)</f>
        <v>1.006</v>
      </c>
      <c r="E2390" s="16">
        <f>IFERROR(__xludf.DUMMYFUNCTION("""COMPUTED_VALUE"""),66.0)</f>
        <v>66</v>
      </c>
      <c r="F2390" s="19" t="str">
        <f>IFERROR(__xludf.DUMMYFUNCTION("""COMPUTED_VALUE"""),"BLACK")</f>
        <v>BLACK</v>
      </c>
      <c r="G2390" s="20" t="str">
        <f>IFERROR(__xludf.DUMMYFUNCTION("""COMPUTED_VALUE"""),"Uncle Sams Cider (11/12/2021) 02")</f>
        <v>Uncle Sams Cider (11/12/2021) 02</v>
      </c>
      <c r="H2390" s="19"/>
    </row>
    <row r="2391">
      <c r="A2391" s="9"/>
      <c r="B2391" s="15"/>
      <c r="C2391" s="9">
        <f>IFERROR(__xludf.DUMMYFUNCTION("""COMPUTED_VALUE"""),44580.6012236689)</f>
        <v>44580.60122</v>
      </c>
      <c r="D2391" s="15">
        <f>IFERROR(__xludf.DUMMYFUNCTION("""COMPUTED_VALUE"""),1.006)</f>
        <v>1.006</v>
      </c>
      <c r="E2391" s="16">
        <f>IFERROR(__xludf.DUMMYFUNCTION("""COMPUTED_VALUE"""),66.0)</f>
        <v>66</v>
      </c>
      <c r="F2391" s="19" t="str">
        <f>IFERROR(__xludf.DUMMYFUNCTION("""COMPUTED_VALUE"""),"BLACK")</f>
        <v>BLACK</v>
      </c>
      <c r="G2391" s="20" t="str">
        <f>IFERROR(__xludf.DUMMYFUNCTION("""COMPUTED_VALUE"""),"Uncle Sams Cider (11/12/2021) 02")</f>
        <v>Uncle Sams Cider (11/12/2021) 02</v>
      </c>
      <c r="H2391" s="19"/>
    </row>
    <row r="2392">
      <c r="A2392" s="9"/>
      <c r="B2392" s="15"/>
      <c r="C2392" s="9">
        <f>IFERROR(__xludf.DUMMYFUNCTION("""COMPUTED_VALUE"""),44580.5908037037)</f>
        <v>44580.5908</v>
      </c>
      <c r="D2392" s="15">
        <f>IFERROR(__xludf.DUMMYFUNCTION("""COMPUTED_VALUE"""),1.006)</f>
        <v>1.006</v>
      </c>
      <c r="E2392" s="16">
        <f>IFERROR(__xludf.DUMMYFUNCTION("""COMPUTED_VALUE"""),66.0)</f>
        <v>66</v>
      </c>
      <c r="F2392" s="19" t="str">
        <f>IFERROR(__xludf.DUMMYFUNCTION("""COMPUTED_VALUE"""),"BLACK")</f>
        <v>BLACK</v>
      </c>
      <c r="G2392" s="20" t="str">
        <f>IFERROR(__xludf.DUMMYFUNCTION("""COMPUTED_VALUE"""),"Uncle Sams Cider (11/12/2021) 02")</f>
        <v>Uncle Sams Cider (11/12/2021) 02</v>
      </c>
      <c r="H2392" s="19"/>
    </row>
    <row r="2393">
      <c r="A2393" s="9"/>
      <c r="B2393" s="15"/>
      <c r="C2393" s="9">
        <f>IFERROR(__xludf.DUMMYFUNCTION("""COMPUTED_VALUE"""),44580.5803809259)</f>
        <v>44580.58038</v>
      </c>
      <c r="D2393" s="15">
        <f>IFERROR(__xludf.DUMMYFUNCTION("""COMPUTED_VALUE"""),1.006)</f>
        <v>1.006</v>
      </c>
      <c r="E2393" s="16">
        <f>IFERROR(__xludf.DUMMYFUNCTION("""COMPUTED_VALUE"""),66.0)</f>
        <v>66</v>
      </c>
      <c r="F2393" s="19" t="str">
        <f>IFERROR(__xludf.DUMMYFUNCTION("""COMPUTED_VALUE"""),"BLACK")</f>
        <v>BLACK</v>
      </c>
      <c r="G2393" s="20" t="str">
        <f>IFERROR(__xludf.DUMMYFUNCTION("""COMPUTED_VALUE"""),"Uncle Sams Cider (11/12/2021) 02")</f>
        <v>Uncle Sams Cider (11/12/2021) 02</v>
      </c>
      <c r="H2393" s="19"/>
    </row>
    <row r="2394">
      <c r="A2394" s="9"/>
      <c r="B2394" s="15"/>
      <c r="C2394" s="9">
        <f>IFERROR(__xludf.DUMMYFUNCTION("""COMPUTED_VALUE"""),44580.5699598611)</f>
        <v>44580.56996</v>
      </c>
      <c r="D2394" s="15">
        <f>IFERROR(__xludf.DUMMYFUNCTION("""COMPUTED_VALUE"""),1.006)</f>
        <v>1.006</v>
      </c>
      <c r="E2394" s="16">
        <f>IFERROR(__xludf.DUMMYFUNCTION("""COMPUTED_VALUE"""),66.0)</f>
        <v>66</v>
      </c>
      <c r="F2394" s="19" t="str">
        <f>IFERROR(__xludf.DUMMYFUNCTION("""COMPUTED_VALUE"""),"BLACK")</f>
        <v>BLACK</v>
      </c>
      <c r="G2394" s="20" t="str">
        <f>IFERROR(__xludf.DUMMYFUNCTION("""COMPUTED_VALUE"""),"Uncle Sams Cider (11/12/2021) 02")</f>
        <v>Uncle Sams Cider (11/12/2021) 02</v>
      </c>
      <c r="H2394" s="19"/>
    </row>
    <row r="2395">
      <c r="A2395" s="9"/>
      <c r="B2395" s="15"/>
      <c r="C2395" s="9">
        <f>IFERROR(__xludf.DUMMYFUNCTION("""COMPUTED_VALUE"""),44580.5595142129)</f>
        <v>44580.55951</v>
      </c>
      <c r="D2395" s="15">
        <f>IFERROR(__xludf.DUMMYFUNCTION("""COMPUTED_VALUE"""),1.006)</f>
        <v>1.006</v>
      </c>
      <c r="E2395" s="16">
        <f>IFERROR(__xludf.DUMMYFUNCTION("""COMPUTED_VALUE"""),66.0)</f>
        <v>66</v>
      </c>
      <c r="F2395" s="19" t="str">
        <f>IFERROR(__xludf.DUMMYFUNCTION("""COMPUTED_VALUE"""),"BLACK")</f>
        <v>BLACK</v>
      </c>
      <c r="G2395" s="20" t="str">
        <f>IFERROR(__xludf.DUMMYFUNCTION("""COMPUTED_VALUE"""),"Uncle Sams Cider (11/12/2021) 02")</f>
        <v>Uncle Sams Cider (11/12/2021) 02</v>
      </c>
      <c r="H2395" s="19"/>
    </row>
    <row r="2396">
      <c r="A2396" s="9"/>
      <c r="B2396" s="15"/>
      <c r="C2396" s="9">
        <f>IFERROR(__xludf.DUMMYFUNCTION("""COMPUTED_VALUE"""),44580.5490924074)</f>
        <v>44580.54909</v>
      </c>
      <c r="D2396" s="15">
        <f>IFERROR(__xludf.DUMMYFUNCTION("""COMPUTED_VALUE"""),1.006)</f>
        <v>1.006</v>
      </c>
      <c r="E2396" s="16">
        <f>IFERROR(__xludf.DUMMYFUNCTION("""COMPUTED_VALUE"""),66.0)</f>
        <v>66</v>
      </c>
      <c r="F2396" s="19" t="str">
        <f>IFERROR(__xludf.DUMMYFUNCTION("""COMPUTED_VALUE"""),"BLACK")</f>
        <v>BLACK</v>
      </c>
      <c r="G2396" s="20" t="str">
        <f>IFERROR(__xludf.DUMMYFUNCTION("""COMPUTED_VALUE"""),"Uncle Sams Cider (11/12/2021) 02")</f>
        <v>Uncle Sams Cider (11/12/2021) 02</v>
      </c>
      <c r="H2396" s="19"/>
    </row>
    <row r="2397">
      <c r="A2397" s="9"/>
      <c r="B2397" s="15"/>
      <c r="C2397" s="9">
        <f>IFERROR(__xludf.DUMMYFUNCTION("""COMPUTED_VALUE"""),44580.538659155)</f>
        <v>44580.53866</v>
      </c>
      <c r="D2397" s="15">
        <f>IFERROR(__xludf.DUMMYFUNCTION("""COMPUTED_VALUE"""),1.006)</f>
        <v>1.006</v>
      </c>
      <c r="E2397" s="16">
        <f>IFERROR(__xludf.DUMMYFUNCTION("""COMPUTED_VALUE"""),66.0)</f>
        <v>66</v>
      </c>
      <c r="F2397" s="19" t="str">
        <f>IFERROR(__xludf.DUMMYFUNCTION("""COMPUTED_VALUE"""),"BLACK")</f>
        <v>BLACK</v>
      </c>
      <c r="G2397" s="20" t="str">
        <f>IFERROR(__xludf.DUMMYFUNCTION("""COMPUTED_VALUE"""),"Uncle Sams Cider (11/12/2021) 02")</f>
        <v>Uncle Sams Cider (11/12/2021) 02</v>
      </c>
      <c r="H2397" s="19"/>
    </row>
    <row r="2398">
      <c r="A2398" s="9"/>
      <c r="B2398" s="15"/>
      <c r="C2398" s="9">
        <f>IFERROR(__xludf.DUMMYFUNCTION("""COMPUTED_VALUE"""),44580.5282378819)</f>
        <v>44580.52824</v>
      </c>
      <c r="D2398" s="15">
        <f>IFERROR(__xludf.DUMMYFUNCTION("""COMPUTED_VALUE"""),1.006)</f>
        <v>1.006</v>
      </c>
      <c r="E2398" s="16">
        <f>IFERROR(__xludf.DUMMYFUNCTION("""COMPUTED_VALUE"""),66.0)</f>
        <v>66</v>
      </c>
      <c r="F2398" s="19" t="str">
        <f>IFERROR(__xludf.DUMMYFUNCTION("""COMPUTED_VALUE"""),"BLACK")</f>
        <v>BLACK</v>
      </c>
      <c r="G2398" s="20" t="str">
        <f>IFERROR(__xludf.DUMMYFUNCTION("""COMPUTED_VALUE"""),"Uncle Sams Cider (11/12/2021) 02")</f>
        <v>Uncle Sams Cider (11/12/2021) 02</v>
      </c>
      <c r="H2398" s="19"/>
    </row>
    <row r="2399">
      <c r="A2399" s="9"/>
      <c r="B2399" s="15"/>
      <c r="C2399" s="9">
        <f>IFERROR(__xludf.DUMMYFUNCTION("""COMPUTED_VALUE"""),44580.5178170023)</f>
        <v>44580.51782</v>
      </c>
      <c r="D2399" s="15">
        <f>IFERROR(__xludf.DUMMYFUNCTION("""COMPUTED_VALUE"""),1.006)</f>
        <v>1.006</v>
      </c>
      <c r="E2399" s="16">
        <f>IFERROR(__xludf.DUMMYFUNCTION("""COMPUTED_VALUE"""),66.0)</f>
        <v>66</v>
      </c>
      <c r="F2399" s="19" t="str">
        <f>IFERROR(__xludf.DUMMYFUNCTION("""COMPUTED_VALUE"""),"BLACK")</f>
        <v>BLACK</v>
      </c>
      <c r="G2399" s="20" t="str">
        <f>IFERROR(__xludf.DUMMYFUNCTION("""COMPUTED_VALUE"""),"Uncle Sams Cider (11/12/2021) 02")</f>
        <v>Uncle Sams Cider (11/12/2021) 02</v>
      </c>
      <c r="H2399" s="19"/>
    </row>
    <row r="2400">
      <c r="A2400" s="9"/>
      <c r="B2400" s="15"/>
      <c r="C2400" s="9">
        <f>IFERROR(__xludf.DUMMYFUNCTION("""COMPUTED_VALUE"""),44580.5073842939)</f>
        <v>44580.50738</v>
      </c>
      <c r="D2400" s="15">
        <f>IFERROR(__xludf.DUMMYFUNCTION("""COMPUTED_VALUE"""),1.006)</f>
        <v>1.006</v>
      </c>
      <c r="E2400" s="16">
        <f>IFERROR(__xludf.DUMMYFUNCTION("""COMPUTED_VALUE"""),67.0)</f>
        <v>67</v>
      </c>
      <c r="F2400" s="19" t="str">
        <f>IFERROR(__xludf.DUMMYFUNCTION("""COMPUTED_VALUE"""),"BLACK")</f>
        <v>BLACK</v>
      </c>
      <c r="G2400" s="20" t="str">
        <f>IFERROR(__xludf.DUMMYFUNCTION("""COMPUTED_VALUE"""),"Uncle Sams Cider (11/12/2021) 02")</f>
        <v>Uncle Sams Cider (11/12/2021) 02</v>
      </c>
      <c r="H2400" s="19"/>
    </row>
    <row r="2401">
      <c r="A2401" s="9"/>
      <c r="B2401" s="15"/>
      <c r="C2401" s="9">
        <f>IFERROR(__xludf.DUMMYFUNCTION("""COMPUTED_VALUE"""),44580.4968826388)</f>
        <v>44580.49688</v>
      </c>
      <c r="D2401" s="15">
        <f>IFERROR(__xludf.DUMMYFUNCTION("""COMPUTED_VALUE"""),1.006)</f>
        <v>1.006</v>
      </c>
      <c r="E2401" s="16">
        <f>IFERROR(__xludf.DUMMYFUNCTION("""COMPUTED_VALUE"""),67.0)</f>
        <v>67</v>
      </c>
      <c r="F2401" s="19" t="str">
        <f>IFERROR(__xludf.DUMMYFUNCTION("""COMPUTED_VALUE"""),"BLACK")</f>
        <v>BLACK</v>
      </c>
      <c r="G2401" s="20" t="str">
        <f>IFERROR(__xludf.DUMMYFUNCTION("""COMPUTED_VALUE"""),"Uncle Sams Cider (11/12/2021) 02")</f>
        <v>Uncle Sams Cider (11/12/2021) 02</v>
      </c>
      <c r="H2401" s="19"/>
    </row>
    <row r="2402">
      <c r="A2402" s="9"/>
      <c r="B2402" s="15"/>
      <c r="C2402" s="9">
        <f>IFERROR(__xludf.DUMMYFUNCTION("""COMPUTED_VALUE"""),44580.4864627199)</f>
        <v>44580.48646</v>
      </c>
      <c r="D2402" s="15">
        <f>IFERROR(__xludf.DUMMYFUNCTION("""COMPUTED_VALUE"""),1.006)</f>
        <v>1.006</v>
      </c>
      <c r="E2402" s="16">
        <f>IFERROR(__xludf.DUMMYFUNCTION("""COMPUTED_VALUE"""),67.0)</f>
        <v>67</v>
      </c>
      <c r="F2402" s="19" t="str">
        <f>IFERROR(__xludf.DUMMYFUNCTION("""COMPUTED_VALUE"""),"BLACK")</f>
        <v>BLACK</v>
      </c>
      <c r="G2402" s="20" t="str">
        <f>IFERROR(__xludf.DUMMYFUNCTION("""COMPUTED_VALUE"""),"Uncle Sams Cider (11/12/2021) 02")</f>
        <v>Uncle Sams Cider (11/12/2021) 02</v>
      </c>
      <c r="H2402" s="19"/>
    </row>
    <row r="2403">
      <c r="A2403" s="9"/>
      <c r="B2403" s="15"/>
      <c r="C2403" s="9">
        <f>IFERROR(__xludf.DUMMYFUNCTION("""COMPUTED_VALUE"""),44580.4760424305)</f>
        <v>44580.47604</v>
      </c>
      <c r="D2403" s="15">
        <f>IFERROR(__xludf.DUMMYFUNCTION("""COMPUTED_VALUE"""),1.006)</f>
        <v>1.006</v>
      </c>
      <c r="E2403" s="16">
        <f>IFERROR(__xludf.DUMMYFUNCTION("""COMPUTED_VALUE"""),67.0)</f>
        <v>67</v>
      </c>
      <c r="F2403" s="19" t="str">
        <f>IFERROR(__xludf.DUMMYFUNCTION("""COMPUTED_VALUE"""),"BLACK")</f>
        <v>BLACK</v>
      </c>
      <c r="G2403" s="20" t="str">
        <f>IFERROR(__xludf.DUMMYFUNCTION("""COMPUTED_VALUE"""),"Uncle Sams Cider (11/12/2021) 02")</f>
        <v>Uncle Sams Cider (11/12/2021) 02</v>
      </c>
      <c r="H2403" s="19"/>
    </row>
    <row r="2404">
      <c r="A2404" s="9"/>
      <c r="B2404" s="15"/>
      <c r="C2404" s="9">
        <f>IFERROR(__xludf.DUMMYFUNCTION("""COMPUTED_VALUE"""),44580.4655983217)</f>
        <v>44580.4656</v>
      </c>
      <c r="D2404" s="15">
        <f>IFERROR(__xludf.DUMMYFUNCTION("""COMPUTED_VALUE"""),1.006)</f>
        <v>1.006</v>
      </c>
      <c r="E2404" s="16">
        <f>IFERROR(__xludf.DUMMYFUNCTION("""COMPUTED_VALUE"""),67.0)</f>
        <v>67</v>
      </c>
      <c r="F2404" s="19" t="str">
        <f>IFERROR(__xludf.DUMMYFUNCTION("""COMPUTED_VALUE"""),"BLACK")</f>
        <v>BLACK</v>
      </c>
      <c r="G2404" s="20" t="str">
        <f>IFERROR(__xludf.DUMMYFUNCTION("""COMPUTED_VALUE"""),"Uncle Sams Cider (11/12/2021) 02")</f>
        <v>Uncle Sams Cider (11/12/2021) 02</v>
      </c>
      <c r="H2404" s="19"/>
    </row>
    <row r="2405">
      <c r="A2405" s="9"/>
      <c r="B2405" s="15"/>
      <c r="C2405" s="9">
        <f>IFERROR(__xludf.DUMMYFUNCTION("""COMPUTED_VALUE"""),44580.4551766435)</f>
        <v>44580.45518</v>
      </c>
      <c r="D2405" s="15">
        <f>IFERROR(__xludf.DUMMYFUNCTION("""COMPUTED_VALUE"""),1.006)</f>
        <v>1.006</v>
      </c>
      <c r="E2405" s="16">
        <f>IFERROR(__xludf.DUMMYFUNCTION("""COMPUTED_VALUE"""),67.0)</f>
        <v>67</v>
      </c>
      <c r="F2405" s="19" t="str">
        <f>IFERROR(__xludf.DUMMYFUNCTION("""COMPUTED_VALUE"""),"BLACK")</f>
        <v>BLACK</v>
      </c>
      <c r="G2405" s="20" t="str">
        <f>IFERROR(__xludf.DUMMYFUNCTION("""COMPUTED_VALUE"""),"Uncle Sams Cider (11/12/2021) 02")</f>
        <v>Uncle Sams Cider (11/12/2021) 02</v>
      </c>
      <c r="H2405" s="19"/>
    </row>
    <row r="2406">
      <c r="A2406" s="9"/>
      <c r="B2406" s="15"/>
      <c r="C2406" s="9">
        <f>IFERROR(__xludf.DUMMYFUNCTION("""COMPUTED_VALUE"""),44580.4447336574)</f>
        <v>44580.44473</v>
      </c>
      <c r="D2406" s="15">
        <f>IFERROR(__xludf.DUMMYFUNCTION("""COMPUTED_VALUE"""),1.006)</f>
        <v>1.006</v>
      </c>
      <c r="E2406" s="16">
        <f>IFERROR(__xludf.DUMMYFUNCTION("""COMPUTED_VALUE"""),67.0)</f>
        <v>67</v>
      </c>
      <c r="F2406" s="19" t="str">
        <f>IFERROR(__xludf.DUMMYFUNCTION("""COMPUTED_VALUE"""),"BLACK")</f>
        <v>BLACK</v>
      </c>
      <c r="G2406" s="20" t="str">
        <f>IFERROR(__xludf.DUMMYFUNCTION("""COMPUTED_VALUE"""),"Uncle Sams Cider (11/12/2021) 02")</f>
        <v>Uncle Sams Cider (11/12/2021) 02</v>
      </c>
      <c r="H2406" s="19"/>
    </row>
    <row r="2407">
      <c r="A2407" s="9"/>
      <c r="B2407" s="15"/>
      <c r="C2407" s="9">
        <f>IFERROR(__xludf.DUMMYFUNCTION("""COMPUTED_VALUE"""),44580.4342428819)</f>
        <v>44580.43424</v>
      </c>
      <c r="D2407" s="15">
        <f>IFERROR(__xludf.DUMMYFUNCTION("""COMPUTED_VALUE"""),1.006)</f>
        <v>1.006</v>
      </c>
      <c r="E2407" s="16">
        <f>IFERROR(__xludf.DUMMYFUNCTION("""COMPUTED_VALUE"""),67.0)</f>
        <v>67</v>
      </c>
      <c r="F2407" s="19" t="str">
        <f>IFERROR(__xludf.DUMMYFUNCTION("""COMPUTED_VALUE"""),"BLACK")</f>
        <v>BLACK</v>
      </c>
      <c r="G2407" s="20" t="str">
        <f>IFERROR(__xludf.DUMMYFUNCTION("""COMPUTED_VALUE"""),"Uncle Sams Cider (11/12/2021) 02")</f>
        <v>Uncle Sams Cider (11/12/2021) 02</v>
      </c>
      <c r="H2407" s="19"/>
    </row>
    <row r="2408">
      <c r="A2408" s="9"/>
      <c r="B2408" s="15"/>
      <c r="C2408" s="9">
        <f>IFERROR(__xludf.DUMMYFUNCTION("""COMPUTED_VALUE"""),44580.4238086689)</f>
        <v>44580.42381</v>
      </c>
      <c r="D2408" s="15">
        <f>IFERROR(__xludf.DUMMYFUNCTION("""COMPUTED_VALUE"""),1.006)</f>
        <v>1.006</v>
      </c>
      <c r="E2408" s="16">
        <f>IFERROR(__xludf.DUMMYFUNCTION("""COMPUTED_VALUE"""),67.0)</f>
        <v>67</v>
      </c>
      <c r="F2408" s="19" t="str">
        <f>IFERROR(__xludf.DUMMYFUNCTION("""COMPUTED_VALUE"""),"BLACK")</f>
        <v>BLACK</v>
      </c>
      <c r="G2408" s="20" t="str">
        <f>IFERROR(__xludf.DUMMYFUNCTION("""COMPUTED_VALUE"""),"Uncle Sams Cider (11/12/2021) 02")</f>
        <v>Uncle Sams Cider (11/12/2021) 02</v>
      </c>
      <c r="H2408" s="19"/>
    </row>
    <row r="2409">
      <c r="A2409" s="9"/>
      <c r="B2409" s="15"/>
      <c r="C2409" s="9">
        <f>IFERROR(__xludf.DUMMYFUNCTION("""COMPUTED_VALUE"""),44580.4133865046)</f>
        <v>44580.41339</v>
      </c>
      <c r="D2409" s="15">
        <f>IFERROR(__xludf.DUMMYFUNCTION("""COMPUTED_VALUE"""),1.006)</f>
        <v>1.006</v>
      </c>
      <c r="E2409" s="16">
        <f>IFERROR(__xludf.DUMMYFUNCTION("""COMPUTED_VALUE"""),67.0)</f>
        <v>67</v>
      </c>
      <c r="F2409" s="19" t="str">
        <f>IFERROR(__xludf.DUMMYFUNCTION("""COMPUTED_VALUE"""),"BLACK")</f>
        <v>BLACK</v>
      </c>
      <c r="G2409" s="20" t="str">
        <f>IFERROR(__xludf.DUMMYFUNCTION("""COMPUTED_VALUE"""),"Uncle Sams Cider (11/12/2021) 02")</f>
        <v>Uncle Sams Cider (11/12/2021) 02</v>
      </c>
      <c r="H2409" s="19"/>
    </row>
    <row r="2410">
      <c r="A2410" s="9"/>
      <c r="B2410" s="15"/>
      <c r="C2410" s="9">
        <f>IFERROR(__xludf.DUMMYFUNCTION("""COMPUTED_VALUE"""),44580.4029661574)</f>
        <v>44580.40297</v>
      </c>
      <c r="D2410" s="15">
        <f>IFERROR(__xludf.DUMMYFUNCTION("""COMPUTED_VALUE"""),1.006)</f>
        <v>1.006</v>
      </c>
      <c r="E2410" s="16">
        <f>IFERROR(__xludf.DUMMYFUNCTION("""COMPUTED_VALUE"""),67.0)</f>
        <v>67</v>
      </c>
      <c r="F2410" s="19" t="str">
        <f>IFERROR(__xludf.DUMMYFUNCTION("""COMPUTED_VALUE"""),"BLACK")</f>
        <v>BLACK</v>
      </c>
      <c r="G2410" s="20" t="str">
        <f>IFERROR(__xludf.DUMMYFUNCTION("""COMPUTED_VALUE"""),"Uncle Sams Cider (11/12/2021) 02")</f>
        <v>Uncle Sams Cider (11/12/2021) 02</v>
      </c>
      <c r="H2410" s="19"/>
    </row>
    <row r="2411">
      <c r="A2411" s="9"/>
      <c r="B2411" s="15"/>
      <c r="C2411" s="9">
        <f>IFERROR(__xludf.DUMMYFUNCTION("""COMPUTED_VALUE"""),44580.3925095949)</f>
        <v>44580.39251</v>
      </c>
      <c r="D2411" s="15">
        <f>IFERROR(__xludf.DUMMYFUNCTION("""COMPUTED_VALUE"""),1.006)</f>
        <v>1.006</v>
      </c>
      <c r="E2411" s="16">
        <f>IFERROR(__xludf.DUMMYFUNCTION("""COMPUTED_VALUE"""),67.0)</f>
        <v>67</v>
      </c>
      <c r="F2411" s="19" t="str">
        <f>IFERROR(__xludf.DUMMYFUNCTION("""COMPUTED_VALUE"""),"BLACK")</f>
        <v>BLACK</v>
      </c>
      <c r="G2411" s="20" t="str">
        <f>IFERROR(__xludf.DUMMYFUNCTION("""COMPUTED_VALUE"""),"Uncle Sams Cider (11/12/2021) 02")</f>
        <v>Uncle Sams Cider (11/12/2021) 02</v>
      </c>
      <c r="H2411" s="19"/>
    </row>
    <row r="2412">
      <c r="A2412" s="9"/>
      <c r="B2412" s="15"/>
      <c r="C2412" s="9">
        <f>IFERROR(__xludf.DUMMYFUNCTION("""COMPUTED_VALUE"""),44580.3820531365)</f>
        <v>44580.38205</v>
      </c>
      <c r="D2412" s="15">
        <f>IFERROR(__xludf.DUMMYFUNCTION("""COMPUTED_VALUE"""),1.006)</f>
        <v>1.006</v>
      </c>
      <c r="E2412" s="16">
        <f>IFERROR(__xludf.DUMMYFUNCTION("""COMPUTED_VALUE"""),67.0)</f>
        <v>67</v>
      </c>
      <c r="F2412" s="19" t="str">
        <f>IFERROR(__xludf.DUMMYFUNCTION("""COMPUTED_VALUE"""),"BLACK")</f>
        <v>BLACK</v>
      </c>
      <c r="G2412" s="20" t="str">
        <f>IFERROR(__xludf.DUMMYFUNCTION("""COMPUTED_VALUE"""),"Uncle Sams Cider (11/12/2021) 02")</f>
        <v>Uncle Sams Cider (11/12/2021) 02</v>
      </c>
      <c r="H2412" s="19"/>
    </row>
    <row r="2413">
      <c r="A2413" s="9"/>
      <c r="B2413" s="15"/>
      <c r="C2413" s="9">
        <f>IFERROR(__xludf.DUMMYFUNCTION("""COMPUTED_VALUE"""),44580.3716067476)</f>
        <v>44580.37161</v>
      </c>
      <c r="D2413" s="15">
        <f>IFERROR(__xludf.DUMMYFUNCTION("""COMPUTED_VALUE"""),1.006)</f>
        <v>1.006</v>
      </c>
      <c r="E2413" s="16">
        <f>IFERROR(__xludf.DUMMYFUNCTION("""COMPUTED_VALUE"""),67.0)</f>
        <v>67</v>
      </c>
      <c r="F2413" s="19" t="str">
        <f>IFERROR(__xludf.DUMMYFUNCTION("""COMPUTED_VALUE"""),"BLACK")</f>
        <v>BLACK</v>
      </c>
      <c r="G2413" s="20" t="str">
        <f>IFERROR(__xludf.DUMMYFUNCTION("""COMPUTED_VALUE"""),"Uncle Sams Cider (11/12/2021) 02")</f>
        <v>Uncle Sams Cider (11/12/2021) 02</v>
      </c>
      <c r="H2413" s="19"/>
    </row>
    <row r="2414">
      <c r="A2414" s="9"/>
      <c r="B2414" s="15"/>
      <c r="C2414" s="9">
        <f>IFERROR(__xludf.DUMMYFUNCTION("""COMPUTED_VALUE"""),44580.3611255092)</f>
        <v>44580.36113</v>
      </c>
      <c r="D2414" s="15">
        <f>IFERROR(__xludf.DUMMYFUNCTION("""COMPUTED_VALUE"""),1.006)</f>
        <v>1.006</v>
      </c>
      <c r="E2414" s="16">
        <f>IFERROR(__xludf.DUMMYFUNCTION("""COMPUTED_VALUE"""),67.0)</f>
        <v>67</v>
      </c>
      <c r="F2414" s="19" t="str">
        <f>IFERROR(__xludf.DUMMYFUNCTION("""COMPUTED_VALUE"""),"BLACK")</f>
        <v>BLACK</v>
      </c>
      <c r="G2414" s="20" t="str">
        <f>IFERROR(__xludf.DUMMYFUNCTION("""COMPUTED_VALUE"""),"Uncle Sams Cider (11/12/2021) 02")</f>
        <v>Uncle Sams Cider (11/12/2021) 02</v>
      </c>
      <c r="H2414" s="19"/>
    </row>
    <row r="2415">
      <c r="A2415" s="9"/>
      <c r="B2415" s="15"/>
      <c r="C2415" s="9">
        <f>IFERROR(__xludf.DUMMYFUNCTION("""COMPUTED_VALUE"""),44580.3507049768)</f>
        <v>44580.3507</v>
      </c>
      <c r="D2415" s="15">
        <f>IFERROR(__xludf.DUMMYFUNCTION("""COMPUTED_VALUE"""),1.006)</f>
        <v>1.006</v>
      </c>
      <c r="E2415" s="16">
        <f>IFERROR(__xludf.DUMMYFUNCTION("""COMPUTED_VALUE"""),67.0)</f>
        <v>67</v>
      </c>
      <c r="F2415" s="19" t="str">
        <f>IFERROR(__xludf.DUMMYFUNCTION("""COMPUTED_VALUE"""),"BLACK")</f>
        <v>BLACK</v>
      </c>
      <c r="G2415" s="20" t="str">
        <f>IFERROR(__xludf.DUMMYFUNCTION("""COMPUTED_VALUE"""),"Uncle Sams Cider (11/12/2021) 02")</f>
        <v>Uncle Sams Cider (11/12/2021) 02</v>
      </c>
      <c r="H2415" s="19"/>
    </row>
    <row r="2416">
      <c r="A2416" s="9"/>
      <c r="B2416" s="15"/>
      <c r="C2416" s="9">
        <f>IFERROR(__xludf.DUMMYFUNCTION("""COMPUTED_VALUE"""),44580.3402600347)</f>
        <v>44580.34026</v>
      </c>
      <c r="D2416" s="15">
        <f>IFERROR(__xludf.DUMMYFUNCTION("""COMPUTED_VALUE"""),1.006)</f>
        <v>1.006</v>
      </c>
      <c r="E2416" s="16">
        <f>IFERROR(__xludf.DUMMYFUNCTION("""COMPUTED_VALUE"""),67.0)</f>
        <v>67</v>
      </c>
      <c r="F2416" s="19" t="str">
        <f>IFERROR(__xludf.DUMMYFUNCTION("""COMPUTED_VALUE"""),"BLACK")</f>
        <v>BLACK</v>
      </c>
      <c r="G2416" s="20" t="str">
        <f>IFERROR(__xludf.DUMMYFUNCTION("""COMPUTED_VALUE"""),"Uncle Sams Cider (11/12/2021) 02")</f>
        <v>Uncle Sams Cider (11/12/2021) 02</v>
      </c>
      <c r="H2416" s="19"/>
    </row>
    <row r="2417">
      <c r="A2417" s="9"/>
      <c r="B2417" s="15"/>
      <c r="C2417" s="9">
        <f>IFERROR(__xludf.DUMMYFUNCTION("""COMPUTED_VALUE"""),44580.329790324)</f>
        <v>44580.32979</v>
      </c>
      <c r="D2417" s="15">
        <f>IFERROR(__xludf.DUMMYFUNCTION("""COMPUTED_VALUE"""),1.006)</f>
        <v>1.006</v>
      </c>
      <c r="E2417" s="16">
        <f>IFERROR(__xludf.DUMMYFUNCTION("""COMPUTED_VALUE"""),67.0)</f>
        <v>67</v>
      </c>
      <c r="F2417" s="19" t="str">
        <f>IFERROR(__xludf.DUMMYFUNCTION("""COMPUTED_VALUE"""),"BLACK")</f>
        <v>BLACK</v>
      </c>
      <c r="G2417" s="20" t="str">
        <f>IFERROR(__xludf.DUMMYFUNCTION("""COMPUTED_VALUE"""),"Uncle Sams Cider (11/12/2021) 02")</f>
        <v>Uncle Sams Cider (11/12/2021) 02</v>
      </c>
      <c r="H2417" s="19"/>
    </row>
    <row r="2418">
      <c r="A2418" s="9"/>
      <c r="B2418" s="15"/>
      <c r="C2418" s="9">
        <f>IFERROR(__xludf.DUMMYFUNCTION("""COMPUTED_VALUE"""),44580.3193698842)</f>
        <v>44580.31937</v>
      </c>
      <c r="D2418" s="15">
        <f>IFERROR(__xludf.DUMMYFUNCTION("""COMPUTED_VALUE"""),1.006)</f>
        <v>1.006</v>
      </c>
      <c r="E2418" s="16">
        <f>IFERROR(__xludf.DUMMYFUNCTION("""COMPUTED_VALUE"""),67.0)</f>
        <v>67</v>
      </c>
      <c r="F2418" s="19" t="str">
        <f>IFERROR(__xludf.DUMMYFUNCTION("""COMPUTED_VALUE"""),"BLACK")</f>
        <v>BLACK</v>
      </c>
      <c r="G2418" s="20" t="str">
        <f>IFERROR(__xludf.DUMMYFUNCTION("""COMPUTED_VALUE"""),"Uncle Sams Cider (11/12/2021) 02")</f>
        <v>Uncle Sams Cider (11/12/2021) 02</v>
      </c>
      <c r="H2418" s="19"/>
    </row>
    <row r="2419">
      <c r="A2419" s="9"/>
      <c r="B2419" s="15"/>
      <c r="C2419" s="9">
        <f>IFERROR(__xludf.DUMMYFUNCTION("""COMPUTED_VALUE"""),44580.308937199)</f>
        <v>44580.30894</v>
      </c>
      <c r="D2419" s="15">
        <f>IFERROR(__xludf.DUMMYFUNCTION("""COMPUTED_VALUE"""),1.006)</f>
        <v>1.006</v>
      </c>
      <c r="E2419" s="16">
        <f>IFERROR(__xludf.DUMMYFUNCTION("""COMPUTED_VALUE"""),67.0)</f>
        <v>67</v>
      </c>
      <c r="F2419" s="19" t="str">
        <f>IFERROR(__xludf.DUMMYFUNCTION("""COMPUTED_VALUE"""),"BLACK")</f>
        <v>BLACK</v>
      </c>
      <c r="G2419" s="20" t="str">
        <f>IFERROR(__xludf.DUMMYFUNCTION("""COMPUTED_VALUE"""),"Uncle Sams Cider (11/12/2021) 02")</f>
        <v>Uncle Sams Cider (11/12/2021) 02</v>
      </c>
      <c r="H2419" s="19"/>
    </row>
    <row r="2420">
      <c r="A2420" s="9"/>
      <c r="B2420" s="15"/>
      <c r="C2420" s="9">
        <f>IFERROR(__xludf.DUMMYFUNCTION("""COMPUTED_VALUE"""),44580.2984808449)</f>
        <v>44580.29848</v>
      </c>
      <c r="D2420" s="15">
        <f>IFERROR(__xludf.DUMMYFUNCTION("""COMPUTED_VALUE"""),1.006)</f>
        <v>1.006</v>
      </c>
      <c r="E2420" s="16">
        <f>IFERROR(__xludf.DUMMYFUNCTION("""COMPUTED_VALUE"""),67.0)</f>
        <v>67</v>
      </c>
      <c r="F2420" s="19" t="str">
        <f>IFERROR(__xludf.DUMMYFUNCTION("""COMPUTED_VALUE"""),"BLACK")</f>
        <v>BLACK</v>
      </c>
      <c r="G2420" s="20" t="str">
        <f>IFERROR(__xludf.DUMMYFUNCTION("""COMPUTED_VALUE"""),"Uncle Sams Cider (11/12/2021) 02")</f>
        <v>Uncle Sams Cider (11/12/2021) 02</v>
      </c>
      <c r="H2420" s="19"/>
    </row>
    <row r="2421">
      <c r="A2421" s="9"/>
      <c r="B2421" s="15"/>
      <c r="C2421" s="9">
        <f>IFERROR(__xludf.DUMMYFUNCTION("""COMPUTED_VALUE"""),44580.2880373148)</f>
        <v>44580.28804</v>
      </c>
      <c r="D2421" s="15">
        <f>IFERROR(__xludf.DUMMYFUNCTION("""COMPUTED_VALUE"""),1.006)</f>
        <v>1.006</v>
      </c>
      <c r="E2421" s="16">
        <f>IFERROR(__xludf.DUMMYFUNCTION("""COMPUTED_VALUE"""),67.0)</f>
        <v>67</v>
      </c>
      <c r="F2421" s="19" t="str">
        <f>IFERROR(__xludf.DUMMYFUNCTION("""COMPUTED_VALUE"""),"BLACK")</f>
        <v>BLACK</v>
      </c>
      <c r="G2421" s="20" t="str">
        <f>IFERROR(__xludf.DUMMYFUNCTION("""COMPUTED_VALUE"""),"Uncle Sams Cider (11/12/2021) 02")</f>
        <v>Uncle Sams Cider (11/12/2021) 02</v>
      </c>
      <c r="H2421" s="19"/>
    </row>
    <row r="2422">
      <c r="A2422" s="9"/>
      <c r="B2422" s="15"/>
      <c r="C2422" s="9">
        <f>IFERROR(__xludf.DUMMYFUNCTION("""COMPUTED_VALUE"""),44580.2776177546)</f>
        <v>44580.27762</v>
      </c>
      <c r="D2422" s="15">
        <f>IFERROR(__xludf.DUMMYFUNCTION("""COMPUTED_VALUE"""),1.006)</f>
        <v>1.006</v>
      </c>
      <c r="E2422" s="16">
        <f>IFERROR(__xludf.DUMMYFUNCTION("""COMPUTED_VALUE"""),67.0)</f>
        <v>67</v>
      </c>
      <c r="F2422" s="19" t="str">
        <f>IFERROR(__xludf.DUMMYFUNCTION("""COMPUTED_VALUE"""),"BLACK")</f>
        <v>BLACK</v>
      </c>
      <c r="G2422" s="20" t="str">
        <f>IFERROR(__xludf.DUMMYFUNCTION("""COMPUTED_VALUE"""),"Uncle Sams Cider (11/12/2021) 02")</f>
        <v>Uncle Sams Cider (11/12/2021) 02</v>
      </c>
      <c r="H2422" s="19"/>
    </row>
    <row r="2423">
      <c r="A2423" s="9"/>
      <c r="B2423" s="15"/>
      <c r="C2423" s="9">
        <f>IFERROR(__xludf.DUMMYFUNCTION("""COMPUTED_VALUE"""),44580.2671949305)</f>
        <v>44580.26719</v>
      </c>
      <c r="D2423" s="15">
        <f>IFERROR(__xludf.DUMMYFUNCTION("""COMPUTED_VALUE"""),1.006)</f>
        <v>1.006</v>
      </c>
      <c r="E2423" s="16">
        <f>IFERROR(__xludf.DUMMYFUNCTION("""COMPUTED_VALUE"""),68.0)</f>
        <v>68</v>
      </c>
      <c r="F2423" s="19" t="str">
        <f>IFERROR(__xludf.DUMMYFUNCTION("""COMPUTED_VALUE"""),"BLACK")</f>
        <v>BLACK</v>
      </c>
      <c r="G2423" s="20" t="str">
        <f>IFERROR(__xludf.DUMMYFUNCTION("""COMPUTED_VALUE"""),"Uncle Sams Cider (11/12/2021) 02")</f>
        <v>Uncle Sams Cider (11/12/2021) 02</v>
      </c>
      <c r="H2423" s="19"/>
    </row>
    <row r="2424">
      <c r="A2424" s="9"/>
      <c r="B2424" s="15"/>
      <c r="C2424" s="9">
        <f>IFERROR(__xludf.DUMMYFUNCTION("""COMPUTED_VALUE"""),44580.2567726388)</f>
        <v>44580.25677</v>
      </c>
      <c r="D2424" s="15">
        <f>IFERROR(__xludf.DUMMYFUNCTION("""COMPUTED_VALUE"""),1.006)</f>
        <v>1.006</v>
      </c>
      <c r="E2424" s="16">
        <f>IFERROR(__xludf.DUMMYFUNCTION("""COMPUTED_VALUE"""),68.0)</f>
        <v>68</v>
      </c>
      <c r="F2424" s="19" t="str">
        <f>IFERROR(__xludf.DUMMYFUNCTION("""COMPUTED_VALUE"""),"BLACK")</f>
        <v>BLACK</v>
      </c>
      <c r="G2424" s="20" t="str">
        <f>IFERROR(__xludf.DUMMYFUNCTION("""COMPUTED_VALUE"""),"Uncle Sams Cider (11/12/2021) 02")</f>
        <v>Uncle Sams Cider (11/12/2021) 02</v>
      </c>
      <c r="H2424" s="19"/>
    </row>
    <row r="2425">
      <c r="A2425" s="9"/>
      <c r="B2425" s="15"/>
      <c r="C2425" s="9">
        <f>IFERROR(__xludf.DUMMYFUNCTION("""COMPUTED_VALUE"""),44580.2463510416)</f>
        <v>44580.24635</v>
      </c>
      <c r="D2425" s="15">
        <f>IFERROR(__xludf.DUMMYFUNCTION("""COMPUTED_VALUE"""),1.006)</f>
        <v>1.006</v>
      </c>
      <c r="E2425" s="16">
        <f>IFERROR(__xludf.DUMMYFUNCTION("""COMPUTED_VALUE"""),68.0)</f>
        <v>68</v>
      </c>
      <c r="F2425" s="19" t="str">
        <f>IFERROR(__xludf.DUMMYFUNCTION("""COMPUTED_VALUE"""),"BLACK")</f>
        <v>BLACK</v>
      </c>
      <c r="G2425" s="20" t="str">
        <f>IFERROR(__xludf.DUMMYFUNCTION("""COMPUTED_VALUE"""),"Uncle Sams Cider (11/12/2021) 02")</f>
        <v>Uncle Sams Cider (11/12/2021) 02</v>
      </c>
      <c r="H2425" s="19"/>
    </row>
    <row r="2426">
      <c r="A2426" s="9"/>
      <c r="B2426" s="15"/>
      <c r="C2426" s="9">
        <f>IFERROR(__xludf.DUMMYFUNCTION("""COMPUTED_VALUE"""),44580.2359055092)</f>
        <v>44580.23591</v>
      </c>
      <c r="D2426" s="15">
        <f>IFERROR(__xludf.DUMMYFUNCTION("""COMPUTED_VALUE"""),1.006)</f>
        <v>1.006</v>
      </c>
      <c r="E2426" s="16">
        <f>IFERROR(__xludf.DUMMYFUNCTION("""COMPUTED_VALUE"""),68.0)</f>
        <v>68</v>
      </c>
      <c r="F2426" s="19" t="str">
        <f>IFERROR(__xludf.DUMMYFUNCTION("""COMPUTED_VALUE"""),"BLACK")</f>
        <v>BLACK</v>
      </c>
      <c r="G2426" s="20" t="str">
        <f>IFERROR(__xludf.DUMMYFUNCTION("""COMPUTED_VALUE"""),"Uncle Sams Cider (11/12/2021) 02")</f>
        <v>Uncle Sams Cider (11/12/2021) 02</v>
      </c>
      <c r="H2426" s="19"/>
    </row>
    <row r="2427">
      <c r="A2427" s="9"/>
      <c r="B2427" s="15"/>
      <c r="C2427" s="9">
        <f>IFERROR(__xludf.DUMMYFUNCTION("""COMPUTED_VALUE"""),44580.2254854861)</f>
        <v>44580.22549</v>
      </c>
      <c r="D2427" s="15">
        <f>IFERROR(__xludf.DUMMYFUNCTION("""COMPUTED_VALUE"""),1.006)</f>
        <v>1.006</v>
      </c>
      <c r="E2427" s="16">
        <f>IFERROR(__xludf.DUMMYFUNCTION("""COMPUTED_VALUE"""),68.0)</f>
        <v>68</v>
      </c>
      <c r="F2427" s="19" t="str">
        <f>IFERROR(__xludf.DUMMYFUNCTION("""COMPUTED_VALUE"""),"BLACK")</f>
        <v>BLACK</v>
      </c>
      <c r="G2427" s="20" t="str">
        <f>IFERROR(__xludf.DUMMYFUNCTION("""COMPUTED_VALUE"""),"Uncle Sams Cider (11/12/2021) 02")</f>
        <v>Uncle Sams Cider (11/12/2021) 02</v>
      </c>
      <c r="H2427" s="19"/>
    </row>
    <row r="2428">
      <c r="A2428" s="9"/>
      <c r="B2428" s="15"/>
      <c r="C2428" s="9">
        <f>IFERROR(__xludf.DUMMYFUNCTION("""COMPUTED_VALUE"""),44580.2150642592)</f>
        <v>44580.21506</v>
      </c>
      <c r="D2428" s="15">
        <f>IFERROR(__xludf.DUMMYFUNCTION("""COMPUTED_VALUE"""),1.006)</f>
        <v>1.006</v>
      </c>
      <c r="E2428" s="16">
        <f>IFERROR(__xludf.DUMMYFUNCTION("""COMPUTED_VALUE"""),68.0)</f>
        <v>68</v>
      </c>
      <c r="F2428" s="19" t="str">
        <f>IFERROR(__xludf.DUMMYFUNCTION("""COMPUTED_VALUE"""),"BLACK")</f>
        <v>BLACK</v>
      </c>
      <c r="G2428" s="20" t="str">
        <f>IFERROR(__xludf.DUMMYFUNCTION("""COMPUTED_VALUE"""),"Uncle Sams Cider (11/12/2021) 02")</f>
        <v>Uncle Sams Cider (11/12/2021) 02</v>
      </c>
      <c r="H2428" s="19"/>
    </row>
    <row r="2429">
      <c r="A2429" s="9"/>
      <c r="B2429" s="15"/>
      <c r="C2429" s="9">
        <f>IFERROR(__xludf.DUMMYFUNCTION("""COMPUTED_VALUE"""),44580.2046302662)</f>
        <v>44580.20463</v>
      </c>
      <c r="D2429" s="15">
        <f>IFERROR(__xludf.DUMMYFUNCTION("""COMPUTED_VALUE"""),1.006)</f>
        <v>1.006</v>
      </c>
      <c r="E2429" s="16">
        <f>IFERROR(__xludf.DUMMYFUNCTION("""COMPUTED_VALUE"""),68.0)</f>
        <v>68</v>
      </c>
      <c r="F2429" s="19" t="str">
        <f>IFERROR(__xludf.DUMMYFUNCTION("""COMPUTED_VALUE"""),"BLACK")</f>
        <v>BLACK</v>
      </c>
      <c r="G2429" s="20" t="str">
        <f>IFERROR(__xludf.DUMMYFUNCTION("""COMPUTED_VALUE"""),"Uncle Sams Cider (11/12/2021) 02")</f>
        <v>Uncle Sams Cider (11/12/2021) 02</v>
      </c>
      <c r="H2429" s="19"/>
    </row>
    <row r="2430">
      <c r="A2430" s="9"/>
      <c r="B2430" s="15"/>
      <c r="C2430" s="9">
        <f>IFERROR(__xludf.DUMMYFUNCTION("""COMPUTED_VALUE"""),44580.1941985995)</f>
        <v>44580.1942</v>
      </c>
      <c r="D2430" s="15">
        <f>IFERROR(__xludf.DUMMYFUNCTION("""COMPUTED_VALUE"""),1.006)</f>
        <v>1.006</v>
      </c>
      <c r="E2430" s="16">
        <f>IFERROR(__xludf.DUMMYFUNCTION("""COMPUTED_VALUE"""),68.0)</f>
        <v>68</v>
      </c>
      <c r="F2430" s="19" t="str">
        <f>IFERROR(__xludf.DUMMYFUNCTION("""COMPUTED_VALUE"""),"BLACK")</f>
        <v>BLACK</v>
      </c>
      <c r="G2430" s="20" t="str">
        <f>IFERROR(__xludf.DUMMYFUNCTION("""COMPUTED_VALUE"""),"Uncle Sams Cider (11/12/2021) 02")</f>
        <v>Uncle Sams Cider (11/12/2021) 02</v>
      </c>
      <c r="H2430" s="19"/>
    </row>
    <row r="2431">
      <c r="A2431" s="9"/>
      <c r="B2431" s="15"/>
      <c r="C2431" s="9">
        <f>IFERROR(__xludf.DUMMYFUNCTION("""COMPUTED_VALUE"""),44580.1837442592)</f>
        <v>44580.18374</v>
      </c>
      <c r="D2431" s="15">
        <f>IFERROR(__xludf.DUMMYFUNCTION("""COMPUTED_VALUE"""),1.006)</f>
        <v>1.006</v>
      </c>
      <c r="E2431" s="16">
        <f>IFERROR(__xludf.DUMMYFUNCTION("""COMPUTED_VALUE"""),68.0)</f>
        <v>68</v>
      </c>
      <c r="F2431" s="19" t="str">
        <f>IFERROR(__xludf.DUMMYFUNCTION("""COMPUTED_VALUE"""),"BLACK")</f>
        <v>BLACK</v>
      </c>
      <c r="G2431" s="20" t="str">
        <f>IFERROR(__xludf.DUMMYFUNCTION("""COMPUTED_VALUE"""),"Uncle Sams Cider (11/12/2021) 02")</f>
        <v>Uncle Sams Cider (11/12/2021) 02</v>
      </c>
      <c r="H2431" s="19"/>
    </row>
    <row r="2432">
      <c r="A2432" s="9"/>
      <c r="B2432" s="15"/>
      <c r="C2432" s="9">
        <f>IFERROR(__xludf.DUMMYFUNCTION("""COMPUTED_VALUE"""),44580.173323831)</f>
        <v>44580.17332</v>
      </c>
      <c r="D2432" s="15">
        <f>IFERROR(__xludf.DUMMYFUNCTION("""COMPUTED_VALUE"""),1.006)</f>
        <v>1.006</v>
      </c>
      <c r="E2432" s="16">
        <f>IFERROR(__xludf.DUMMYFUNCTION("""COMPUTED_VALUE"""),68.0)</f>
        <v>68</v>
      </c>
      <c r="F2432" s="19" t="str">
        <f>IFERROR(__xludf.DUMMYFUNCTION("""COMPUTED_VALUE"""),"BLACK")</f>
        <v>BLACK</v>
      </c>
      <c r="G2432" s="20" t="str">
        <f>IFERROR(__xludf.DUMMYFUNCTION("""COMPUTED_VALUE"""),"Uncle Sams Cider (11/12/2021) 02")</f>
        <v>Uncle Sams Cider (11/12/2021) 02</v>
      </c>
      <c r="H2432" s="19"/>
    </row>
    <row r="2433">
      <c r="A2433" s="9"/>
      <c r="B2433" s="15"/>
      <c r="C2433" s="9">
        <f>IFERROR(__xludf.DUMMYFUNCTION("""COMPUTED_VALUE"""),44580.1628801967)</f>
        <v>44580.16288</v>
      </c>
      <c r="D2433" s="15">
        <f>IFERROR(__xludf.DUMMYFUNCTION("""COMPUTED_VALUE"""),1.006)</f>
        <v>1.006</v>
      </c>
      <c r="E2433" s="16">
        <f>IFERROR(__xludf.DUMMYFUNCTION("""COMPUTED_VALUE"""),68.0)</f>
        <v>68</v>
      </c>
      <c r="F2433" s="19" t="str">
        <f>IFERROR(__xludf.DUMMYFUNCTION("""COMPUTED_VALUE"""),"BLACK")</f>
        <v>BLACK</v>
      </c>
      <c r="G2433" s="20" t="str">
        <f>IFERROR(__xludf.DUMMYFUNCTION("""COMPUTED_VALUE"""),"Uncle Sams Cider (11/12/2021) 02")</f>
        <v>Uncle Sams Cider (11/12/2021) 02</v>
      </c>
      <c r="H2433" s="19"/>
    </row>
    <row r="2434">
      <c r="A2434" s="9"/>
      <c r="B2434" s="15"/>
      <c r="C2434" s="9">
        <f>IFERROR(__xludf.DUMMYFUNCTION("""COMPUTED_VALUE"""),44580.1524597222)</f>
        <v>44580.15246</v>
      </c>
      <c r="D2434" s="15">
        <f>IFERROR(__xludf.DUMMYFUNCTION("""COMPUTED_VALUE"""),1.006)</f>
        <v>1.006</v>
      </c>
      <c r="E2434" s="16">
        <f>IFERROR(__xludf.DUMMYFUNCTION("""COMPUTED_VALUE"""),67.0)</f>
        <v>67</v>
      </c>
      <c r="F2434" s="19" t="str">
        <f>IFERROR(__xludf.DUMMYFUNCTION("""COMPUTED_VALUE"""),"BLACK")</f>
        <v>BLACK</v>
      </c>
      <c r="G2434" s="20" t="str">
        <f>IFERROR(__xludf.DUMMYFUNCTION("""COMPUTED_VALUE"""),"Uncle Sams Cider (11/12/2021) 02")</f>
        <v>Uncle Sams Cider (11/12/2021) 02</v>
      </c>
      <c r="H2434" s="19"/>
    </row>
    <row r="2435">
      <c r="A2435" s="9"/>
      <c r="B2435" s="15"/>
      <c r="C2435" s="9">
        <f>IFERROR(__xludf.DUMMYFUNCTION("""COMPUTED_VALUE"""),44580.1420374999)</f>
        <v>44580.14204</v>
      </c>
      <c r="D2435" s="15">
        <f>IFERROR(__xludf.DUMMYFUNCTION("""COMPUTED_VALUE"""),1.006)</f>
        <v>1.006</v>
      </c>
      <c r="E2435" s="16">
        <f>IFERROR(__xludf.DUMMYFUNCTION("""COMPUTED_VALUE"""),67.0)</f>
        <v>67</v>
      </c>
      <c r="F2435" s="19" t="str">
        <f>IFERROR(__xludf.DUMMYFUNCTION("""COMPUTED_VALUE"""),"BLACK")</f>
        <v>BLACK</v>
      </c>
      <c r="G2435" s="20" t="str">
        <f>IFERROR(__xludf.DUMMYFUNCTION("""COMPUTED_VALUE"""),"Uncle Sams Cider (11/12/2021) 02")</f>
        <v>Uncle Sams Cider (11/12/2021) 02</v>
      </c>
      <c r="H2435" s="19"/>
    </row>
    <row r="2436">
      <c r="A2436" s="9"/>
      <c r="B2436" s="15"/>
      <c r="C2436" s="9">
        <f>IFERROR(__xludf.DUMMYFUNCTION("""COMPUTED_VALUE"""),44580.1316068287)</f>
        <v>44580.13161</v>
      </c>
      <c r="D2436" s="15">
        <f>IFERROR(__xludf.DUMMYFUNCTION("""COMPUTED_VALUE"""),1.006)</f>
        <v>1.006</v>
      </c>
      <c r="E2436" s="16">
        <f>IFERROR(__xludf.DUMMYFUNCTION("""COMPUTED_VALUE"""),66.0)</f>
        <v>66</v>
      </c>
      <c r="F2436" s="19" t="str">
        <f>IFERROR(__xludf.DUMMYFUNCTION("""COMPUTED_VALUE"""),"BLACK")</f>
        <v>BLACK</v>
      </c>
      <c r="G2436" s="20" t="str">
        <f>IFERROR(__xludf.DUMMYFUNCTION("""COMPUTED_VALUE"""),"Uncle Sams Cider (11/12/2021) 02")</f>
        <v>Uncle Sams Cider (11/12/2021) 02</v>
      </c>
      <c r="H2436" s="19"/>
    </row>
    <row r="2437">
      <c r="A2437" s="9"/>
      <c r="B2437" s="15"/>
      <c r="C2437" s="9">
        <f>IFERROR(__xludf.DUMMYFUNCTION("""COMPUTED_VALUE"""),44580.1211849768)</f>
        <v>44580.12118</v>
      </c>
      <c r="D2437" s="15">
        <f>IFERROR(__xludf.DUMMYFUNCTION("""COMPUTED_VALUE"""),1.006)</f>
        <v>1.006</v>
      </c>
      <c r="E2437" s="16">
        <f>IFERROR(__xludf.DUMMYFUNCTION("""COMPUTED_VALUE"""),66.0)</f>
        <v>66</v>
      </c>
      <c r="F2437" s="19" t="str">
        <f>IFERROR(__xludf.DUMMYFUNCTION("""COMPUTED_VALUE"""),"BLACK")</f>
        <v>BLACK</v>
      </c>
      <c r="G2437" s="20" t="str">
        <f>IFERROR(__xludf.DUMMYFUNCTION("""COMPUTED_VALUE"""),"Uncle Sams Cider (11/12/2021) 02")</f>
        <v>Uncle Sams Cider (11/12/2021) 02</v>
      </c>
      <c r="H2437" s="19"/>
    </row>
    <row r="2438">
      <c r="A2438" s="9"/>
      <c r="B2438" s="15"/>
      <c r="C2438" s="9">
        <f>IFERROR(__xludf.DUMMYFUNCTION("""COMPUTED_VALUE"""),44580.1107645949)</f>
        <v>44580.11076</v>
      </c>
      <c r="D2438" s="15">
        <f>IFERROR(__xludf.DUMMYFUNCTION("""COMPUTED_VALUE"""),1.006)</f>
        <v>1.006</v>
      </c>
      <c r="E2438" s="16">
        <f>IFERROR(__xludf.DUMMYFUNCTION("""COMPUTED_VALUE"""),66.0)</f>
        <v>66</v>
      </c>
      <c r="F2438" s="19" t="str">
        <f>IFERROR(__xludf.DUMMYFUNCTION("""COMPUTED_VALUE"""),"BLACK")</f>
        <v>BLACK</v>
      </c>
      <c r="G2438" s="20" t="str">
        <f>IFERROR(__xludf.DUMMYFUNCTION("""COMPUTED_VALUE"""),"Uncle Sams Cider (11/12/2021) 02")</f>
        <v>Uncle Sams Cider (11/12/2021) 02</v>
      </c>
      <c r="H2438" s="19"/>
    </row>
    <row r="2439">
      <c r="A2439" s="9"/>
      <c r="B2439" s="15"/>
      <c r="C2439" s="9">
        <f>IFERROR(__xludf.DUMMYFUNCTION("""COMPUTED_VALUE"""),44580.1003405208)</f>
        <v>44580.10034</v>
      </c>
      <c r="D2439" s="15">
        <f>IFERROR(__xludf.DUMMYFUNCTION("""COMPUTED_VALUE"""),1.006)</f>
        <v>1.006</v>
      </c>
      <c r="E2439" s="16">
        <f>IFERROR(__xludf.DUMMYFUNCTION("""COMPUTED_VALUE"""),65.0)</f>
        <v>65</v>
      </c>
      <c r="F2439" s="19" t="str">
        <f>IFERROR(__xludf.DUMMYFUNCTION("""COMPUTED_VALUE"""),"BLACK")</f>
        <v>BLACK</v>
      </c>
      <c r="G2439" s="20" t="str">
        <f>IFERROR(__xludf.DUMMYFUNCTION("""COMPUTED_VALUE"""),"Uncle Sams Cider (11/12/2021) 02")</f>
        <v>Uncle Sams Cider (11/12/2021) 02</v>
      </c>
      <c r="H2439" s="19"/>
    </row>
    <row r="2440">
      <c r="A2440" s="9"/>
      <c r="B2440" s="15"/>
      <c r="C2440" s="9">
        <f>IFERROR(__xludf.DUMMYFUNCTION("""COMPUTED_VALUE"""),44580.0899186574)</f>
        <v>44580.08992</v>
      </c>
      <c r="D2440" s="15">
        <f>IFERROR(__xludf.DUMMYFUNCTION("""COMPUTED_VALUE"""),1.006)</f>
        <v>1.006</v>
      </c>
      <c r="E2440" s="16">
        <f>IFERROR(__xludf.DUMMYFUNCTION("""COMPUTED_VALUE"""),65.0)</f>
        <v>65</v>
      </c>
      <c r="F2440" s="19" t="str">
        <f>IFERROR(__xludf.DUMMYFUNCTION("""COMPUTED_VALUE"""),"BLACK")</f>
        <v>BLACK</v>
      </c>
      <c r="G2440" s="20" t="str">
        <f>IFERROR(__xludf.DUMMYFUNCTION("""COMPUTED_VALUE"""),"Uncle Sams Cider (11/12/2021) 02")</f>
        <v>Uncle Sams Cider (11/12/2021) 02</v>
      </c>
      <c r="H2440" s="19"/>
    </row>
    <row r="2441">
      <c r="A2441" s="9"/>
      <c r="B2441" s="15"/>
      <c r="C2441" s="9">
        <f>IFERROR(__xludf.DUMMYFUNCTION("""COMPUTED_VALUE"""),44580.0794855208)</f>
        <v>44580.07949</v>
      </c>
      <c r="D2441" s="15">
        <f>IFERROR(__xludf.DUMMYFUNCTION("""COMPUTED_VALUE"""),1.006)</f>
        <v>1.006</v>
      </c>
      <c r="E2441" s="16">
        <f>IFERROR(__xludf.DUMMYFUNCTION("""COMPUTED_VALUE"""),64.0)</f>
        <v>64</v>
      </c>
      <c r="F2441" s="19" t="str">
        <f>IFERROR(__xludf.DUMMYFUNCTION("""COMPUTED_VALUE"""),"BLACK")</f>
        <v>BLACK</v>
      </c>
      <c r="G2441" s="20" t="str">
        <f>IFERROR(__xludf.DUMMYFUNCTION("""COMPUTED_VALUE"""),"Uncle Sams Cider (11/12/2021) 02")</f>
        <v>Uncle Sams Cider (11/12/2021) 02</v>
      </c>
      <c r="H2441" s="19"/>
    </row>
    <row r="2442">
      <c r="A2442" s="9"/>
      <c r="B2442" s="15"/>
      <c r="C2442" s="9">
        <f>IFERROR(__xludf.DUMMYFUNCTION("""COMPUTED_VALUE"""),44580.0690638194)</f>
        <v>44580.06906</v>
      </c>
      <c r="D2442" s="15">
        <f>IFERROR(__xludf.DUMMYFUNCTION("""COMPUTED_VALUE"""),1.006)</f>
        <v>1.006</v>
      </c>
      <c r="E2442" s="16">
        <f>IFERROR(__xludf.DUMMYFUNCTION("""COMPUTED_VALUE"""),64.0)</f>
        <v>64</v>
      </c>
      <c r="F2442" s="19" t="str">
        <f>IFERROR(__xludf.DUMMYFUNCTION("""COMPUTED_VALUE"""),"BLACK")</f>
        <v>BLACK</v>
      </c>
      <c r="G2442" s="20" t="str">
        <f>IFERROR(__xludf.DUMMYFUNCTION("""COMPUTED_VALUE"""),"Uncle Sams Cider (11/12/2021) 02")</f>
        <v>Uncle Sams Cider (11/12/2021) 02</v>
      </c>
      <c r="H2442" s="19"/>
    </row>
    <row r="2443">
      <c r="A2443" s="9"/>
      <c r="B2443" s="15"/>
      <c r="C2443" s="9">
        <f>IFERROR(__xludf.DUMMYFUNCTION("""COMPUTED_VALUE"""),44580.0586430902)</f>
        <v>44580.05864</v>
      </c>
      <c r="D2443" s="15">
        <f>IFERROR(__xludf.DUMMYFUNCTION("""COMPUTED_VALUE"""),1.006)</f>
        <v>1.006</v>
      </c>
      <c r="E2443" s="16">
        <f>IFERROR(__xludf.DUMMYFUNCTION("""COMPUTED_VALUE"""),63.0)</f>
        <v>63</v>
      </c>
      <c r="F2443" s="19" t="str">
        <f>IFERROR(__xludf.DUMMYFUNCTION("""COMPUTED_VALUE"""),"BLACK")</f>
        <v>BLACK</v>
      </c>
      <c r="G2443" s="20" t="str">
        <f>IFERROR(__xludf.DUMMYFUNCTION("""COMPUTED_VALUE"""),"Uncle Sams Cider (11/12/2021) 02")</f>
        <v>Uncle Sams Cider (11/12/2021) 02</v>
      </c>
      <c r="H2443" s="19"/>
    </row>
    <row r="2444">
      <c r="A2444" s="9"/>
      <c r="B2444" s="15"/>
      <c r="C2444" s="9">
        <f>IFERROR(__xludf.DUMMYFUNCTION("""COMPUTED_VALUE"""),44580.0482105787)</f>
        <v>44580.04821</v>
      </c>
      <c r="D2444" s="15">
        <f>IFERROR(__xludf.DUMMYFUNCTION("""COMPUTED_VALUE"""),1.006)</f>
        <v>1.006</v>
      </c>
      <c r="E2444" s="16">
        <f>IFERROR(__xludf.DUMMYFUNCTION("""COMPUTED_VALUE"""),63.0)</f>
        <v>63</v>
      </c>
      <c r="F2444" s="19" t="str">
        <f>IFERROR(__xludf.DUMMYFUNCTION("""COMPUTED_VALUE"""),"BLACK")</f>
        <v>BLACK</v>
      </c>
      <c r="G2444" s="20" t="str">
        <f>IFERROR(__xludf.DUMMYFUNCTION("""COMPUTED_VALUE"""),"Uncle Sams Cider (11/12/2021) 02")</f>
        <v>Uncle Sams Cider (11/12/2021) 02</v>
      </c>
      <c r="H2444" s="19"/>
    </row>
    <row r="2445">
      <c r="A2445" s="9"/>
      <c r="B2445" s="15"/>
      <c r="C2445" s="9">
        <f>IFERROR(__xludf.DUMMYFUNCTION("""COMPUTED_VALUE"""),44580.037743206)</f>
        <v>44580.03774</v>
      </c>
      <c r="D2445" s="15">
        <f>IFERROR(__xludf.DUMMYFUNCTION("""COMPUTED_VALUE"""),1.006)</f>
        <v>1.006</v>
      </c>
      <c r="E2445" s="16">
        <f>IFERROR(__xludf.DUMMYFUNCTION("""COMPUTED_VALUE"""),63.0)</f>
        <v>63</v>
      </c>
      <c r="F2445" s="19" t="str">
        <f>IFERROR(__xludf.DUMMYFUNCTION("""COMPUTED_VALUE"""),"BLACK")</f>
        <v>BLACK</v>
      </c>
      <c r="G2445" s="20" t="str">
        <f>IFERROR(__xludf.DUMMYFUNCTION("""COMPUTED_VALUE"""),"Uncle Sams Cider (11/12/2021) 02")</f>
        <v>Uncle Sams Cider (11/12/2021) 02</v>
      </c>
      <c r="H2445" s="19"/>
    </row>
    <row r="2446">
      <c r="A2446" s="9"/>
      <c r="B2446" s="15"/>
      <c r="C2446" s="9">
        <f>IFERROR(__xludf.DUMMYFUNCTION("""COMPUTED_VALUE"""),44580.0273205439)</f>
        <v>44580.02732</v>
      </c>
      <c r="D2446" s="15">
        <f>IFERROR(__xludf.DUMMYFUNCTION("""COMPUTED_VALUE"""),1.006)</f>
        <v>1.006</v>
      </c>
      <c r="E2446" s="16">
        <f>IFERROR(__xludf.DUMMYFUNCTION("""COMPUTED_VALUE"""),63.0)</f>
        <v>63</v>
      </c>
      <c r="F2446" s="19" t="str">
        <f>IFERROR(__xludf.DUMMYFUNCTION("""COMPUTED_VALUE"""),"BLACK")</f>
        <v>BLACK</v>
      </c>
      <c r="G2446" s="20" t="str">
        <f>IFERROR(__xludf.DUMMYFUNCTION("""COMPUTED_VALUE"""),"Uncle Sams Cider (11/12/2021) 02")</f>
        <v>Uncle Sams Cider (11/12/2021) 02</v>
      </c>
      <c r="H2446" s="19"/>
    </row>
    <row r="2447">
      <c r="A2447" s="9"/>
      <c r="B2447" s="15"/>
      <c r="C2447" s="9">
        <f>IFERROR(__xludf.DUMMYFUNCTION("""COMPUTED_VALUE"""),44580.0168881597)</f>
        <v>44580.01689</v>
      </c>
      <c r="D2447" s="15">
        <f>IFERROR(__xludf.DUMMYFUNCTION("""COMPUTED_VALUE"""),1.006)</f>
        <v>1.006</v>
      </c>
      <c r="E2447" s="16">
        <f>IFERROR(__xludf.DUMMYFUNCTION("""COMPUTED_VALUE"""),63.0)</f>
        <v>63</v>
      </c>
      <c r="F2447" s="19" t="str">
        <f>IFERROR(__xludf.DUMMYFUNCTION("""COMPUTED_VALUE"""),"BLACK")</f>
        <v>BLACK</v>
      </c>
      <c r="G2447" s="20" t="str">
        <f>IFERROR(__xludf.DUMMYFUNCTION("""COMPUTED_VALUE"""),"Uncle Sams Cider (11/12/2021) 02")</f>
        <v>Uncle Sams Cider (11/12/2021) 02</v>
      </c>
      <c r="H2447" s="19"/>
    </row>
    <row r="2448">
      <c r="A2448" s="9"/>
      <c r="B2448" s="15"/>
      <c r="C2448" s="9">
        <f>IFERROR(__xludf.DUMMYFUNCTION("""COMPUTED_VALUE"""),44580.0064560995)</f>
        <v>44580.00646</v>
      </c>
      <c r="D2448" s="15">
        <f>IFERROR(__xludf.DUMMYFUNCTION("""COMPUTED_VALUE"""),1.006)</f>
        <v>1.006</v>
      </c>
      <c r="E2448" s="16">
        <f>IFERROR(__xludf.DUMMYFUNCTION("""COMPUTED_VALUE"""),63.0)</f>
        <v>63</v>
      </c>
      <c r="F2448" s="19" t="str">
        <f>IFERROR(__xludf.DUMMYFUNCTION("""COMPUTED_VALUE"""),"BLACK")</f>
        <v>BLACK</v>
      </c>
      <c r="G2448" s="20" t="str">
        <f>IFERROR(__xludf.DUMMYFUNCTION("""COMPUTED_VALUE"""),"Uncle Sams Cider (11/12/2021) 02")</f>
        <v>Uncle Sams Cider (11/12/2021) 02</v>
      </c>
      <c r="H2448" s="19"/>
    </row>
    <row r="2449">
      <c r="A2449" s="9"/>
      <c r="B2449" s="15"/>
      <c r="C2449" s="9">
        <f>IFERROR(__xludf.DUMMYFUNCTION("""COMPUTED_VALUE"""),44579.9960098263)</f>
        <v>44579.99601</v>
      </c>
      <c r="D2449" s="15">
        <f>IFERROR(__xludf.DUMMYFUNCTION("""COMPUTED_VALUE"""),1.006)</f>
        <v>1.006</v>
      </c>
      <c r="E2449" s="16">
        <f>IFERROR(__xludf.DUMMYFUNCTION("""COMPUTED_VALUE"""),63.0)</f>
        <v>63</v>
      </c>
      <c r="F2449" s="19" t="str">
        <f>IFERROR(__xludf.DUMMYFUNCTION("""COMPUTED_VALUE"""),"BLACK")</f>
        <v>BLACK</v>
      </c>
      <c r="G2449" s="20" t="str">
        <f>IFERROR(__xludf.DUMMYFUNCTION("""COMPUTED_VALUE"""),"Uncle Sams Cider (11/12/2021) 02")</f>
        <v>Uncle Sams Cider (11/12/2021) 02</v>
      </c>
      <c r="H2449" s="19"/>
    </row>
    <row r="2450">
      <c r="A2450" s="9"/>
      <c r="B2450" s="15"/>
      <c r="C2450" s="9">
        <f>IFERROR(__xludf.DUMMYFUNCTION("""COMPUTED_VALUE"""),44579.9855864699)</f>
        <v>44579.98559</v>
      </c>
      <c r="D2450" s="15">
        <f>IFERROR(__xludf.DUMMYFUNCTION("""COMPUTED_VALUE"""),1.006)</f>
        <v>1.006</v>
      </c>
      <c r="E2450" s="16">
        <f>IFERROR(__xludf.DUMMYFUNCTION("""COMPUTED_VALUE"""),63.0)</f>
        <v>63</v>
      </c>
      <c r="F2450" s="19" t="str">
        <f>IFERROR(__xludf.DUMMYFUNCTION("""COMPUTED_VALUE"""),"BLACK")</f>
        <v>BLACK</v>
      </c>
      <c r="G2450" s="20" t="str">
        <f>IFERROR(__xludf.DUMMYFUNCTION("""COMPUTED_VALUE"""),"Uncle Sams Cider (11/12/2021) 02")</f>
        <v>Uncle Sams Cider (11/12/2021) 02</v>
      </c>
      <c r="H2450" s="19"/>
    </row>
    <row r="2451">
      <c r="A2451" s="9"/>
      <c r="B2451" s="15"/>
      <c r="C2451" s="9">
        <f>IFERROR(__xludf.DUMMYFUNCTION("""COMPUTED_VALUE"""),44579.9751640277)</f>
        <v>44579.97516</v>
      </c>
      <c r="D2451" s="15">
        <f>IFERROR(__xludf.DUMMYFUNCTION("""COMPUTED_VALUE"""),1.006)</f>
        <v>1.006</v>
      </c>
      <c r="E2451" s="16">
        <f>IFERROR(__xludf.DUMMYFUNCTION("""COMPUTED_VALUE"""),63.0)</f>
        <v>63</v>
      </c>
      <c r="F2451" s="19" t="str">
        <f>IFERROR(__xludf.DUMMYFUNCTION("""COMPUTED_VALUE"""),"BLACK")</f>
        <v>BLACK</v>
      </c>
      <c r="G2451" s="20" t="str">
        <f>IFERROR(__xludf.DUMMYFUNCTION("""COMPUTED_VALUE"""),"Uncle Sams Cider (11/12/2021) 02")</f>
        <v>Uncle Sams Cider (11/12/2021) 02</v>
      </c>
      <c r="H2451" s="19"/>
    </row>
    <row r="2452">
      <c r="A2452" s="9"/>
      <c r="B2452" s="15"/>
      <c r="C2452" s="9">
        <f>IFERROR(__xludf.DUMMYFUNCTION("""COMPUTED_VALUE"""),44579.9647313425)</f>
        <v>44579.96473</v>
      </c>
      <c r="D2452" s="15">
        <f>IFERROR(__xludf.DUMMYFUNCTION("""COMPUTED_VALUE"""),1.006)</f>
        <v>1.006</v>
      </c>
      <c r="E2452" s="16">
        <f>IFERROR(__xludf.DUMMYFUNCTION("""COMPUTED_VALUE"""),63.0)</f>
        <v>63</v>
      </c>
      <c r="F2452" s="19" t="str">
        <f>IFERROR(__xludf.DUMMYFUNCTION("""COMPUTED_VALUE"""),"BLACK")</f>
        <v>BLACK</v>
      </c>
      <c r="G2452" s="20" t="str">
        <f>IFERROR(__xludf.DUMMYFUNCTION("""COMPUTED_VALUE"""),"Uncle Sams Cider (11/12/2021) 02")</f>
        <v>Uncle Sams Cider (11/12/2021) 02</v>
      </c>
      <c r="H2452" s="19"/>
    </row>
    <row r="2453">
      <c r="A2453" s="9"/>
      <c r="B2453" s="15"/>
      <c r="C2453" s="9">
        <f>IFERROR(__xludf.DUMMYFUNCTION("""COMPUTED_VALUE"""),44579.9542985069)</f>
        <v>44579.9543</v>
      </c>
      <c r="D2453" s="15">
        <f>IFERROR(__xludf.DUMMYFUNCTION("""COMPUTED_VALUE"""),1.006)</f>
        <v>1.006</v>
      </c>
      <c r="E2453" s="16">
        <f>IFERROR(__xludf.DUMMYFUNCTION("""COMPUTED_VALUE"""),63.0)</f>
        <v>63</v>
      </c>
      <c r="F2453" s="19" t="str">
        <f>IFERROR(__xludf.DUMMYFUNCTION("""COMPUTED_VALUE"""),"BLACK")</f>
        <v>BLACK</v>
      </c>
      <c r="G2453" s="20" t="str">
        <f>IFERROR(__xludf.DUMMYFUNCTION("""COMPUTED_VALUE"""),"Uncle Sams Cider (11/12/2021) 02")</f>
        <v>Uncle Sams Cider (11/12/2021) 02</v>
      </c>
      <c r="H2453" s="19"/>
    </row>
    <row r="2454">
      <c r="A2454" s="9"/>
      <c r="B2454" s="15"/>
      <c r="C2454" s="9">
        <f>IFERROR(__xludf.DUMMYFUNCTION("""COMPUTED_VALUE"""),44579.9438783912)</f>
        <v>44579.94388</v>
      </c>
      <c r="D2454" s="15">
        <f>IFERROR(__xludf.DUMMYFUNCTION("""COMPUTED_VALUE"""),1.006)</f>
        <v>1.006</v>
      </c>
      <c r="E2454" s="16">
        <f>IFERROR(__xludf.DUMMYFUNCTION("""COMPUTED_VALUE"""),63.0)</f>
        <v>63</v>
      </c>
      <c r="F2454" s="19" t="str">
        <f>IFERROR(__xludf.DUMMYFUNCTION("""COMPUTED_VALUE"""),"BLACK")</f>
        <v>BLACK</v>
      </c>
      <c r="G2454" s="20" t="str">
        <f>IFERROR(__xludf.DUMMYFUNCTION("""COMPUTED_VALUE"""),"Uncle Sams Cider (11/12/2021) 02")</f>
        <v>Uncle Sams Cider (11/12/2021) 02</v>
      </c>
      <c r="H2454" s="19"/>
    </row>
    <row r="2455">
      <c r="A2455" s="9"/>
      <c r="B2455" s="15"/>
      <c r="C2455" s="9">
        <f>IFERROR(__xludf.DUMMYFUNCTION("""COMPUTED_VALUE"""),44579.9334218749)</f>
        <v>44579.93342</v>
      </c>
      <c r="D2455" s="15">
        <f>IFERROR(__xludf.DUMMYFUNCTION("""COMPUTED_VALUE"""),1.007)</f>
        <v>1.007</v>
      </c>
      <c r="E2455" s="16">
        <f>IFERROR(__xludf.DUMMYFUNCTION("""COMPUTED_VALUE"""),63.0)</f>
        <v>63</v>
      </c>
      <c r="F2455" s="19" t="str">
        <f>IFERROR(__xludf.DUMMYFUNCTION("""COMPUTED_VALUE"""),"BLACK")</f>
        <v>BLACK</v>
      </c>
      <c r="G2455" s="20" t="str">
        <f>IFERROR(__xludf.DUMMYFUNCTION("""COMPUTED_VALUE"""),"Uncle Sams Cider (11/12/2021) 02")</f>
        <v>Uncle Sams Cider (11/12/2021) 02</v>
      </c>
      <c r="H2455" s="19"/>
    </row>
    <row r="2456">
      <c r="A2456" s="9"/>
      <c r="B2456" s="15"/>
      <c r="C2456" s="9">
        <f>IFERROR(__xludf.DUMMYFUNCTION("""COMPUTED_VALUE"""),44579.9229889467)</f>
        <v>44579.92299</v>
      </c>
      <c r="D2456" s="15">
        <f>IFERROR(__xludf.DUMMYFUNCTION("""COMPUTED_VALUE"""),1.006)</f>
        <v>1.006</v>
      </c>
      <c r="E2456" s="16">
        <f>IFERROR(__xludf.DUMMYFUNCTION("""COMPUTED_VALUE"""),63.0)</f>
        <v>63</v>
      </c>
      <c r="F2456" s="19" t="str">
        <f>IFERROR(__xludf.DUMMYFUNCTION("""COMPUTED_VALUE"""),"BLACK")</f>
        <v>BLACK</v>
      </c>
      <c r="G2456" s="20" t="str">
        <f>IFERROR(__xludf.DUMMYFUNCTION("""COMPUTED_VALUE"""),"Uncle Sams Cider (11/12/2021) 02")</f>
        <v>Uncle Sams Cider (11/12/2021) 02</v>
      </c>
      <c r="H2456" s="19"/>
    </row>
    <row r="2457">
      <c r="A2457" s="9"/>
      <c r="B2457" s="15"/>
      <c r="C2457" s="9">
        <f>IFERROR(__xludf.DUMMYFUNCTION("""COMPUTED_VALUE"""),44579.912533912)</f>
        <v>44579.91253</v>
      </c>
      <c r="D2457" s="15">
        <f>IFERROR(__xludf.DUMMYFUNCTION("""COMPUTED_VALUE"""),1.006)</f>
        <v>1.006</v>
      </c>
      <c r="E2457" s="16">
        <f>IFERROR(__xludf.DUMMYFUNCTION("""COMPUTED_VALUE"""),63.0)</f>
        <v>63</v>
      </c>
      <c r="F2457" s="19" t="str">
        <f>IFERROR(__xludf.DUMMYFUNCTION("""COMPUTED_VALUE"""),"BLACK")</f>
        <v>BLACK</v>
      </c>
      <c r="G2457" s="20" t="str">
        <f>IFERROR(__xludf.DUMMYFUNCTION("""COMPUTED_VALUE"""),"Uncle Sams Cider (11/12/2021) 02")</f>
        <v>Uncle Sams Cider (11/12/2021) 02</v>
      </c>
      <c r="H2457" s="19"/>
    </row>
    <row r="2458">
      <c r="A2458" s="9"/>
      <c r="B2458" s="15"/>
      <c r="C2458" s="9">
        <f>IFERROR(__xludf.DUMMYFUNCTION("""COMPUTED_VALUE"""),44579.9021003356)</f>
        <v>44579.9021</v>
      </c>
      <c r="D2458" s="15">
        <f>IFERROR(__xludf.DUMMYFUNCTION("""COMPUTED_VALUE"""),1.006)</f>
        <v>1.006</v>
      </c>
      <c r="E2458" s="16">
        <f>IFERROR(__xludf.DUMMYFUNCTION("""COMPUTED_VALUE"""),63.0)</f>
        <v>63</v>
      </c>
      <c r="F2458" s="19" t="str">
        <f>IFERROR(__xludf.DUMMYFUNCTION("""COMPUTED_VALUE"""),"BLACK")</f>
        <v>BLACK</v>
      </c>
      <c r="G2458" s="20" t="str">
        <f>IFERROR(__xludf.DUMMYFUNCTION("""COMPUTED_VALUE"""),"Uncle Sams Cider (11/12/2021) 02")</f>
        <v>Uncle Sams Cider (11/12/2021) 02</v>
      </c>
      <c r="H2458" s="19"/>
    </row>
    <row r="2459">
      <c r="A2459" s="9"/>
      <c r="B2459" s="15"/>
      <c r="C2459" s="9">
        <f>IFERROR(__xludf.DUMMYFUNCTION("""COMPUTED_VALUE"""),44579.8916783564)</f>
        <v>44579.89168</v>
      </c>
      <c r="D2459" s="15">
        <f>IFERROR(__xludf.DUMMYFUNCTION("""COMPUTED_VALUE"""),1.006)</f>
        <v>1.006</v>
      </c>
      <c r="E2459" s="16">
        <f>IFERROR(__xludf.DUMMYFUNCTION("""COMPUTED_VALUE"""),63.0)</f>
        <v>63</v>
      </c>
      <c r="F2459" s="19" t="str">
        <f>IFERROR(__xludf.DUMMYFUNCTION("""COMPUTED_VALUE"""),"BLACK")</f>
        <v>BLACK</v>
      </c>
      <c r="G2459" s="20" t="str">
        <f>IFERROR(__xludf.DUMMYFUNCTION("""COMPUTED_VALUE"""),"Uncle Sams Cider (11/12/2021) 02")</f>
        <v>Uncle Sams Cider (11/12/2021) 02</v>
      </c>
      <c r="H2459" s="19"/>
    </row>
    <row r="2460">
      <c r="A2460" s="9"/>
      <c r="B2460" s="15"/>
      <c r="C2460" s="9">
        <f>IFERROR(__xludf.DUMMYFUNCTION("""COMPUTED_VALUE"""),44579.8812561689)</f>
        <v>44579.88126</v>
      </c>
      <c r="D2460" s="15">
        <f>IFERROR(__xludf.DUMMYFUNCTION("""COMPUTED_VALUE"""),1.006)</f>
        <v>1.006</v>
      </c>
      <c r="E2460" s="16">
        <f>IFERROR(__xludf.DUMMYFUNCTION("""COMPUTED_VALUE"""),63.0)</f>
        <v>63</v>
      </c>
      <c r="F2460" s="19" t="str">
        <f>IFERROR(__xludf.DUMMYFUNCTION("""COMPUTED_VALUE"""),"BLACK")</f>
        <v>BLACK</v>
      </c>
      <c r="G2460" s="20" t="str">
        <f>IFERROR(__xludf.DUMMYFUNCTION("""COMPUTED_VALUE"""),"Uncle Sams Cider (11/12/2021) 02")</f>
        <v>Uncle Sams Cider (11/12/2021) 02</v>
      </c>
      <c r="H2460" s="19"/>
    </row>
    <row r="2461">
      <c r="A2461" s="9"/>
      <c r="B2461" s="15"/>
      <c r="C2461" s="9">
        <f>IFERROR(__xludf.DUMMYFUNCTION("""COMPUTED_VALUE"""),44579.8708355208)</f>
        <v>44579.87084</v>
      </c>
      <c r="D2461" s="15">
        <f>IFERROR(__xludf.DUMMYFUNCTION("""COMPUTED_VALUE"""),1.006)</f>
        <v>1.006</v>
      </c>
      <c r="E2461" s="16">
        <f>IFERROR(__xludf.DUMMYFUNCTION("""COMPUTED_VALUE"""),63.0)</f>
        <v>63</v>
      </c>
      <c r="F2461" s="19" t="str">
        <f>IFERROR(__xludf.DUMMYFUNCTION("""COMPUTED_VALUE"""),"BLACK")</f>
        <v>BLACK</v>
      </c>
      <c r="G2461" s="20" t="str">
        <f>IFERROR(__xludf.DUMMYFUNCTION("""COMPUTED_VALUE"""),"Uncle Sams Cider (11/12/2021) 02")</f>
        <v>Uncle Sams Cider (11/12/2021) 02</v>
      </c>
      <c r="H2461" s="19"/>
    </row>
    <row r="2462">
      <c r="A2462" s="9"/>
      <c r="B2462" s="15"/>
      <c r="C2462" s="9">
        <f>IFERROR(__xludf.DUMMYFUNCTION("""COMPUTED_VALUE"""),44579.8604161111)</f>
        <v>44579.86042</v>
      </c>
      <c r="D2462" s="15">
        <f>IFERROR(__xludf.DUMMYFUNCTION("""COMPUTED_VALUE"""),1.007)</f>
        <v>1.007</v>
      </c>
      <c r="E2462" s="16">
        <f>IFERROR(__xludf.DUMMYFUNCTION("""COMPUTED_VALUE"""),63.0)</f>
        <v>63</v>
      </c>
      <c r="F2462" s="19" t="str">
        <f>IFERROR(__xludf.DUMMYFUNCTION("""COMPUTED_VALUE"""),"BLACK")</f>
        <v>BLACK</v>
      </c>
      <c r="G2462" s="20" t="str">
        <f>IFERROR(__xludf.DUMMYFUNCTION("""COMPUTED_VALUE"""),"Uncle Sams Cider (11/12/2021) 02")</f>
        <v>Uncle Sams Cider (11/12/2021) 02</v>
      </c>
      <c r="H2462" s="19"/>
    </row>
    <row r="2463">
      <c r="A2463" s="9"/>
      <c r="B2463" s="15"/>
      <c r="C2463" s="9">
        <f>IFERROR(__xludf.DUMMYFUNCTION("""COMPUTED_VALUE"""),44579.849971331)</f>
        <v>44579.84997</v>
      </c>
      <c r="D2463" s="15">
        <f>IFERROR(__xludf.DUMMYFUNCTION("""COMPUTED_VALUE"""),1.007)</f>
        <v>1.007</v>
      </c>
      <c r="E2463" s="16">
        <f>IFERROR(__xludf.DUMMYFUNCTION("""COMPUTED_VALUE"""),63.0)</f>
        <v>63</v>
      </c>
      <c r="F2463" s="19" t="str">
        <f>IFERROR(__xludf.DUMMYFUNCTION("""COMPUTED_VALUE"""),"BLACK")</f>
        <v>BLACK</v>
      </c>
      <c r="G2463" s="20" t="str">
        <f>IFERROR(__xludf.DUMMYFUNCTION("""COMPUTED_VALUE"""),"Uncle Sams Cider (11/12/2021) 02")</f>
        <v>Uncle Sams Cider (11/12/2021) 02</v>
      </c>
      <c r="H2463" s="19"/>
    </row>
    <row r="2464">
      <c r="A2464" s="9"/>
      <c r="B2464" s="15"/>
      <c r="C2464" s="9">
        <f>IFERROR(__xludf.DUMMYFUNCTION("""COMPUTED_VALUE"""),44579.8395393518)</f>
        <v>44579.83954</v>
      </c>
      <c r="D2464" s="15">
        <f>IFERROR(__xludf.DUMMYFUNCTION("""COMPUTED_VALUE"""),1.006)</f>
        <v>1.006</v>
      </c>
      <c r="E2464" s="16">
        <f>IFERROR(__xludf.DUMMYFUNCTION("""COMPUTED_VALUE"""),63.0)</f>
        <v>63</v>
      </c>
      <c r="F2464" s="19" t="str">
        <f>IFERROR(__xludf.DUMMYFUNCTION("""COMPUTED_VALUE"""),"BLACK")</f>
        <v>BLACK</v>
      </c>
      <c r="G2464" s="20" t="str">
        <f>IFERROR(__xludf.DUMMYFUNCTION("""COMPUTED_VALUE"""),"Uncle Sams Cider (11/12/2021) 02")</f>
        <v>Uncle Sams Cider (11/12/2021) 02</v>
      </c>
      <c r="H2464" s="19"/>
    </row>
    <row r="2465">
      <c r="A2465" s="9"/>
      <c r="B2465" s="15"/>
      <c r="C2465" s="9">
        <f>IFERROR(__xludf.DUMMYFUNCTION("""COMPUTED_VALUE"""),44579.8291183217)</f>
        <v>44579.82912</v>
      </c>
      <c r="D2465" s="15">
        <f>IFERROR(__xludf.DUMMYFUNCTION("""COMPUTED_VALUE"""),1.007)</f>
        <v>1.007</v>
      </c>
      <c r="E2465" s="16">
        <f>IFERROR(__xludf.DUMMYFUNCTION("""COMPUTED_VALUE"""),63.0)</f>
        <v>63</v>
      </c>
      <c r="F2465" s="19" t="str">
        <f>IFERROR(__xludf.DUMMYFUNCTION("""COMPUTED_VALUE"""),"BLACK")</f>
        <v>BLACK</v>
      </c>
      <c r="G2465" s="20" t="str">
        <f>IFERROR(__xludf.DUMMYFUNCTION("""COMPUTED_VALUE"""),"Uncle Sams Cider (11/12/2021) 02")</f>
        <v>Uncle Sams Cider (11/12/2021) 02</v>
      </c>
      <c r="H2465" s="19"/>
    </row>
    <row r="2466">
      <c r="A2466" s="9"/>
      <c r="B2466" s="15"/>
      <c r="C2466" s="9">
        <f>IFERROR(__xludf.DUMMYFUNCTION("""COMPUTED_VALUE"""),44579.8186966203)</f>
        <v>44579.8187</v>
      </c>
      <c r="D2466" s="15">
        <f>IFERROR(__xludf.DUMMYFUNCTION("""COMPUTED_VALUE"""),1.007)</f>
        <v>1.007</v>
      </c>
      <c r="E2466" s="16">
        <f>IFERROR(__xludf.DUMMYFUNCTION("""COMPUTED_VALUE"""),63.0)</f>
        <v>63</v>
      </c>
      <c r="F2466" s="19" t="str">
        <f>IFERROR(__xludf.DUMMYFUNCTION("""COMPUTED_VALUE"""),"BLACK")</f>
        <v>BLACK</v>
      </c>
      <c r="G2466" s="20" t="str">
        <f>IFERROR(__xludf.DUMMYFUNCTION("""COMPUTED_VALUE"""),"Uncle Sams Cider (11/12/2021) 02")</f>
        <v>Uncle Sams Cider (11/12/2021) 02</v>
      </c>
      <c r="H2466" s="19"/>
    </row>
    <row r="2467">
      <c r="A2467" s="9"/>
      <c r="B2467" s="15"/>
      <c r="C2467" s="9">
        <f>IFERROR(__xludf.DUMMYFUNCTION("""COMPUTED_VALUE"""),44579.8082745601)</f>
        <v>44579.80827</v>
      </c>
      <c r="D2467" s="15">
        <f>IFERROR(__xludf.DUMMYFUNCTION("""COMPUTED_VALUE"""),1.007)</f>
        <v>1.007</v>
      </c>
      <c r="E2467" s="16">
        <f>IFERROR(__xludf.DUMMYFUNCTION("""COMPUTED_VALUE"""),63.0)</f>
        <v>63</v>
      </c>
      <c r="F2467" s="19" t="str">
        <f>IFERROR(__xludf.DUMMYFUNCTION("""COMPUTED_VALUE"""),"BLACK")</f>
        <v>BLACK</v>
      </c>
      <c r="G2467" s="20" t="str">
        <f>IFERROR(__xludf.DUMMYFUNCTION("""COMPUTED_VALUE"""),"Uncle Sams Cider (11/12/2021) 02")</f>
        <v>Uncle Sams Cider (11/12/2021) 02</v>
      </c>
      <c r="H2467" s="19"/>
    </row>
    <row r="2468">
      <c r="A2468" s="9"/>
      <c r="B2468" s="15"/>
      <c r="C2468" s="9">
        <f>IFERROR(__xludf.DUMMYFUNCTION("""COMPUTED_VALUE"""),44579.7978525578)</f>
        <v>44579.79785</v>
      </c>
      <c r="D2468" s="15">
        <f>IFERROR(__xludf.DUMMYFUNCTION("""COMPUTED_VALUE"""),1.007)</f>
        <v>1.007</v>
      </c>
      <c r="E2468" s="16">
        <f>IFERROR(__xludf.DUMMYFUNCTION("""COMPUTED_VALUE"""),63.0)</f>
        <v>63</v>
      </c>
      <c r="F2468" s="19" t="str">
        <f>IFERROR(__xludf.DUMMYFUNCTION("""COMPUTED_VALUE"""),"BLACK")</f>
        <v>BLACK</v>
      </c>
      <c r="G2468" s="20" t="str">
        <f>IFERROR(__xludf.DUMMYFUNCTION("""COMPUTED_VALUE"""),"Uncle Sams Cider (11/12/2021) 02")</f>
        <v>Uncle Sams Cider (11/12/2021) 02</v>
      </c>
      <c r="H2468" s="19"/>
    </row>
    <row r="2469">
      <c r="A2469" s="9"/>
      <c r="B2469" s="15"/>
      <c r="C2469" s="9">
        <f>IFERROR(__xludf.DUMMYFUNCTION("""COMPUTED_VALUE"""),44579.7874310416)</f>
        <v>44579.78743</v>
      </c>
      <c r="D2469" s="15">
        <f>IFERROR(__xludf.DUMMYFUNCTION("""COMPUTED_VALUE"""),1.007)</f>
        <v>1.007</v>
      </c>
      <c r="E2469" s="16">
        <f>IFERROR(__xludf.DUMMYFUNCTION("""COMPUTED_VALUE"""),63.0)</f>
        <v>63</v>
      </c>
      <c r="F2469" s="19" t="str">
        <f>IFERROR(__xludf.DUMMYFUNCTION("""COMPUTED_VALUE"""),"BLACK")</f>
        <v>BLACK</v>
      </c>
      <c r="G2469" s="20" t="str">
        <f>IFERROR(__xludf.DUMMYFUNCTION("""COMPUTED_VALUE"""),"Uncle Sams Cider (11/12/2021) 02")</f>
        <v>Uncle Sams Cider (11/12/2021) 02</v>
      </c>
      <c r="H2469" s="19"/>
    </row>
    <row r="2470">
      <c r="A2470" s="9"/>
      <c r="B2470" s="15"/>
      <c r="C2470" s="9">
        <f>IFERROR(__xludf.DUMMYFUNCTION("""COMPUTED_VALUE"""),44579.7770108564)</f>
        <v>44579.77701</v>
      </c>
      <c r="D2470" s="15">
        <f>IFERROR(__xludf.DUMMYFUNCTION("""COMPUTED_VALUE"""),1.007)</f>
        <v>1.007</v>
      </c>
      <c r="E2470" s="16">
        <f>IFERROR(__xludf.DUMMYFUNCTION("""COMPUTED_VALUE"""),63.0)</f>
        <v>63</v>
      </c>
      <c r="F2470" s="19" t="str">
        <f>IFERROR(__xludf.DUMMYFUNCTION("""COMPUTED_VALUE"""),"BLACK")</f>
        <v>BLACK</v>
      </c>
      <c r="G2470" s="20" t="str">
        <f>IFERROR(__xludf.DUMMYFUNCTION("""COMPUTED_VALUE"""),"Uncle Sams Cider (11/12/2021) 02")</f>
        <v>Uncle Sams Cider (11/12/2021) 02</v>
      </c>
      <c r="H2470" s="19"/>
    </row>
    <row r="2471">
      <c r="A2471" s="9"/>
      <c r="B2471" s="15"/>
      <c r="C2471" s="9">
        <f>IFERROR(__xludf.DUMMYFUNCTION("""COMPUTED_VALUE"""),44579.7665784722)</f>
        <v>44579.76658</v>
      </c>
      <c r="D2471" s="15">
        <f>IFERROR(__xludf.DUMMYFUNCTION("""COMPUTED_VALUE"""),1.007)</f>
        <v>1.007</v>
      </c>
      <c r="E2471" s="16">
        <f>IFERROR(__xludf.DUMMYFUNCTION("""COMPUTED_VALUE"""),63.0)</f>
        <v>63</v>
      </c>
      <c r="F2471" s="19" t="str">
        <f>IFERROR(__xludf.DUMMYFUNCTION("""COMPUTED_VALUE"""),"BLACK")</f>
        <v>BLACK</v>
      </c>
      <c r="G2471" s="20" t="str">
        <f>IFERROR(__xludf.DUMMYFUNCTION("""COMPUTED_VALUE"""),"Uncle Sams Cider (11/12/2021) 02")</f>
        <v>Uncle Sams Cider (11/12/2021) 02</v>
      </c>
      <c r="H2471" s="19"/>
    </row>
    <row r="2472">
      <c r="A2472" s="9"/>
      <c r="B2472" s="15"/>
      <c r="C2472" s="9">
        <f>IFERROR(__xludf.DUMMYFUNCTION("""COMPUTED_VALUE"""),44579.7561458912)</f>
        <v>44579.75615</v>
      </c>
      <c r="D2472" s="15">
        <f>IFERROR(__xludf.DUMMYFUNCTION("""COMPUTED_VALUE"""),1.007)</f>
        <v>1.007</v>
      </c>
      <c r="E2472" s="16">
        <f>IFERROR(__xludf.DUMMYFUNCTION("""COMPUTED_VALUE"""),63.0)</f>
        <v>63</v>
      </c>
      <c r="F2472" s="19" t="str">
        <f>IFERROR(__xludf.DUMMYFUNCTION("""COMPUTED_VALUE"""),"BLACK")</f>
        <v>BLACK</v>
      </c>
      <c r="G2472" s="20" t="str">
        <f>IFERROR(__xludf.DUMMYFUNCTION("""COMPUTED_VALUE"""),"Uncle Sams Cider (11/12/2021) 02")</f>
        <v>Uncle Sams Cider (11/12/2021) 02</v>
      </c>
      <c r="H2472" s="19"/>
    </row>
    <row r="2473">
      <c r="A2473" s="9"/>
      <c r="B2473" s="15"/>
      <c r="C2473" s="9">
        <f>IFERROR(__xludf.DUMMYFUNCTION("""COMPUTED_VALUE"""),44579.7457236226)</f>
        <v>44579.74572</v>
      </c>
      <c r="D2473" s="15">
        <f>IFERROR(__xludf.DUMMYFUNCTION("""COMPUTED_VALUE"""),1.007)</f>
        <v>1.007</v>
      </c>
      <c r="E2473" s="16">
        <f>IFERROR(__xludf.DUMMYFUNCTION("""COMPUTED_VALUE"""),63.0)</f>
        <v>63</v>
      </c>
      <c r="F2473" s="19" t="str">
        <f>IFERROR(__xludf.DUMMYFUNCTION("""COMPUTED_VALUE"""),"BLACK")</f>
        <v>BLACK</v>
      </c>
      <c r="G2473" s="20" t="str">
        <f>IFERROR(__xludf.DUMMYFUNCTION("""COMPUTED_VALUE"""),"Uncle Sams Cider (11/12/2021) 02")</f>
        <v>Uncle Sams Cider (11/12/2021) 02</v>
      </c>
      <c r="H2473" s="19"/>
    </row>
    <row r="2474">
      <c r="A2474" s="9"/>
      <c r="B2474" s="15"/>
      <c r="C2474" s="9">
        <f>IFERROR(__xludf.DUMMYFUNCTION("""COMPUTED_VALUE"""),44579.7352673842)</f>
        <v>44579.73527</v>
      </c>
      <c r="D2474" s="15">
        <f>IFERROR(__xludf.DUMMYFUNCTION("""COMPUTED_VALUE"""),1.007)</f>
        <v>1.007</v>
      </c>
      <c r="E2474" s="16">
        <f>IFERROR(__xludf.DUMMYFUNCTION("""COMPUTED_VALUE"""),63.0)</f>
        <v>63</v>
      </c>
      <c r="F2474" s="19" t="str">
        <f>IFERROR(__xludf.DUMMYFUNCTION("""COMPUTED_VALUE"""),"BLACK")</f>
        <v>BLACK</v>
      </c>
      <c r="G2474" s="20" t="str">
        <f>IFERROR(__xludf.DUMMYFUNCTION("""COMPUTED_VALUE"""),"Uncle Sams Cider (11/12/2021) 02")</f>
        <v>Uncle Sams Cider (11/12/2021) 02</v>
      </c>
      <c r="H2474" s="19"/>
    </row>
    <row r="2475">
      <c r="A2475" s="9"/>
      <c r="B2475" s="15"/>
      <c r="C2475" s="9">
        <f>IFERROR(__xludf.DUMMYFUNCTION("""COMPUTED_VALUE"""),44579.7248483217)</f>
        <v>44579.72485</v>
      </c>
      <c r="D2475" s="15">
        <f>IFERROR(__xludf.DUMMYFUNCTION("""COMPUTED_VALUE"""),1.007)</f>
        <v>1.007</v>
      </c>
      <c r="E2475" s="16">
        <f>IFERROR(__xludf.DUMMYFUNCTION("""COMPUTED_VALUE"""),63.0)</f>
        <v>63</v>
      </c>
      <c r="F2475" s="19" t="str">
        <f>IFERROR(__xludf.DUMMYFUNCTION("""COMPUTED_VALUE"""),"BLACK")</f>
        <v>BLACK</v>
      </c>
      <c r="G2475" s="20" t="str">
        <f>IFERROR(__xludf.DUMMYFUNCTION("""COMPUTED_VALUE"""),"Uncle Sams Cider (11/12/2021) 02")</f>
        <v>Uncle Sams Cider (11/12/2021) 02</v>
      </c>
      <c r="H2475" s="19"/>
    </row>
    <row r="2476">
      <c r="A2476" s="9"/>
      <c r="B2476" s="15"/>
      <c r="C2476" s="9">
        <f>IFERROR(__xludf.DUMMYFUNCTION("""COMPUTED_VALUE"""),44579.7144035069)</f>
        <v>44579.7144</v>
      </c>
      <c r="D2476" s="15">
        <f>IFERROR(__xludf.DUMMYFUNCTION("""COMPUTED_VALUE"""),1.007)</f>
        <v>1.007</v>
      </c>
      <c r="E2476" s="16">
        <f>IFERROR(__xludf.DUMMYFUNCTION("""COMPUTED_VALUE"""),63.0)</f>
        <v>63</v>
      </c>
      <c r="F2476" s="19" t="str">
        <f>IFERROR(__xludf.DUMMYFUNCTION("""COMPUTED_VALUE"""),"BLACK")</f>
        <v>BLACK</v>
      </c>
      <c r="G2476" s="20" t="str">
        <f>IFERROR(__xludf.DUMMYFUNCTION("""COMPUTED_VALUE"""),"Uncle Sams Cider (11/12/2021) 02")</f>
        <v>Uncle Sams Cider (11/12/2021) 02</v>
      </c>
      <c r="H2476" s="19"/>
    </row>
    <row r="2477">
      <c r="A2477" s="9"/>
      <c r="B2477" s="15"/>
      <c r="C2477" s="9">
        <f>IFERROR(__xludf.DUMMYFUNCTION("""COMPUTED_VALUE"""),44579.7039820486)</f>
        <v>44579.70398</v>
      </c>
      <c r="D2477" s="15">
        <f>IFERROR(__xludf.DUMMYFUNCTION("""COMPUTED_VALUE"""),1.007)</f>
        <v>1.007</v>
      </c>
      <c r="E2477" s="16">
        <f>IFERROR(__xludf.DUMMYFUNCTION("""COMPUTED_VALUE"""),63.0)</f>
        <v>63</v>
      </c>
      <c r="F2477" s="19" t="str">
        <f>IFERROR(__xludf.DUMMYFUNCTION("""COMPUTED_VALUE"""),"BLACK")</f>
        <v>BLACK</v>
      </c>
      <c r="G2477" s="20" t="str">
        <f>IFERROR(__xludf.DUMMYFUNCTION("""COMPUTED_VALUE"""),"Uncle Sams Cider (11/12/2021) 02")</f>
        <v>Uncle Sams Cider (11/12/2021) 02</v>
      </c>
      <c r="H2477" s="19"/>
    </row>
    <row r="2478">
      <c r="A2478" s="9"/>
      <c r="B2478" s="15"/>
      <c r="C2478" s="9">
        <f>IFERROR(__xludf.DUMMYFUNCTION("""COMPUTED_VALUE"""),44579.6935623379)</f>
        <v>44579.69356</v>
      </c>
      <c r="D2478" s="15">
        <f>IFERROR(__xludf.DUMMYFUNCTION("""COMPUTED_VALUE"""),1.007)</f>
        <v>1.007</v>
      </c>
      <c r="E2478" s="16">
        <f>IFERROR(__xludf.DUMMYFUNCTION("""COMPUTED_VALUE"""),63.0)</f>
        <v>63</v>
      </c>
      <c r="F2478" s="19" t="str">
        <f>IFERROR(__xludf.DUMMYFUNCTION("""COMPUTED_VALUE"""),"BLACK")</f>
        <v>BLACK</v>
      </c>
      <c r="G2478" s="20" t="str">
        <f>IFERROR(__xludf.DUMMYFUNCTION("""COMPUTED_VALUE"""),"Uncle Sams Cider (11/12/2021) 02")</f>
        <v>Uncle Sams Cider (11/12/2021) 02</v>
      </c>
      <c r="H2478" s="19"/>
    </row>
    <row r="2479">
      <c r="A2479" s="9"/>
      <c r="B2479" s="15"/>
      <c r="C2479" s="9">
        <f>IFERROR(__xludf.DUMMYFUNCTION("""COMPUTED_VALUE"""),44579.68314103)</f>
        <v>44579.68314</v>
      </c>
      <c r="D2479" s="15">
        <f>IFERROR(__xludf.DUMMYFUNCTION("""COMPUTED_VALUE"""),1.006)</f>
        <v>1.006</v>
      </c>
      <c r="E2479" s="16">
        <f>IFERROR(__xludf.DUMMYFUNCTION("""COMPUTED_VALUE"""),63.0)</f>
        <v>63</v>
      </c>
      <c r="F2479" s="19" t="str">
        <f>IFERROR(__xludf.DUMMYFUNCTION("""COMPUTED_VALUE"""),"BLACK")</f>
        <v>BLACK</v>
      </c>
      <c r="G2479" s="20" t="str">
        <f>IFERROR(__xludf.DUMMYFUNCTION("""COMPUTED_VALUE"""),"Uncle Sams Cider (11/12/2021) 02")</f>
        <v>Uncle Sams Cider (11/12/2021) 02</v>
      </c>
      <c r="H2479" s="19"/>
    </row>
    <row r="2480">
      <c r="A2480" s="9"/>
      <c r="B2480" s="15"/>
      <c r="C2480" s="9">
        <f>IFERROR(__xludf.DUMMYFUNCTION("""COMPUTED_VALUE"""),44579.6726852083)</f>
        <v>44579.67269</v>
      </c>
      <c r="D2480" s="15">
        <f>IFERROR(__xludf.DUMMYFUNCTION("""COMPUTED_VALUE"""),1.007)</f>
        <v>1.007</v>
      </c>
      <c r="E2480" s="16">
        <f>IFERROR(__xludf.DUMMYFUNCTION("""COMPUTED_VALUE"""),63.0)</f>
        <v>63</v>
      </c>
      <c r="F2480" s="19" t="str">
        <f>IFERROR(__xludf.DUMMYFUNCTION("""COMPUTED_VALUE"""),"BLACK")</f>
        <v>BLACK</v>
      </c>
      <c r="G2480" s="20" t="str">
        <f>IFERROR(__xludf.DUMMYFUNCTION("""COMPUTED_VALUE"""),"Uncle Sams Cider (11/12/2021) 02")</f>
        <v>Uncle Sams Cider (11/12/2021) 02</v>
      </c>
      <c r="H2480" s="19"/>
    </row>
    <row r="2481">
      <c r="A2481" s="9"/>
      <c r="B2481" s="15"/>
      <c r="C2481" s="9">
        <f>IFERROR(__xludf.DUMMYFUNCTION("""COMPUTED_VALUE"""),44579.6622534375)</f>
        <v>44579.66225</v>
      </c>
      <c r="D2481" s="15">
        <f>IFERROR(__xludf.DUMMYFUNCTION("""COMPUTED_VALUE"""),1.007)</f>
        <v>1.007</v>
      </c>
      <c r="E2481" s="16">
        <f>IFERROR(__xludf.DUMMYFUNCTION("""COMPUTED_VALUE"""),63.0)</f>
        <v>63</v>
      </c>
      <c r="F2481" s="19" t="str">
        <f>IFERROR(__xludf.DUMMYFUNCTION("""COMPUTED_VALUE"""),"BLACK")</f>
        <v>BLACK</v>
      </c>
      <c r="G2481" s="20" t="str">
        <f>IFERROR(__xludf.DUMMYFUNCTION("""COMPUTED_VALUE"""),"Uncle Sams Cider (11/12/2021) 02")</f>
        <v>Uncle Sams Cider (11/12/2021) 02</v>
      </c>
      <c r="H2481" s="19"/>
    </row>
    <row r="2482">
      <c r="A2482" s="9"/>
      <c r="B2482" s="15"/>
      <c r="C2482" s="9">
        <f>IFERROR(__xludf.DUMMYFUNCTION("""COMPUTED_VALUE"""),44579.6518334374)</f>
        <v>44579.65183</v>
      </c>
      <c r="D2482" s="15">
        <f>IFERROR(__xludf.DUMMYFUNCTION("""COMPUTED_VALUE"""),1.006)</f>
        <v>1.006</v>
      </c>
      <c r="E2482" s="16">
        <f>IFERROR(__xludf.DUMMYFUNCTION("""COMPUTED_VALUE"""),63.0)</f>
        <v>63</v>
      </c>
      <c r="F2482" s="19" t="str">
        <f>IFERROR(__xludf.DUMMYFUNCTION("""COMPUTED_VALUE"""),"BLACK")</f>
        <v>BLACK</v>
      </c>
      <c r="G2482" s="20" t="str">
        <f>IFERROR(__xludf.DUMMYFUNCTION("""COMPUTED_VALUE"""),"Uncle Sams Cider (11/12/2021) 02")</f>
        <v>Uncle Sams Cider (11/12/2021) 02</v>
      </c>
      <c r="H2482" s="19"/>
    </row>
    <row r="2483">
      <c r="A2483" s="9"/>
      <c r="B2483" s="15"/>
      <c r="C2483" s="9">
        <f>IFERROR(__xludf.DUMMYFUNCTION("""COMPUTED_VALUE"""),44579.6413779861)</f>
        <v>44579.64138</v>
      </c>
      <c r="D2483" s="15">
        <f>IFERROR(__xludf.DUMMYFUNCTION("""COMPUTED_VALUE"""),1.006)</f>
        <v>1.006</v>
      </c>
      <c r="E2483" s="16">
        <f>IFERROR(__xludf.DUMMYFUNCTION("""COMPUTED_VALUE"""),63.0)</f>
        <v>63</v>
      </c>
      <c r="F2483" s="19" t="str">
        <f>IFERROR(__xludf.DUMMYFUNCTION("""COMPUTED_VALUE"""),"BLACK")</f>
        <v>BLACK</v>
      </c>
      <c r="G2483" s="20" t="str">
        <f>IFERROR(__xludf.DUMMYFUNCTION("""COMPUTED_VALUE"""),"Uncle Sams Cider (11/12/2021) 02")</f>
        <v>Uncle Sams Cider (11/12/2021) 02</v>
      </c>
      <c r="H2483" s="19"/>
    </row>
    <row r="2484">
      <c r="A2484" s="9"/>
      <c r="B2484" s="15"/>
      <c r="C2484" s="9">
        <f>IFERROR(__xludf.DUMMYFUNCTION("""COMPUTED_VALUE"""),44579.6309570023)</f>
        <v>44579.63096</v>
      </c>
      <c r="D2484" s="15">
        <f>IFERROR(__xludf.DUMMYFUNCTION("""COMPUTED_VALUE"""),1.007)</f>
        <v>1.007</v>
      </c>
      <c r="E2484" s="16">
        <f>IFERROR(__xludf.DUMMYFUNCTION("""COMPUTED_VALUE"""),63.0)</f>
        <v>63</v>
      </c>
      <c r="F2484" s="19" t="str">
        <f>IFERROR(__xludf.DUMMYFUNCTION("""COMPUTED_VALUE"""),"BLACK")</f>
        <v>BLACK</v>
      </c>
      <c r="G2484" s="20" t="str">
        <f>IFERROR(__xludf.DUMMYFUNCTION("""COMPUTED_VALUE"""),"Uncle Sams Cider (11/12/2021) 02")</f>
        <v>Uncle Sams Cider (11/12/2021) 02</v>
      </c>
      <c r="H2484" s="19"/>
    </row>
    <row r="2485">
      <c r="A2485" s="9"/>
      <c r="B2485" s="15"/>
      <c r="C2485" s="9">
        <f>IFERROR(__xludf.DUMMYFUNCTION("""COMPUTED_VALUE"""),44579.6205235879)</f>
        <v>44579.62052</v>
      </c>
      <c r="D2485" s="15">
        <f>IFERROR(__xludf.DUMMYFUNCTION("""COMPUTED_VALUE"""),1.007)</f>
        <v>1.007</v>
      </c>
      <c r="E2485" s="16">
        <f>IFERROR(__xludf.DUMMYFUNCTION("""COMPUTED_VALUE"""),63.0)</f>
        <v>63</v>
      </c>
      <c r="F2485" s="19" t="str">
        <f>IFERROR(__xludf.DUMMYFUNCTION("""COMPUTED_VALUE"""),"BLACK")</f>
        <v>BLACK</v>
      </c>
      <c r="G2485" s="20" t="str">
        <f>IFERROR(__xludf.DUMMYFUNCTION("""COMPUTED_VALUE"""),"Uncle Sams Cider (11/12/2021) 02")</f>
        <v>Uncle Sams Cider (11/12/2021) 02</v>
      </c>
      <c r="H2485" s="19"/>
    </row>
    <row r="2486">
      <c r="A2486" s="9"/>
      <c r="B2486" s="15"/>
      <c r="C2486" s="9">
        <f>IFERROR(__xludf.DUMMYFUNCTION("""COMPUTED_VALUE"""),44579.6100911111)</f>
        <v>44579.61009</v>
      </c>
      <c r="D2486" s="15">
        <f>IFERROR(__xludf.DUMMYFUNCTION("""COMPUTED_VALUE"""),1.006)</f>
        <v>1.006</v>
      </c>
      <c r="E2486" s="16">
        <f>IFERROR(__xludf.DUMMYFUNCTION("""COMPUTED_VALUE"""),63.0)</f>
        <v>63</v>
      </c>
      <c r="F2486" s="19" t="str">
        <f>IFERROR(__xludf.DUMMYFUNCTION("""COMPUTED_VALUE"""),"BLACK")</f>
        <v>BLACK</v>
      </c>
      <c r="G2486" s="20" t="str">
        <f>IFERROR(__xludf.DUMMYFUNCTION("""COMPUTED_VALUE"""),"Uncle Sams Cider (11/12/2021) 02")</f>
        <v>Uncle Sams Cider (11/12/2021) 02</v>
      </c>
      <c r="H2486" s="19"/>
    </row>
    <row r="2487">
      <c r="A2487" s="9"/>
      <c r="B2487" s="15"/>
      <c r="C2487" s="9">
        <f>IFERROR(__xludf.DUMMYFUNCTION("""COMPUTED_VALUE"""),44579.5996707754)</f>
        <v>44579.59967</v>
      </c>
      <c r="D2487" s="15">
        <f>IFERROR(__xludf.DUMMYFUNCTION("""COMPUTED_VALUE"""),1.007)</f>
        <v>1.007</v>
      </c>
      <c r="E2487" s="16">
        <f>IFERROR(__xludf.DUMMYFUNCTION("""COMPUTED_VALUE"""),63.0)</f>
        <v>63</v>
      </c>
      <c r="F2487" s="19" t="str">
        <f>IFERROR(__xludf.DUMMYFUNCTION("""COMPUTED_VALUE"""),"BLACK")</f>
        <v>BLACK</v>
      </c>
      <c r="G2487" s="20" t="str">
        <f>IFERROR(__xludf.DUMMYFUNCTION("""COMPUTED_VALUE"""),"Uncle Sams Cider (11/12/2021) 02")</f>
        <v>Uncle Sams Cider (11/12/2021) 02</v>
      </c>
      <c r="H2487" s="19"/>
    </row>
    <row r="2488">
      <c r="A2488" s="9"/>
      <c r="B2488" s="15"/>
      <c r="C2488" s="9">
        <f>IFERROR(__xludf.DUMMYFUNCTION("""COMPUTED_VALUE"""),44579.5892478472)</f>
        <v>44579.58925</v>
      </c>
      <c r="D2488" s="15">
        <f>IFERROR(__xludf.DUMMYFUNCTION("""COMPUTED_VALUE"""),1.007)</f>
        <v>1.007</v>
      </c>
      <c r="E2488" s="16">
        <f>IFERROR(__xludf.DUMMYFUNCTION("""COMPUTED_VALUE"""),63.0)</f>
        <v>63</v>
      </c>
      <c r="F2488" s="19" t="str">
        <f>IFERROR(__xludf.DUMMYFUNCTION("""COMPUTED_VALUE"""),"BLACK")</f>
        <v>BLACK</v>
      </c>
      <c r="G2488" s="20" t="str">
        <f>IFERROR(__xludf.DUMMYFUNCTION("""COMPUTED_VALUE"""),"Uncle Sams Cider (11/12/2021) 02")</f>
        <v>Uncle Sams Cider (11/12/2021) 02</v>
      </c>
      <c r="H2488" s="19"/>
    </row>
    <row r="2489">
      <c r="A2489" s="9"/>
      <c r="B2489" s="15"/>
      <c r="C2489" s="9">
        <f>IFERROR(__xludf.DUMMYFUNCTION("""COMPUTED_VALUE"""),44579.5788291782)</f>
        <v>44579.57883</v>
      </c>
      <c r="D2489" s="15">
        <f>IFERROR(__xludf.DUMMYFUNCTION("""COMPUTED_VALUE"""),1.007)</f>
        <v>1.007</v>
      </c>
      <c r="E2489" s="16">
        <f>IFERROR(__xludf.DUMMYFUNCTION("""COMPUTED_VALUE"""),63.0)</f>
        <v>63</v>
      </c>
      <c r="F2489" s="19" t="str">
        <f>IFERROR(__xludf.DUMMYFUNCTION("""COMPUTED_VALUE"""),"BLACK")</f>
        <v>BLACK</v>
      </c>
      <c r="G2489" s="20" t="str">
        <f>IFERROR(__xludf.DUMMYFUNCTION("""COMPUTED_VALUE"""),"Uncle Sams Cider (11/12/2021) 02")</f>
        <v>Uncle Sams Cider (11/12/2021) 02</v>
      </c>
      <c r="H2489" s="19"/>
    </row>
    <row r="2490">
      <c r="A2490" s="9"/>
      <c r="B2490" s="15"/>
      <c r="C2490" s="9">
        <f>IFERROR(__xludf.DUMMYFUNCTION("""COMPUTED_VALUE"""),44579.5683842939)</f>
        <v>44579.56838</v>
      </c>
      <c r="D2490" s="15">
        <f>IFERROR(__xludf.DUMMYFUNCTION("""COMPUTED_VALUE"""),1.007)</f>
        <v>1.007</v>
      </c>
      <c r="E2490" s="16">
        <f>IFERROR(__xludf.DUMMYFUNCTION("""COMPUTED_VALUE"""),63.0)</f>
        <v>63</v>
      </c>
      <c r="F2490" s="19" t="str">
        <f>IFERROR(__xludf.DUMMYFUNCTION("""COMPUTED_VALUE"""),"BLACK")</f>
        <v>BLACK</v>
      </c>
      <c r="G2490" s="20" t="str">
        <f>IFERROR(__xludf.DUMMYFUNCTION("""COMPUTED_VALUE"""),"Uncle Sams Cider (11/12/2021) 02")</f>
        <v>Uncle Sams Cider (11/12/2021) 02</v>
      </c>
      <c r="H2490" s="19"/>
    </row>
    <row r="2491">
      <c r="A2491" s="9"/>
      <c r="B2491" s="15"/>
      <c r="C2491" s="9">
        <f>IFERROR(__xludf.DUMMYFUNCTION("""COMPUTED_VALUE"""),44579.5579396064)</f>
        <v>44579.55794</v>
      </c>
      <c r="D2491" s="15">
        <f>IFERROR(__xludf.DUMMYFUNCTION("""COMPUTED_VALUE"""),1.007)</f>
        <v>1.007</v>
      </c>
      <c r="E2491" s="16">
        <f>IFERROR(__xludf.DUMMYFUNCTION("""COMPUTED_VALUE"""),63.0)</f>
        <v>63</v>
      </c>
      <c r="F2491" s="19" t="str">
        <f>IFERROR(__xludf.DUMMYFUNCTION("""COMPUTED_VALUE"""),"BLACK")</f>
        <v>BLACK</v>
      </c>
      <c r="G2491" s="20" t="str">
        <f>IFERROR(__xludf.DUMMYFUNCTION("""COMPUTED_VALUE"""),"Uncle Sams Cider (11/12/2021) 02")</f>
        <v>Uncle Sams Cider (11/12/2021) 02</v>
      </c>
      <c r="H2491" s="19"/>
    </row>
    <row r="2492">
      <c r="A2492" s="9"/>
      <c r="B2492" s="15"/>
      <c r="C2492" s="9">
        <f>IFERROR(__xludf.DUMMYFUNCTION("""COMPUTED_VALUE"""),44579.5475203009)</f>
        <v>44579.54752</v>
      </c>
      <c r="D2492" s="15">
        <f>IFERROR(__xludf.DUMMYFUNCTION("""COMPUTED_VALUE"""),1.007)</f>
        <v>1.007</v>
      </c>
      <c r="E2492" s="16">
        <f>IFERROR(__xludf.DUMMYFUNCTION("""COMPUTED_VALUE"""),63.0)</f>
        <v>63</v>
      </c>
      <c r="F2492" s="19" t="str">
        <f>IFERROR(__xludf.DUMMYFUNCTION("""COMPUTED_VALUE"""),"BLACK")</f>
        <v>BLACK</v>
      </c>
      <c r="G2492" s="20" t="str">
        <f>IFERROR(__xludf.DUMMYFUNCTION("""COMPUTED_VALUE"""),"Uncle Sams Cider (11/12/2021) 02")</f>
        <v>Uncle Sams Cider (11/12/2021) 02</v>
      </c>
      <c r="H2492" s="19"/>
    </row>
    <row r="2493">
      <c r="A2493" s="9"/>
      <c r="B2493" s="15"/>
      <c r="C2493" s="9">
        <f>IFERROR(__xludf.DUMMYFUNCTION("""COMPUTED_VALUE"""),44579.5370990625)</f>
        <v>44579.5371</v>
      </c>
      <c r="D2493" s="15">
        <f>IFERROR(__xludf.DUMMYFUNCTION("""COMPUTED_VALUE"""),1.007)</f>
        <v>1.007</v>
      </c>
      <c r="E2493" s="16">
        <f>IFERROR(__xludf.DUMMYFUNCTION("""COMPUTED_VALUE"""),63.0)</f>
        <v>63</v>
      </c>
      <c r="F2493" s="19" t="str">
        <f>IFERROR(__xludf.DUMMYFUNCTION("""COMPUTED_VALUE"""),"BLACK")</f>
        <v>BLACK</v>
      </c>
      <c r="G2493" s="20" t="str">
        <f>IFERROR(__xludf.DUMMYFUNCTION("""COMPUTED_VALUE"""),"Uncle Sams Cider (11/12/2021) 02")</f>
        <v>Uncle Sams Cider (11/12/2021) 02</v>
      </c>
      <c r="H2493" s="19"/>
    </row>
    <row r="2494">
      <c r="A2494" s="9"/>
      <c r="B2494" s="15"/>
      <c r="C2494" s="9">
        <f>IFERROR(__xludf.DUMMYFUNCTION("""COMPUTED_VALUE"""),44579.5266790277)</f>
        <v>44579.52668</v>
      </c>
      <c r="D2494" s="15">
        <f>IFERROR(__xludf.DUMMYFUNCTION("""COMPUTED_VALUE"""),1.007)</f>
        <v>1.007</v>
      </c>
      <c r="E2494" s="16">
        <f>IFERROR(__xludf.DUMMYFUNCTION("""COMPUTED_VALUE"""),63.0)</f>
        <v>63</v>
      </c>
      <c r="F2494" s="19" t="str">
        <f>IFERROR(__xludf.DUMMYFUNCTION("""COMPUTED_VALUE"""),"BLACK")</f>
        <v>BLACK</v>
      </c>
      <c r="G2494" s="20" t="str">
        <f>IFERROR(__xludf.DUMMYFUNCTION("""COMPUTED_VALUE"""),"Uncle Sams Cider (11/12/2021) 02")</f>
        <v>Uncle Sams Cider (11/12/2021) 02</v>
      </c>
      <c r="H2494" s="19"/>
    </row>
    <row r="2495">
      <c r="A2495" s="9"/>
      <c r="B2495" s="15"/>
      <c r="C2495" s="9">
        <f>IFERROR(__xludf.DUMMYFUNCTION("""COMPUTED_VALUE"""),44579.5162463194)</f>
        <v>44579.51625</v>
      </c>
      <c r="D2495" s="15">
        <f>IFERROR(__xludf.DUMMYFUNCTION("""COMPUTED_VALUE"""),1.007)</f>
        <v>1.007</v>
      </c>
      <c r="E2495" s="16">
        <f>IFERROR(__xludf.DUMMYFUNCTION("""COMPUTED_VALUE"""),63.0)</f>
        <v>63</v>
      </c>
      <c r="F2495" s="19" t="str">
        <f>IFERROR(__xludf.DUMMYFUNCTION("""COMPUTED_VALUE"""),"BLACK")</f>
        <v>BLACK</v>
      </c>
      <c r="G2495" s="20" t="str">
        <f>IFERROR(__xludf.DUMMYFUNCTION("""COMPUTED_VALUE"""),"Uncle Sams Cider (11/12/2021) 02")</f>
        <v>Uncle Sams Cider (11/12/2021) 02</v>
      </c>
      <c r="H2495" s="19"/>
    </row>
    <row r="2496">
      <c r="A2496" s="9"/>
      <c r="B2496" s="15"/>
      <c r="C2496" s="9">
        <f>IFERROR(__xludf.DUMMYFUNCTION("""COMPUTED_VALUE"""),44579.5058253703)</f>
        <v>44579.50583</v>
      </c>
      <c r="D2496" s="15">
        <f>IFERROR(__xludf.DUMMYFUNCTION("""COMPUTED_VALUE"""),1.007)</f>
        <v>1.007</v>
      </c>
      <c r="E2496" s="16">
        <f>IFERROR(__xludf.DUMMYFUNCTION("""COMPUTED_VALUE"""),64.0)</f>
        <v>64</v>
      </c>
      <c r="F2496" s="19" t="str">
        <f>IFERROR(__xludf.DUMMYFUNCTION("""COMPUTED_VALUE"""),"BLACK")</f>
        <v>BLACK</v>
      </c>
      <c r="G2496" s="20" t="str">
        <f>IFERROR(__xludf.DUMMYFUNCTION("""COMPUTED_VALUE"""),"Uncle Sams Cider (11/12/2021) 02")</f>
        <v>Uncle Sams Cider (11/12/2021) 02</v>
      </c>
      <c r="H2496" s="19"/>
    </row>
    <row r="2497">
      <c r="A2497" s="9"/>
      <c r="B2497" s="15"/>
      <c r="C2497" s="9">
        <f>IFERROR(__xludf.DUMMYFUNCTION("""COMPUTED_VALUE"""),44579.4953586689)</f>
        <v>44579.49536</v>
      </c>
      <c r="D2497" s="15">
        <f>IFERROR(__xludf.DUMMYFUNCTION("""COMPUTED_VALUE"""),1.007)</f>
        <v>1.007</v>
      </c>
      <c r="E2497" s="16">
        <f>IFERROR(__xludf.DUMMYFUNCTION("""COMPUTED_VALUE"""),64.0)</f>
        <v>64</v>
      </c>
      <c r="F2497" s="19" t="str">
        <f>IFERROR(__xludf.DUMMYFUNCTION("""COMPUTED_VALUE"""),"BLACK")</f>
        <v>BLACK</v>
      </c>
      <c r="G2497" s="20" t="str">
        <f>IFERROR(__xludf.DUMMYFUNCTION("""COMPUTED_VALUE"""),"Uncle Sams Cider (11/12/2021) 02")</f>
        <v>Uncle Sams Cider (11/12/2021) 02</v>
      </c>
      <c r="H2497" s="19"/>
    </row>
    <row r="2498">
      <c r="A2498" s="9"/>
      <c r="B2498" s="15"/>
      <c r="C2498" s="9">
        <f>IFERROR(__xludf.DUMMYFUNCTION("""COMPUTED_VALUE"""),44579.4849261921)</f>
        <v>44579.48493</v>
      </c>
      <c r="D2498" s="15">
        <f>IFERROR(__xludf.DUMMYFUNCTION("""COMPUTED_VALUE"""),1.007)</f>
        <v>1.007</v>
      </c>
      <c r="E2498" s="16">
        <f>IFERROR(__xludf.DUMMYFUNCTION("""COMPUTED_VALUE"""),64.0)</f>
        <v>64</v>
      </c>
      <c r="F2498" s="19" t="str">
        <f>IFERROR(__xludf.DUMMYFUNCTION("""COMPUTED_VALUE"""),"BLACK")</f>
        <v>BLACK</v>
      </c>
      <c r="G2498" s="20" t="str">
        <f>IFERROR(__xludf.DUMMYFUNCTION("""COMPUTED_VALUE"""),"Uncle Sams Cider (11/12/2021) 02")</f>
        <v>Uncle Sams Cider (11/12/2021) 02</v>
      </c>
      <c r="H2498" s="19"/>
    </row>
    <row r="2499">
      <c r="A2499" s="9"/>
      <c r="B2499" s="15"/>
      <c r="C2499" s="9">
        <f>IFERROR(__xludf.DUMMYFUNCTION("""COMPUTED_VALUE"""),44579.4745051504)</f>
        <v>44579.47451</v>
      </c>
      <c r="D2499" s="15">
        <f>IFERROR(__xludf.DUMMYFUNCTION("""COMPUTED_VALUE"""),1.007)</f>
        <v>1.007</v>
      </c>
      <c r="E2499" s="16">
        <f>IFERROR(__xludf.DUMMYFUNCTION("""COMPUTED_VALUE"""),64.0)</f>
        <v>64</v>
      </c>
      <c r="F2499" s="19" t="str">
        <f>IFERROR(__xludf.DUMMYFUNCTION("""COMPUTED_VALUE"""),"BLACK")</f>
        <v>BLACK</v>
      </c>
      <c r="G2499" s="20" t="str">
        <f>IFERROR(__xludf.DUMMYFUNCTION("""COMPUTED_VALUE"""),"Uncle Sams Cider (11/12/2021) 02")</f>
        <v>Uncle Sams Cider (11/12/2021) 02</v>
      </c>
      <c r="H2499" s="19"/>
    </row>
    <row r="2500">
      <c r="A2500" s="9"/>
      <c r="B2500" s="15"/>
      <c r="C2500" s="9">
        <f>IFERROR(__xludf.DUMMYFUNCTION("""COMPUTED_VALUE"""),44579.4640855787)</f>
        <v>44579.46409</v>
      </c>
      <c r="D2500" s="15">
        <f>IFERROR(__xludf.DUMMYFUNCTION("""COMPUTED_VALUE"""),1.007)</f>
        <v>1.007</v>
      </c>
      <c r="E2500" s="16">
        <f>IFERROR(__xludf.DUMMYFUNCTION("""COMPUTED_VALUE"""),64.0)</f>
        <v>64</v>
      </c>
      <c r="F2500" s="19" t="str">
        <f>IFERROR(__xludf.DUMMYFUNCTION("""COMPUTED_VALUE"""),"BLACK")</f>
        <v>BLACK</v>
      </c>
      <c r="G2500" s="20" t="str">
        <f>IFERROR(__xludf.DUMMYFUNCTION("""COMPUTED_VALUE"""),"Uncle Sams Cider (11/12/2021) 02")</f>
        <v>Uncle Sams Cider (11/12/2021) 02</v>
      </c>
      <c r="H2500" s="19"/>
    </row>
    <row r="2501">
      <c r="A2501" s="9"/>
      <c r="B2501" s="15"/>
      <c r="C2501" s="9">
        <f>IFERROR(__xludf.DUMMYFUNCTION("""COMPUTED_VALUE"""),44579.4536651041)</f>
        <v>44579.45367</v>
      </c>
      <c r="D2501" s="15">
        <f>IFERROR(__xludf.DUMMYFUNCTION("""COMPUTED_VALUE"""),1.007)</f>
        <v>1.007</v>
      </c>
      <c r="E2501" s="16">
        <f>IFERROR(__xludf.DUMMYFUNCTION("""COMPUTED_VALUE"""),64.0)</f>
        <v>64</v>
      </c>
      <c r="F2501" s="19" t="str">
        <f>IFERROR(__xludf.DUMMYFUNCTION("""COMPUTED_VALUE"""),"BLACK")</f>
        <v>BLACK</v>
      </c>
      <c r="G2501" s="20" t="str">
        <f>IFERROR(__xludf.DUMMYFUNCTION("""COMPUTED_VALUE"""),"Uncle Sams Cider (11/12/2021) 02")</f>
        <v>Uncle Sams Cider (11/12/2021) 02</v>
      </c>
      <c r="H2501" s="19"/>
    </row>
    <row r="2502">
      <c r="A2502" s="9"/>
      <c r="B2502" s="15"/>
      <c r="C2502" s="9">
        <f>IFERROR(__xludf.DUMMYFUNCTION("""COMPUTED_VALUE"""),44579.4432418518)</f>
        <v>44579.44324</v>
      </c>
      <c r="D2502" s="15">
        <f>IFERROR(__xludf.DUMMYFUNCTION("""COMPUTED_VALUE"""),1.007)</f>
        <v>1.007</v>
      </c>
      <c r="E2502" s="16">
        <f>IFERROR(__xludf.DUMMYFUNCTION("""COMPUTED_VALUE"""),64.0)</f>
        <v>64</v>
      </c>
      <c r="F2502" s="19" t="str">
        <f>IFERROR(__xludf.DUMMYFUNCTION("""COMPUTED_VALUE"""),"BLACK")</f>
        <v>BLACK</v>
      </c>
      <c r="G2502" s="20" t="str">
        <f>IFERROR(__xludf.DUMMYFUNCTION("""COMPUTED_VALUE"""),"Uncle Sams Cider (11/12/2021) 02")</f>
        <v>Uncle Sams Cider (11/12/2021) 02</v>
      </c>
      <c r="H2502" s="19"/>
    </row>
    <row r="2503">
      <c r="A2503" s="9"/>
      <c r="B2503" s="15"/>
      <c r="C2503" s="9">
        <f>IFERROR(__xludf.DUMMYFUNCTION("""COMPUTED_VALUE"""),44579.4328196296)</f>
        <v>44579.43282</v>
      </c>
      <c r="D2503" s="15">
        <f>IFERROR(__xludf.DUMMYFUNCTION("""COMPUTED_VALUE"""),1.007)</f>
        <v>1.007</v>
      </c>
      <c r="E2503" s="16">
        <f>IFERROR(__xludf.DUMMYFUNCTION("""COMPUTED_VALUE"""),64.0)</f>
        <v>64</v>
      </c>
      <c r="F2503" s="19" t="str">
        <f>IFERROR(__xludf.DUMMYFUNCTION("""COMPUTED_VALUE"""),"BLACK")</f>
        <v>BLACK</v>
      </c>
      <c r="G2503" s="20" t="str">
        <f>IFERROR(__xludf.DUMMYFUNCTION("""COMPUTED_VALUE"""),"Uncle Sams Cider (11/12/2021) 02")</f>
        <v>Uncle Sams Cider (11/12/2021) 02</v>
      </c>
      <c r="H2503" s="19"/>
    </row>
    <row r="2504">
      <c r="A2504" s="9"/>
      <c r="B2504" s="15"/>
      <c r="C2504" s="9">
        <f>IFERROR(__xludf.DUMMYFUNCTION("""COMPUTED_VALUE"""),44579.4223983217)</f>
        <v>44579.4224</v>
      </c>
      <c r="D2504" s="15">
        <f>IFERROR(__xludf.DUMMYFUNCTION("""COMPUTED_VALUE"""),1.006)</f>
        <v>1.006</v>
      </c>
      <c r="E2504" s="16">
        <f>IFERROR(__xludf.DUMMYFUNCTION("""COMPUTED_VALUE"""),64.0)</f>
        <v>64</v>
      </c>
      <c r="F2504" s="19" t="str">
        <f>IFERROR(__xludf.DUMMYFUNCTION("""COMPUTED_VALUE"""),"BLACK")</f>
        <v>BLACK</v>
      </c>
      <c r="G2504" s="20" t="str">
        <f>IFERROR(__xludf.DUMMYFUNCTION("""COMPUTED_VALUE"""),"Uncle Sams Cider (11/12/2021) 02")</f>
        <v>Uncle Sams Cider (11/12/2021) 02</v>
      </c>
      <c r="H2504" s="19"/>
    </row>
    <row r="2505">
      <c r="A2505" s="9"/>
      <c r="B2505" s="15"/>
      <c r="C2505" s="9">
        <f>IFERROR(__xludf.DUMMYFUNCTION("""COMPUTED_VALUE"""),44579.4119522916)</f>
        <v>44579.41195</v>
      </c>
      <c r="D2505" s="15">
        <f>IFERROR(__xludf.DUMMYFUNCTION("""COMPUTED_VALUE"""),1.007)</f>
        <v>1.007</v>
      </c>
      <c r="E2505" s="16">
        <f>IFERROR(__xludf.DUMMYFUNCTION("""COMPUTED_VALUE"""),64.0)</f>
        <v>64</v>
      </c>
      <c r="F2505" s="19" t="str">
        <f>IFERROR(__xludf.DUMMYFUNCTION("""COMPUTED_VALUE"""),"BLACK")</f>
        <v>BLACK</v>
      </c>
      <c r="G2505" s="20" t="str">
        <f>IFERROR(__xludf.DUMMYFUNCTION("""COMPUTED_VALUE"""),"Uncle Sams Cider (11/12/2021) 02")</f>
        <v>Uncle Sams Cider (11/12/2021) 02</v>
      </c>
      <c r="H2505" s="19"/>
    </row>
    <row r="2506">
      <c r="A2506" s="9"/>
      <c r="B2506" s="15"/>
      <c r="C2506" s="9">
        <f>IFERROR(__xludf.DUMMYFUNCTION("""COMPUTED_VALUE"""),44579.4015189467)</f>
        <v>44579.40152</v>
      </c>
      <c r="D2506" s="15">
        <f>IFERROR(__xludf.DUMMYFUNCTION("""COMPUTED_VALUE"""),1.007)</f>
        <v>1.007</v>
      </c>
      <c r="E2506" s="16">
        <f>IFERROR(__xludf.DUMMYFUNCTION("""COMPUTED_VALUE"""),64.0)</f>
        <v>64</v>
      </c>
      <c r="F2506" s="19" t="str">
        <f>IFERROR(__xludf.DUMMYFUNCTION("""COMPUTED_VALUE"""),"BLACK")</f>
        <v>BLACK</v>
      </c>
      <c r="G2506" s="20" t="str">
        <f>IFERROR(__xludf.DUMMYFUNCTION("""COMPUTED_VALUE"""),"Uncle Sams Cider (11/12/2021) 02")</f>
        <v>Uncle Sams Cider (11/12/2021) 02</v>
      </c>
      <c r="H2506" s="19"/>
    </row>
    <row r="2507">
      <c r="A2507" s="9"/>
      <c r="B2507" s="15"/>
      <c r="C2507" s="9">
        <f>IFERROR(__xludf.DUMMYFUNCTION("""COMPUTED_VALUE"""),44579.3910973611)</f>
        <v>44579.3911</v>
      </c>
      <c r="D2507" s="15">
        <f>IFERROR(__xludf.DUMMYFUNCTION("""COMPUTED_VALUE"""),1.007)</f>
        <v>1.007</v>
      </c>
      <c r="E2507" s="16">
        <f>IFERROR(__xludf.DUMMYFUNCTION("""COMPUTED_VALUE"""),64.0)</f>
        <v>64</v>
      </c>
      <c r="F2507" s="19" t="str">
        <f>IFERROR(__xludf.DUMMYFUNCTION("""COMPUTED_VALUE"""),"BLACK")</f>
        <v>BLACK</v>
      </c>
      <c r="G2507" s="20" t="str">
        <f>IFERROR(__xludf.DUMMYFUNCTION("""COMPUTED_VALUE"""),"Uncle Sams Cider (11/12/2021) 02")</f>
        <v>Uncle Sams Cider (11/12/2021) 02</v>
      </c>
      <c r="H2507" s="19"/>
    </row>
    <row r="2508">
      <c r="A2508" s="9"/>
      <c r="B2508" s="15"/>
      <c r="C2508" s="9">
        <f>IFERROR(__xludf.DUMMYFUNCTION("""COMPUTED_VALUE"""),44579.3806628935)</f>
        <v>44579.38066</v>
      </c>
      <c r="D2508" s="15">
        <f>IFERROR(__xludf.DUMMYFUNCTION("""COMPUTED_VALUE"""),1.007)</f>
        <v>1.007</v>
      </c>
      <c r="E2508" s="16">
        <f>IFERROR(__xludf.DUMMYFUNCTION("""COMPUTED_VALUE"""),64.0)</f>
        <v>64</v>
      </c>
      <c r="F2508" s="19" t="str">
        <f>IFERROR(__xludf.DUMMYFUNCTION("""COMPUTED_VALUE"""),"BLACK")</f>
        <v>BLACK</v>
      </c>
      <c r="G2508" s="20" t="str">
        <f>IFERROR(__xludf.DUMMYFUNCTION("""COMPUTED_VALUE"""),"Uncle Sams Cider (11/12/2021) 02")</f>
        <v>Uncle Sams Cider (11/12/2021) 02</v>
      </c>
      <c r="H2508" s="19"/>
    </row>
    <row r="2509">
      <c r="A2509" s="9"/>
      <c r="B2509" s="15"/>
      <c r="C2509" s="9">
        <f>IFERROR(__xludf.DUMMYFUNCTION("""COMPUTED_VALUE"""),44579.370241655)</f>
        <v>44579.37024</v>
      </c>
      <c r="D2509" s="15">
        <f>IFERROR(__xludf.DUMMYFUNCTION("""COMPUTED_VALUE"""),1.006)</f>
        <v>1.006</v>
      </c>
      <c r="E2509" s="16">
        <f>IFERROR(__xludf.DUMMYFUNCTION("""COMPUTED_VALUE"""),64.0)</f>
        <v>64</v>
      </c>
      <c r="F2509" s="19" t="str">
        <f>IFERROR(__xludf.DUMMYFUNCTION("""COMPUTED_VALUE"""),"BLACK")</f>
        <v>BLACK</v>
      </c>
      <c r="G2509" s="20" t="str">
        <f>IFERROR(__xludf.DUMMYFUNCTION("""COMPUTED_VALUE"""),"Uncle Sams Cider (11/12/2021) 02")</f>
        <v>Uncle Sams Cider (11/12/2021) 02</v>
      </c>
      <c r="H2509" s="19"/>
    </row>
    <row r="2510">
      <c r="A2510" s="9"/>
      <c r="B2510" s="15"/>
      <c r="C2510" s="9">
        <f>IFERROR(__xludf.DUMMYFUNCTION("""COMPUTED_VALUE"""),44579.3598196875)</f>
        <v>44579.35982</v>
      </c>
      <c r="D2510" s="15">
        <f>IFERROR(__xludf.DUMMYFUNCTION("""COMPUTED_VALUE"""),1.007)</f>
        <v>1.007</v>
      </c>
      <c r="E2510" s="16">
        <f>IFERROR(__xludf.DUMMYFUNCTION("""COMPUTED_VALUE"""),64.0)</f>
        <v>64</v>
      </c>
      <c r="F2510" s="19" t="str">
        <f>IFERROR(__xludf.DUMMYFUNCTION("""COMPUTED_VALUE"""),"BLACK")</f>
        <v>BLACK</v>
      </c>
      <c r="G2510" s="20" t="str">
        <f>IFERROR(__xludf.DUMMYFUNCTION("""COMPUTED_VALUE"""),"Uncle Sams Cider (11/12/2021) 02")</f>
        <v>Uncle Sams Cider (11/12/2021) 02</v>
      </c>
      <c r="H2510" s="19"/>
    </row>
    <row r="2511">
      <c r="A2511" s="9"/>
      <c r="B2511" s="15"/>
      <c r="C2511" s="9">
        <f>IFERROR(__xludf.DUMMYFUNCTION("""COMPUTED_VALUE"""),44579.3493994791)</f>
        <v>44579.3494</v>
      </c>
      <c r="D2511" s="15">
        <f>IFERROR(__xludf.DUMMYFUNCTION("""COMPUTED_VALUE"""),1.007)</f>
        <v>1.007</v>
      </c>
      <c r="E2511" s="16">
        <f>IFERROR(__xludf.DUMMYFUNCTION("""COMPUTED_VALUE"""),64.0)</f>
        <v>64</v>
      </c>
      <c r="F2511" s="19" t="str">
        <f>IFERROR(__xludf.DUMMYFUNCTION("""COMPUTED_VALUE"""),"BLACK")</f>
        <v>BLACK</v>
      </c>
      <c r="G2511" s="20" t="str">
        <f>IFERROR(__xludf.DUMMYFUNCTION("""COMPUTED_VALUE"""),"Uncle Sams Cider (11/12/2021) 02")</f>
        <v>Uncle Sams Cider (11/12/2021) 02</v>
      </c>
      <c r="H2511" s="19"/>
    </row>
    <row r="2512">
      <c r="A2512" s="9"/>
      <c r="B2512" s="15"/>
      <c r="C2512" s="9">
        <f>IFERROR(__xludf.DUMMYFUNCTION("""COMPUTED_VALUE"""),44579.3389565972)</f>
        <v>44579.33896</v>
      </c>
      <c r="D2512" s="15">
        <f>IFERROR(__xludf.DUMMYFUNCTION("""COMPUTED_VALUE"""),1.007)</f>
        <v>1.007</v>
      </c>
      <c r="E2512" s="16">
        <f>IFERROR(__xludf.DUMMYFUNCTION("""COMPUTED_VALUE"""),64.0)</f>
        <v>64</v>
      </c>
      <c r="F2512" s="19" t="str">
        <f>IFERROR(__xludf.DUMMYFUNCTION("""COMPUTED_VALUE"""),"BLACK")</f>
        <v>BLACK</v>
      </c>
      <c r="G2512" s="20" t="str">
        <f>IFERROR(__xludf.DUMMYFUNCTION("""COMPUTED_VALUE"""),"Uncle Sams Cider (11/12/2021) 02")</f>
        <v>Uncle Sams Cider (11/12/2021) 02</v>
      </c>
      <c r="H2512" s="19"/>
    </row>
    <row r="2513">
      <c r="A2513" s="9"/>
      <c r="B2513" s="15"/>
      <c r="C2513" s="9">
        <f>IFERROR(__xludf.DUMMYFUNCTION("""COMPUTED_VALUE"""),44579.3285363773)</f>
        <v>44579.32854</v>
      </c>
      <c r="D2513" s="15">
        <f>IFERROR(__xludf.DUMMYFUNCTION("""COMPUTED_VALUE"""),1.007)</f>
        <v>1.007</v>
      </c>
      <c r="E2513" s="16">
        <f>IFERROR(__xludf.DUMMYFUNCTION("""COMPUTED_VALUE"""),64.0)</f>
        <v>64</v>
      </c>
      <c r="F2513" s="19" t="str">
        <f>IFERROR(__xludf.DUMMYFUNCTION("""COMPUTED_VALUE"""),"BLACK")</f>
        <v>BLACK</v>
      </c>
      <c r="G2513" s="20" t="str">
        <f>IFERROR(__xludf.DUMMYFUNCTION("""COMPUTED_VALUE"""),"Uncle Sams Cider (11/12/2021) 02")</f>
        <v>Uncle Sams Cider (11/12/2021) 02</v>
      </c>
      <c r="H2513" s="19"/>
    </row>
    <row r="2514">
      <c r="A2514" s="9"/>
      <c r="B2514" s="15"/>
      <c r="C2514" s="9">
        <f>IFERROR(__xludf.DUMMYFUNCTION("""COMPUTED_VALUE"""),44579.3181154513)</f>
        <v>44579.31812</v>
      </c>
      <c r="D2514" s="15">
        <f>IFERROR(__xludf.DUMMYFUNCTION("""COMPUTED_VALUE"""),1.007)</f>
        <v>1.007</v>
      </c>
      <c r="E2514" s="16">
        <f>IFERROR(__xludf.DUMMYFUNCTION("""COMPUTED_VALUE"""),64.0)</f>
        <v>64</v>
      </c>
      <c r="F2514" s="19" t="str">
        <f>IFERROR(__xludf.DUMMYFUNCTION("""COMPUTED_VALUE"""),"BLACK")</f>
        <v>BLACK</v>
      </c>
      <c r="G2514" s="20" t="str">
        <f>IFERROR(__xludf.DUMMYFUNCTION("""COMPUTED_VALUE"""),"Uncle Sams Cider (11/12/2021) 02")</f>
        <v>Uncle Sams Cider (11/12/2021) 02</v>
      </c>
      <c r="H2514" s="19"/>
    </row>
    <row r="2515">
      <c r="A2515" s="9"/>
      <c r="B2515" s="15"/>
      <c r="C2515" s="9">
        <f>IFERROR(__xludf.DUMMYFUNCTION("""COMPUTED_VALUE"""),44579.3076943402)</f>
        <v>44579.30769</v>
      </c>
      <c r="D2515" s="15">
        <f>IFERROR(__xludf.DUMMYFUNCTION("""COMPUTED_VALUE"""),1.006)</f>
        <v>1.006</v>
      </c>
      <c r="E2515" s="16">
        <f>IFERROR(__xludf.DUMMYFUNCTION("""COMPUTED_VALUE"""),64.0)</f>
        <v>64</v>
      </c>
      <c r="F2515" s="19" t="str">
        <f>IFERROR(__xludf.DUMMYFUNCTION("""COMPUTED_VALUE"""),"BLACK")</f>
        <v>BLACK</v>
      </c>
      <c r="G2515" s="20" t="str">
        <f>IFERROR(__xludf.DUMMYFUNCTION("""COMPUTED_VALUE"""),"Uncle Sams Cider (11/12/2021) 02")</f>
        <v>Uncle Sams Cider (11/12/2021) 02</v>
      </c>
      <c r="H2515" s="19"/>
    </row>
    <row r="2516">
      <c r="A2516" s="9"/>
      <c r="B2516" s="15"/>
      <c r="C2516" s="9">
        <f>IFERROR(__xludf.DUMMYFUNCTION("""COMPUTED_VALUE"""),44579.2972611574)</f>
        <v>44579.29726</v>
      </c>
      <c r="D2516" s="15">
        <f>IFERROR(__xludf.DUMMYFUNCTION("""COMPUTED_VALUE"""),1.007)</f>
        <v>1.007</v>
      </c>
      <c r="E2516" s="16">
        <f>IFERROR(__xludf.DUMMYFUNCTION("""COMPUTED_VALUE"""),64.0)</f>
        <v>64</v>
      </c>
      <c r="F2516" s="19" t="str">
        <f>IFERROR(__xludf.DUMMYFUNCTION("""COMPUTED_VALUE"""),"BLACK")</f>
        <v>BLACK</v>
      </c>
      <c r="G2516" s="20" t="str">
        <f>IFERROR(__xludf.DUMMYFUNCTION("""COMPUTED_VALUE"""),"Uncle Sams Cider (11/12/2021) 02")</f>
        <v>Uncle Sams Cider (11/12/2021) 02</v>
      </c>
      <c r="H2516" s="19"/>
    </row>
    <row r="2517">
      <c r="A2517" s="9"/>
      <c r="B2517" s="15"/>
      <c r="C2517" s="9">
        <f>IFERROR(__xludf.DUMMYFUNCTION("""COMPUTED_VALUE"""),44579.2868404166)</f>
        <v>44579.28684</v>
      </c>
      <c r="D2517" s="15">
        <f>IFERROR(__xludf.DUMMYFUNCTION("""COMPUTED_VALUE"""),1.006)</f>
        <v>1.006</v>
      </c>
      <c r="E2517" s="16">
        <f>IFERROR(__xludf.DUMMYFUNCTION("""COMPUTED_VALUE"""),64.0)</f>
        <v>64</v>
      </c>
      <c r="F2517" s="19" t="str">
        <f>IFERROR(__xludf.DUMMYFUNCTION("""COMPUTED_VALUE"""),"BLACK")</f>
        <v>BLACK</v>
      </c>
      <c r="G2517" s="20" t="str">
        <f>IFERROR(__xludf.DUMMYFUNCTION("""COMPUTED_VALUE"""),"Uncle Sams Cider (11/12/2021) 02")</f>
        <v>Uncle Sams Cider (11/12/2021) 02</v>
      </c>
      <c r="H2517" s="19"/>
    </row>
    <row r="2518">
      <c r="A2518" s="9"/>
      <c r="B2518" s="15"/>
      <c r="C2518" s="9">
        <f>IFERROR(__xludf.DUMMYFUNCTION("""COMPUTED_VALUE"""),44579.2764202546)</f>
        <v>44579.27642</v>
      </c>
      <c r="D2518" s="15">
        <f>IFERROR(__xludf.DUMMYFUNCTION("""COMPUTED_VALUE"""),1.006)</f>
        <v>1.006</v>
      </c>
      <c r="E2518" s="16">
        <f>IFERROR(__xludf.DUMMYFUNCTION("""COMPUTED_VALUE"""),64.0)</f>
        <v>64</v>
      </c>
      <c r="F2518" s="19" t="str">
        <f>IFERROR(__xludf.DUMMYFUNCTION("""COMPUTED_VALUE"""),"BLACK")</f>
        <v>BLACK</v>
      </c>
      <c r="G2518" s="20" t="str">
        <f>IFERROR(__xludf.DUMMYFUNCTION("""COMPUTED_VALUE"""),"Uncle Sams Cider (11/12/2021) 02")</f>
        <v>Uncle Sams Cider (11/12/2021) 02</v>
      </c>
      <c r="H2518" s="19"/>
    </row>
    <row r="2519">
      <c r="A2519" s="9"/>
      <c r="B2519" s="15"/>
      <c r="C2519" s="9">
        <f>IFERROR(__xludf.DUMMYFUNCTION("""COMPUTED_VALUE"""),44579.2660001736)</f>
        <v>44579.266</v>
      </c>
      <c r="D2519" s="15">
        <f>IFERROR(__xludf.DUMMYFUNCTION("""COMPUTED_VALUE"""),1.007)</f>
        <v>1.007</v>
      </c>
      <c r="E2519" s="16">
        <f>IFERROR(__xludf.DUMMYFUNCTION("""COMPUTED_VALUE"""),64.0)</f>
        <v>64</v>
      </c>
      <c r="F2519" s="19" t="str">
        <f>IFERROR(__xludf.DUMMYFUNCTION("""COMPUTED_VALUE"""),"BLACK")</f>
        <v>BLACK</v>
      </c>
      <c r="G2519" s="20" t="str">
        <f>IFERROR(__xludf.DUMMYFUNCTION("""COMPUTED_VALUE"""),"Uncle Sams Cider (11/12/2021) 02")</f>
        <v>Uncle Sams Cider (11/12/2021) 02</v>
      </c>
      <c r="H2519" s="19"/>
    </row>
    <row r="2520">
      <c r="A2520" s="9"/>
      <c r="B2520" s="15"/>
      <c r="C2520" s="9">
        <f>IFERROR(__xludf.DUMMYFUNCTION("""COMPUTED_VALUE"""),44579.2555773148)</f>
        <v>44579.25558</v>
      </c>
      <c r="D2520" s="15">
        <f>IFERROR(__xludf.DUMMYFUNCTION("""COMPUTED_VALUE"""),1.007)</f>
        <v>1.007</v>
      </c>
      <c r="E2520" s="16">
        <f>IFERROR(__xludf.DUMMYFUNCTION("""COMPUTED_VALUE"""),64.0)</f>
        <v>64</v>
      </c>
      <c r="F2520" s="19" t="str">
        <f>IFERROR(__xludf.DUMMYFUNCTION("""COMPUTED_VALUE"""),"BLACK")</f>
        <v>BLACK</v>
      </c>
      <c r="G2520" s="20" t="str">
        <f>IFERROR(__xludf.DUMMYFUNCTION("""COMPUTED_VALUE"""),"Uncle Sams Cider (11/12/2021) 02")</f>
        <v>Uncle Sams Cider (11/12/2021) 02</v>
      </c>
      <c r="H2520" s="19"/>
    </row>
    <row r="2521">
      <c r="A2521" s="9"/>
      <c r="B2521" s="15"/>
      <c r="C2521" s="9">
        <f>IFERROR(__xludf.DUMMYFUNCTION("""COMPUTED_VALUE"""),44579.2451338078)</f>
        <v>44579.24513</v>
      </c>
      <c r="D2521" s="15">
        <f>IFERROR(__xludf.DUMMYFUNCTION("""COMPUTED_VALUE"""),1.007)</f>
        <v>1.007</v>
      </c>
      <c r="E2521" s="16">
        <f>IFERROR(__xludf.DUMMYFUNCTION("""COMPUTED_VALUE"""),64.0)</f>
        <v>64</v>
      </c>
      <c r="F2521" s="19" t="str">
        <f>IFERROR(__xludf.DUMMYFUNCTION("""COMPUTED_VALUE"""),"BLACK")</f>
        <v>BLACK</v>
      </c>
      <c r="G2521" s="20" t="str">
        <f>IFERROR(__xludf.DUMMYFUNCTION("""COMPUTED_VALUE"""),"Uncle Sams Cider (11/12/2021) 02")</f>
        <v>Uncle Sams Cider (11/12/2021) 02</v>
      </c>
      <c r="H2521" s="19"/>
    </row>
    <row r="2522">
      <c r="A2522" s="9"/>
      <c r="B2522" s="15"/>
      <c r="C2522" s="9">
        <f>IFERROR(__xludf.DUMMYFUNCTION("""COMPUTED_VALUE"""),44579.2347004513)</f>
        <v>44579.2347</v>
      </c>
      <c r="D2522" s="15">
        <f>IFERROR(__xludf.DUMMYFUNCTION("""COMPUTED_VALUE"""),1.006)</f>
        <v>1.006</v>
      </c>
      <c r="E2522" s="16">
        <f>IFERROR(__xludf.DUMMYFUNCTION("""COMPUTED_VALUE"""),64.0)</f>
        <v>64</v>
      </c>
      <c r="F2522" s="19" t="str">
        <f>IFERROR(__xludf.DUMMYFUNCTION("""COMPUTED_VALUE"""),"BLACK")</f>
        <v>BLACK</v>
      </c>
      <c r="G2522" s="20" t="str">
        <f>IFERROR(__xludf.DUMMYFUNCTION("""COMPUTED_VALUE"""),"Uncle Sams Cider (11/12/2021) 02")</f>
        <v>Uncle Sams Cider (11/12/2021) 02</v>
      </c>
      <c r="H2522" s="19"/>
    </row>
    <row r="2523">
      <c r="A2523" s="9"/>
      <c r="B2523" s="15"/>
      <c r="C2523" s="9">
        <f>IFERROR(__xludf.DUMMYFUNCTION("""COMPUTED_VALUE"""),44579.224278831)</f>
        <v>44579.22428</v>
      </c>
      <c r="D2523" s="15">
        <f>IFERROR(__xludf.DUMMYFUNCTION("""COMPUTED_VALUE"""),1.007)</f>
        <v>1.007</v>
      </c>
      <c r="E2523" s="16">
        <f>IFERROR(__xludf.DUMMYFUNCTION("""COMPUTED_VALUE"""),64.0)</f>
        <v>64</v>
      </c>
      <c r="F2523" s="19" t="str">
        <f>IFERROR(__xludf.DUMMYFUNCTION("""COMPUTED_VALUE"""),"BLACK")</f>
        <v>BLACK</v>
      </c>
      <c r="G2523" s="20" t="str">
        <f>IFERROR(__xludf.DUMMYFUNCTION("""COMPUTED_VALUE"""),"Uncle Sams Cider (11/12/2021) 02")</f>
        <v>Uncle Sams Cider (11/12/2021) 02</v>
      </c>
      <c r="H2523" s="19"/>
    </row>
    <row r="2524">
      <c r="A2524" s="9"/>
      <c r="B2524" s="15"/>
      <c r="C2524" s="9">
        <f>IFERROR(__xludf.DUMMYFUNCTION("""COMPUTED_VALUE"""),44579.2138583101)</f>
        <v>44579.21386</v>
      </c>
      <c r="D2524" s="15">
        <f>IFERROR(__xludf.DUMMYFUNCTION("""COMPUTED_VALUE"""),1.006)</f>
        <v>1.006</v>
      </c>
      <c r="E2524" s="16">
        <f>IFERROR(__xludf.DUMMYFUNCTION("""COMPUTED_VALUE"""),64.0)</f>
        <v>64</v>
      </c>
      <c r="F2524" s="19" t="str">
        <f>IFERROR(__xludf.DUMMYFUNCTION("""COMPUTED_VALUE"""),"BLACK")</f>
        <v>BLACK</v>
      </c>
      <c r="G2524" s="20" t="str">
        <f>IFERROR(__xludf.DUMMYFUNCTION("""COMPUTED_VALUE"""),"Uncle Sams Cider (11/12/2021) 02")</f>
        <v>Uncle Sams Cider (11/12/2021) 02</v>
      </c>
      <c r="H2524" s="19"/>
    </row>
    <row r="2525">
      <c r="A2525" s="9"/>
      <c r="B2525" s="15"/>
      <c r="C2525" s="9">
        <f>IFERROR(__xludf.DUMMYFUNCTION("""COMPUTED_VALUE"""),44579.2034370138)</f>
        <v>44579.20344</v>
      </c>
      <c r="D2525" s="15">
        <f>IFERROR(__xludf.DUMMYFUNCTION("""COMPUTED_VALUE"""),1.006)</f>
        <v>1.006</v>
      </c>
      <c r="E2525" s="16">
        <f>IFERROR(__xludf.DUMMYFUNCTION("""COMPUTED_VALUE"""),64.0)</f>
        <v>64</v>
      </c>
      <c r="F2525" s="19" t="str">
        <f>IFERROR(__xludf.DUMMYFUNCTION("""COMPUTED_VALUE"""),"BLACK")</f>
        <v>BLACK</v>
      </c>
      <c r="G2525" s="20" t="str">
        <f>IFERROR(__xludf.DUMMYFUNCTION("""COMPUTED_VALUE"""),"Uncle Sams Cider (11/12/2021) 02")</f>
        <v>Uncle Sams Cider (11/12/2021) 02</v>
      </c>
      <c r="H2525" s="19"/>
    </row>
    <row r="2526">
      <c r="A2526" s="9"/>
      <c r="B2526" s="15"/>
      <c r="C2526" s="9">
        <f>IFERROR(__xludf.DUMMYFUNCTION("""COMPUTED_VALUE"""),44579.1930159722)</f>
        <v>44579.19302</v>
      </c>
      <c r="D2526" s="15">
        <f>IFERROR(__xludf.DUMMYFUNCTION("""COMPUTED_VALUE"""),1.006)</f>
        <v>1.006</v>
      </c>
      <c r="E2526" s="16">
        <f>IFERROR(__xludf.DUMMYFUNCTION("""COMPUTED_VALUE"""),64.0)</f>
        <v>64</v>
      </c>
      <c r="F2526" s="19" t="str">
        <f>IFERROR(__xludf.DUMMYFUNCTION("""COMPUTED_VALUE"""),"BLACK")</f>
        <v>BLACK</v>
      </c>
      <c r="G2526" s="20" t="str">
        <f>IFERROR(__xludf.DUMMYFUNCTION("""COMPUTED_VALUE"""),"Uncle Sams Cider (11/12/2021) 02")</f>
        <v>Uncle Sams Cider (11/12/2021) 02</v>
      </c>
      <c r="H2526" s="19"/>
    </row>
    <row r="2527">
      <c r="A2527" s="9"/>
      <c r="B2527" s="15"/>
      <c r="C2527" s="9">
        <f>IFERROR(__xludf.DUMMYFUNCTION("""COMPUTED_VALUE"""),44579.1825937268)</f>
        <v>44579.18259</v>
      </c>
      <c r="D2527" s="15">
        <f>IFERROR(__xludf.DUMMYFUNCTION("""COMPUTED_VALUE"""),1.007)</f>
        <v>1.007</v>
      </c>
      <c r="E2527" s="16">
        <f>IFERROR(__xludf.DUMMYFUNCTION("""COMPUTED_VALUE"""),64.0)</f>
        <v>64</v>
      </c>
      <c r="F2527" s="19" t="str">
        <f>IFERROR(__xludf.DUMMYFUNCTION("""COMPUTED_VALUE"""),"BLACK")</f>
        <v>BLACK</v>
      </c>
      <c r="G2527" s="20" t="str">
        <f>IFERROR(__xludf.DUMMYFUNCTION("""COMPUTED_VALUE"""),"Uncle Sams Cider (11/12/2021) 02")</f>
        <v>Uncle Sams Cider (11/12/2021) 02</v>
      </c>
      <c r="H2527" s="19"/>
    </row>
    <row r="2528">
      <c r="A2528" s="9"/>
      <c r="B2528" s="15"/>
      <c r="C2528" s="9">
        <f>IFERROR(__xludf.DUMMYFUNCTION("""COMPUTED_VALUE"""),44579.1721605324)</f>
        <v>44579.17216</v>
      </c>
      <c r="D2528" s="15">
        <f>IFERROR(__xludf.DUMMYFUNCTION("""COMPUTED_VALUE"""),1.007)</f>
        <v>1.007</v>
      </c>
      <c r="E2528" s="16">
        <f>IFERROR(__xludf.DUMMYFUNCTION("""COMPUTED_VALUE"""),64.0)</f>
        <v>64</v>
      </c>
      <c r="F2528" s="19" t="str">
        <f>IFERROR(__xludf.DUMMYFUNCTION("""COMPUTED_VALUE"""),"BLACK")</f>
        <v>BLACK</v>
      </c>
      <c r="G2528" s="20" t="str">
        <f>IFERROR(__xludf.DUMMYFUNCTION("""COMPUTED_VALUE"""),"Uncle Sams Cider (11/12/2021) 02")</f>
        <v>Uncle Sams Cider (11/12/2021) 02</v>
      </c>
      <c r="H2528" s="19"/>
    </row>
    <row r="2529">
      <c r="A2529" s="9"/>
      <c r="B2529" s="15"/>
      <c r="C2529" s="9">
        <f>IFERROR(__xludf.DUMMYFUNCTION("""COMPUTED_VALUE"""),44579.1616830092)</f>
        <v>44579.16168</v>
      </c>
      <c r="D2529" s="15">
        <f>IFERROR(__xludf.DUMMYFUNCTION("""COMPUTED_VALUE"""),1.006)</f>
        <v>1.006</v>
      </c>
      <c r="E2529" s="16">
        <f>IFERROR(__xludf.DUMMYFUNCTION("""COMPUTED_VALUE"""),64.0)</f>
        <v>64</v>
      </c>
      <c r="F2529" s="19" t="str">
        <f>IFERROR(__xludf.DUMMYFUNCTION("""COMPUTED_VALUE"""),"BLACK")</f>
        <v>BLACK</v>
      </c>
      <c r="G2529" s="20" t="str">
        <f>IFERROR(__xludf.DUMMYFUNCTION("""COMPUTED_VALUE"""),"Uncle Sams Cider (11/12/2021) 02")</f>
        <v>Uncle Sams Cider (11/12/2021) 02</v>
      </c>
      <c r="H2529" s="19"/>
    </row>
    <row r="2530">
      <c r="A2530" s="9"/>
      <c r="B2530" s="15"/>
      <c r="C2530" s="9">
        <f>IFERROR(__xludf.DUMMYFUNCTION("""COMPUTED_VALUE"""),44579.1512618865)</f>
        <v>44579.15126</v>
      </c>
      <c r="D2530" s="15">
        <f>IFERROR(__xludf.DUMMYFUNCTION("""COMPUTED_VALUE"""),1.006)</f>
        <v>1.006</v>
      </c>
      <c r="E2530" s="16">
        <f>IFERROR(__xludf.DUMMYFUNCTION("""COMPUTED_VALUE"""),65.0)</f>
        <v>65</v>
      </c>
      <c r="F2530" s="19" t="str">
        <f>IFERROR(__xludf.DUMMYFUNCTION("""COMPUTED_VALUE"""),"BLACK")</f>
        <v>BLACK</v>
      </c>
      <c r="G2530" s="20" t="str">
        <f>IFERROR(__xludf.DUMMYFUNCTION("""COMPUTED_VALUE"""),"Uncle Sams Cider (11/12/2021) 02")</f>
        <v>Uncle Sams Cider (11/12/2021) 02</v>
      </c>
      <c r="H2530" s="19"/>
    </row>
    <row r="2531">
      <c r="A2531" s="9"/>
      <c r="B2531" s="15"/>
      <c r="C2531" s="9">
        <f>IFERROR(__xludf.DUMMYFUNCTION("""COMPUTED_VALUE"""),44579.1408399074)</f>
        <v>44579.14084</v>
      </c>
      <c r="D2531" s="15">
        <f>IFERROR(__xludf.DUMMYFUNCTION("""COMPUTED_VALUE"""),1.006)</f>
        <v>1.006</v>
      </c>
      <c r="E2531" s="16">
        <f>IFERROR(__xludf.DUMMYFUNCTION("""COMPUTED_VALUE"""),65.0)</f>
        <v>65</v>
      </c>
      <c r="F2531" s="19" t="str">
        <f>IFERROR(__xludf.DUMMYFUNCTION("""COMPUTED_VALUE"""),"BLACK")</f>
        <v>BLACK</v>
      </c>
      <c r="G2531" s="20" t="str">
        <f>IFERROR(__xludf.DUMMYFUNCTION("""COMPUTED_VALUE"""),"Uncle Sams Cider (11/12/2021) 02")</f>
        <v>Uncle Sams Cider (11/12/2021) 02</v>
      </c>
      <c r="H2531" s="19"/>
    </row>
    <row r="2532">
      <c r="A2532" s="9"/>
      <c r="B2532" s="15"/>
      <c r="C2532" s="9">
        <f>IFERROR(__xludf.DUMMYFUNCTION("""COMPUTED_VALUE"""),44579.1304189236)</f>
        <v>44579.13042</v>
      </c>
      <c r="D2532" s="15">
        <f>IFERROR(__xludf.DUMMYFUNCTION("""COMPUTED_VALUE"""),1.007)</f>
        <v>1.007</v>
      </c>
      <c r="E2532" s="16">
        <f>IFERROR(__xludf.DUMMYFUNCTION("""COMPUTED_VALUE"""),65.0)</f>
        <v>65</v>
      </c>
      <c r="F2532" s="19" t="str">
        <f>IFERROR(__xludf.DUMMYFUNCTION("""COMPUTED_VALUE"""),"BLACK")</f>
        <v>BLACK</v>
      </c>
      <c r="G2532" s="20" t="str">
        <f>IFERROR(__xludf.DUMMYFUNCTION("""COMPUTED_VALUE"""),"Uncle Sams Cider (11/12/2021) 02")</f>
        <v>Uncle Sams Cider (11/12/2021) 02</v>
      </c>
      <c r="H2532" s="19"/>
    </row>
    <row r="2533">
      <c r="A2533" s="9"/>
      <c r="B2533" s="15"/>
      <c r="C2533" s="9">
        <f>IFERROR(__xludf.DUMMYFUNCTION("""COMPUTED_VALUE"""),44579.1199965972)</f>
        <v>44579.12</v>
      </c>
      <c r="D2533" s="15">
        <f>IFERROR(__xludf.DUMMYFUNCTION("""COMPUTED_VALUE"""),1.006)</f>
        <v>1.006</v>
      </c>
      <c r="E2533" s="16">
        <f>IFERROR(__xludf.DUMMYFUNCTION("""COMPUTED_VALUE"""),65.0)</f>
        <v>65</v>
      </c>
      <c r="F2533" s="19" t="str">
        <f>IFERROR(__xludf.DUMMYFUNCTION("""COMPUTED_VALUE"""),"BLACK")</f>
        <v>BLACK</v>
      </c>
      <c r="G2533" s="20" t="str">
        <f>IFERROR(__xludf.DUMMYFUNCTION("""COMPUTED_VALUE"""),"Uncle Sams Cider (11/12/2021) 02")</f>
        <v>Uncle Sams Cider (11/12/2021) 02</v>
      </c>
      <c r="H2533" s="19"/>
    </row>
    <row r="2534">
      <c r="A2534" s="9"/>
      <c r="B2534" s="15"/>
      <c r="C2534" s="9">
        <f>IFERROR(__xludf.DUMMYFUNCTION("""COMPUTED_VALUE"""),44579.109552118)</f>
        <v>44579.10955</v>
      </c>
      <c r="D2534" s="15">
        <f>IFERROR(__xludf.DUMMYFUNCTION("""COMPUTED_VALUE"""),1.006)</f>
        <v>1.006</v>
      </c>
      <c r="E2534" s="16">
        <f>IFERROR(__xludf.DUMMYFUNCTION("""COMPUTED_VALUE"""),65.0)</f>
        <v>65</v>
      </c>
      <c r="F2534" s="19" t="str">
        <f>IFERROR(__xludf.DUMMYFUNCTION("""COMPUTED_VALUE"""),"BLACK")</f>
        <v>BLACK</v>
      </c>
      <c r="G2534" s="20" t="str">
        <f>IFERROR(__xludf.DUMMYFUNCTION("""COMPUTED_VALUE"""),"Uncle Sams Cider (11/12/2021) 02")</f>
        <v>Uncle Sams Cider (11/12/2021) 02</v>
      </c>
      <c r="H2534" s="19"/>
    </row>
    <row r="2535">
      <c r="A2535" s="9"/>
      <c r="B2535" s="15"/>
      <c r="C2535" s="9">
        <f>IFERROR(__xludf.DUMMYFUNCTION("""COMPUTED_VALUE"""),44579.0991313078)</f>
        <v>44579.09913</v>
      </c>
      <c r="D2535" s="15">
        <f>IFERROR(__xludf.DUMMYFUNCTION("""COMPUTED_VALUE"""),1.006)</f>
        <v>1.006</v>
      </c>
      <c r="E2535" s="16">
        <f>IFERROR(__xludf.DUMMYFUNCTION("""COMPUTED_VALUE"""),65.0)</f>
        <v>65</v>
      </c>
      <c r="F2535" s="19" t="str">
        <f>IFERROR(__xludf.DUMMYFUNCTION("""COMPUTED_VALUE"""),"BLACK")</f>
        <v>BLACK</v>
      </c>
      <c r="G2535" s="20" t="str">
        <f>IFERROR(__xludf.DUMMYFUNCTION("""COMPUTED_VALUE"""),"Uncle Sams Cider (11/12/2021) 02")</f>
        <v>Uncle Sams Cider (11/12/2021) 02</v>
      </c>
      <c r="H2535" s="19"/>
    </row>
    <row r="2536">
      <c r="A2536" s="9"/>
      <c r="B2536" s="15"/>
      <c r="C2536" s="9">
        <f>IFERROR(__xludf.DUMMYFUNCTION("""COMPUTED_VALUE"""),44579.0886983101)</f>
        <v>44579.0887</v>
      </c>
      <c r="D2536" s="15">
        <f>IFERROR(__xludf.DUMMYFUNCTION("""COMPUTED_VALUE"""),1.006)</f>
        <v>1.006</v>
      </c>
      <c r="E2536" s="16">
        <f>IFERROR(__xludf.DUMMYFUNCTION("""COMPUTED_VALUE"""),65.0)</f>
        <v>65</v>
      </c>
      <c r="F2536" s="19" t="str">
        <f>IFERROR(__xludf.DUMMYFUNCTION("""COMPUTED_VALUE"""),"BLACK")</f>
        <v>BLACK</v>
      </c>
      <c r="G2536" s="20" t="str">
        <f>IFERROR(__xludf.DUMMYFUNCTION("""COMPUTED_VALUE"""),"Uncle Sams Cider (11/12/2021) 02")</f>
        <v>Uncle Sams Cider (11/12/2021) 02</v>
      </c>
      <c r="H2536" s="19"/>
    </row>
    <row r="2537">
      <c r="A2537" s="9"/>
      <c r="B2537" s="15"/>
      <c r="C2537" s="9">
        <f>IFERROR(__xludf.DUMMYFUNCTION("""COMPUTED_VALUE"""),44579.0782769328)</f>
        <v>44579.07828</v>
      </c>
      <c r="D2537" s="15">
        <f>IFERROR(__xludf.DUMMYFUNCTION("""COMPUTED_VALUE"""),1.007)</f>
        <v>1.007</v>
      </c>
      <c r="E2537" s="16">
        <f>IFERROR(__xludf.DUMMYFUNCTION("""COMPUTED_VALUE"""),65.0)</f>
        <v>65</v>
      </c>
      <c r="F2537" s="19" t="str">
        <f>IFERROR(__xludf.DUMMYFUNCTION("""COMPUTED_VALUE"""),"BLACK")</f>
        <v>BLACK</v>
      </c>
      <c r="G2537" s="20" t="str">
        <f>IFERROR(__xludf.DUMMYFUNCTION("""COMPUTED_VALUE"""),"Uncle Sams Cider (11/12/2021) 02")</f>
        <v>Uncle Sams Cider (11/12/2021) 02</v>
      </c>
      <c r="H2537" s="19"/>
    </row>
    <row r="2538">
      <c r="A2538" s="9"/>
      <c r="B2538" s="15"/>
      <c r="C2538" s="9">
        <f>IFERROR(__xludf.DUMMYFUNCTION("""COMPUTED_VALUE"""),44579.0678545833)</f>
        <v>44579.06785</v>
      </c>
      <c r="D2538" s="15">
        <f>IFERROR(__xludf.DUMMYFUNCTION("""COMPUTED_VALUE"""),1.007)</f>
        <v>1.007</v>
      </c>
      <c r="E2538" s="16">
        <f>IFERROR(__xludf.DUMMYFUNCTION("""COMPUTED_VALUE"""),65.0)</f>
        <v>65</v>
      </c>
      <c r="F2538" s="19" t="str">
        <f>IFERROR(__xludf.DUMMYFUNCTION("""COMPUTED_VALUE"""),"BLACK")</f>
        <v>BLACK</v>
      </c>
      <c r="G2538" s="20" t="str">
        <f>IFERROR(__xludf.DUMMYFUNCTION("""COMPUTED_VALUE"""),"Uncle Sams Cider (11/12/2021) 02")</f>
        <v>Uncle Sams Cider (11/12/2021) 02</v>
      </c>
      <c r="H2538" s="19"/>
    </row>
    <row r="2539">
      <c r="A2539" s="9"/>
      <c r="B2539" s="15"/>
      <c r="C2539" s="9">
        <f>IFERROR(__xludf.DUMMYFUNCTION("""COMPUTED_VALUE"""),44579.0574229282)</f>
        <v>44579.05742</v>
      </c>
      <c r="D2539" s="15">
        <f>IFERROR(__xludf.DUMMYFUNCTION("""COMPUTED_VALUE"""),1.007)</f>
        <v>1.007</v>
      </c>
      <c r="E2539" s="16">
        <f>IFERROR(__xludf.DUMMYFUNCTION("""COMPUTED_VALUE"""),65.0)</f>
        <v>65</v>
      </c>
      <c r="F2539" s="19" t="str">
        <f>IFERROR(__xludf.DUMMYFUNCTION("""COMPUTED_VALUE"""),"BLACK")</f>
        <v>BLACK</v>
      </c>
      <c r="G2539" s="20" t="str">
        <f>IFERROR(__xludf.DUMMYFUNCTION("""COMPUTED_VALUE"""),"Uncle Sams Cider (11/12/2021) 02")</f>
        <v>Uncle Sams Cider (11/12/2021) 02</v>
      </c>
      <c r="H2539" s="19"/>
    </row>
    <row r="2540">
      <c r="A2540" s="9"/>
      <c r="B2540" s="15"/>
      <c r="C2540" s="9">
        <f>IFERROR(__xludf.DUMMYFUNCTION("""COMPUTED_VALUE"""),44579.0470017939)</f>
        <v>44579.047</v>
      </c>
      <c r="D2540" s="15">
        <f>IFERROR(__xludf.DUMMYFUNCTION("""COMPUTED_VALUE"""),1.006)</f>
        <v>1.006</v>
      </c>
      <c r="E2540" s="16">
        <f>IFERROR(__xludf.DUMMYFUNCTION("""COMPUTED_VALUE"""),65.0)</f>
        <v>65</v>
      </c>
      <c r="F2540" s="19" t="str">
        <f>IFERROR(__xludf.DUMMYFUNCTION("""COMPUTED_VALUE"""),"BLACK")</f>
        <v>BLACK</v>
      </c>
      <c r="G2540" s="20" t="str">
        <f>IFERROR(__xludf.DUMMYFUNCTION("""COMPUTED_VALUE"""),"Uncle Sams Cider (11/12/2021) 02")</f>
        <v>Uncle Sams Cider (11/12/2021) 02</v>
      </c>
      <c r="H2540" s="19"/>
    </row>
    <row r="2541">
      <c r="A2541" s="9"/>
      <c r="B2541" s="15"/>
      <c r="C2541" s="9">
        <f>IFERROR(__xludf.DUMMYFUNCTION("""COMPUTED_VALUE"""),44579.0365793055)</f>
        <v>44579.03658</v>
      </c>
      <c r="D2541" s="15">
        <f>IFERROR(__xludf.DUMMYFUNCTION("""COMPUTED_VALUE"""),1.006)</f>
        <v>1.006</v>
      </c>
      <c r="E2541" s="16">
        <f>IFERROR(__xludf.DUMMYFUNCTION("""COMPUTED_VALUE"""),65.0)</f>
        <v>65</v>
      </c>
      <c r="F2541" s="19" t="str">
        <f>IFERROR(__xludf.DUMMYFUNCTION("""COMPUTED_VALUE"""),"BLACK")</f>
        <v>BLACK</v>
      </c>
      <c r="G2541" s="20" t="str">
        <f>IFERROR(__xludf.DUMMYFUNCTION("""COMPUTED_VALUE"""),"Uncle Sams Cider (11/12/2021) 02")</f>
        <v>Uncle Sams Cider (11/12/2021) 02</v>
      </c>
      <c r="H2541" s="19"/>
    </row>
    <row r="2542">
      <c r="A2542" s="9"/>
      <c r="B2542" s="15"/>
      <c r="C2542" s="9">
        <f>IFERROR(__xludf.DUMMYFUNCTION("""COMPUTED_VALUE"""),44579.0261458217)</f>
        <v>44579.02615</v>
      </c>
      <c r="D2542" s="15">
        <f>IFERROR(__xludf.DUMMYFUNCTION("""COMPUTED_VALUE"""),1.006)</f>
        <v>1.006</v>
      </c>
      <c r="E2542" s="16">
        <f>IFERROR(__xludf.DUMMYFUNCTION("""COMPUTED_VALUE"""),65.0)</f>
        <v>65</v>
      </c>
      <c r="F2542" s="19" t="str">
        <f>IFERROR(__xludf.DUMMYFUNCTION("""COMPUTED_VALUE"""),"BLACK")</f>
        <v>BLACK</v>
      </c>
      <c r="G2542" s="20" t="str">
        <f>IFERROR(__xludf.DUMMYFUNCTION("""COMPUTED_VALUE"""),"Uncle Sams Cider (11/12/2021) 02")</f>
        <v>Uncle Sams Cider (11/12/2021) 02</v>
      </c>
      <c r="H2542" s="19"/>
    </row>
    <row r="2543">
      <c r="A2543" s="9"/>
      <c r="B2543" s="15"/>
      <c r="C2543" s="9">
        <f>IFERROR(__xludf.DUMMYFUNCTION("""COMPUTED_VALUE"""),44579.0157245138)</f>
        <v>44579.01572</v>
      </c>
      <c r="D2543" s="15">
        <f>IFERROR(__xludf.DUMMYFUNCTION("""COMPUTED_VALUE"""),1.006)</f>
        <v>1.006</v>
      </c>
      <c r="E2543" s="16">
        <f>IFERROR(__xludf.DUMMYFUNCTION("""COMPUTED_VALUE"""),65.0)</f>
        <v>65</v>
      </c>
      <c r="F2543" s="19" t="str">
        <f>IFERROR(__xludf.DUMMYFUNCTION("""COMPUTED_VALUE"""),"BLACK")</f>
        <v>BLACK</v>
      </c>
      <c r="G2543" s="20" t="str">
        <f>IFERROR(__xludf.DUMMYFUNCTION("""COMPUTED_VALUE"""),"Uncle Sams Cider (11/12/2021) 02")</f>
        <v>Uncle Sams Cider (11/12/2021) 02</v>
      </c>
      <c r="H2543" s="19"/>
    </row>
    <row r="2544">
      <c r="A2544" s="9"/>
      <c r="B2544" s="15"/>
      <c r="C2544" s="9">
        <f>IFERROR(__xludf.DUMMYFUNCTION("""COMPUTED_VALUE"""),44579.0052574537)</f>
        <v>44579.00526</v>
      </c>
      <c r="D2544" s="15">
        <f>IFERROR(__xludf.DUMMYFUNCTION("""COMPUTED_VALUE"""),1.007)</f>
        <v>1.007</v>
      </c>
      <c r="E2544" s="16">
        <f>IFERROR(__xludf.DUMMYFUNCTION("""COMPUTED_VALUE"""),65.0)</f>
        <v>65</v>
      </c>
      <c r="F2544" s="19" t="str">
        <f>IFERROR(__xludf.DUMMYFUNCTION("""COMPUTED_VALUE"""),"BLACK")</f>
        <v>BLACK</v>
      </c>
      <c r="G2544" s="20" t="str">
        <f>IFERROR(__xludf.DUMMYFUNCTION("""COMPUTED_VALUE"""),"Uncle Sams Cider (11/12/2021) 02")</f>
        <v>Uncle Sams Cider (11/12/2021) 02</v>
      </c>
      <c r="H2544" s="19"/>
    </row>
    <row r="2545">
      <c r="A2545" s="9"/>
      <c r="B2545" s="15"/>
      <c r="C2545" s="9">
        <f>IFERROR(__xludf.DUMMYFUNCTION("""COMPUTED_VALUE"""),44578.9948374074)</f>
        <v>44578.99484</v>
      </c>
      <c r="D2545" s="15">
        <f>IFERROR(__xludf.DUMMYFUNCTION("""COMPUTED_VALUE"""),1.006)</f>
        <v>1.006</v>
      </c>
      <c r="E2545" s="16">
        <f>IFERROR(__xludf.DUMMYFUNCTION("""COMPUTED_VALUE"""),65.0)</f>
        <v>65</v>
      </c>
      <c r="F2545" s="19" t="str">
        <f>IFERROR(__xludf.DUMMYFUNCTION("""COMPUTED_VALUE"""),"BLACK")</f>
        <v>BLACK</v>
      </c>
      <c r="G2545" s="20" t="str">
        <f>IFERROR(__xludf.DUMMYFUNCTION("""COMPUTED_VALUE"""),"Uncle Sams Cider (11/12/2021) 02")</f>
        <v>Uncle Sams Cider (11/12/2021) 02</v>
      </c>
      <c r="H2545" s="19"/>
    </row>
    <row r="2546">
      <c r="A2546" s="9"/>
      <c r="B2546" s="15"/>
      <c r="C2546" s="9">
        <f>IFERROR(__xludf.DUMMYFUNCTION("""COMPUTED_VALUE"""),44578.9844173611)</f>
        <v>44578.98442</v>
      </c>
      <c r="D2546" s="15">
        <f>IFERROR(__xludf.DUMMYFUNCTION("""COMPUTED_VALUE"""),1.006)</f>
        <v>1.006</v>
      </c>
      <c r="E2546" s="16">
        <f>IFERROR(__xludf.DUMMYFUNCTION("""COMPUTED_VALUE"""),65.0)</f>
        <v>65</v>
      </c>
      <c r="F2546" s="19" t="str">
        <f>IFERROR(__xludf.DUMMYFUNCTION("""COMPUTED_VALUE"""),"BLACK")</f>
        <v>BLACK</v>
      </c>
      <c r="G2546" s="20" t="str">
        <f>IFERROR(__xludf.DUMMYFUNCTION("""COMPUTED_VALUE"""),"Uncle Sams Cider (11/12/2021) 02")</f>
        <v>Uncle Sams Cider (11/12/2021) 02</v>
      </c>
      <c r="H2546" s="19"/>
    </row>
    <row r="2547">
      <c r="A2547" s="9"/>
      <c r="B2547" s="15"/>
      <c r="C2547" s="9">
        <f>IFERROR(__xludf.DUMMYFUNCTION("""COMPUTED_VALUE"""),44578.9739967013)</f>
        <v>44578.974</v>
      </c>
      <c r="D2547" s="15">
        <f>IFERROR(__xludf.DUMMYFUNCTION("""COMPUTED_VALUE"""),1.007)</f>
        <v>1.007</v>
      </c>
      <c r="E2547" s="16">
        <f>IFERROR(__xludf.DUMMYFUNCTION("""COMPUTED_VALUE"""),65.0)</f>
        <v>65</v>
      </c>
      <c r="F2547" s="19" t="str">
        <f>IFERROR(__xludf.DUMMYFUNCTION("""COMPUTED_VALUE"""),"BLACK")</f>
        <v>BLACK</v>
      </c>
      <c r="G2547" s="20" t="str">
        <f>IFERROR(__xludf.DUMMYFUNCTION("""COMPUTED_VALUE"""),"Uncle Sams Cider (11/12/2021) 02")</f>
        <v>Uncle Sams Cider (11/12/2021) 02</v>
      </c>
      <c r="H2547" s="19"/>
    </row>
    <row r="2548">
      <c r="A2548" s="9"/>
      <c r="B2548" s="15"/>
      <c r="C2548" s="9">
        <f>IFERROR(__xludf.DUMMYFUNCTION("""COMPUTED_VALUE"""),44578.9635636226)</f>
        <v>44578.96356</v>
      </c>
      <c r="D2548" s="15">
        <f>IFERROR(__xludf.DUMMYFUNCTION("""COMPUTED_VALUE"""),1.007)</f>
        <v>1.007</v>
      </c>
      <c r="E2548" s="16">
        <f>IFERROR(__xludf.DUMMYFUNCTION("""COMPUTED_VALUE"""),65.0)</f>
        <v>65</v>
      </c>
      <c r="F2548" s="19" t="str">
        <f>IFERROR(__xludf.DUMMYFUNCTION("""COMPUTED_VALUE"""),"BLACK")</f>
        <v>BLACK</v>
      </c>
      <c r="G2548" s="20" t="str">
        <f>IFERROR(__xludf.DUMMYFUNCTION("""COMPUTED_VALUE"""),"Uncle Sams Cider (11/12/2021) 02")</f>
        <v>Uncle Sams Cider (11/12/2021) 02</v>
      </c>
      <c r="H2548" s="19"/>
    </row>
    <row r="2549">
      <c r="A2549" s="9"/>
      <c r="B2549" s="15"/>
      <c r="C2549" s="9">
        <f>IFERROR(__xludf.DUMMYFUNCTION("""COMPUTED_VALUE"""),44578.9531436226)</f>
        <v>44578.95314</v>
      </c>
      <c r="D2549" s="15">
        <f>IFERROR(__xludf.DUMMYFUNCTION("""COMPUTED_VALUE"""),1.007)</f>
        <v>1.007</v>
      </c>
      <c r="E2549" s="16">
        <f>IFERROR(__xludf.DUMMYFUNCTION("""COMPUTED_VALUE"""),65.0)</f>
        <v>65</v>
      </c>
      <c r="F2549" s="19" t="str">
        <f>IFERROR(__xludf.DUMMYFUNCTION("""COMPUTED_VALUE"""),"BLACK")</f>
        <v>BLACK</v>
      </c>
      <c r="G2549" s="20" t="str">
        <f>IFERROR(__xludf.DUMMYFUNCTION("""COMPUTED_VALUE"""),"Uncle Sams Cider (11/12/2021) 02")</f>
        <v>Uncle Sams Cider (11/12/2021) 02</v>
      </c>
      <c r="H2549" s="19"/>
    </row>
    <row r="2550">
      <c r="A2550" s="9"/>
      <c r="B2550" s="15"/>
      <c r="C2550" s="9">
        <f>IFERROR(__xludf.DUMMYFUNCTION("""COMPUTED_VALUE"""),44578.94270978)</f>
        <v>44578.94271</v>
      </c>
      <c r="D2550" s="15">
        <f>IFERROR(__xludf.DUMMYFUNCTION("""COMPUTED_VALUE"""),1.007)</f>
        <v>1.007</v>
      </c>
      <c r="E2550" s="16">
        <f>IFERROR(__xludf.DUMMYFUNCTION("""COMPUTED_VALUE"""),65.0)</f>
        <v>65</v>
      </c>
      <c r="F2550" s="19" t="str">
        <f>IFERROR(__xludf.DUMMYFUNCTION("""COMPUTED_VALUE"""),"BLACK")</f>
        <v>BLACK</v>
      </c>
      <c r="G2550" s="20" t="str">
        <f>IFERROR(__xludf.DUMMYFUNCTION("""COMPUTED_VALUE"""),"Uncle Sams Cider (11/12/2021) 02")</f>
        <v>Uncle Sams Cider (11/12/2021) 02</v>
      </c>
      <c r="H2550" s="19"/>
    </row>
    <row r="2551">
      <c r="A2551" s="9"/>
      <c r="B2551" s="15"/>
      <c r="C2551" s="9">
        <f>IFERROR(__xludf.DUMMYFUNCTION("""COMPUTED_VALUE"""),44578.9322898032)</f>
        <v>44578.93229</v>
      </c>
      <c r="D2551" s="15">
        <f>IFERROR(__xludf.DUMMYFUNCTION("""COMPUTED_VALUE"""),1.006)</f>
        <v>1.006</v>
      </c>
      <c r="E2551" s="16">
        <f>IFERROR(__xludf.DUMMYFUNCTION("""COMPUTED_VALUE"""),65.0)</f>
        <v>65</v>
      </c>
      <c r="F2551" s="19" t="str">
        <f>IFERROR(__xludf.DUMMYFUNCTION("""COMPUTED_VALUE"""),"BLACK")</f>
        <v>BLACK</v>
      </c>
      <c r="G2551" s="20" t="str">
        <f>IFERROR(__xludf.DUMMYFUNCTION("""COMPUTED_VALUE"""),"Uncle Sams Cider (11/12/2021) 02")</f>
        <v>Uncle Sams Cider (11/12/2021) 02</v>
      </c>
      <c r="H2551" s="19"/>
    </row>
    <row r="2552">
      <c r="A2552" s="9"/>
      <c r="B2552" s="15"/>
      <c r="C2552" s="9">
        <f>IFERROR(__xludf.DUMMYFUNCTION("""COMPUTED_VALUE"""),44578.92181)</f>
        <v>44578.92181</v>
      </c>
      <c r="D2552" s="15">
        <f>IFERROR(__xludf.DUMMYFUNCTION("""COMPUTED_VALUE"""),1.006)</f>
        <v>1.006</v>
      </c>
      <c r="E2552" s="16">
        <f>IFERROR(__xludf.DUMMYFUNCTION("""COMPUTED_VALUE"""),65.0)</f>
        <v>65</v>
      </c>
      <c r="F2552" s="19" t="str">
        <f>IFERROR(__xludf.DUMMYFUNCTION("""COMPUTED_VALUE"""),"BLACK")</f>
        <v>BLACK</v>
      </c>
      <c r="G2552" s="20" t="str">
        <f>IFERROR(__xludf.DUMMYFUNCTION("""COMPUTED_VALUE"""),"Uncle Sams Cider (11/12/2021) 02")</f>
        <v>Uncle Sams Cider (11/12/2021) 02</v>
      </c>
      <c r="H2552" s="19"/>
    </row>
    <row r="2553">
      <c r="A2553" s="9"/>
      <c r="B2553" s="15"/>
      <c r="C2553" s="9">
        <f>IFERROR(__xludf.DUMMYFUNCTION("""COMPUTED_VALUE"""),44578.9113768055)</f>
        <v>44578.91138</v>
      </c>
      <c r="D2553" s="15">
        <f>IFERROR(__xludf.DUMMYFUNCTION("""COMPUTED_VALUE"""),1.006)</f>
        <v>1.006</v>
      </c>
      <c r="E2553" s="16">
        <f>IFERROR(__xludf.DUMMYFUNCTION("""COMPUTED_VALUE"""),65.0)</f>
        <v>65</v>
      </c>
      <c r="F2553" s="19" t="str">
        <f>IFERROR(__xludf.DUMMYFUNCTION("""COMPUTED_VALUE"""),"BLACK")</f>
        <v>BLACK</v>
      </c>
      <c r="G2553" s="20" t="str">
        <f>IFERROR(__xludf.DUMMYFUNCTION("""COMPUTED_VALUE"""),"Uncle Sams Cider (11/12/2021) 02")</f>
        <v>Uncle Sams Cider (11/12/2021) 02</v>
      </c>
      <c r="H2553" s="19"/>
    </row>
    <row r="2554">
      <c r="A2554" s="9"/>
      <c r="B2554" s="15"/>
      <c r="C2554" s="9">
        <f>IFERROR(__xludf.DUMMYFUNCTION("""COMPUTED_VALUE"""),44578.9009543287)</f>
        <v>44578.90095</v>
      </c>
      <c r="D2554" s="15">
        <f>IFERROR(__xludf.DUMMYFUNCTION("""COMPUTED_VALUE"""),1.007)</f>
        <v>1.007</v>
      </c>
      <c r="E2554" s="16">
        <f>IFERROR(__xludf.DUMMYFUNCTION("""COMPUTED_VALUE"""),65.0)</f>
        <v>65</v>
      </c>
      <c r="F2554" s="19" t="str">
        <f>IFERROR(__xludf.DUMMYFUNCTION("""COMPUTED_VALUE"""),"BLACK")</f>
        <v>BLACK</v>
      </c>
      <c r="G2554" s="20" t="str">
        <f>IFERROR(__xludf.DUMMYFUNCTION("""COMPUTED_VALUE"""),"Uncle Sams Cider (11/12/2021) 02")</f>
        <v>Uncle Sams Cider (11/12/2021) 02</v>
      </c>
      <c r="H2554" s="19"/>
    </row>
    <row r="2555">
      <c r="A2555" s="9"/>
      <c r="B2555" s="15"/>
      <c r="C2555" s="9">
        <f>IFERROR(__xludf.DUMMYFUNCTION("""COMPUTED_VALUE"""),44578.8905320601)</f>
        <v>44578.89053</v>
      </c>
      <c r="D2555" s="15">
        <f>IFERROR(__xludf.DUMMYFUNCTION("""COMPUTED_VALUE"""),1.007)</f>
        <v>1.007</v>
      </c>
      <c r="E2555" s="16">
        <f>IFERROR(__xludf.DUMMYFUNCTION("""COMPUTED_VALUE"""),65.0)</f>
        <v>65</v>
      </c>
      <c r="F2555" s="19" t="str">
        <f>IFERROR(__xludf.DUMMYFUNCTION("""COMPUTED_VALUE"""),"BLACK")</f>
        <v>BLACK</v>
      </c>
      <c r="G2555" s="20" t="str">
        <f>IFERROR(__xludf.DUMMYFUNCTION("""COMPUTED_VALUE"""),"Uncle Sams Cider (11/12/2021) 02")</f>
        <v>Uncle Sams Cider (11/12/2021) 02</v>
      </c>
      <c r="H2555" s="19"/>
    </row>
    <row r="2556">
      <c r="A2556" s="9"/>
      <c r="B2556" s="15"/>
      <c r="C2556" s="9">
        <f>IFERROR(__xludf.DUMMYFUNCTION("""COMPUTED_VALUE"""),44578.8800639814)</f>
        <v>44578.88006</v>
      </c>
      <c r="D2556" s="15">
        <f>IFERROR(__xludf.DUMMYFUNCTION("""COMPUTED_VALUE"""),1.007)</f>
        <v>1.007</v>
      </c>
      <c r="E2556" s="16">
        <f>IFERROR(__xludf.DUMMYFUNCTION("""COMPUTED_VALUE"""),65.0)</f>
        <v>65</v>
      </c>
      <c r="F2556" s="19" t="str">
        <f>IFERROR(__xludf.DUMMYFUNCTION("""COMPUTED_VALUE"""),"BLACK")</f>
        <v>BLACK</v>
      </c>
      <c r="G2556" s="20" t="str">
        <f>IFERROR(__xludf.DUMMYFUNCTION("""COMPUTED_VALUE"""),"Uncle Sams Cider (11/12/2021) 02")</f>
        <v>Uncle Sams Cider (11/12/2021) 02</v>
      </c>
      <c r="H2556" s="19"/>
    </row>
    <row r="2557">
      <c r="A2557" s="9"/>
      <c r="B2557" s="15"/>
      <c r="C2557" s="9">
        <f>IFERROR(__xludf.DUMMYFUNCTION("""COMPUTED_VALUE"""),44578.8696436805)</f>
        <v>44578.86964</v>
      </c>
      <c r="D2557" s="15">
        <f>IFERROR(__xludf.DUMMYFUNCTION("""COMPUTED_VALUE"""),1.006)</f>
        <v>1.006</v>
      </c>
      <c r="E2557" s="16">
        <f>IFERROR(__xludf.DUMMYFUNCTION("""COMPUTED_VALUE"""),65.0)</f>
        <v>65</v>
      </c>
      <c r="F2557" s="19" t="str">
        <f>IFERROR(__xludf.DUMMYFUNCTION("""COMPUTED_VALUE"""),"BLACK")</f>
        <v>BLACK</v>
      </c>
      <c r="G2557" s="20" t="str">
        <f>IFERROR(__xludf.DUMMYFUNCTION("""COMPUTED_VALUE"""),"Uncle Sams Cider (11/12/2021) 02")</f>
        <v>Uncle Sams Cider (11/12/2021) 02</v>
      </c>
      <c r="H2557" s="19"/>
    </row>
    <row r="2558">
      <c r="A2558" s="9"/>
      <c r="B2558" s="15"/>
      <c r="C2558" s="9">
        <f>IFERROR(__xludf.DUMMYFUNCTION("""COMPUTED_VALUE"""),44578.8592217708)</f>
        <v>44578.85922</v>
      </c>
      <c r="D2558" s="15">
        <f>IFERROR(__xludf.DUMMYFUNCTION("""COMPUTED_VALUE"""),1.006)</f>
        <v>1.006</v>
      </c>
      <c r="E2558" s="16">
        <f>IFERROR(__xludf.DUMMYFUNCTION("""COMPUTED_VALUE"""),66.0)</f>
        <v>66</v>
      </c>
      <c r="F2558" s="19" t="str">
        <f>IFERROR(__xludf.DUMMYFUNCTION("""COMPUTED_VALUE"""),"BLACK")</f>
        <v>BLACK</v>
      </c>
      <c r="G2558" s="20" t="str">
        <f>IFERROR(__xludf.DUMMYFUNCTION("""COMPUTED_VALUE"""),"Uncle Sams Cider (11/12/2021) 02")</f>
        <v>Uncle Sams Cider (11/12/2021) 02</v>
      </c>
      <c r="H2558" s="19"/>
    </row>
    <row r="2559">
      <c r="A2559" s="9"/>
      <c r="B2559" s="15"/>
      <c r="C2559" s="9">
        <f>IFERROR(__xludf.DUMMYFUNCTION("""COMPUTED_VALUE"""),44578.8487895138)</f>
        <v>44578.84879</v>
      </c>
      <c r="D2559" s="15">
        <f>IFERROR(__xludf.DUMMYFUNCTION("""COMPUTED_VALUE"""),1.006)</f>
        <v>1.006</v>
      </c>
      <c r="E2559" s="16">
        <f>IFERROR(__xludf.DUMMYFUNCTION("""COMPUTED_VALUE"""),66.0)</f>
        <v>66</v>
      </c>
      <c r="F2559" s="19" t="str">
        <f>IFERROR(__xludf.DUMMYFUNCTION("""COMPUTED_VALUE"""),"BLACK")</f>
        <v>BLACK</v>
      </c>
      <c r="G2559" s="20" t="str">
        <f>IFERROR(__xludf.DUMMYFUNCTION("""COMPUTED_VALUE"""),"Uncle Sams Cider (11/12/2021) 02")</f>
        <v>Uncle Sams Cider (11/12/2021) 02</v>
      </c>
      <c r="H2559" s="19"/>
    </row>
    <row r="2560">
      <c r="A2560" s="9"/>
      <c r="B2560" s="15"/>
      <c r="C2560" s="9">
        <f>IFERROR(__xludf.DUMMYFUNCTION("""COMPUTED_VALUE"""),44578.8383667939)</f>
        <v>44578.83837</v>
      </c>
      <c r="D2560" s="15">
        <f>IFERROR(__xludf.DUMMYFUNCTION("""COMPUTED_VALUE"""),1.006)</f>
        <v>1.006</v>
      </c>
      <c r="E2560" s="16">
        <f>IFERROR(__xludf.DUMMYFUNCTION("""COMPUTED_VALUE"""),66.0)</f>
        <v>66</v>
      </c>
      <c r="F2560" s="19" t="str">
        <f>IFERROR(__xludf.DUMMYFUNCTION("""COMPUTED_VALUE"""),"BLACK")</f>
        <v>BLACK</v>
      </c>
      <c r="G2560" s="20" t="str">
        <f>IFERROR(__xludf.DUMMYFUNCTION("""COMPUTED_VALUE"""),"Uncle Sams Cider (11/12/2021) 02")</f>
        <v>Uncle Sams Cider (11/12/2021) 02</v>
      </c>
      <c r="H2560" s="19"/>
    </row>
    <row r="2561">
      <c r="A2561" s="9"/>
      <c r="B2561" s="15"/>
      <c r="C2561" s="9">
        <f>IFERROR(__xludf.DUMMYFUNCTION("""COMPUTED_VALUE"""),44578.8279454745)</f>
        <v>44578.82795</v>
      </c>
      <c r="D2561" s="15">
        <f>IFERROR(__xludf.DUMMYFUNCTION("""COMPUTED_VALUE"""),1.007)</f>
        <v>1.007</v>
      </c>
      <c r="E2561" s="16">
        <f>IFERROR(__xludf.DUMMYFUNCTION("""COMPUTED_VALUE"""),66.0)</f>
        <v>66</v>
      </c>
      <c r="F2561" s="19" t="str">
        <f>IFERROR(__xludf.DUMMYFUNCTION("""COMPUTED_VALUE"""),"BLACK")</f>
        <v>BLACK</v>
      </c>
      <c r="G2561" s="20" t="str">
        <f>IFERROR(__xludf.DUMMYFUNCTION("""COMPUTED_VALUE"""),"Uncle Sams Cider (11/12/2021) 02")</f>
        <v>Uncle Sams Cider (11/12/2021) 02</v>
      </c>
      <c r="H2561" s="19"/>
    </row>
    <row r="2562">
      <c r="A2562" s="9"/>
      <c r="B2562" s="15"/>
      <c r="C2562" s="9">
        <f>IFERROR(__xludf.DUMMYFUNCTION("""COMPUTED_VALUE"""),44578.817521574)</f>
        <v>44578.81752</v>
      </c>
      <c r="D2562" s="15">
        <f>IFERROR(__xludf.DUMMYFUNCTION("""COMPUTED_VALUE"""),1.006)</f>
        <v>1.006</v>
      </c>
      <c r="E2562" s="16">
        <f>IFERROR(__xludf.DUMMYFUNCTION("""COMPUTED_VALUE"""),66.0)</f>
        <v>66</v>
      </c>
      <c r="F2562" s="19" t="str">
        <f>IFERROR(__xludf.DUMMYFUNCTION("""COMPUTED_VALUE"""),"BLACK")</f>
        <v>BLACK</v>
      </c>
      <c r="G2562" s="20" t="str">
        <f>IFERROR(__xludf.DUMMYFUNCTION("""COMPUTED_VALUE"""),"Uncle Sams Cider (11/12/2021) 02")</f>
        <v>Uncle Sams Cider (11/12/2021) 02</v>
      </c>
      <c r="H2562" s="19"/>
    </row>
    <row r="2563">
      <c r="A2563" s="9"/>
      <c r="B2563" s="15"/>
      <c r="C2563" s="9">
        <f>IFERROR(__xludf.DUMMYFUNCTION("""COMPUTED_VALUE"""),44578.8071026851)</f>
        <v>44578.8071</v>
      </c>
      <c r="D2563" s="15">
        <f>IFERROR(__xludf.DUMMYFUNCTION("""COMPUTED_VALUE"""),1.006)</f>
        <v>1.006</v>
      </c>
      <c r="E2563" s="16">
        <f>IFERROR(__xludf.DUMMYFUNCTION("""COMPUTED_VALUE"""),66.0)</f>
        <v>66</v>
      </c>
      <c r="F2563" s="19" t="str">
        <f>IFERROR(__xludf.DUMMYFUNCTION("""COMPUTED_VALUE"""),"BLACK")</f>
        <v>BLACK</v>
      </c>
      <c r="G2563" s="20" t="str">
        <f>IFERROR(__xludf.DUMMYFUNCTION("""COMPUTED_VALUE"""),"Uncle Sams Cider (11/12/2021) 02")</f>
        <v>Uncle Sams Cider (11/12/2021) 02</v>
      </c>
      <c r="H2563" s="19"/>
    </row>
    <row r="2564">
      <c r="A2564" s="9"/>
      <c r="B2564" s="15"/>
      <c r="C2564" s="9">
        <f>IFERROR(__xludf.DUMMYFUNCTION("""COMPUTED_VALUE"""),44578.7966580671)</f>
        <v>44578.79666</v>
      </c>
      <c r="D2564" s="15">
        <f>IFERROR(__xludf.DUMMYFUNCTION("""COMPUTED_VALUE"""),1.007)</f>
        <v>1.007</v>
      </c>
      <c r="E2564" s="16">
        <f>IFERROR(__xludf.DUMMYFUNCTION("""COMPUTED_VALUE"""),66.0)</f>
        <v>66</v>
      </c>
      <c r="F2564" s="19" t="str">
        <f>IFERROR(__xludf.DUMMYFUNCTION("""COMPUTED_VALUE"""),"BLACK")</f>
        <v>BLACK</v>
      </c>
      <c r="G2564" s="20" t="str">
        <f>IFERROR(__xludf.DUMMYFUNCTION("""COMPUTED_VALUE"""),"Uncle Sams Cider (11/12/2021) 02")</f>
        <v>Uncle Sams Cider (11/12/2021) 02</v>
      </c>
      <c r="H2564" s="19"/>
    </row>
    <row r="2565">
      <c r="A2565" s="9"/>
      <c r="B2565" s="15"/>
      <c r="C2565" s="9">
        <f>IFERROR(__xludf.DUMMYFUNCTION("""COMPUTED_VALUE"""),44578.7862359027)</f>
        <v>44578.78624</v>
      </c>
      <c r="D2565" s="15">
        <f>IFERROR(__xludf.DUMMYFUNCTION("""COMPUTED_VALUE"""),1.007)</f>
        <v>1.007</v>
      </c>
      <c r="E2565" s="16">
        <f>IFERROR(__xludf.DUMMYFUNCTION("""COMPUTED_VALUE"""),66.0)</f>
        <v>66</v>
      </c>
      <c r="F2565" s="19" t="str">
        <f>IFERROR(__xludf.DUMMYFUNCTION("""COMPUTED_VALUE"""),"BLACK")</f>
        <v>BLACK</v>
      </c>
      <c r="G2565" s="20" t="str">
        <f>IFERROR(__xludf.DUMMYFUNCTION("""COMPUTED_VALUE"""),"Uncle Sams Cider (11/12/2021) 02")</f>
        <v>Uncle Sams Cider (11/12/2021) 02</v>
      </c>
      <c r="H2565" s="19"/>
    </row>
    <row r="2566">
      <c r="A2566" s="9"/>
      <c r="B2566" s="15"/>
      <c r="C2566" s="9">
        <f>IFERROR(__xludf.DUMMYFUNCTION("""COMPUTED_VALUE"""),44578.7758044444)</f>
        <v>44578.7758</v>
      </c>
      <c r="D2566" s="15">
        <f>IFERROR(__xludf.DUMMYFUNCTION("""COMPUTED_VALUE"""),1.006)</f>
        <v>1.006</v>
      </c>
      <c r="E2566" s="16">
        <f>IFERROR(__xludf.DUMMYFUNCTION("""COMPUTED_VALUE"""),66.0)</f>
        <v>66</v>
      </c>
      <c r="F2566" s="19" t="str">
        <f>IFERROR(__xludf.DUMMYFUNCTION("""COMPUTED_VALUE"""),"BLACK")</f>
        <v>BLACK</v>
      </c>
      <c r="G2566" s="20" t="str">
        <f>IFERROR(__xludf.DUMMYFUNCTION("""COMPUTED_VALUE"""),"Uncle Sams Cider (11/12/2021) 02")</f>
        <v>Uncle Sams Cider (11/12/2021) 02</v>
      </c>
      <c r="H2566" s="19"/>
    </row>
    <row r="2567">
      <c r="A2567" s="9"/>
      <c r="B2567" s="15"/>
      <c r="C2567" s="9">
        <f>IFERROR(__xludf.DUMMYFUNCTION("""COMPUTED_VALUE"""),44578.7653842245)</f>
        <v>44578.76538</v>
      </c>
      <c r="D2567" s="15">
        <f>IFERROR(__xludf.DUMMYFUNCTION("""COMPUTED_VALUE"""),1.007)</f>
        <v>1.007</v>
      </c>
      <c r="E2567" s="16">
        <f>IFERROR(__xludf.DUMMYFUNCTION("""COMPUTED_VALUE"""),66.0)</f>
        <v>66</v>
      </c>
      <c r="F2567" s="19" t="str">
        <f>IFERROR(__xludf.DUMMYFUNCTION("""COMPUTED_VALUE"""),"BLACK")</f>
        <v>BLACK</v>
      </c>
      <c r="G2567" s="20" t="str">
        <f>IFERROR(__xludf.DUMMYFUNCTION("""COMPUTED_VALUE"""),"Uncle Sams Cider (11/12/2021) 02")</f>
        <v>Uncle Sams Cider (11/12/2021) 02</v>
      </c>
      <c r="H2567" s="19"/>
    </row>
    <row r="2568">
      <c r="A2568" s="9"/>
      <c r="B2568" s="15"/>
      <c r="C2568" s="9">
        <f>IFERROR(__xludf.DUMMYFUNCTION("""COMPUTED_VALUE"""),44578.7549646643)</f>
        <v>44578.75496</v>
      </c>
      <c r="D2568" s="15">
        <f>IFERROR(__xludf.DUMMYFUNCTION("""COMPUTED_VALUE"""),1.006)</f>
        <v>1.006</v>
      </c>
      <c r="E2568" s="16">
        <f>IFERROR(__xludf.DUMMYFUNCTION("""COMPUTED_VALUE"""),66.0)</f>
        <v>66</v>
      </c>
      <c r="F2568" s="19" t="str">
        <f>IFERROR(__xludf.DUMMYFUNCTION("""COMPUTED_VALUE"""),"BLACK")</f>
        <v>BLACK</v>
      </c>
      <c r="G2568" s="20" t="str">
        <f>IFERROR(__xludf.DUMMYFUNCTION("""COMPUTED_VALUE"""),"Uncle Sams Cider (11/12/2021) 02")</f>
        <v>Uncle Sams Cider (11/12/2021) 02</v>
      </c>
      <c r="H2568" s="19"/>
    </row>
    <row r="2569">
      <c r="A2569" s="9"/>
      <c r="B2569" s="15"/>
      <c r="C2569" s="9">
        <f>IFERROR(__xludf.DUMMYFUNCTION("""COMPUTED_VALUE"""),44578.7445434143)</f>
        <v>44578.74454</v>
      </c>
      <c r="D2569" s="15">
        <f>IFERROR(__xludf.DUMMYFUNCTION("""COMPUTED_VALUE"""),1.007)</f>
        <v>1.007</v>
      </c>
      <c r="E2569" s="16">
        <f>IFERROR(__xludf.DUMMYFUNCTION("""COMPUTED_VALUE"""),66.0)</f>
        <v>66</v>
      </c>
      <c r="F2569" s="19" t="str">
        <f>IFERROR(__xludf.DUMMYFUNCTION("""COMPUTED_VALUE"""),"BLACK")</f>
        <v>BLACK</v>
      </c>
      <c r="G2569" s="20" t="str">
        <f>IFERROR(__xludf.DUMMYFUNCTION("""COMPUTED_VALUE"""),"Uncle Sams Cider (11/12/2021) 02")</f>
        <v>Uncle Sams Cider (11/12/2021) 02</v>
      </c>
      <c r="H2569" s="19"/>
    </row>
    <row r="2570">
      <c r="A2570" s="9"/>
      <c r="B2570" s="15"/>
      <c r="C2570" s="9">
        <f>IFERROR(__xludf.DUMMYFUNCTION("""COMPUTED_VALUE"""),44578.7340988888)</f>
        <v>44578.7341</v>
      </c>
      <c r="D2570" s="15">
        <f>IFERROR(__xludf.DUMMYFUNCTION("""COMPUTED_VALUE"""),1.006)</f>
        <v>1.006</v>
      </c>
      <c r="E2570" s="16">
        <f>IFERROR(__xludf.DUMMYFUNCTION("""COMPUTED_VALUE"""),66.0)</f>
        <v>66</v>
      </c>
      <c r="F2570" s="19" t="str">
        <f>IFERROR(__xludf.DUMMYFUNCTION("""COMPUTED_VALUE"""),"BLACK")</f>
        <v>BLACK</v>
      </c>
      <c r="G2570" s="20" t="str">
        <f>IFERROR(__xludf.DUMMYFUNCTION("""COMPUTED_VALUE"""),"Uncle Sams Cider (11/12/2021) 02")</f>
        <v>Uncle Sams Cider (11/12/2021) 02</v>
      </c>
      <c r="H2570" s="19"/>
    </row>
    <row r="2571">
      <c r="A2571" s="9"/>
      <c r="B2571" s="15"/>
      <c r="C2571" s="9">
        <f>IFERROR(__xludf.DUMMYFUNCTION("""COMPUTED_VALUE"""),44578.7236677546)</f>
        <v>44578.72367</v>
      </c>
      <c r="D2571" s="15">
        <f>IFERROR(__xludf.DUMMYFUNCTION("""COMPUTED_VALUE"""),1.007)</f>
        <v>1.007</v>
      </c>
      <c r="E2571" s="16">
        <f>IFERROR(__xludf.DUMMYFUNCTION("""COMPUTED_VALUE"""),66.0)</f>
        <v>66</v>
      </c>
      <c r="F2571" s="19" t="str">
        <f>IFERROR(__xludf.DUMMYFUNCTION("""COMPUTED_VALUE"""),"BLACK")</f>
        <v>BLACK</v>
      </c>
      <c r="G2571" s="20" t="str">
        <f>IFERROR(__xludf.DUMMYFUNCTION("""COMPUTED_VALUE"""),"Uncle Sams Cider (11/12/2021) 02")</f>
        <v>Uncle Sams Cider (11/12/2021) 02</v>
      </c>
      <c r="H2571" s="19"/>
    </row>
    <row r="2572">
      <c r="A2572" s="9"/>
      <c r="B2572" s="15"/>
      <c r="C2572" s="9">
        <f>IFERROR(__xludf.DUMMYFUNCTION("""COMPUTED_VALUE"""),44578.7132468634)</f>
        <v>44578.71325</v>
      </c>
      <c r="D2572" s="15">
        <f>IFERROR(__xludf.DUMMYFUNCTION("""COMPUTED_VALUE"""),1.006)</f>
        <v>1.006</v>
      </c>
      <c r="E2572" s="16">
        <f>IFERROR(__xludf.DUMMYFUNCTION("""COMPUTED_VALUE"""),66.0)</f>
        <v>66</v>
      </c>
      <c r="F2572" s="19" t="str">
        <f>IFERROR(__xludf.DUMMYFUNCTION("""COMPUTED_VALUE"""),"BLACK")</f>
        <v>BLACK</v>
      </c>
      <c r="G2572" s="20" t="str">
        <f>IFERROR(__xludf.DUMMYFUNCTION("""COMPUTED_VALUE"""),"Uncle Sams Cider (11/12/2021) 02")</f>
        <v>Uncle Sams Cider (11/12/2021) 02</v>
      </c>
      <c r="H2572" s="19"/>
    </row>
    <row r="2573">
      <c r="A2573" s="9"/>
      <c r="B2573" s="15"/>
      <c r="C2573" s="9">
        <f>IFERROR(__xludf.DUMMYFUNCTION("""COMPUTED_VALUE"""),44578.7028124652)</f>
        <v>44578.70281</v>
      </c>
      <c r="D2573" s="15">
        <f>IFERROR(__xludf.DUMMYFUNCTION("""COMPUTED_VALUE"""),1.007)</f>
        <v>1.007</v>
      </c>
      <c r="E2573" s="16">
        <f>IFERROR(__xludf.DUMMYFUNCTION("""COMPUTED_VALUE"""),66.0)</f>
        <v>66</v>
      </c>
      <c r="F2573" s="19" t="str">
        <f>IFERROR(__xludf.DUMMYFUNCTION("""COMPUTED_VALUE"""),"BLACK")</f>
        <v>BLACK</v>
      </c>
      <c r="G2573" s="20" t="str">
        <f>IFERROR(__xludf.DUMMYFUNCTION("""COMPUTED_VALUE"""),"Uncle Sams Cider (11/12/2021) 02")</f>
        <v>Uncle Sams Cider (11/12/2021) 02</v>
      </c>
      <c r="H2573" s="19"/>
    </row>
    <row r="2574">
      <c r="A2574" s="9"/>
      <c r="B2574" s="15"/>
      <c r="C2574" s="9">
        <f>IFERROR(__xludf.DUMMYFUNCTION("""COMPUTED_VALUE"""),44578.6923910995)</f>
        <v>44578.69239</v>
      </c>
      <c r="D2574" s="15">
        <f>IFERROR(__xludf.DUMMYFUNCTION("""COMPUTED_VALUE"""),1.006)</f>
        <v>1.006</v>
      </c>
      <c r="E2574" s="16">
        <f>IFERROR(__xludf.DUMMYFUNCTION("""COMPUTED_VALUE"""),66.0)</f>
        <v>66</v>
      </c>
      <c r="F2574" s="19" t="str">
        <f>IFERROR(__xludf.DUMMYFUNCTION("""COMPUTED_VALUE"""),"BLACK")</f>
        <v>BLACK</v>
      </c>
      <c r="G2574" s="20" t="str">
        <f>IFERROR(__xludf.DUMMYFUNCTION("""COMPUTED_VALUE"""),"Uncle Sams Cider (11/12/2021) 02")</f>
        <v>Uncle Sams Cider (11/12/2021) 02</v>
      </c>
      <c r="H2574" s="19"/>
    </row>
    <row r="2575">
      <c r="A2575" s="9"/>
      <c r="B2575" s="15"/>
      <c r="C2575" s="9">
        <f>IFERROR(__xludf.DUMMYFUNCTION("""COMPUTED_VALUE"""),44578.6819699652)</f>
        <v>44578.68197</v>
      </c>
      <c r="D2575" s="15">
        <f>IFERROR(__xludf.DUMMYFUNCTION("""COMPUTED_VALUE"""),1.007)</f>
        <v>1.007</v>
      </c>
      <c r="E2575" s="16">
        <f>IFERROR(__xludf.DUMMYFUNCTION("""COMPUTED_VALUE"""),66.0)</f>
        <v>66</v>
      </c>
      <c r="F2575" s="19" t="str">
        <f>IFERROR(__xludf.DUMMYFUNCTION("""COMPUTED_VALUE"""),"BLACK")</f>
        <v>BLACK</v>
      </c>
      <c r="G2575" s="20" t="str">
        <f>IFERROR(__xludf.DUMMYFUNCTION("""COMPUTED_VALUE"""),"Uncle Sams Cider (11/12/2021) 02")</f>
        <v>Uncle Sams Cider (11/12/2021) 02</v>
      </c>
      <c r="H2575" s="19"/>
    </row>
    <row r="2576">
      <c r="A2576" s="9"/>
      <c r="B2576" s="15"/>
      <c r="C2576" s="9">
        <f>IFERROR(__xludf.DUMMYFUNCTION("""COMPUTED_VALUE"""),44578.6715470254)</f>
        <v>44578.67155</v>
      </c>
      <c r="D2576" s="15">
        <f>IFERROR(__xludf.DUMMYFUNCTION("""COMPUTED_VALUE"""),1.006)</f>
        <v>1.006</v>
      </c>
      <c r="E2576" s="16">
        <f>IFERROR(__xludf.DUMMYFUNCTION("""COMPUTED_VALUE"""),66.0)</f>
        <v>66</v>
      </c>
      <c r="F2576" s="19" t="str">
        <f>IFERROR(__xludf.DUMMYFUNCTION("""COMPUTED_VALUE"""),"BLACK")</f>
        <v>BLACK</v>
      </c>
      <c r="G2576" s="20" t="str">
        <f>IFERROR(__xludf.DUMMYFUNCTION("""COMPUTED_VALUE"""),"Uncle Sams Cider (11/12/2021) 02")</f>
        <v>Uncle Sams Cider (11/12/2021) 02</v>
      </c>
      <c r="H2576" s="19"/>
    </row>
    <row r="2577">
      <c r="A2577" s="9"/>
      <c r="B2577" s="15"/>
      <c r="C2577" s="9">
        <f>IFERROR(__xludf.DUMMYFUNCTION("""COMPUTED_VALUE"""),44578.6611256828)</f>
        <v>44578.66113</v>
      </c>
      <c r="D2577" s="15">
        <f>IFERROR(__xludf.DUMMYFUNCTION("""COMPUTED_VALUE"""),1.006)</f>
        <v>1.006</v>
      </c>
      <c r="E2577" s="16">
        <f>IFERROR(__xludf.DUMMYFUNCTION("""COMPUTED_VALUE"""),66.0)</f>
        <v>66</v>
      </c>
      <c r="F2577" s="19" t="str">
        <f>IFERROR(__xludf.DUMMYFUNCTION("""COMPUTED_VALUE"""),"BLACK")</f>
        <v>BLACK</v>
      </c>
      <c r="G2577" s="20" t="str">
        <f>IFERROR(__xludf.DUMMYFUNCTION("""COMPUTED_VALUE"""),"Uncle Sams Cider (11/12/2021) 02")</f>
        <v>Uncle Sams Cider (11/12/2021) 02</v>
      </c>
      <c r="H2577" s="19"/>
    </row>
    <row r="2578">
      <c r="A2578" s="9"/>
      <c r="B2578" s="15"/>
      <c r="C2578" s="9">
        <f>IFERROR(__xludf.DUMMYFUNCTION("""COMPUTED_VALUE"""),44578.6507052083)</f>
        <v>44578.65071</v>
      </c>
      <c r="D2578" s="15">
        <f>IFERROR(__xludf.DUMMYFUNCTION("""COMPUTED_VALUE"""),1.006)</f>
        <v>1.006</v>
      </c>
      <c r="E2578" s="16">
        <f>IFERROR(__xludf.DUMMYFUNCTION("""COMPUTED_VALUE"""),66.0)</f>
        <v>66</v>
      </c>
      <c r="F2578" s="19" t="str">
        <f>IFERROR(__xludf.DUMMYFUNCTION("""COMPUTED_VALUE"""),"BLACK")</f>
        <v>BLACK</v>
      </c>
      <c r="G2578" s="20" t="str">
        <f>IFERROR(__xludf.DUMMYFUNCTION("""COMPUTED_VALUE"""),"Uncle Sams Cider (11/12/2021) 02")</f>
        <v>Uncle Sams Cider (11/12/2021) 02</v>
      </c>
      <c r="H2578" s="19"/>
    </row>
    <row r="2579">
      <c r="A2579" s="9"/>
      <c r="B2579" s="15"/>
      <c r="C2579" s="9">
        <f>IFERROR(__xludf.DUMMYFUNCTION("""COMPUTED_VALUE"""),44578.6402838078)</f>
        <v>44578.64028</v>
      </c>
      <c r="D2579" s="15">
        <f>IFERROR(__xludf.DUMMYFUNCTION("""COMPUTED_VALUE"""),1.006)</f>
        <v>1.006</v>
      </c>
      <c r="E2579" s="16">
        <f>IFERROR(__xludf.DUMMYFUNCTION("""COMPUTED_VALUE"""),66.0)</f>
        <v>66</v>
      </c>
      <c r="F2579" s="19" t="str">
        <f>IFERROR(__xludf.DUMMYFUNCTION("""COMPUTED_VALUE"""),"BLACK")</f>
        <v>BLACK</v>
      </c>
      <c r="G2579" s="20" t="str">
        <f>IFERROR(__xludf.DUMMYFUNCTION("""COMPUTED_VALUE"""),"Uncle Sams Cider (11/12/2021) 02")</f>
        <v>Uncle Sams Cider (11/12/2021) 02</v>
      </c>
      <c r="H2579" s="19"/>
    </row>
    <row r="2580">
      <c r="A2580" s="9"/>
      <c r="B2580" s="15"/>
      <c r="C2580" s="9">
        <f>IFERROR(__xludf.DUMMYFUNCTION("""COMPUTED_VALUE"""),44578.6298632175)</f>
        <v>44578.62986</v>
      </c>
      <c r="D2580" s="15">
        <f>IFERROR(__xludf.DUMMYFUNCTION("""COMPUTED_VALUE"""),1.006)</f>
        <v>1.006</v>
      </c>
      <c r="E2580" s="16">
        <f>IFERROR(__xludf.DUMMYFUNCTION("""COMPUTED_VALUE"""),66.0)</f>
        <v>66</v>
      </c>
      <c r="F2580" s="19" t="str">
        <f>IFERROR(__xludf.DUMMYFUNCTION("""COMPUTED_VALUE"""),"BLACK")</f>
        <v>BLACK</v>
      </c>
      <c r="G2580" s="20" t="str">
        <f>IFERROR(__xludf.DUMMYFUNCTION("""COMPUTED_VALUE"""),"Uncle Sams Cider (11/12/2021) 02")</f>
        <v>Uncle Sams Cider (11/12/2021) 02</v>
      </c>
      <c r="H2580" s="19"/>
    </row>
    <row r="2581">
      <c r="A2581" s="9"/>
      <c r="B2581" s="15"/>
      <c r="C2581" s="9">
        <f>IFERROR(__xludf.DUMMYFUNCTION("""COMPUTED_VALUE"""),44578.6194418518)</f>
        <v>44578.61944</v>
      </c>
      <c r="D2581" s="15">
        <f>IFERROR(__xludf.DUMMYFUNCTION("""COMPUTED_VALUE"""),1.007)</f>
        <v>1.007</v>
      </c>
      <c r="E2581" s="16">
        <f>IFERROR(__xludf.DUMMYFUNCTION("""COMPUTED_VALUE"""),66.0)</f>
        <v>66</v>
      </c>
      <c r="F2581" s="19" t="str">
        <f>IFERROR(__xludf.DUMMYFUNCTION("""COMPUTED_VALUE"""),"BLACK")</f>
        <v>BLACK</v>
      </c>
      <c r="G2581" s="20" t="str">
        <f>IFERROR(__xludf.DUMMYFUNCTION("""COMPUTED_VALUE"""),"Uncle Sams Cider (11/12/2021) 02")</f>
        <v>Uncle Sams Cider (11/12/2021) 02</v>
      </c>
      <c r="H2581" s="19"/>
    </row>
    <row r="2582">
      <c r="A2582" s="9"/>
      <c r="B2582" s="15"/>
      <c r="C2582" s="9">
        <f>IFERROR(__xludf.DUMMYFUNCTION("""COMPUTED_VALUE"""),44578.6090107291)</f>
        <v>44578.60901</v>
      </c>
      <c r="D2582" s="15">
        <f>IFERROR(__xludf.DUMMYFUNCTION("""COMPUTED_VALUE"""),1.006)</f>
        <v>1.006</v>
      </c>
      <c r="E2582" s="16">
        <f>IFERROR(__xludf.DUMMYFUNCTION("""COMPUTED_VALUE"""),66.0)</f>
        <v>66</v>
      </c>
      <c r="F2582" s="19" t="str">
        <f>IFERROR(__xludf.DUMMYFUNCTION("""COMPUTED_VALUE"""),"BLACK")</f>
        <v>BLACK</v>
      </c>
      <c r="G2582" s="20" t="str">
        <f>IFERROR(__xludf.DUMMYFUNCTION("""COMPUTED_VALUE"""),"Uncle Sams Cider (11/12/2021) 02")</f>
        <v>Uncle Sams Cider (11/12/2021) 02</v>
      </c>
      <c r="H2582" s="19"/>
    </row>
    <row r="2583">
      <c r="A2583" s="9"/>
      <c r="B2583" s="15"/>
      <c r="C2583" s="9">
        <f>IFERROR(__xludf.DUMMYFUNCTION("""COMPUTED_VALUE"""),44578.598588993)</f>
        <v>44578.59859</v>
      </c>
      <c r="D2583" s="15">
        <f>IFERROR(__xludf.DUMMYFUNCTION("""COMPUTED_VALUE"""),1.007)</f>
        <v>1.007</v>
      </c>
      <c r="E2583" s="16">
        <f>IFERROR(__xludf.DUMMYFUNCTION("""COMPUTED_VALUE"""),66.0)</f>
        <v>66</v>
      </c>
      <c r="F2583" s="19" t="str">
        <f>IFERROR(__xludf.DUMMYFUNCTION("""COMPUTED_VALUE"""),"BLACK")</f>
        <v>BLACK</v>
      </c>
      <c r="G2583" s="20" t="str">
        <f>IFERROR(__xludf.DUMMYFUNCTION("""COMPUTED_VALUE"""),"Uncle Sams Cider (11/12/2021) 02")</f>
        <v>Uncle Sams Cider (11/12/2021) 02</v>
      </c>
      <c r="H2583" s="19"/>
    </row>
    <row r="2584">
      <c r="A2584" s="9"/>
      <c r="B2584" s="15"/>
      <c r="C2584" s="9">
        <f>IFERROR(__xludf.DUMMYFUNCTION("""COMPUTED_VALUE"""),44578.5881557291)</f>
        <v>44578.58816</v>
      </c>
      <c r="D2584" s="15">
        <f>IFERROR(__xludf.DUMMYFUNCTION("""COMPUTED_VALUE"""),1.006)</f>
        <v>1.006</v>
      </c>
      <c r="E2584" s="16">
        <f>IFERROR(__xludf.DUMMYFUNCTION("""COMPUTED_VALUE"""),67.0)</f>
        <v>67</v>
      </c>
      <c r="F2584" s="19" t="str">
        <f>IFERROR(__xludf.DUMMYFUNCTION("""COMPUTED_VALUE"""),"BLACK")</f>
        <v>BLACK</v>
      </c>
      <c r="G2584" s="20" t="str">
        <f>IFERROR(__xludf.DUMMYFUNCTION("""COMPUTED_VALUE"""),"Uncle Sams Cider (11/12/2021) 02")</f>
        <v>Uncle Sams Cider (11/12/2021) 02</v>
      </c>
      <c r="H2584" s="19"/>
    </row>
    <row r="2585">
      <c r="A2585" s="9"/>
      <c r="B2585" s="15"/>
      <c r="C2585" s="9">
        <f>IFERROR(__xludf.DUMMYFUNCTION("""COMPUTED_VALUE"""),44578.5777116435)</f>
        <v>44578.57771</v>
      </c>
      <c r="D2585" s="15">
        <f>IFERROR(__xludf.DUMMYFUNCTION("""COMPUTED_VALUE"""),1.007)</f>
        <v>1.007</v>
      </c>
      <c r="E2585" s="16">
        <f>IFERROR(__xludf.DUMMYFUNCTION("""COMPUTED_VALUE"""),67.0)</f>
        <v>67</v>
      </c>
      <c r="F2585" s="19" t="str">
        <f>IFERROR(__xludf.DUMMYFUNCTION("""COMPUTED_VALUE"""),"BLACK")</f>
        <v>BLACK</v>
      </c>
      <c r="G2585" s="20" t="str">
        <f>IFERROR(__xludf.DUMMYFUNCTION("""COMPUTED_VALUE"""),"Uncle Sams Cider (11/12/2021) 02")</f>
        <v>Uncle Sams Cider (11/12/2021) 02</v>
      </c>
      <c r="H2585" s="19"/>
    </row>
    <row r="2586">
      <c r="A2586" s="9"/>
      <c r="B2586" s="15"/>
      <c r="C2586" s="9">
        <f>IFERROR(__xludf.DUMMYFUNCTION("""COMPUTED_VALUE"""),44578.5672682523)</f>
        <v>44578.56727</v>
      </c>
      <c r="D2586" s="15">
        <f>IFERROR(__xludf.DUMMYFUNCTION("""COMPUTED_VALUE"""),1.006)</f>
        <v>1.006</v>
      </c>
      <c r="E2586" s="16">
        <f>IFERROR(__xludf.DUMMYFUNCTION("""COMPUTED_VALUE"""),67.0)</f>
        <v>67</v>
      </c>
      <c r="F2586" s="19" t="str">
        <f>IFERROR(__xludf.DUMMYFUNCTION("""COMPUTED_VALUE"""),"BLACK")</f>
        <v>BLACK</v>
      </c>
      <c r="G2586" s="20" t="str">
        <f>IFERROR(__xludf.DUMMYFUNCTION("""COMPUTED_VALUE"""),"Uncle Sams Cider (11/12/2021) 02")</f>
        <v>Uncle Sams Cider (11/12/2021) 02</v>
      </c>
      <c r="H2586" s="19"/>
    </row>
    <row r="2587">
      <c r="A2587" s="9"/>
      <c r="B2587" s="15"/>
      <c r="C2587" s="9">
        <f>IFERROR(__xludf.DUMMYFUNCTION("""COMPUTED_VALUE"""),44578.5568467824)</f>
        <v>44578.55685</v>
      </c>
      <c r="D2587" s="15">
        <f>IFERROR(__xludf.DUMMYFUNCTION("""COMPUTED_VALUE"""),1.006)</f>
        <v>1.006</v>
      </c>
      <c r="E2587" s="16">
        <f>IFERROR(__xludf.DUMMYFUNCTION("""COMPUTED_VALUE"""),67.0)</f>
        <v>67</v>
      </c>
      <c r="F2587" s="19" t="str">
        <f>IFERROR(__xludf.DUMMYFUNCTION("""COMPUTED_VALUE"""),"BLACK")</f>
        <v>BLACK</v>
      </c>
      <c r="G2587" s="20" t="str">
        <f>IFERROR(__xludf.DUMMYFUNCTION("""COMPUTED_VALUE"""),"Uncle Sams Cider (11/12/2021) 02")</f>
        <v>Uncle Sams Cider (11/12/2021) 02</v>
      </c>
      <c r="H2587" s="19"/>
    </row>
    <row r="2588">
      <c r="A2588" s="9"/>
      <c r="B2588" s="15"/>
      <c r="C2588" s="9">
        <f>IFERROR(__xludf.DUMMYFUNCTION("""COMPUTED_VALUE"""),44578.5463785995)</f>
        <v>44578.54638</v>
      </c>
      <c r="D2588" s="15">
        <f>IFERROR(__xludf.DUMMYFUNCTION("""COMPUTED_VALUE"""),1.006)</f>
        <v>1.006</v>
      </c>
      <c r="E2588" s="16">
        <f>IFERROR(__xludf.DUMMYFUNCTION("""COMPUTED_VALUE"""),67.0)</f>
        <v>67</v>
      </c>
      <c r="F2588" s="19" t="str">
        <f>IFERROR(__xludf.DUMMYFUNCTION("""COMPUTED_VALUE"""),"BLACK")</f>
        <v>BLACK</v>
      </c>
      <c r="G2588" s="20" t="str">
        <f>IFERROR(__xludf.DUMMYFUNCTION("""COMPUTED_VALUE"""),"Uncle Sams Cider (11/12/2021) 02")</f>
        <v>Uncle Sams Cider (11/12/2021) 02</v>
      </c>
      <c r="H2588" s="19"/>
    </row>
    <row r="2589">
      <c r="A2589" s="9"/>
      <c r="B2589" s="15"/>
      <c r="C2589" s="9">
        <f>IFERROR(__xludf.DUMMYFUNCTION("""COMPUTED_VALUE"""),44578.5359551851)</f>
        <v>44578.53596</v>
      </c>
      <c r="D2589" s="15">
        <f>IFERROR(__xludf.DUMMYFUNCTION("""COMPUTED_VALUE"""),1.007)</f>
        <v>1.007</v>
      </c>
      <c r="E2589" s="16">
        <f>IFERROR(__xludf.DUMMYFUNCTION("""COMPUTED_VALUE"""),67.0)</f>
        <v>67</v>
      </c>
      <c r="F2589" s="19" t="str">
        <f>IFERROR(__xludf.DUMMYFUNCTION("""COMPUTED_VALUE"""),"BLACK")</f>
        <v>BLACK</v>
      </c>
      <c r="G2589" s="20" t="str">
        <f>IFERROR(__xludf.DUMMYFUNCTION("""COMPUTED_VALUE"""),"Uncle Sams Cider (11/12/2021) 02")</f>
        <v>Uncle Sams Cider (11/12/2021) 02</v>
      </c>
      <c r="H2589" s="19"/>
    </row>
    <row r="2590">
      <c r="A2590" s="9"/>
      <c r="B2590" s="15"/>
      <c r="C2590" s="9">
        <f>IFERROR(__xludf.DUMMYFUNCTION("""COMPUTED_VALUE"""),44578.5255328009)</f>
        <v>44578.52553</v>
      </c>
      <c r="D2590" s="15">
        <f>IFERROR(__xludf.DUMMYFUNCTION("""COMPUTED_VALUE"""),1.006)</f>
        <v>1.006</v>
      </c>
      <c r="E2590" s="16">
        <f>IFERROR(__xludf.DUMMYFUNCTION("""COMPUTED_VALUE"""),67.0)</f>
        <v>67</v>
      </c>
      <c r="F2590" s="19" t="str">
        <f>IFERROR(__xludf.DUMMYFUNCTION("""COMPUTED_VALUE"""),"BLACK")</f>
        <v>BLACK</v>
      </c>
      <c r="G2590" s="20" t="str">
        <f>IFERROR(__xludf.DUMMYFUNCTION("""COMPUTED_VALUE"""),"Uncle Sams Cider (11/12/2021) 02")</f>
        <v>Uncle Sams Cider (11/12/2021) 02</v>
      </c>
      <c r="H2590" s="19"/>
    </row>
    <row r="2591">
      <c r="A2591" s="9"/>
      <c r="B2591" s="15"/>
      <c r="C2591" s="9">
        <f>IFERROR(__xludf.DUMMYFUNCTION("""COMPUTED_VALUE"""),44578.5150879629)</f>
        <v>44578.51509</v>
      </c>
      <c r="D2591" s="15">
        <f>IFERROR(__xludf.DUMMYFUNCTION("""COMPUTED_VALUE"""),1.006)</f>
        <v>1.006</v>
      </c>
      <c r="E2591" s="16">
        <f>IFERROR(__xludf.DUMMYFUNCTION("""COMPUTED_VALUE"""),67.0)</f>
        <v>67</v>
      </c>
      <c r="F2591" s="19" t="str">
        <f>IFERROR(__xludf.DUMMYFUNCTION("""COMPUTED_VALUE"""),"BLACK")</f>
        <v>BLACK</v>
      </c>
      <c r="G2591" s="20" t="str">
        <f>IFERROR(__xludf.DUMMYFUNCTION("""COMPUTED_VALUE"""),"Uncle Sams Cider (11/12/2021) 02")</f>
        <v>Uncle Sams Cider (11/12/2021) 02</v>
      </c>
      <c r="H2591" s="19"/>
    </row>
    <row r="2592">
      <c r="A2592" s="9"/>
      <c r="B2592" s="15"/>
      <c r="C2592" s="9">
        <f>IFERROR(__xludf.DUMMYFUNCTION("""COMPUTED_VALUE"""),44578.5046548726)</f>
        <v>44578.50465</v>
      </c>
      <c r="D2592" s="15">
        <f>IFERROR(__xludf.DUMMYFUNCTION("""COMPUTED_VALUE"""),1.006)</f>
        <v>1.006</v>
      </c>
      <c r="E2592" s="16">
        <f>IFERROR(__xludf.DUMMYFUNCTION("""COMPUTED_VALUE"""),67.0)</f>
        <v>67</v>
      </c>
      <c r="F2592" s="19" t="str">
        <f>IFERROR(__xludf.DUMMYFUNCTION("""COMPUTED_VALUE"""),"BLACK")</f>
        <v>BLACK</v>
      </c>
      <c r="G2592" s="20" t="str">
        <f>IFERROR(__xludf.DUMMYFUNCTION("""COMPUTED_VALUE"""),"Uncle Sams Cider (11/12/2021) 02")</f>
        <v>Uncle Sams Cider (11/12/2021) 02</v>
      </c>
      <c r="H2592" s="19"/>
    </row>
    <row r="2593">
      <c r="A2593" s="9"/>
      <c r="B2593" s="15"/>
      <c r="C2593" s="9">
        <f>IFERROR(__xludf.DUMMYFUNCTION("""COMPUTED_VALUE"""),44578.4942112847)</f>
        <v>44578.49421</v>
      </c>
      <c r="D2593" s="15">
        <f>IFERROR(__xludf.DUMMYFUNCTION("""COMPUTED_VALUE"""),1.006)</f>
        <v>1.006</v>
      </c>
      <c r="E2593" s="16">
        <f>IFERROR(__xludf.DUMMYFUNCTION("""COMPUTED_VALUE"""),67.0)</f>
        <v>67</v>
      </c>
      <c r="F2593" s="19" t="str">
        <f>IFERROR(__xludf.DUMMYFUNCTION("""COMPUTED_VALUE"""),"BLACK")</f>
        <v>BLACK</v>
      </c>
      <c r="G2593" s="20" t="str">
        <f>IFERROR(__xludf.DUMMYFUNCTION("""COMPUTED_VALUE"""),"Uncle Sams Cider (11/12/2021) 02")</f>
        <v>Uncle Sams Cider (11/12/2021) 02</v>
      </c>
      <c r="H2593" s="19"/>
    </row>
    <row r="2594">
      <c r="A2594" s="9"/>
      <c r="B2594" s="15"/>
      <c r="C2594" s="9">
        <f>IFERROR(__xludf.DUMMYFUNCTION("""COMPUTED_VALUE"""),44578.4837659259)</f>
        <v>44578.48377</v>
      </c>
      <c r="D2594" s="15">
        <f>IFERROR(__xludf.DUMMYFUNCTION("""COMPUTED_VALUE"""),1.006)</f>
        <v>1.006</v>
      </c>
      <c r="E2594" s="16">
        <f>IFERROR(__xludf.DUMMYFUNCTION("""COMPUTED_VALUE"""),67.0)</f>
        <v>67</v>
      </c>
      <c r="F2594" s="19" t="str">
        <f>IFERROR(__xludf.DUMMYFUNCTION("""COMPUTED_VALUE"""),"BLACK")</f>
        <v>BLACK</v>
      </c>
      <c r="G2594" s="20" t="str">
        <f>IFERROR(__xludf.DUMMYFUNCTION("""COMPUTED_VALUE"""),"Uncle Sams Cider (11/12/2021) 02")</f>
        <v>Uncle Sams Cider (11/12/2021) 02</v>
      </c>
      <c r="H2594" s="19"/>
    </row>
    <row r="2595">
      <c r="A2595" s="9"/>
      <c r="B2595" s="15"/>
      <c r="C2595" s="9">
        <f>IFERROR(__xludf.DUMMYFUNCTION("""COMPUTED_VALUE"""),44578.4733443518)</f>
        <v>44578.47334</v>
      </c>
      <c r="D2595" s="15">
        <f>IFERROR(__xludf.DUMMYFUNCTION("""COMPUTED_VALUE"""),1.006)</f>
        <v>1.006</v>
      </c>
      <c r="E2595" s="16">
        <f>IFERROR(__xludf.DUMMYFUNCTION("""COMPUTED_VALUE"""),67.0)</f>
        <v>67</v>
      </c>
      <c r="F2595" s="19" t="str">
        <f>IFERROR(__xludf.DUMMYFUNCTION("""COMPUTED_VALUE"""),"BLACK")</f>
        <v>BLACK</v>
      </c>
      <c r="G2595" s="20" t="str">
        <f>IFERROR(__xludf.DUMMYFUNCTION("""COMPUTED_VALUE"""),"Uncle Sams Cider (11/12/2021) 02")</f>
        <v>Uncle Sams Cider (11/12/2021) 02</v>
      </c>
      <c r="H2595" s="19"/>
    </row>
    <row r="2596">
      <c r="A2596" s="9"/>
      <c r="B2596" s="15"/>
      <c r="C2596" s="9">
        <f>IFERROR(__xludf.DUMMYFUNCTION("""COMPUTED_VALUE"""),44578.4629226851)</f>
        <v>44578.46292</v>
      </c>
      <c r="D2596" s="15">
        <f>IFERROR(__xludf.DUMMYFUNCTION("""COMPUTED_VALUE"""),1.006)</f>
        <v>1.006</v>
      </c>
      <c r="E2596" s="16">
        <f>IFERROR(__xludf.DUMMYFUNCTION("""COMPUTED_VALUE"""),67.0)</f>
        <v>67</v>
      </c>
      <c r="F2596" s="19" t="str">
        <f>IFERROR(__xludf.DUMMYFUNCTION("""COMPUTED_VALUE"""),"BLACK")</f>
        <v>BLACK</v>
      </c>
      <c r="G2596" s="20" t="str">
        <f>IFERROR(__xludf.DUMMYFUNCTION("""COMPUTED_VALUE"""),"Uncle Sams Cider (11/12/2021) 02")</f>
        <v>Uncle Sams Cider (11/12/2021) 02</v>
      </c>
      <c r="H2596" s="19"/>
    </row>
    <row r="2597">
      <c r="A2597" s="9"/>
      <c r="B2597" s="15"/>
      <c r="C2597" s="9">
        <f>IFERROR(__xludf.DUMMYFUNCTION("""COMPUTED_VALUE"""),44578.4524911226)</f>
        <v>44578.45249</v>
      </c>
      <c r="D2597" s="15">
        <f>IFERROR(__xludf.DUMMYFUNCTION("""COMPUTED_VALUE"""),1.007)</f>
        <v>1.007</v>
      </c>
      <c r="E2597" s="16">
        <f>IFERROR(__xludf.DUMMYFUNCTION("""COMPUTED_VALUE"""),67.0)</f>
        <v>67</v>
      </c>
      <c r="F2597" s="19" t="str">
        <f>IFERROR(__xludf.DUMMYFUNCTION("""COMPUTED_VALUE"""),"BLACK")</f>
        <v>BLACK</v>
      </c>
      <c r="G2597" s="20" t="str">
        <f>IFERROR(__xludf.DUMMYFUNCTION("""COMPUTED_VALUE"""),"Uncle Sams Cider (11/12/2021) 02")</f>
        <v>Uncle Sams Cider (11/12/2021) 02</v>
      </c>
      <c r="H2597" s="19"/>
    </row>
    <row r="2598">
      <c r="A2598" s="9"/>
      <c r="B2598" s="15"/>
      <c r="C2598" s="9">
        <f>IFERROR(__xludf.DUMMYFUNCTION("""COMPUTED_VALUE"""),44578.4420691087)</f>
        <v>44578.44207</v>
      </c>
      <c r="D2598" s="15">
        <f>IFERROR(__xludf.DUMMYFUNCTION("""COMPUTED_VALUE"""),1.006)</f>
        <v>1.006</v>
      </c>
      <c r="E2598" s="16">
        <f>IFERROR(__xludf.DUMMYFUNCTION("""COMPUTED_VALUE"""),67.0)</f>
        <v>67</v>
      </c>
      <c r="F2598" s="19" t="str">
        <f>IFERROR(__xludf.DUMMYFUNCTION("""COMPUTED_VALUE"""),"BLACK")</f>
        <v>BLACK</v>
      </c>
      <c r="G2598" s="20" t="str">
        <f>IFERROR(__xludf.DUMMYFUNCTION("""COMPUTED_VALUE"""),"Uncle Sams Cider (11/12/2021) 02")</f>
        <v>Uncle Sams Cider (11/12/2021) 02</v>
      </c>
      <c r="H2598" s="19"/>
    </row>
    <row r="2599">
      <c r="A2599" s="9"/>
      <c r="B2599" s="15"/>
      <c r="C2599" s="9">
        <f>IFERROR(__xludf.DUMMYFUNCTION("""COMPUTED_VALUE"""),44578.4316265972)</f>
        <v>44578.43163</v>
      </c>
      <c r="D2599" s="15">
        <f>IFERROR(__xludf.DUMMYFUNCTION("""COMPUTED_VALUE"""),1.006)</f>
        <v>1.006</v>
      </c>
      <c r="E2599" s="16">
        <f>IFERROR(__xludf.DUMMYFUNCTION("""COMPUTED_VALUE"""),67.0)</f>
        <v>67</v>
      </c>
      <c r="F2599" s="19" t="str">
        <f>IFERROR(__xludf.DUMMYFUNCTION("""COMPUTED_VALUE"""),"BLACK")</f>
        <v>BLACK</v>
      </c>
      <c r="G2599" s="20" t="str">
        <f>IFERROR(__xludf.DUMMYFUNCTION("""COMPUTED_VALUE"""),"Uncle Sams Cider (11/12/2021) 02")</f>
        <v>Uncle Sams Cider (11/12/2021) 02</v>
      </c>
      <c r="H2599" s="19"/>
    </row>
    <row r="2600">
      <c r="A2600" s="9"/>
      <c r="B2600" s="15"/>
      <c r="C2600" s="9">
        <f>IFERROR(__xludf.DUMMYFUNCTION("""COMPUTED_VALUE"""),44578.4211946643)</f>
        <v>44578.42119</v>
      </c>
      <c r="D2600" s="15">
        <f>IFERROR(__xludf.DUMMYFUNCTION("""COMPUTED_VALUE"""),1.006)</f>
        <v>1.006</v>
      </c>
      <c r="E2600" s="16">
        <f>IFERROR(__xludf.DUMMYFUNCTION("""COMPUTED_VALUE"""),67.0)</f>
        <v>67</v>
      </c>
      <c r="F2600" s="19" t="str">
        <f>IFERROR(__xludf.DUMMYFUNCTION("""COMPUTED_VALUE"""),"BLACK")</f>
        <v>BLACK</v>
      </c>
      <c r="G2600" s="20" t="str">
        <f>IFERROR(__xludf.DUMMYFUNCTION("""COMPUTED_VALUE"""),"Uncle Sams Cider (11/12/2021) 02")</f>
        <v>Uncle Sams Cider (11/12/2021) 02</v>
      </c>
      <c r="H2600" s="19"/>
    </row>
    <row r="2601">
      <c r="A2601" s="9"/>
      <c r="B2601" s="15"/>
      <c r="C2601" s="9">
        <f>IFERROR(__xludf.DUMMYFUNCTION("""COMPUTED_VALUE"""),44578.4107728935)</f>
        <v>44578.41077</v>
      </c>
      <c r="D2601" s="15">
        <f>IFERROR(__xludf.DUMMYFUNCTION("""COMPUTED_VALUE"""),1.006)</f>
        <v>1.006</v>
      </c>
      <c r="E2601" s="16">
        <f>IFERROR(__xludf.DUMMYFUNCTION("""COMPUTED_VALUE"""),67.0)</f>
        <v>67</v>
      </c>
      <c r="F2601" s="19" t="str">
        <f>IFERROR(__xludf.DUMMYFUNCTION("""COMPUTED_VALUE"""),"BLACK")</f>
        <v>BLACK</v>
      </c>
      <c r="G2601" s="20" t="str">
        <f>IFERROR(__xludf.DUMMYFUNCTION("""COMPUTED_VALUE"""),"Uncle Sams Cider (11/12/2021) 02")</f>
        <v>Uncle Sams Cider (11/12/2021) 02</v>
      </c>
      <c r="H2601" s="19"/>
    </row>
    <row r="2602">
      <c r="A2602" s="9"/>
      <c r="B2602" s="15"/>
      <c r="C2602" s="9">
        <f>IFERROR(__xludf.DUMMYFUNCTION("""COMPUTED_VALUE"""),44578.4003293865)</f>
        <v>44578.40033</v>
      </c>
      <c r="D2602" s="15">
        <f>IFERROR(__xludf.DUMMYFUNCTION("""COMPUTED_VALUE"""),1.006)</f>
        <v>1.006</v>
      </c>
      <c r="E2602" s="16">
        <f>IFERROR(__xludf.DUMMYFUNCTION("""COMPUTED_VALUE"""),67.0)</f>
        <v>67</v>
      </c>
      <c r="F2602" s="19" t="str">
        <f>IFERROR(__xludf.DUMMYFUNCTION("""COMPUTED_VALUE"""),"BLACK")</f>
        <v>BLACK</v>
      </c>
      <c r="G2602" s="20" t="str">
        <f>IFERROR(__xludf.DUMMYFUNCTION("""COMPUTED_VALUE"""),"Uncle Sams Cider (11/12/2021) 02")</f>
        <v>Uncle Sams Cider (11/12/2021) 02</v>
      </c>
      <c r="H2602" s="19"/>
    </row>
    <row r="2603">
      <c r="A2603" s="9"/>
      <c r="B2603" s="15"/>
      <c r="C2603" s="9">
        <f>IFERROR(__xludf.DUMMYFUNCTION("""COMPUTED_VALUE"""),44578.3898608912)</f>
        <v>44578.38986</v>
      </c>
      <c r="D2603" s="15">
        <f>IFERROR(__xludf.DUMMYFUNCTION("""COMPUTED_VALUE"""),1.006)</f>
        <v>1.006</v>
      </c>
      <c r="E2603" s="16">
        <f>IFERROR(__xludf.DUMMYFUNCTION("""COMPUTED_VALUE"""),67.0)</f>
        <v>67</v>
      </c>
      <c r="F2603" s="19" t="str">
        <f>IFERROR(__xludf.DUMMYFUNCTION("""COMPUTED_VALUE"""),"BLACK")</f>
        <v>BLACK</v>
      </c>
      <c r="G2603" s="20" t="str">
        <f>IFERROR(__xludf.DUMMYFUNCTION("""COMPUTED_VALUE"""),"Uncle Sams Cider (11/12/2021) 02")</f>
        <v>Uncle Sams Cider (11/12/2021) 02</v>
      </c>
      <c r="H2603" s="19"/>
    </row>
    <row r="2604">
      <c r="A2604" s="9"/>
      <c r="B2604" s="15"/>
      <c r="C2604" s="9">
        <f>IFERROR(__xludf.DUMMYFUNCTION("""COMPUTED_VALUE"""),44578.3794406481)</f>
        <v>44578.37944</v>
      </c>
      <c r="D2604" s="15">
        <f>IFERROR(__xludf.DUMMYFUNCTION("""COMPUTED_VALUE"""),1.006)</f>
        <v>1.006</v>
      </c>
      <c r="E2604" s="16">
        <f>IFERROR(__xludf.DUMMYFUNCTION("""COMPUTED_VALUE"""),67.0)</f>
        <v>67</v>
      </c>
      <c r="F2604" s="19" t="str">
        <f>IFERROR(__xludf.DUMMYFUNCTION("""COMPUTED_VALUE"""),"BLACK")</f>
        <v>BLACK</v>
      </c>
      <c r="G2604" s="20" t="str">
        <f>IFERROR(__xludf.DUMMYFUNCTION("""COMPUTED_VALUE"""),"Uncle Sams Cider (11/12/2021) 02")</f>
        <v>Uncle Sams Cider (11/12/2021) 02</v>
      </c>
      <c r="H2604" s="19"/>
    </row>
    <row r="2605">
      <c r="A2605" s="9"/>
      <c r="B2605" s="15"/>
      <c r="C2605" s="9">
        <f>IFERROR(__xludf.DUMMYFUNCTION("""COMPUTED_VALUE"""),44578.369018368)</f>
        <v>44578.36902</v>
      </c>
      <c r="D2605" s="15">
        <f>IFERROR(__xludf.DUMMYFUNCTION("""COMPUTED_VALUE"""),1.006)</f>
        <v>1.006</v>
      </c>
      <c r="E2605" s="16">
        <f>IFERROR(__xludf.DUMMYFUNCTION("""COMPUTED_VALUE"""),67.0)</f>
        <v>67</v>
      </c>
      <c r="F2605" s="19" t="str">
        <f>IFERROR(__xludf.DUMMYFUNCTION("""COMPUTED_VALUE"""),"BLACK")</f>
        <v>BLACK</v>
      </c>
      <c r="G2605" s="20" t="str">
        <f>IFERROR(__xludf.DUMMYFUNCTION("""COMPUTED_VALUE"""),"Uncle Sams Cider (11/12/2021) 02")</f>
        <v>Uncle Sams Cider (11/12/2021) 02</v>
      </c>
      <c r="H2605" s="19"/>
    </row>
    <row r="2606">
      <c r="A2606" s="9"/>
      <c r="B2606" s="15"/>
      <c r="C2606" s="9">
        <f>IFERROR(__xludf.DUMMYFUNCTION("""COMPUTED_VALUE"""),44578.3585729513)</f>
        <v>44578.35857</v>
      </c>
      <c r="D2606" s="15">
        <f>IFERROR(__xludf.DUMMYFUNCTION("""COMPUTED_VALUE"""),1.006)</f>
        <v>1.006</v>
      </c>
      <c r="E2606" s="16">
        <f>IFERROR(__xludf.DUMMYFUNCTION("""COMPUTED_VALUE"""),67.0)</f>
        <v>67</v>
      </c>
      <c r="F2606" s="19" t="str">
        <f>IFERROR(__xludf.DUMMYFUNCTION("""COMPUTED_VALUE"""),"BLACK")</f>
        <v>BLACK</v>
      </c>
      <c r="G2606" s="20" t="str">
        <f>IFERROR(__xludf.DUMMYFUNCTION("""COMPUTED_VALUE"""),"Uncle Sams Cider (11/12/2021) 02")</f>
        <v>Uncle Sams Cider (11/12/2021) 02</v>
      </c>
      <c r="H2606" s="19"/>
    </row>
    <row r="2607">
      <c r="A2607" s="9"/>
      <c r="B2607" s="15"/>
      <c r="C2607" s="9">
        <f>IFERROR(__xludf.DUMMYFUNCTION("""COMPUTED_VALUE"""),44578.3481403935)</f>
        <v>44578.34814</v>
      </c>
      <c r="D2607" s="15">
        <f>IFERROR(__xludf.DUMMYFUNCTION("""COMPUTED_VALUE"""),1.006)</f>
        <v>1.006</v>
      </c>
      <c r="E2607" s="16">
        <f>IFERROR(__xludf.DUMMYFUNCTION("""COMPUTED_VALUE"""),67.0)</f>
        <v>67</v>
      </c>
      <c r="F2607" s="19" t="str">
        <f>IFERROR(__xludf.DUMMYFUNCTION("""COMPUTED_VALUE"""),"BLACK")</f>
        <v>BLACK</v>
      </c>
      <c r="G2607" s="20" t="str">
        <f>IFERROR(__xludf.DUMMYFUNCTION("""COMPUTED_VALUE"""),"Uncle Sams Cider (11/12/2021) 02")</f>
        <v>Uncle Sams Cider (11/12/2021) 02</v>
      </c>
      <c r="H2607" s="19"/>
    </row>
    <row r="2608">
      <c r="A2608" s="9"/>
      <c r="B2608" s="15"/>
      <c r="C2608" s="9">
        <f>IFERROR(__xludf.DUMMYFUNCTION("""COMPUTED_VALUE"""),44578.3377201273)</f>
        <v>44578.33772</v>
      </c>
      <c r="D2608" s="15">
        <f>IFERROR(__xludf.DUMMYFUNCTION("""COMPUTED_VALUE"""),1.006)</f>
        <v>1.006</v>
      </c>
      <c r="E2608" s="16">
        <f>IFERROR(__xludf.DUMMYFUNCTION("""COMPUTED_VALUE"""),67.0)</f>
        <v>67</v>
      </c>
      <c r="F2608" s="19" t="str">
        <f>IFERROR(__xludf.DUMMYFUNCTION("""COMPUTED_VALUE"""),"BLACK")</f>
        <v>BLACK</v>
      </c>
      <c r="G2608" s="20" t="str">
        <f>IFERROR(__xludf.DUMMYFUNCTION("""COMPUTED_VALUE"""),"Uncle Sams Cider (11/12/2021) 02")</f>
        <v>Uncle Sams Cider (11/12/2021) 02</v>
      </c>
      <c r="H2608" s="19"/>
    </row>
    <row r="2609">
      <c r="A2609" s="9"/>
      <c r="B2609" s="15"/>
      <c r="C2609" s="9">
        <f>IFERROR(__xludf.DUMMYFUNCTION("""COMPUTED_VALUE"""),44578.3272874537)</f>
        <v>44578.32729</v>
      </c>
      <c r="D2609" s="15">
        <f>IFERROR(__xludf.DUMMYFUNCTION("""COMPUTED_VALUE"""),1.006)</f>
        <v>1.006</v>
      </c>
      <c r="E2609" s="16">
        <f>IFERROR(__xludf.DUMMYFUNCTION("""COMPUTED_VALUE"""),67.0)</f>
        <v>67</v>
      </c>
      <c r="F2609" s="19" t="str">
        <f>IFERROR(__xludf.DUMMYFUNCTION("""COMPUTED_VALUE"""),"BLACK")</f>
        <v>BLACK</v>
      </c>
      <c r="G2609" s="20" t="str">
        <f>IFERROR(__xludf.DUMMYFUNCTION("""COMPUTED_VALUE"""),"Uncle Sams Cider (11/12/2021) 02")</f>
        <v>Uncle Sams Cider (11/12/2021) 02</v>
      </c>
      <c r="H2609" s="19"/>
    </row>
    <row r="2610">
      <c r="A2610" s="9"/>
      <c r="B2610" s="15"/>
      <c r="C2610" s="9">
        <f>IFERROR(__xludf.DUMMYFUNCTION("""COMPUTED_VALUE"""),44578.3168665972)</f>
        <v>44578.31687</v>
      </c>
      <c r="D2610" s="15">
        <f>IFERROR(__xludf.DUMMYFUNCTION("""COMPUTED_VALUE"""),1.006)</f>
        <v>1.006</v>
      </c>
      <c r="E2610" s="16">
        <f>IFERROR(__xludf.DUMMYFUNCTION("""COMPUTED_VALUE"""),67.0)</f>
        <v>67</v>
      </c>
      <c r="F2610" s="19" t="str">
        <f>IFERROR(__xludf.DUMMYFUNCTION("""COMPUTED_VALUE"""),"BLACK")</f>
        <v>BLACK</v>
      </c>
      <c r="G2610" s="20" t="str">
        <f>IFERROR(__xludf.DUMMYFUNCTION("""COMPUTED_VALUE"""),"Uncle Sams Cider (11/12/2021) 02")</f>
        <v>Uncle Sams Cider (11/12/2021) 02</v>
      </c>
      <c r="H2610" s="19"/>
    </row>
    <row r="2611">
      <c r="A2611" s="9"/>
      <c r="B2611" s="15"/>
      <c r="C2611" s="9">
        <f>IFERROR(__xludf.DUMMYFUNCTION("""COMPUTED_VALUE"""),44578.3064430902)</f>
        <v>44578.30644</v>
      </c>
      <c r="D2611" s="15">
        <f>IFERROR(__xludf.DUMMYFUNCTION("""COMPUTED_VALUE"""),1.006)</f>
        <v>1.006</v>
      </c>
      <c r="E2611" s="16">
        <f>IFERROR(__xludf.DUMMYFUNCTION("""COMPUTED_VALUE"""),68.0)</f>
        <v>68</v>
      </c>
      <c r="F2611" s="19" t="str">
        <f>IFERROR(__xludf.DUMMYFUNCTION("""COMPUTED_VALUE"""),"BLACK")</f>
        <v>BLACK</v>
      </c>
      <c r="G2611" s="20" t="str">
        <f>IFERROR(__xludf.DUMMYFUNCTION("""COMPUTED_VALUE"""),"Uncle Sams Cider (11/12/2021) 02")</f>
        <v>Uncle Sams Cider (11/12/2021) 02</v>
      </c>
      <c r="H2611" s="19"/>
    </row>
    <row r="2612">
      <c r="A2612" s="9"/>
      <c r="B2612" s="15"/>
      <c r="C2612" s="9">
        <f>IFERROR(__xludf.DUMMYFUNCTION("""COMPUTED_VALUE"""),44578.2960222106)</f>
        <v>44578.29602</v>
      </c>
      <c r="D2612" s="15">
        <f>IFERROR(__xludf.DUMMYFUNCTION("""COMPUTED_VALUE"""),1.006)</f>
        <v>1.006</v>
      </c>
      <c r="E2612" s="16">
        <f>IFERROR(__xludf.DUMMYFUNCTION("""COMPUTED_VALUE"""),68.0)</f>
        <v>68</v>
      </c>
      <c r="F2612" s="19" t="str">
        <f>IFERROR(__xludf.DUMMYFUNCTION("""COMPUTED_VALUE"""),"BLACK")</f>
        <v>BLACK</v>
      </c>
      <c r="G2612" s="20" t="str">
        <f>IFERROR(__xludf.DUMMYFUNCTION("""COMPUTED_VALUE"""),"Uncle Sams Cider (11/12/2021) 02")</f>
        <v>Uncle Sams Cider (11/12/2021) 02</v>
      </c>
      <c r="H2612" s="19"/>
    </row>
    <row r="2613">
      <c r="A2613" s="9"/>
      <c r="B2613" s="15"/>
      <c r="C2613" s="9">
        <f>IFERROR(__xludf.DUMMYFUNCTION("""COMPUTED_VALUE"""),44578.2855773842)</f>
        <v>44578.28558</v>
      </c>
      <c r="D2613" s="15">
        <f>IFERROR(__xludf.DUMMYFUNCTION("""COMPUTED_VALUE"""),1.006)</f>
        <v>1.006</v>
      </c>
      <c r="E2613" s="16">
        <f>IFERROR(__xludf.DUMMYFUNCTION("""COMPUTED_VALUE"""),68.0)</f>
        <v>68</v>
      </c>
      <c r="F2613" s="19" t="str">
        <f>IFERROR(__xludf.DUMMYFUNCTION("""COMPUTED_VALUE"""),"BLACK")</f>
        <v>BLACK</v>
      </c>
      <c r="G2613" s="20" t="str">
        <f>IFERROR(__xludf.DUMMYFUNCTION("""COMPUTED_VALUE"""),"Uncle Sams Cider (11/12/2021) 02")</f>
        <v>Uncle Sams Cider (11/12/2021) 02</v>
      </c>
      <c r="H2613" s="19"/>
    </row>
    <row r="2614">
      <c r="A2614" s="9"/>
      <c r="B2614" s="15"/>
      <c r="C2614" s="9">
        <f>IFERROR(__xludf.DUMMYFUNCTION("""COMPUTED_VALUE"""),44578.2751343518)</f>
        <v>44578.27513</v>
      </c>
      <c r="D2614" s="15">
        <f>IFERROR(__xludf.DUMMYFUNCTION("""COMPUTED_VALUE"""),1.007)</f>
        <v>1.007</v>
      </c>
      <c r="E2614" s="16">
        <f>IFERROR(__xludf.DUMMYFUNCTION("""COMPUTED_VALUE"""),68.0)</f>
        <v>68</v>
      </c>
      <c r="F2614" s="19" t="str">
        <f>IFERROR(__xludf.DUMMYFUNCTION("""COMPUTED_VALUE"""),"BLACK")</f>
        <v>BLACK</v>
      </c>
      <c r="G2614" s="20" t="str">
        <f>IFERROR(__xludf.DUMMYFUNCTION("""COMPUTED_VALUE"""),"Uncle Sams Cider (11/12/2021) 02")</f>
        <v>Uncle Sams Cider (11/12/2021) 02</v>
      </c>
      <c r="H2614" s="19"/>
    </row>
    <row r="2615">
      <c r="A2615" s="9"/>
      <c r="B2615" s="15"/>
      <c r="C2615" s="9">
        <f>IFERROR(__xludf.DUMMYFUNCTION("""COMPUTED_VALUE"""),44578.2647128356)</f>
        <v>44578.26471</v>
      </c>
      <c r="D2615" s="15">
        <f>IFERROR(__xludf.DUMMYFUNCTION("""COMPUTED_VALUE"""),1.006)</f>
        <v>1.006</v>
      </c>
      <c r="E2615" s="16">
        <f>IFERROR(__xludf.DUMMYFUNCTION("""COMPUTED_VALUE"""),68.0)</f>
        <v>68</v>
      </c>
      <c r="F2615" s="19" t="str">
        <f>IFERROR(__xludf.DUMMYFUNCTION("""COMPUTED_VALUE"""),"BLACK")</f>
        <v>BLACK</v>
      </c>
      <c r="G2615" s="20" t="str">
        <f>IFERROR(__xludf.DUMMYFUNCTION("""COMPUTED_VALUE"""),"Uncle Sams Cider (11/12/2021) 02")</f>
        <v>Uncle Sams Cider (11/12/2021) 02</v>
      </c>
      <c r="H2615" s="19"/>
    </row>
    <row r="2616">
      <c r="A2616" s="9"/>
      <c r="B2616" s="15"/>
      <c r="C2616" s="9">
        <f>IFERROR(__xludf.DUMMYFUNCTION("""COMPUTED_VALUE"""),44578.2542917361)</f>
        <v>44578.25429</v>
      </c>
      <c r="D2616" s="15">
        <f>IFERROR(__xludf.DUMMYFUNCTION("""COMPUTED_VALUE"""),1.006)</f>
        <v>1.006</v>
      </c>
      <c r="E2616" s="16">
        <f>IFERROR(__xludf.DUMMYFUNCTION("""COMPUTED_VALUE"""),68.0)</f>
        <v>68</v>
      </c>
      <c r="F2616" s="19" t="str">
        <f>IFERROR(__xludf.DUMMYFUNCTION("""COMPUTED_VALUE"""),"BLACK")</f>
        <v>BLACK</v>
      </c>
      <c r="G2616" s="20" t="str">
        <f>IFERROR(__xludf.DUMMYFUNCTION("""COMPUTED_VALUE"""),"Uncle Sams Cider (11/12/2021) 02")</f>
        <v>Uncle Sams Cider (11/12/2021) 02</v>
      </c>
      <c r="H2616" s="19"/>
    </row>
    <row r="2617">
      <c r="A2617" s="9"/>
      <c r="B2617" s="15"/>
      <c r="C2617" s="9">
        <f>IFERROR(__xludf.DUMMYFUNCTION("""COMPUTED_VALUE"""),44578.2438588657)</f>
        <v>44578.24386</v>
      </c>
      <c r="D2617" s="15">
        <f>IFERROR(__xludf.DUMMYFUNCTION("""COMPUTED_VALUE"""),1.006)</f>
        <v>1.006</v>
      </c>
      <c r="E2617" s="16">
        <f>IFERROR(__xludf.DUMMYFUNCTION("""COMPUTED_VALUE"""),68.0)</f>
        <v>68</v>
      </c>
      <c r="F2617" s="19" t="str">
        <f>IFERROR(__xludf.DUMMYFUNCTION("""COMPUTED_VALUE"""),"BLACK")</f>
        <v>BLACK</v>
      </c>
      <c r="G2617" s="20" t="str">
        <f>IFERROR(__xludf.DUMMYFUNCTION("""COMPUTED_VALUE"""),"Uncle Sams Cider (11/12/2021) 02")</f>
        <v>Uncle Sams Cider (11/12/2021) 02</v>
      </c>
      <c r="H2617" s="19"/>
    </row>
    <row r="2618">
      <c r="A2618" s="9"/>
      <c r="B2618" s="15"/>
      <c r="C2618" s="9">
        <f>IFERROR(__xludf.DUMMYFUNCTION("""COMPUTED_VALUE"""),44578.2334382175)</f>
        <v>44578.23344</v>
      </c>
      <c r="D2618" s="15">
        <f>IFERROR(__xludf.DUMMYFUNCTION("""COMPUTED_VALUE"""),1.006)</f>
        <v>1.006</v>
      </c>
      <c r="E2618" s="16">
        <f>IFERROR(__xludf.DUMMYFUNCTION("""COMPUTED_VALUE"""),68.0)</f>
        <v>68</v>
      </c>
      <c r="F2618" s="19" t="str">
        <f>IFERROR(__xludf.DUMMYFUNCTION("""COMPUTED_VALUE"""),"BLACK")</f>
        <v>BLACK</v>
      </c>
      <c r="G2618" s="20" t="str">
        <f>IFERROR(__xludf.DUMMYFUNCTION("""COMPUTED_VALUE"""),"Uncle Sams Cider (11/12/2021) 02")</f>
        <v>Uncle Sams Cider (11/12/2021) 02</v>
      </c>
      <c r="H2618" s="19"/>
    </row>
    <row r="2619">
      <c r="A2619" s="9"/>
      <c r="B2619" s="15"/>
      <c r="C2619" s="9">
        <f>IFERROR(__xludf.DUMMYFUNCTION("""COMPUTED_VALUE"""),44578.2230044097)</f>
        <v>44578.223</v>
      </c>
      <c r="D2619" s="15">
        <f>IFERROR(__xludf.DUMMYFUNCTION("""COMPUTED_VALUE"""),1.006)</f>
        <v>1.006</v>
      </c>
      <c r="E2619" s="16">
        <f>IFERROR(__xludf.DUMMYFUNCTION("""COMPUTED_VALUE"""),68.0)</f>
        <v>68</v>
      </c>
      <c r="F2619" s="19" t="str">
        <f>IFERROR(__xludf.DUMMYFUNCTION("""COMPUTED_VALUE"""),"BLACK")</f>
        <v>BLACK</v>
      </c>
      <c r="G2619" s="20" t="str">
        <f>IFERROR(__xludf.DUMMYFUNCTION("""COMPUTED_VALUE"""),"Uncle Sams Cider (11/12/2021) 02")</f>
        <v>Uncle Sams Cider (11/12/2021) 02</v>
      </c>
      <c r="H2619" s="19"/>
    </row>
    <row r="2620">
      <c r="A2620" s="9"/>
      <c r="B2620" s="15"/>
      <c r="C2620" s="9">
        <f>IFERROR(__xludf.DUMMYFUNCTION("""COMPUTED_VALUE"""),44578.2125841898)</f>
        <v>44578.21258</v>
      </c>
      <c r="D2620" s="15">
        <f>IFERROR(__xludf.DUMMYFUNCTION("""COMPUTED_VALUE"""),1.006)</f>
        <v>1.006</v>
      </c>
      <c r="E2620" s="16">
        <f>IFERROR(__xludf.DUMMYFUNCTION("""COMPUTED_VALUE"""),67.0)</f>
        <v>67</v>
      </c>
      <c r="F2620" s="19" t="str">
        <f>IFERROR(__xludf.DUMMYFUNCTION("""COMPUTED_VALUE"""),"BLACK")</f>
        <v>BLACK</v>
      </c>
      <c r="G2620" s="20" t="str">
        <f>IFERROR(__xludf.DUMMYFUNCTION("""COMPUTED_VALUE"""),"Uncle Sams Cider (11/12/2021) 02")</f>
        <v>Uncle Sams Cider (11/12/2021) 02</v>
      </c>
      <c r="H2620" s="19"/>
    </row>
    <row r="2621">
      <c r="A2621" s="9"/>
      <c r="B2621" s="15"/>
      <c r="C2621" s="9">
        <f>IFERROR(__xludf.DUMMYFUNCTION("""COMPUTED_VALUE"""),44578.202164074)</f>
        <v>44578.20216</v>
      </c>
      <c r="D2621" s="15">
        <f>IFERROR(__xludf.DUMMYFUNCTION("""COMPUTED_VALUE"""),1.006)</f>
        <v>1.006</v>
      </c>
      <c r="E2621" s="16">
        <f>IFERROR(__xludf.DUMMYFUNCTION("""COMPUTED_VALUE"""),67.0)</f>
        <v>67</v>
      </c>
      <c r="F2621" s="19" t="str">
        <f>IFERROR(__xludf.DUMMYFUNCTION("""COMPUTED_VALUE"""),"BLACK")</f>
        <v>BLACK</v>
      </c>
      <c r="G2621" s="20" t="str">
        <f>IFERROR(__xludf.DUMMYFUNCTION("""COMPUTED_VALUE"""),"Uncle Sams Cider (11/12/2021) 02")</f>
        <v>Uncle Sams Cider (11/12/2021) 02</v>
      </c>
      <c r="H2621" s="19"/>
    </row>
    <row r="2622">
      <c r="A2622" s="9"/>
      <c r="B2622" s="15"/>
      <c r="C2622" s="9">
        <f>IFERROR(__xludf.DUMMYFUNCTION("""COMPUTED_VALUE"""),44578.1917433796)</f>
        <v>44578.19174</v>
      </c>
      <c r="D2622" s="15">
        <f>IFERROR(__xludf.DUMMYFUNCTION("""COMPUTED_VALUE"""),1.007)</f>
        <v>1.007</v>
      </c>
      <c r="E2622" s="16">
        <f>IFERROR(__xludf.DUMMYFUNCTION("""COMPUTED_VALUE"""),66.0)</f>
        <v>66</v>
      </c>
      <c r="F2622" s="19" t="str">
        <f>IFERROR(__xludf.DUMMYFUNCTION("""COMPUTED_VALUE"""),"BLACK")</f>
        <v>BLACK</v>
      </c>
      <c r="G2622" s="20" t="str">
        <f>IFERROR(__xludf.DUMMYFUNCTION("""COMPUTED_VALUE"""),"Uncle Sams Cider (11/12/2021) 02")</f>
        <v>Uncle Sams Cider (11/12/2021) 02</v>
      </c>
      <c r="H2622" s="19"/>
    </row>
    <row r="2623">
      <c r="A2623" s="9"/>
      <c r="B2623" s="15"/>
      <c r="C2623" s="9">
        <f>IFERROR(__xludf.DUMMYFUNCTION("""COMPUTED_VALUE"""),44578.1813095254)</f>
        <v>44578.18131</v>
      </c>
      <c r="D2623" s="15">
        <f>IFERROR(__xludf.DUMMYFUNCTION("""COMPUTED_VALUE"""),1.007)</f>
        <v>1.007</v>
      </c>
      <c r="E2623" s="16">
        <f>IFERROR(__xludf.DUMMYFUNCTION("""COMPUTED_VALUE"""),66.0)</f>
        <v>66</v>
      </c>
      <c r="F2623" s="19" t="str">
        <f>IFERROR(__xludf.DUMMYFUNCTION("""COMPUTED_VALUE"""),"BLACK")</f>
        <v>BLACK</v>
      </c>
      <c r="G2623" s="20" t="str">
        <f>IFERROR(__xludf.DUMMYFUNCTION("""COMPUTED_VALUE"""),"Uncle Sams Cider (11/12/2021) 02")</f>
        <v>Uncle Sams Cider (11/12/2021) 02</v>
      </c>
      <c r="H2623" s="19"/>
    </row>
    <row r="2624">
      <c r="A2624" s="9"/>
      <c r="B2624" s="15"/>
      <c r="C2624" s="9">
        <f>IFERROR(__xludf.DUMMYFUNCTION("""COMPUTED_VALUE"""),44578.1708762962)</f>
        <v>44578.17088</v>
      </c>
      <c r="D2624" s="15">
        <f>IFERROR(__xludf.DUMMYFUNCTION("""COMPUTED_VALUE"""),1.006)</f>
        <v>1.006</v>
      </c>
      <c r="E2624" s="16">
        <f>IFERROR(__xludf.DUMMYFUNCTION("""COMPUTED_VALUE"""),65.0)</f>
        <v>65</v>
      </c>
      <c r="F2624" s="19" t="str">
        <f>IFERROR(__xludf.DUMMYFUNCTION("""COMPUTED_VALUE"""),"BLACK")</f>
        <v>BLACK</v>
      </c>
      <c r="G2624" s="20" t="str">
        <f>IFERROR(__xludf.DUMMYFUNCTION("""COMPUTED_VALUE"""),"Uncle Sams Cider (11/12/2021) 02")</f>
        <v>Uncle Sams Cider (11/12/2021) 02</v>
      </c>
      <c r="H2624" s="19"/>
    </row>
    <row r="2625">
      <c r="A2625" s="9"/>
      <c r="B2625" s="15"/>
      <c r="C2625" s="9">
        <f>IFERROR(__xludf.DUMMYFUNCTION("""COMPUTED_VALUE"""),44578.1604548842)</f>
        <v>44578.16045</v>
      </c>
      <c r="D2625" s="15">
        <f>IFERROR(__xludf.DUMMYFUNCTION("""COMPUTED_VALUE"""),1.007)</f>
        <v>1.007</v>
      </c>
      <c r="E2625" s="16">
        <f>IFERROR(__xludf.DUMMYFUNCTION("""COMPUTED_VALUE"""),65.0)</f>
        <v>65</v>
      </c>
      <c r="F2625" s="19" t="str">
        <f>IFERROR(__xludf.DUMMYFUNCTION("""COMPUTED_VALUE"""),"BLACK")</f>
        <v>BLACK</v>
      </c>
      <c r="G2625" s="20" t="str">
        <f>IFERROR(__xludf.DUMMYFUNCTION("""COMPUTED_VALUE"""),"Uncle Sams Cider (11/12/2021) 02")</f>
        <v>Uncle Sams Cider (11/12/2021) 02</v>
      </c>
      <c r="H2625" s="19"/>
    </row>
    <row r="2626">
      <c r="A2626" s="9"/>
      <c r="B2626" s="15"/>
      <c r="C2626" s="9">
        <f>IFERROR(__xludf.DUMMYFUNCTION("""COMPUTED_VALUE"""),44578.1500214004)</f>
        <v>44578.15002</v>
      </c>
      <c r="D2626" s="15">
        <f>IFERROR(__xludf.DUMMYFUNCTION("""COMPUTED_VALUE"""),1.007)</f>
        <v>1.007</v>
      </c>
      <c r="E2626" s="16">
        <f>IFERROR(__xludf.DUMMYFUNCTION("""COMPUTED_VALUE"""),64.0)</f>
        <v>64</v>
      </c>
      <c r="F2626" s="19" t="str">
        <f>IFERROR(__xludf.DUMMYFUNCTION("""COMPUTED_VALUE"""),"BLACK")</f>
        <v>BLACK</v>
      </c>
      <c r="G2626" s="20" t="str">
        <f>IFERROR(__xludf.DUMMYFUNCTION("""COMPUTED_VALUE"""),"Uncle Sams Cider (11/12/2021) 02")</f>
        <v>Uncle Sams Cider (11/12/2021) 02</v>
      </c>
      <c r="H2626" s="19"/>
    </row>
    <row r="2627">
      <c r="A2627" s="9"/>
      <c r="B2627" s="15"/>
      <c r="C2627" s="9">
        <f>IFERROR(__xludf.DUMMYFUNCTION("""COMPUTED_VALUE"""),44578.1395876967)</f>
        <v>44578.13959</v>
      </c>
      <c r="D2627" s="15">
        <f>IFERROR(__xludf.DUMMYFUNCTION("""COMPUTED_VALUE"""),1.007)</f>
        <v>1.007</v>
      </c>
      <c r="E2627" s="16">
        <f>IFERROR(__xludf.DUMMYFUNCTION("""COMPUTED_VALUE"""),64.0)</f>
        <v>64</v>
      </c>
      <c r="F2627" s="19" t="str">
        <f>IFERROR(__xludf.DUMMYFUNCTION("""COMPUTED_VALUE"""),"BLACK")</f>
        <v>BLACK</v>
      </c>
      <c r="G2627" s="20" t="str">
        <f>IFERROR(__xludf.DUMMYFUNCTION("""COMPUTED_VALUE"""),"Uncle Sams Cider (11/12/2021) 02")</f>
        <v>Uncle Sams Cider (11/12/2021) 02</v>
      </c>
      <c r="H2627" s="19"/>
    </row>
    <row r="2628">
      <c r="A2628" s="9"/>
      <c r="B2628" s="15"/>
      <c r="C2628" s="9">
        <f>IFERROR(__xludf.DUMMYFUNCTION("""COMPUTED_VALUE"""),44578.1291661574)</f>
        <v>44578.12917</v>
      </c>
      <c r="D2628" s="15">
        <f>IFERROR(__xludf.DUMMYFUNCTION("""COMPUTED_VALUE"""),1.007)</f>
        <v>1.007</v>
      </c>
      <c r="E2628" s="16">
        <f>IFERROR(__xludf.DUMMYFUNCTION("""COMPUTED_VALUE"""),64.0)</f>
        <v>64</v>
      </c>
      <c r="F2628" s="19" t="str">
        <f>IFERROR(__xludf.DUMMYFUNCTION("""COMPUTED_VALUE"""),"BLACK")</f>
        <v>BLACK</v>
      </c>
      <c r="G2628" s="20" t="str">
        <f>IFERROR(__xludf.DUMMYFUNCTION("""COMPUTED_VALUE"""),"Uncle Sams Cider (11/12/2021) 02")</f>
        <v>Uncle Sams Cider (11/12/2021) 02</v>
      </c>
      <c r="H2628" s="19"/>
    </row>
    <row r="2629">
      <c r="A2629" s="9"/>
      <c r="B2629" s="15"/>
      <c r="C2629" s="9">
        <f>IFERROR(__xludf.DUMMYFUNCTION("""COMPUTED_VALUE"""),44578.1187327662)</f>
        <v>44578.11873</v>
      </c>
      <c r="D2629" s="15">
        <f>IFERROR(__xludf.DUMMYFUNCTION("""COMPUTED_VALUE"""),1.007)</f>
        <v>1.007</v>
      </c>
      <c r="E2629" s="16">
        <f>IFERROR(__xludf.DUMMYFUNCTION("""COMPUTED_VALUE"""),63.0)</f>
        <v>63</v>
      </c>
      <c r="F2629" s="19" t="str">
        <f>IFERROR(__xludf.DUMMYFUNCTION("""COMPUTED_VALUE"""),"BLACK")</f>
        <v>BLACK</v>
      </c>
      <c r="G2629" s="20" t="str">
        <f>IFERROR(__xludf.DUMMYFUNCTION("""COMPUTED_VALUE"""),"Uncle Sams Cider (11/12/2021) 02")</f>
        <v>Uncle Sams Cider (11/12/2021) 02</v>
      </c>
      <c r="H2629" s="19"/>
    </row>
    <row r="2630">
      <c r="A2630" s="9"/>
      <c r="B2630" s="15"/>
      <c r="C2630" s="9">
        <f>IFERROR(__xludf.DUMMYFUNCTION("""COMPUTED_VALUE"""),44578.1083093402)</f>
        <v>44578.10831</v>
      </c>
      <c r="D2630" s="15">
        <f>IFERROR(__xludf.DUMMYFUNCTION("""COMPUTED_VALUE"""),1.007)</f>
        <v>1.007</v>
      </c>
      <c r="E2630" s="16">
        <f>IFERROR(__xludf.DUMMYFUNCTION("""COMPUTED_VALUE"""),63.0)</f>
        <v>63</v>
      </c>
      <c r="F2630" s="19" t="str">
        <f>IFERROR(__xludf.DUMMYFUNCTION("""COMPUTED_VALUE"""),"BLACK")</f>
        <v>BLACK</v>
      </c>
      <c r="G2630" s="20" t="str">
        <f>IFERROR(__xludf.DUMMYFUNCTION("""COMPUTED_VALUE"""),"Uncle Sams Cider (11/12/2021) 02")</f>
        <v>Uncle Sams Cider (11/12/2021) 02</v>
      </c>
      <c r="H2630" s="19"/>
    </row>
    <row r="2631">
      <c r="A2631" s="9"/>
      <c r="B2631" s="15"/>
      <c r="C2631" s="9">
        <f>IFERROR(__xludf.DUMMYFUNCTION("""COMPUTED_VALUE"""),44578.0978774884)</f>
        <v>44578.09788</v>
      </c>
      <c r="D2631" s="15">
        <f>IFERROR(__xludf.DUMMYFUNCTION("""COMPUTED_VALUE"""),1.007)</f>
        <v>1.007</v>
      </c>
      <c r="E2631" s="16">
        <f>IFERROR(__xludf.DUMMYFUNCTION("""COMPUTED_VALUE"""),63.0)</f>
        <v>63</v>
      </c>
      <c r="F2631" s="19" t="str">
        <f>IFERROR(__xludf.DUMMYFUNCTION("""COMPUTED_VALUE"""),"BLACK")</f>
        <v>BLACK</v>
      </c>
      <c r="G2631" s="20" t="str">
        <f>IFERROR(__xludf.DUMMYFUNCTION("""COMPUTED_VALUE"""),"Uncle Sams Cider (11/12/2021) 02")</f>
        <v>Uncle Sams Cider (11/12/2021) 02</v>
      </c>
      <c r="H2631" s="19"/>
    </row>
    <row r="2632">
      <c r="A2632" s="9"/>
      <c r="B2632" s="15"/>
      <c r="C2632" s="9">
        <f>IFERROR(__xludf.DUMMYFUNCTION("""COMPUTED_VALUE"""),44578.0874344328)</f>
        <v>44578.08743</v>
      </c>
      <c r="D2632" s="15">
        <f>IFERROR(__xludf.DUMMYFUNCTION("""COMPUTED_VALUE"""),1.007)</f>
        <v>1.007</v>
      </c>
      <c r="E2632" s="16">
        <f>IFERROR(__xludf.DUMMYFUNCTION("""COMPUTED_VALUE"""),63.0)</f>
        <v>63</v>
      </c>
      <c r="F2632" s="19" t="str">
        <f>IFERROR(__xludf.DUMMYFUNCTION("""COMPUTED_VALUE"""),"BLACK")</f>
        <v>BLACK</v>
      </c>
      <c r="G2632" s="20" t="str">
        <f>IFERROR(__xludf.DUMMYFUNCTION("""COMPUTED_VALUE"""),"Uncle Sams Cider (11/12/2021) 02")</f>
        <v>Uncle Sams Cider (11/12/2021) 02</v>
      </c>
      <c r="H2632" s="19"/>
    </row>
    <row r="2633">
      <c r="A2633" s="9"/>
      <c r="B2633" s="15"/>
      <c r="C2633" s="9">
        <f>IFERROR(__xludf.DUMMYFUNCTION("""COMPUTED_VALUE"""),44578.0769909259)</f>
        <v>44578.07699</v>
      </c>
      <c r="D2633" s="15">
        <f>IFERROR(__xludf.DUMMYFUNCTION("""COMPUTED_VALUE"""),1.007)</f>
        <v>1.007</v>
      </c>
      <c r="E2633" s="16">
        <f>IFERROR(__xludf.DUMMYFUNCTION("""COMPUTED_VALUE"""),63.0)</f>
        <v>63</v>
      </c>
      <c r="F2633" s="19" t="str">
        <f>IFERROR(__xludf.DUMMYFUNCTION("""COMPUTED_VALUE"""),"BLACK")</f>
        <v>BLACK</v>
      </c>
      <c r="G2633" s="20" t="str">
        <f>IFERROR(__xludf.DUMMYFUNCTION("""COMPUTED_VALUE"""),"Uncle Sams Cider (11/12/2021) 02")</f>
        <v>Uncle Sams Cider (11/12/2021) 02</v>
      </c>
      <c r="H2633" s="19"/>
    </row>
    <row r="2634">
      <c r="A2634" s="9"/>
      <c r="B2634" s="15"/>
      <c r="C2634" s="9">
        <f>IFERROR(__xludf.DUMMYFUNCTION("""COMPUTED_VALUE"""),44578.0665457407)</f>
        <v>44578.06655</v>
      </c>
      <c r="D2634" s="15">
        <f>IFERROR(__xludf.DUMMYFUNCTION("""COMPUTED_VALUE"""),1.007)</f>
        <v>1.007</v>
      </c>
      <c r="E2634" s="16">
        <f>IFERROR(__xludf.DUMMYFUNCTION("""COMPUTED_VALUE"""),63.0)</f>
        <v>63</v>
      </c>
      <c r="F2634" s="19" t="str">
        <f>IFERROR(__xludf.DUMMYFUNCTION("""COMPUTED_VALUE"""),"BLACK")</f>
        <v>BLACK</v>
      </c>
      <c r="G2634" s="20" t="str">
        <f>IFERROR(__xludf.DUMMYFUNCTION("""COMPUTED_VALUE"""),"Uncle Sams Cider (11/12/2021) 02")</f>
        <v>Uncle Sams Cider (11/12/2021) 02</v>
      </c>
      <c r="H2634" s="19"/>
    </row>
    <row r="2635">
      <c r="A2635" s="9"/>
      <c r="B2635" s="15"/>
      <c r="C2635" s="9">
        <f>IFERROR(__xludf.DUMMYFUNCTION("""COMPUTED_VALUE"""),44578.0561237731)</f>
        <v>44578.05612</v>
      </c>
      <c r="D2635" s="15">
        <f>IFERROR(__xludf.DUMMYFUNCTION("""COMPUTED_VALUE"""),1.007)</f>
        <v>1.007</v>
      </c>
      <c r="E2635" s="16">
        <f>IFERROR(__xludf.DUMMYFUNCTION("""COMPUTED_VALUE"""),63.0)</f>
        <v>63</v>
      </c>
      <c r="F2635" s="19" t="str">
        <f>IFERROR(__xludf.DUMMYFUNCTION("""COMPUTED_VALUE"""),"BLACK")</f>
        <v>BLACK</v>
      </c>
      <c r="G2635" s="20" t="str">
        <f>IFERROR(__xludf.DUMMYFUNCTION("""COMPUTED_VALUE"""),"Uncle Sams Cider (11/12/2021) 02")</f>
        <v>Uncle Sams Cider (11/12/2021) 02</v>
      </c>
      <c r="H2635" s="19"/>
    </row>
    <row r="2636">
      <c r="A2636" s="9"/>
      <c r="B2636" s="15"/>
      <c r="C2636" s="9">
        <f>IFERROR(__xludf.DUMMYFUNCTION("""COMPUTED_VALUE"""),44578.045690081)</f>
        <v>44578.04569</v>
      </c>
      <c r="D2636" s="15">
        <f>IFERROR(__xludf.DUMMYFUNCTION("""COMPUTED_VALUE"""),1.006)</f>
        <v>1.006</v>
      </c>
      <c r="E2636" s="16">
        <f>IFERROR(__xludf.DUMMYFUNCTION("""COMPUTED_VALUE"""),63.0)</f>
        <v>63</v>
      </c>
      <c r="F2636" s="19" t="str">
        <f>IFERROR(__xludf.DUMMYFUNCTION("""COMPUTED_VALUE"""),"BLACK")</f>
        <v>BLACK</v>
      </c>
      <c r="G2636" s="20" t="str">
        <f>IFERROR(__xludf.DUMMYFUNCTION("""COMPUTED_VALUE"""),"Uncle Sams Cider (11/12/2021) 02")</f>
        <v>Uncle Sams Cider (11/12/2021) 02</v>
      </c>
      <c r="H2636" s="19"/>
    </row>
    <row r="2637">
      <c r="A2637" s="9"/>
      <c r="B2637" s="15"/>
      <c r="C2637" s="9">
        <f>IFERROR(__xludf.DUMMYFUNCTION("""COMPUTED_VALUE"""),44578.035270162)</f>
        <v>44578.03527</v>
      </c>
      <c r="D2637" s="15">
        <f>IFERROR(__xludf.DUMMYFUNCTION("""COMPUTED_VALUE"""),1.007)</f>
        <v>1.007</v>
      </c>
      <c r="E2637" s="16">
        <f>IFERROR(__xludf.DUMMYFUNCTION("""COMPUTED_VALUE"""),63.0)</f>
        <v>63</v>
      </c>
      <c r="F2637" s="19" t="str">
        <f>IFERROR(__xludf.DUMMYFUNCTION("""COMPUTED_VALUE"""),"BLACK")</f>
        <v>BLACK</v>
      </c>
      <c r="G2637" s="20" t="str">
        <f>IFERROR(__xludf.DUMMYFUNCTION("""COMPUTED_VALUE"""),"Uncle Sams Cider (11/12/2021) 02")</f>
        <v>Uncle Sams Cider (11/12/2021) 02</v>
      </c>
      <c r="H2637" s="19"/>
    </row>
    <row r="2638">
      <c r="A2638" s="9"/>
      <c r="B2638" s="15"/>
      <c r="C2638" s="9">
        <f>IFERROR(__xludf.DUMMYFUNCTION("""COMPUTED_VALUE"""),44578.0248482175)</f>
        <v>44578.02485</v>
      </c>
      <c r="D2638" s="15">
        <f>IFERROR(__xludf.DUMMYFUNCTION("""COMPUTED_VALUE"""),1.007)</f>
        <v>1.007</v>
      </c>
      <c r="E2638" s="16">
        <f>IFERROR(__xludf.DUMMYFUNCTION("""COMPUTED_VALUE"""),63.0)</f>
        <v>63</v>
      </c>
      <c r="F2638" s="19" t="str">
        <f>IFERROR(__xludf.DUMMYFUNCTION("""COMPUTED_VALUE"""),"BLACK")</f>
        <v>BLACK</v>
      </c>
      <c r="G2638" s="20" t="str">
        <f>IFERROR(__xludf.DUMMYFUNCTION("""COMPUTED_VALUE"""),"Uncle Sams Cider (11/12/2021) 02")</f>
        <v>Uncle Sams Cider (11/12/2021) 02</v>
      </c>
      <c r="H2638" s="19"/>
    </row>
    <row r="2639">
      <c r="A2639" s="9"/>
      <c r="B2639" s="15"/>
      <c r="C2639" s="9">
        <f>IFERROR(__xludf.DUMMYFUNCTION("""COMPUTED_VALUE"""),44578.0144039814)</f>
        <v>44578.0144</v>
      </c>
      <c r="D2639" s="15">
        <f>IFERROR(__xludf.DUMMYFUNCTION("""COMPUTED_VALUE"""),1.007)</f>
        <v>1.007</v>
      </c>
      <c r="E2639" s="16">
        <f>IFERROR(__xludf.DUMMYFUNCTION("""COMPUTED_VALUE"""),63.0)</f>
        <v>63</v>
      </c>
      <c r="F2639" s="19" t="str">
        <f>IFERROR(__xludf.DUMMYFUNCTION("""COMPUTED_VALUE"""),"BLACK")</f>
        <v>BLACK</v>
      </c>
      <c r="G2639" s="20" t="str">
        <f>IFERROR(__xludf.DUMMYFUNCTION("""COMPUTED_VALUE"""),"Uncle Sams Cider (11/12/2021) 02")</f>
        <v>Uncle Sams Cider (11/12/2021) 02</v>
      </c>
      <c r="H2639" s="19"/>
    </row>
    <row r="2640">
      <c r="A2640" s="9"/>
      <c r="B2640" s="15"/>
      <c r="C2640" s="9">
        <f>IFERROR(__xludf.DUMMYFUNCTION("""COMPUTED_VALUE"""),44578.0039367476)</f>
        <v>44578.00394</v>
      </c>
      <c r="D2640" s="15">
        <f>IFERROR(__xludf.DUMMYFUNCTION("""COMPUTED_VALUE"""),1.007)</f>
        <v>1.007</v>
      </c>
      <c r="E2640" s="16">
        <f>IFERROR(__xludf.DUMMYFUNCTION("""COMPUTED_VALUE"""),63.0)</f>
        <v>63</v>
      </c>
      <c r="F2640" s="19" t="str">
        <f>IFERROR(__xludf.DUMMYFUNCTION("""COMPUTED_VALUE"""),"BLACK")</f>
        <v>BLACK</v>
      </c>
      <c r="G2640" s="20" t="str">
        <f>IFERROR(__xludf.DUMMYFUNCTION("""COMPUTED_VALUE"""),"Uncle Sams Cider (11/12/2021) 02")</f>
        <v>Uncle Sams Cider (11/12/2021) 02</v>
      </c>
      <c r="H2640" s="19"/>
    </row>
    <row r="2641">
      <c r="A2641" s="9"/>
      <c r="B2641" s="15"/>
      <c r="C2641" s="9">
        <f>IFERROR(__xludf.DUMMYFUNCTION("""COMPUTED_VALUE"""),44577.9934917824)</f>
        <v>44577.99349</v>
      </c>
      <c r="D2641" s="15">
        <f>IFERROR(__xludf.DUMMYFUNCTION("""COMPUTED_VALUE"""),1.006)</f>
        <v>1.006</v>
      </c>
      <c r="E2641" s="16">
        <f>IFERROR(__xludf.DUMMYFUNCTION("""COMPUTED_VALUE"""),63.0)</f>
        <v>63</v>
      </c>
      <c r="F2641" s="19" t="str">
        <f>IFERROR(__xludf.DUMMYFUNCTION("""COMPUTED_VALUE"""),"BLACK")</f>
        <v>BLACK</v>
      </c>
      <c r="G2641" s="20" t="str">
        <f>IFERROR(__xludf.DUMMYFUNCTION("""COMPUTED_VALUE"""),"Uncle Sams Cider (11/12/2021) 02")</f>
        <v>Uncle Sams Cider (11/12/2021) 02</v>
      </c>
      <c r="H2641" s="19"/>
    </row>
    <row r="2642">
      <c r="A2642" s="9"/>
      <c r="B2642" s="15"/>
      <c r="C2642" s="9">
        <f>IFERROR(__xludf.DUMMYFUNCTION("""COMPUTED_VALUE"""),44577.983058912)</f>
        <v>44577.98306</v>
      </c>
      <c r="D2642" s="15">
        <f>IFERROR(__xludf.DUMMYFUNCTION("""COMPUTED_VALUE"""),1.007)</f>
        <v>1.007</v>
      </c>
      <c r="E2642" s="16">
        <f>IFERROR(__xludf.DUMMYFUNCTION("""COMPUTED_VALUE"""),63.0)</f>
        <v>63</v>
      </c>
      <c r="F2642" s="19" t="str">
        <f>IFERROR(__xludf.DUMMYFUNCTION("""COMPUTED_VALUE"""),"BLACK")</f>
        <v>BLACK</v>
      </c>
      <c r="G2642" s="20" t="str">
        <f>IFERROR(__xludf.DUMMYFUNCTION("""COMPUTED_VALUE"""),"Uncle Sams Cider (11/12/2021) 02")</f>
        <v>Uncle Sams Cider (11/12/2021) 02</v>
      </c>
      <c r="H2642" s="19"/>
    </row>
    <row r="2643">
      <c r="A2643" s="9"/>
      <c r="B2643" s="15"/>
      <c r="C2643" s="9">
        <f>IFERROR(__xludf.DUMMYFUNCTION("""COMPUTED_VALUE"""),44577.9726393287)</f>
        <v>44577.97264</v>
      </c>
      <c r="D2643" s="15">
        <f>IFERROR(__xludf.DUMMYFUNCTION("""COMPUTED_VALUE"""),1.007)</f>
        <v>1.007</v>
      </c>
      <c r="E2643" s="16">
        <f>IFERROR(__xludf.DUMMYFUNCTION("""COMPUTED_VALUE"""),63.0)</f>
        <v>63</v>
      </c>
      <c r="F2643" s="19" t="str">
        <f>IFERROR(__xludf.DUMMYFUNCTION("""COMPUTED_VALUE"""),"BLACK")</f>
        <v>BLACK</v>
      </c>
      <c r="G2643" s="20" t="str">
        <f>IFERROR(__xludf.DUMMYFUNCTION("""COMPUTED_VALUE"""),"Uncle Sams Cider (11/12/2021) 02")</f>
        <v>Uncle Sams Cider (11/12/2021) 02</v>
      </c>
      <c r="H2643" s="19"/>
    </row>
    <row r="2644">
      <c r="A2644" s="9"/>
      <c r="B2644" s="15"/>
      <c r="C2644" s="9">
        <f>IFERROR(__xludf.DUMMYFUNCTION("""COMPUTED_VALUE"""),44577.9622178356)</f>
        <v>44577.96222</v>
      </c>
      <c r="D2644" s="15">
        <f>IFERROR(__xludf.DUMMYFUNCTION("""COMPUTED_VALUE"""),1.007)</f>
        <v>1.007</v>
      </c>
      <c r="E2644" s="16">
        <f>IFERROR(__xludf.DUMMYFUNCTION("""COMPUTED_VALUE"""),63.0)</f>
        <v>63</v>
      </c>
      <c r="F2644" s="19" t="str">
        <f>IFERROR(__xludf.DUMMYFUNCTION("""COMPUTED_VALUE"""),"BLACK")</f>
        <v>BLACK</v>
      </c>
      <c r="G2644" s="20" t="str">
        <f>IFERROR(__xludf.DUMMYFUNCTION("""COMPUTED_VALUE"""),"Uncle Sams Cider (11/12/2021) 02")</f>
        <v>Uncle Sams Cider (11/12/2021) 02</v>
      </c>
      <c r="H2644" s="19"/>
    </row>
    <row r="2645">
      <c r="A2645" s="9"/>
      <c r="B2645" s="15"/>
      <c r="C2645" s="9">
        <f>IFERROR(__xludf.DUMMYFUNCTION("""COMPUTED_VALUE"""),44577.9517854166)</f>
        <v>44577.95179</v>
      </c>
      <c r="D2645" s="15">
        <f>IFERROR(__xludf.DUMMYFUNCTION("""COMPUTED_VALUE"""),1.007)</f>
        <v>1.007</v>
      </c>
      <c r="E2645" s="16">
        <f>IFERROR(__xludf.DUMMYFUNCTION("""COMPUTED_VALUE"""),63.0)</f>
        <v>63</v>
      </c>
      <c r="F2645" s="19" t="str">
        <f>IFERROR(__xludf.DUMMYFUNCTION("""COMPUTED_VALUE"""),"BLACK")</f>
        <v>BLACK</v>
      </c>
      <c r="G2645" s="20" t="str">
        <f>IFERROR(__xludf.DUMMYFUNCTION("""COMPUTED_VALUE"""),"Uncle Sams Cider (11/12/2021) 02")</f>
        <v>Uncle Sams Cider (11/12/2021) 02</v>
      </c>
      <c r="H2645" s="19"/>
    </row>
    <row r="2646">
      <c r="A2646" s="9"/>
      <c r="B2646" s="15"/>
      <c r="C2646" s="9">
        <f>IFERROR(__xludf.DUMMYFUNCTION("""COMPUTED_VALUE"""),44577.9413640277)</f>
        <v>44577.94136</v>
      </c>
      <c r="D2646" s="15">
        <f>IFERROR(__xludf.DUMMYFUNCTION("""COMPUTED_VALUE"""),1.007)</f>
        <v>1.007</v>
      </c>
      <c r="E2646" s="16">
        <f>IFERROR(__xludf.DUMMYFUNCTION("""COMPUTED_VALUE"""),63.0)</f>
        <v>63</v>
      </c>
      <c r="F2646" s="19" t="str">
        <f>IFERROR(__xludf.DUMMYFUNCTION("""COMPUTED_VALUE"""),"BLACK")</f>
        <v>BLACK</v>
      </c>
      <c r="G2646" s="20" t="str">
        <f>IFERROR(__xludf.DUMMYFUNCTION("""COMPUTED_VALUE"""),"Uncle Sams Cider (11/12/2021) 02")</f>
        <v>Uncle Sams Cider (11/12/2021) 02</v>
      </c>
      <c r="H2646" s="19"/>
    </row>
    <row r="2647">
      <c r="A2647" s="9"/>
      <c r="B2647" s="15"/>
      <c r="C2647" s="9">
        <f>IFERROR(__xludf.DUMMYFUNCTION("""COMPUTED_VALUE"""),44577.9309421759)</f>
        <v>44577.93094</v>
      </c>
      <c r="D2647" s="15">
        <f>IFERROR(__xludf.DUMMYFUNCTION("""COMPUTED_VALUE"""),1.007)</f>
        <v>1.007</v>
      </c>
      <c r="E2647" s="16">
        <f>IFERROR(__xludf.DUMMYFUNCTION("""COMPUTED_VALUE"""),63.0)</f>
        <v>63</v>
      </c>
      <c r="F2647" s="19" t="str">
        <f>IFERROR(__xludf.DUMMYFUNCTION("""COMPUTED_VALUE"""),"BLACK")</f>
        <v>BLACK</v>
      </c>
      <c r="G2647" s="20" t="str">
        <f>IFERROR(__xludf.DUMMYFUNCTION("""COMPUTED_VALUE"""),"Uncle Sams Cider (11/12/2021) 02")</f>
        <v>Uncle Sams Cider (11/12/2021) 02</v>
      </c>
      <c r="H2647" s="19"/>
    </row>
    <row r="2648">
      <c r="A2648" s="9"/>
      <c r="B2648" s="15"/>
      <c r="C2648" s="9">
        <f>IFERROR(__xludf.DUMMYFUNCTION("""COMPUTED_VALUE"""),44577.9205215046)</f>
        <v>44577.92052</v>
      </c>
      <c r="D2648" s="15">
        <f>IFERROR(__xludf.DUMMYFUNCTION("""COMPUTED_VALUE"""),1.007)</f>
        <v>1.007</v>
      </c>
      <c r="E2648" s="16">
        <f>IFERROR(__xludf.DUMMYFUNCTION("""COMPUTED_VALUE"""),63.0)</f>
        <v>63</v>
      </c>
      <c r="F2648" s="19" t="str">
        <f>IFERROR(__xludf.DUMMYFUNCTION("""COMPUTED_VALUE"""),"BLACK")</f>
        <v>BLACK</v>
      </c>
      <c r="G2648" s="20" t="str">
        <f>IFERROR(__xludf.DUMMYFUNCTION("""COMPUTED_VALUE"""),"Uncle Sams Cider (11/12/2021) 02")</f>
        <v>Uncle Sams Cider (11/12/2021) 02</v>
      </c>
      <c r="H2648" s="19"/>
    </row>
    <row r="2649">
      <c r="A2649" s="9"/>
      <c r="B2649" s="15"/>
      <c r="C2649" s="9">
        <f>IFERROR(__xludf.DUMMYFUNCTION("""COMPUTED_VALUE"""),44577.9100885879)</f>
        <v>44577.91009</v>
      </c>
      <c r="D2649" s="15">
        <f>IFERROR(__xludf.DUMMYFUNCTION("""COMPUTED_VALUE"""),1.007)</f>
        <v>1.007</v>
      </c>
      <c r="E2649" s="16">
        <f>IFERROR(__xludf.DUMMYFUNCTION("""COMPUTED_VALUE"""),63.0)</f>
        <v>63</v>
      </c>
      <c r="F2649" s="19" t="str">
        <f>IFERROR(__xludf.DUMMYFUNCTION("""COMPUTED_VALUE"""),"BLACK")</f>
        <v>BLACK</v>
      </c>
      <c r="G2649" s="20" t="str">
        <f>IFERROR(__xludf.DUMMYFUNCTION("""COMPUTED_VALUE"""),"Uncle Sams Cider (11/12/2021) 02")</f>
        <v>Uncle Sams Cider (11/12/2021) 02</v>
      </c>
      <c r="H2649" s="19"/>
    </row>
    <row r="2650">
      <c r="A2650" s="9"/>
      <c r="B2650" s="15"/>
      <c r="C2650" s="9">
        <f>IFERROR(__xludf.DUMMYFUNCTION("""COMPUTED_VALUE"""),44577.8996542129)</f>
        <v>44577.89965</v>
      </c>
      <c r="D2650" s="15">
        <f>IFERROR(__xludf.DUMMYFUNCTION("""COMPUTED_VALUE"""),1.007)</f>
        <v>1.007</v>
      </c>
      <c r="E2650" s="16">
        <f>IFERROR(__xludf.DUMMYFUNCTION("""COMPUTED_VALUE"""),63.0)</f>
        <v>63</v>
      </c>
      <c r="F2650" s="19" t="str">
        <f>IFERROR(__xludf.DUMMYFUNCTION("""COMPUTED_VALUE"""),"BLACK")</f>
        <v>BLACK</v>
      </c>
      <c r="G2650" s="20" t="str">
        <f>IFERROR(__xludf.DUMMYFUNCTION("""COMPUTED_VALUE"""),"Uncle Sams Cider (11/12/2021) 02")</f>
        <v>Uncle Sams Cider (11/12/2021) 02</v>
      </c>
      <c r="H2650" s="19"/>
    </row>
    <row r="2651">
      <c r="A2651" s="9"/>
      <c r="B2651" s="15"/>
      <c r="C2651" s="9">
        <f>IFERROR(__xludf.DUMMYFUNCTION("""COMPUTED_VALUE"""),44577.8892336689)</f>
        <v>44577.88923</v>
      </c>
      <c r="D2651" s="15">
        <f>IFERROR(__xludf.DUMMYFUNCTION("""COMPUTED_VALUE"""),1.007)</f>
        <v>1.007</v>
      </c>
      <c r="E2651" s="16">
        <f>IFERROR(__xludf.DUMMYFUNCTION("""COMPUTED_VALUE"""),63.0)</f>
        <v>63</v>
      </c>
      <c r="F2651" s="19" t="str">
        <f>IFERROR(__xludf.DUMMYFUNCTION("""COMPUTED_VALUE"""),"BLACK")</f>
        <v>BLACK</v>
      </c>
      <c r="G2651" s="20" t="str">
        <f>IFERROR(__xludf.DUMMYFUNCTION("""COMPUTED_VALUE"""),"Uncle Sams Cider (11/12/2021) 02")</f>
        <v>Uncle Sams Cider (11/12/2021) 02</v>
      </c>
      <c r="H2651" s="19"/>
    </row>
    <row r="2652">
      <c r="A2652" s="9"/>
      <c r="B2652" s="15"/>
      <c r="C2652" s="9">
        <f>IFERROR(__xludf.DUMMYFUNCTION("""COMPUTED_VALUE"""),44577.8788133796)</f>
        <v>44577.87881</v>
      </c>
      <c r="D2652" s="15">
        <f>IFERROR(__xludf.DUMMYFUNCTION("""COMPUTED_VALUE"""),1.007)</f>
        <v>1.007</v>
      </c>
      <c r="E2652" s="16">
        <f>IFERROR(__xludf.DUMMYFUNCTION("""COMPUTED_VALUE"""),63.0)</f>
        <v>63</v>
      </c>
      <c r="F2652" s="19" t="str">
        <f>IFERROR(__xludf.DUMMYFUNCTION("""COMPUTED_VALUE"""),"BLACK")</f>
        <v>BLACK</v>
      </c>
      <c r="G2652" s="20" t="str">
        <f>IFERROR(__xludf.DUMMYFUNCTION("""COMPUTED_VALUE"""),"Uncle Sams Cider (11/12/2021) 02")</f>
        <v>Uncle Sams Cider (11/12/2021) 02</v>
      </c>
      <c r="H2652" s="19"/>
    </row>
    <row r="2653">
      <c r="A2653" s="9"/>
      <c r="B2653" s="15"/>
      <c r="C2653" s="9">
        <f>IFERROR(__xludf.DUMMYFUNCTION("""COMPUTED_VALUE"""),44577.8683803819)</f>
        <v>44577.86838</v>
      </c>
      <c r="D2653" s="15">
        <f>IFERROR(__xludf.DUMMYFUNCTION("""COMPUTED_VALUE"""),1.007)</f>
        <v>1.007</v>
      </c>
      <c r="E2653" s="16">
        <f>IFERROR(__xludf.DUMMYFUNCTION("""COMPUTED_VALUE"""),63.0)</f>
        <v>63</v>
      </c>
      <c r="F2653" s="19" t="str">
        <f>IFERROR(__xludf.DUMMYFUNCTION("""COMPUTED_VALUE"""),"BLACK")</f>
        <v>BLACK</v>
      </c>
      <c r="G2653" s="20" t="str">
        <f>IFERROR(__xludf.DUMMYFUNCTION("""COMPUTED_VALUE"""),"Uncle Sams Cider (11/12/2021) 02")</f>
        <v>Uncle Sams Cider (11/12/2021) 02</v>
      </c>
      <c r="H2653" s="19"/>
    </row>
    <row r="2654">
      <c r="A2654" s="9"/>
      <c r="B2654" s="15"/>
      <c r="C2654" s="9">
        <f>IFERROR(__xludf.DUMMYFUNCTION("""COMPUTED_VALUE"""),44577.8579493171)</f>
        <v>44577.85795</v>
      </c>
      <c r="D2654" s="15">
        <f>IFERROR(__xludf.DUMMYFUNCTION("""COMPUTED_VALUE"""),1.007)</f>
        <v>1.007</v>
      </c>
      <c r="E2654" s="16">
        <f>IFERROR(__xludf.DUMMYFUNCTION("""COMPUTED_VALUE"""),63.0)</f>
        <v>63</v>
      </c>
      <c r="F2654" s="19" t="str">
        <f>IFERROR(__xludf.DUMMYFUNCTION("""COMPUTED_VALUE"""),"BLACK")</f>
        <v>BLACK</v>
      </c>
      <c r="G2654" s="20" t="str">
        <f>IFERROR(__xludf.DUMMYFUNCTION("""COMPUTED_VALUE"""),"Uncle Sams Cider (11/12/2021) 02")</f>
        <v>Uncle Sams Cider (11/12/2021) 02</v>
      </c>
      <c r="H2654" s="19"/>
    </row>
    <row r="2655">
      <c r="A2655" s="9"/>
      <c r="B2655" s="15"/>
      <c r="C2655" s="9">
        <f>IFERROR(__xludf.DUMMYFUNCTION("""COMPUTED_VALUE"""),44577.8475289699)</f>
        <v>44577.84753</v>
      </c>
      <c r="D2655" s="15">
        <f>IFERROR(__xludf.DUMMYFUNCTION("""COMPUTED_VALUE"""),1.007)</f>
        <v>1.007</v>
      </c>
      <c r="E2655" s="16">
        <f>IFERROR(__xludf.DUMMYFUNCTION("""COMPUTED_VALUE"""),63.0)</f>
        <v>63</v>
      </c>
      <c r="F2655" s="19" t="str">
        <f>IFERROR(__xludf.DUMMYFUNCTION("""COMPUTED_VALUE"""),"BLACK")</f>
        <v>BLACK</v>
      </c>
      <c r="G2655" s="20" t="str">
        <f>IFERROR(__xludf.DUMMYFUNCTION("""COMPUTED_VALUE"""),"Uncle Sams Cider (11/12/2021) 02")</f>
        <v>Uncle Sams Cider (11/12/2021) 02</v>
      </c>
      <c r="H2655" s="19"/>
    </row>
    <row r="2656">
      <c r="A2656" s="9"/>
      <c r="B2656" s="15"/>
      <c r="C2656" s="9">
        <f>IFERROR(__xludf.DUMMYFUNCTION("""COMPUTED_VALUE"""),44577.8370754282)</f>
        <v>44577.83708</v>
      </c>
      <c r="D2656" s="15">
        <f>IFERROR(__xludf.DUMMYFUNCTION("""COMPUTED_VALUE"""),1.007)</f>
        <v>1.007</v>
      </c>
      <c r="E2656" s="16">
        <f>IFERROR(__xludf.DUMMYFUNCTION("""COMPUTED_VALUE"""),63.0)</f>
        <v>63</v>
      </c>
      <c r="F2656" s="19" t="str">
        <f>IFERROR(__xludf.DUMMYFUNCTION("""COMPUTED_VALUE"""),"BLACK")</f>
        <v>BLACK</v>
      </c>
      <c r="G2656" s="20" t="str">
        <f>IFERROR(__xludf.DUMMYFUNCTION("""COMPUTED_VALUE"""),"Uncle Sams Cider (11/12/2021) 02")</f>
        <v>Uncle Sams Cider (11/12/2021) 02</v>
      </c>
      <c r="H2656" s="19"/>
    </row>
    <row r="2657">
      <c r="A2657" s="9"/>
      <c r="B2657" s="15"/>
      <c r="C2657" s="9">
        <f>IFERROR(__xludf.DUMMYFUNCTION("""COMPUTED_VALUE"""),44577.8266427314)</f>
        <v>44577.82664</v>
      </c>
      <c r="D2657" s="15">
        <f>IFERROR(__xludf.DUMMYFUNCTION("""COMPUTED_VALUE"""),1.007)</f>
        <v>1.007</v>
      </c>
      <c r="E2657" s="16">
        <f>IFERROR(__xludf.DUMMYFUNCTION("""COMPUTED_VALUE"""),63.0)</f>
        <v>63</v>
      </c>
      <c r="F2657" s="19" t="str">
        <f>IFERROR(__xludf.DUMMYFUNCTION("""COMPUTED_VALUE"""),"BLACK")</f>
        <v>BLACK</v>
      </c>
      <c r="G2657" s="20" t="str">
        <f>IFERROR(__xludf.DUMMYFUNCTION("""COMPUTED_VALUE"""),"Uncle Sams Cider (11/12/2021) 02")</f>
        <v>Uncle Sams Cider (11/12/2021) 02</v>
      </c>
      <c r="H2657" s="19"/>
    </row>
    <row r="2658">
      <c r="A2658" s="9"/>
      <c r="B2658" s="15"/>
      <c r="C2658" s="9">
        <f>IFERROR(__xludf.DUMMYFUNCTION("""COMPUTED_VALUE"""),44577.8162224305)</f>
        <v>44577.81622</v>
      </c>
      <c r="D2658" s="15">
        <f>IFERROR(__xludf.DUMMYFUNCTION("""COMPUTED_VALUE"""),1.007)</f>
        <v>1.007</v>
      </c>
      <c r="E2658" s="16">
        <f>IFERROR(__xludf.DUMMYFUNCTION("""COMPUTED_VALUE"""),63.0)</f>
        <v>63</v>
      </c>
      <c r="F2658" s="19" t="str">
        <f>IFERROR(__xludf.DUMMYFUNCTION("""COMPUTED_VALUE"""),"BLACK")</f>
        <v>BLACK</v>
      </c>
      <c r="G2658" s="20" t="str">
        <f>IFERROR(__xludf.DUMMYFUNCTION("""COMPUTED_VALUE"""),"Uncle Sams Cider (11/12/2021) 02")</f>
        <v>Uncle Sams Cider (11/12/2021) 02</v>
      </c>
      <c r="H2658" s="19"/>
    </row>
    <row r="2659">
      <c r="A2659" s="9"/>
      <c r="B2659" s="15"/>
      <c r="C2659" s="9">
        <f>IFERROR(__xludf.DUMMYFUNCTION("""COMPUTED_VALUE"""),44577.8057897916)</f>
        <v>44577.80579</v>
      </c>
      <c r="D2659" s="15">
        <f>IFERROR(__xludf.DUMMYFUNCTION("""COMPUTED_VALUE"""),1.007)</f>
        <v>1.007</v>
      </c>
      <c r="E2659" s="16">
        <f>IFERROR(__xludf.DUMMYFUNCTION("""COMPUTED_VALUE"""),63.0)</f>
        <v>63</v>
      </c>
      <c r="F2659" s="19" t="str">
        <f>IFERROR(__xludf.DUMMYFUNCTION("""COMPUTED_VALUE"""),"BLACK")</f>
        <v>BLACK</v>
      </c>
      <c r="G2659" s="20" t="str">
        <f>IFERROR(__xludf.DUMMYFUNCTION("""COMPUTED_VALUE"""),"Uncle Sams Cider (11/12/2021) 02")</f>
        <v>Uncle Sams Cider (11/12/2021) 02</v>
      </c>
      <c r="H2659" s="19"/>
    </row>
    <row r="2660">
      <c r="A2660" s="9"/>
      <c r="B2660" s="15"/>
      <c r="C2660" s="9">
        <f>IFERROR(__xludf.DUMMYFUNCTION("""COMPUTED_VALUE"""),44577.7953689814)</f>
        <v>44577.79537</v>
      </c>
      <c r="D2660" s="15">
        <f>IFERROR(__xludf.DUMMYFUNCTION("""COMPUTED_VALUE"""),1.007)</f>
        <v>1.007</v>
      </c>
      <c r="E2660" s="16">
        <f>IFERROR(__xludf.DUMMYFUNCTION("""COMPUTED_VALUE"""),63.0)</f>
        <v>63</v>
      </c>
      <c r="F2660" s="19" t="str">
        <f>IFERROR(__xludf.DUMMYFUNCTION("""COMPUTED_VALUE"""),"BLACK")</f>
        <v>BLACK</v>
      </c>
      <c r="G2660" s="20" t="str">
        <f>IFERROR(__xludf.DUMMYFUNCTION("""COMPUTED_VALUE"""),"Uncle Sams Cider (11/12/2021) 02")</f>
        <v>Uncle Sams Cider (11/12/2021) 02</v>
      </c>
      <c r="H2660" s="19"/>
    </row>
    <row r="2661">
      <c r="A2661" s="9"/>
      <c r="B2661" s="15"/>
      <c r="C2661" s="9">
        <f>IFERROR(__xludf.DUMMYFUNCTION("""COMPUTED_VALUE"""),44577.7849129745)</f>
        <v>44577.78491</v>
      </c>
      <c r="D2661" s="15">
        <f>IFERROR(__xludf.DUMMYFUNCTION("""COMPUTED_VALUE"""),1.007)</f>
        <v>1.007</v>
      </c>
      <c r="E2661" s="16">
        <f>IFERROR(__xludf.DUMMYFUNCTION("""COMPUTED_VALUE"""),63.0)</f>
        <v>63</v>
      </c>
      <c r="F2661" s="19" t="str">
        <f>IFERROR(__xludf.DUMMYFUNCTION("""COMPUTED_VALUE"""),"BLACK")</f>
        <v>BLACK</v>
      </c>
      <c r="G2661" s="20" t="str">
        <f>IFERROR(__xludf.DUMMYFUNCTION("""COMPUTED_VALUE"""),"Uncle Sams Cider (11/12/2021) 02")</f>
        <v>Uncle Sams Cider (11/12/2021) 02</v>
      </c>
      <c r="H2661" s="19"/>
    </row>
    <row r="2662">
      <c r="A2662" s="9"/>
      <c r="B2662" s="15"/>
      <c r="C2662" s="9">
        <f>IFERROR(__xludf.DUMMYFUNCTION("""COMPUTED_VALUE"""),44577.7744926967)</f>
        <v>44577.77449</v>
      </c>
      <c r="D2662" s="15">
        <f>IFERROR(__xludf.DUMMYFUNCTION("""COMPUTED_VALUE"""),1.007)</f>
        <v>1.007</v>
      </c>
      <c r="E2662" s="16">
        <f>IFERROR(__xludf.DUMMYFUNCTION("""COMPUTED_VALUE"""),63.0)</f>
        <v>63</v>
      </c>
      <c r="F2662" s="19" t="str">
        <f>IFERROR(__xludf.DUMMYFUNCTION("""COMPUTED_VALUE"""),"BLACK")</f>
        <v>BLACK</v>
      </c>
      <c r="G2662" s="20" t="str">
        <f>IFERROR(__xludf.DUMMYFUNCTION("""COMPUTED_VALUE"""),"Uncle Sams Cider (11/12/2021) 02")</f>
        <v>Uncle Sams Cider (11/12/2021) 02</v>
      </c>
      <c r="H2662" s="19"/>
    </row>
    <row r="2663">
      <c r="A2663" s="9"/>
      <c r="B2663" s="15"/>
      <c r="C2663" s="9">
        <f>IFERROR(__xludf.DUMMYFUNCTION("""COMPUTED_VALUE"""),44577.764073449)</f>
        <v>44577.76407</v>
      </c>
      <c r="D2663" s="15">
        <f>IFERROR(__xludf.DUMMYFUNCTION("""COMPUTED_VALUE"""),1.007)</f>
        <v>1.007</v>
      </c>
      <c r="E2663" s="16">
        <f>IFERROR(__xludf.DUMMYFUNCTION("""COMPUTED_VALUE"""),63.0)</f>
        <v>63</v>
      </c>
      <c r="F2663" s="19" t="str">
        <f>IFERROR(__xludf.DUMMYFUNCTION("""COMPUTED_VALUE"""),"BLACK")</f>
        <v>BLACK</v>
      </c>
      <c r="G2663" s="20" t="str">
        <f>IFERROR(__xludf.DUMMYFUNCTION("""COMPUTED_VALUE"""),"Uncle Sams Cider (11/12/2021) 02")</f>
        <v>Uncle Sams Cider (11/12/2021) 02</v>
      </c>
      <c r="H2663" s="19"/>
    </row>
    <row r="2664">
      <c r="A2664" s="9"/>
      <c r="B2664" s="15"/>
      <c r="C2664" s="9">
        <f>IFERROR(__xludf.DUMMYFUNCTION("""COMPUTED_VALUE"""),44577.7536399421)</f>
        <v>44577.75364</v>
      </c>
      <c r="D2664" s="15">
        <f>IFERROR(__xludf.DUMMYFUNCTION("""COMPUTED_VALUE"""),1.007)</f>
        <v>1.007</v>
      </c>
      <c r="E2664" s="16">
        <f>IFERROR(__xludf.DUMMYFUNCTION("""COMPUTED_VALUE"""),63.0)</f>
        <v>63</v>
      </c>
      <c r="F2664" s="19" t="str">
        <f>IFERROR(__xludf.DUMMYFUNCTION("""COMPUTED_VALUE"""),"BLACK")</f>
        <v>BLACK</v>
      </c>
      <c r="G2664" s="20" t="str">
        <f>IFERROR(__xludf.DUMMYFUNCTION("""COMPUTED_VALUE"""),"Uncle Sams Cider (11/12/2021) 02")</f>
        <v>Uncle Sams Cider (11/12/2021) 02</v>
      </c>
      <c r="H2664" s="19"/>
    </row>
    <row r="2665">
      <c r="A2665" s="9"/>
      <c r="B2665" s="15"/>
      <c r="C2665" s="9">
        <f>IFERROR(__xludf.DUMMYFUNCTION("""COMPUTED_VALUE"""),44577.7432186226)</f>
        <v>44577.74322</v>
      </c>
      <c r="D2665" s="15">
        <f>IFERROR(__xludf.DUMMYFUNCTION("""COMPUTED_VALUE"""),1.007)</f>
        <v>1.007</v>
      </c>
      <c r="E2665" s="16">
        <f>IFERROR(__xludf.DUMMYFUNCTION("""COMPUTED_VALUE"""),63.0)</f>
        <v>63</v>
      </c>
      <c r="F2665" s="19" t="str">
        <f>IFERROR(__xludf.DUMMYFUNCTION("""COMPUTED_VALUE"""),"BLACK")</f>
        <v>BLACK</v>
      </c>
      <c r="G2665" s="20" t="str">
        <f>IFERROR(__xludf.DUMMYFUNCTION("""COMPUTED_VALUE"""),"Uncle Sams Cider (11/12/2021) 02")</f>
        <v>Uncle Sams Cider (11/12/2021) 02</v>
      </c>
      <c r="H2665" s="19"/>
    </row>
    <row r="2666">
      <c r="A2666" s="9"/>
      <c r="B2666" s="15"/>
      <c r="C2666" s="9">
        <f>IFERROR(__xludf.DUMMYFUNCTION("""COMPUTED_VALUE"""),44577.7327971296)</f>
        <v>44577.7328</v>
      </c>
      <c r="D2666" s="15">
        <f>IFERROR(__xludf.DUMMYFUNCTION("""COMPUTED_VALUE"""),1.007)</f>
        <v>1.007</v>
      </c>
      <c r="E2666" s="16">
        <f>IFERROR(__xludf.DUMMYFUNCTION("""COMPUTED_VALUE"""),63.0)</f>
        <v>63</v>
      </c>
      <c r="F2666" s="19" t="str">
        <f>IFERROR(__xludf.DUMMYFUNCTION("""COMPUTED_VALUE"""),"BLACK")</f>
        <v>BLACK</v>
      </c>
      <c r="G2666" s="20" t="str">
        <f>IFERROR(__xludf.DUMMYFUNCTION("""COMPUTED_VALUE"""),"Uncle Sams Cider (11/12/2021) 02")</f>
        <v>Uncle Sams Cider (11/12/2021) 02</v>
      </c>
      <c r="H2666" s="19"/>
    </row>
    <row r="2667">
      <c r="A2667" s="9"/>
      <c r="B2667" s="15"/>
      <c r="C2667" s="9">
        <f>IFERROR(__xludf.DUMMYFUNCTION("""COMPUTED_VALUE"""),44577.7223429282)</f>
        <v>44577.72234</v>
      </c>
      <c r="D2667" s="15">
        <f>IFERROR(__xludf.DUMMYFUNCTION("""COMPUTED_VALUE"""),1.007)</f>
        <v>1.007</v>
      </c>
      <c r="E2667" s="16">
        <f>IFERROR(__xludf.DUMMYFUNCTION("""COMPUTED_VALUE"""),63.0)</f>
        <v>63</v>
      </c>
      <c r="F2667" s="19" t="str">
        <f>IFERROR(__xludf.DUMMYFUNCTION("""COMPUTED_VALUE"""),"BLACK")</f>
        <v>BLACK</v>
      </c>
      <c r="G2667" s="20" t="str">
        <f>IFERROR(__xludf.DUMMYFUNCTION("""COMPUTED_VALUE"""),"Uncle Sams Cider (11/12/2021) 02")</f>
        <v>Uncle Sams Cider (11/12/2021) 02</v>
      </c>
      <c r="H2667" s="19"/>
    </row>
    <row r="2668">
      <c r="A2668" s="9"/>
      <c r="B2668" s="15"/>
      <c r="C2668" s="9">
        <f>IFERROR(__xludf.DUMMYFUNCTION("""COMPUTED_VALUE"""),44577.711920324)</f>
        <v>44577.71192</v>
      </c>
      <c r="D2668" s="15">
        <f>IFERROR(__xludf.DUMMYFUNCTION("""COMPUTED_VALUE"""),1.007)</f>
        <v>1.007</v>
      </c>
      <c r="E2668" s="16">
        <f>IFERROR(__xludf.DUMMYFUNCTION("""COMPUTED_VALUE"""),63.0)</f>
        <v>63</v>
      </c>
      <c r="F2668" s="19" t="str">
        <f>IFERROR(__xludf.DUMMYFUNCTION("""COMPUTED_VALUE"""),"BLACK")</f>
        <v>BLACK</v>
      </c>
      <c r="G2668" s="20" t="str">
        <f>IFERROR(__xludf.DUMMYFUNCTION("""COMPUTED_VALUE"""),"Uncle Sams Cider (11/12/2021) 02")</f>
        <v>Uncle Sams Cider (11/12/2021) 02</v>
      </c>
      <c r="H2668" s="19"/>
    </row>
    <row r="2669">
      <c r="A2669" s="9"/>
      <c r="B2669" s="15"/>
      <c r="C2669" s="9">
        <f>IFERROR(__xludf.DUMMYFUNCTION("""COMPUTED_VALUE"""),44577.7014651736)</f>
        <v>44577.70147</v>
      </c>
      <c r="D2669" s="15">
        <f>IFERROR(__xludf.DUMMYFUNCTION("""COMPUTED_VALUE"""),1.007)</f>
        <v>1.007</v>
      </c>
      <c r="E2669" s="16">
        <f>IFERROR(__xludf.DUMMYFUNCTION("""COMPUTED_VALUE"""),64.0)</f>
        <v>64</v>
      </c>
      <c r="F2669" s="19" t="str">
        <f>IFERROR(__xludf.DUMMYFUNCTION("""COMPUTED_VALUE"""),"BLACK")</f>
        <v>BLACK</v>
      </c>
      <c r="G2669" s="20" t="str">
        <f>IFERROR(__xludf.DUMMYFUNCTION("""COMPUTED_VALUE"""),"Uncle Sams Cider (11/12/2021) 02")</f>
        <v>Uncle Sams Cider (11/12/2021) 02</v>
      </c>
      <c r="H2669" s="19"/>
    </row>
    <row r="2670">
      <c r="A2670" s="9"/>
      <c r="B2670" s="15"/>
      <c r="C2670" s="9">
        <f>IFERROR(__xludf.DUMMYFUNCTION("""COMPUTED_VALUE"""),44577.6910100347)</f>
        <v>44577.69101</v>
      </c>
      <c r="D2670" s="15">
        <f>IFERROR(__xludf.DUMMYFUNCTION("""COMPUTED_VALUE"""),1.007)</f>
        <v>1.007</v>
      </c>
      <c r="E2670" s="16">
        <f>IFERROR(__xludf.DUMMYFUNCTION("""COMPUTED_VALUE"""),64.0)</f>
        <v>64</v>
      </c>
      <c r="F2670" s="19" t="str">
        <f>IFERROR(__xludf.DUMMYFUNCTION("""COMPUTED_VALUE"""),"BLACK")</f>
        <v>BLACK</v>
      </c>
      <c r="G2670" s="20" t="str">
        <f>IFERROR(__xludf.DUMMYFUNCTION("""COMPUTED_VALUE"""),"Uncle Sams Cider (11/12/2021) 02")</f>
        <v>Uncle Sams Cider (11/12/2021) 02</v>
      </c>
      <c r="H2670" s="19"/>
    </row>
    <row r="2671">
      <c r="A2671" s="9"/>
      <c r="B2671" s="15"/>
      <c r="C2671" s="9">
        <f>IFERROR(__xludf.DUMMYFUNCTION("""COMPUTED_VALUE"""),44577.6805881828)</f>
        <v>44577.68059</v>
      </c>
      <c r="D2671" s="15">
        <f>IFERROR(__xludf.DUMMYFUNCTION("""COMPUTED_VALUE"""),1.007)</f>
        <v>1.007</v>
      </c>
      <c r="E2671" s="16">
        <f>IFERROR(__xludf.DUMMYFUNCTION("""COMPUTED_VALUE"""),63.0)</f>
        <v>63</v>
      </c>
      <c r="F2671" s="19" t="str">
        <f>IFERROR(__xludf.DUMMYFUNCTION("""COMPUTED_VALUE"""),"BLACK")</f>
        <v>BLACK</v>
      </c>
      <c r="G2671" s="20" t="str">
        <f>IFERROR(__xludf.DUMMYFUNCTION("""COMPUTED_VALUE"""),"Uncle Sams Cider (11/12/2021) 02")</f>
        <v>Uncle Sams Cider (11/12/2021) 02</v>
      </c>
      <c r="H2671" s="19"/>
    </row>
    <row r="2672">
      <c r="A2672" s="9"/>
      <c r="B2672" s="15"/>
      <c r="C2672" s="9">
        <f>IFERROR(__xludf.DUMMYFUNCTION("""COMPUTED_VALUE"""),44577.6701544675)</f>
        <v>44577.67015</v>
      </c>
      <c r="D2672" s="15">
        <f>IFERROR(__xludf.DUMMYFUNCTION("""COMPUTED_VALUE"""),1.007)</f>
        <v>1.007</v>
      </c>
      <c r="E2672" s="16">
        <f>IFERROR(__xludf.DUMMYFUNCTION("""COMPUTED_VALUE"""),64.0)</f>
        <v>64</v>
      </c>
      <c r="F2672" s="19" t="str">
        <f>IFERROR(__xludf.DUMMYFUNCTION("""COMPUTED_VALUE"""),"BLACK")</f>
        <v>BLACK</v>
      </c>
      <c r="G2672" s="20" t="str">
        <f>IFERROR(__xludf.DUMMYFUNCTION("""COMPUTED_VALUE"""),"Uncle Sams Cider (11/12/2021) 02")</f>
        <v>Uncle Sams Cider (11/12/2021) 02</v>
      </c>
      <c r="H2672" s="19"/>
    </row>
    <row r="2673">
      <c r="A2673" s="9"/>
      <c r="B2673" s="15"/>
      <c r="C2673" s="9">
        <f>IFERROR(__xludf.DUMMYFUNCTION("""COMPUTED_VALUE"""),44577.6597315277)</f>
        <v>44577.65973</v>
      </c>
      <c r="D2673" s="15">
        <f>IFERROR(__xludf.DUMMYFUNCTION("""COMPUTED_VALUE"""),1.007)</f>
        <v>1.007</v>
      </c>
      <c r="E2673" s="16">
        <f>IFERROR(__xludf.DUMMYFUNCTION("""COMPUTED_VALUE"""),64.0)</f>
        <v>64</v>
      </c>
      <c r="F2673" s="19" t="str">
        <f>IFERROR(__xludf.DUMMYFUNCTION("""COMPUTED_VALUE"""),"BLACK")</f>
        <v>BLACK</v>
      </c>
      <c r="G2673" s="20" t="str">
        <f>IFERROR(__xludf.DUMMYFUNCTION("""COMPUTED_VALUE"""),"Uncle Sams Cider (11/12/2021) 02")</f>
        <v>Uncle Sams Cider (11/12/2021) 02</v>
      </c>
      <c r="H2673" s="19"/>
    </row>
    <row r="2674">
      <c r="A2674" s="9"/>
      <c r="B2674" s="15"/>
      <c r="C2674" s="9">
        <f>IFERROR(__xludf.DUMMYFUNCTION("""COMPUTED_VALUE"""),44577.6493101504)</f>
        <v>44577.64931</v>
      </c>
      <c r="D2674" s="15">
        <f>IFERROR(__xludf.DUMMYFUNCTION("""COMPUTED_VALUE"""),1.007)</f>
        <v>1.007</v>
      </c>
      <c r="E2674" s="16">
        <f>IFERROR(__xludf.DUMMYFUNCTION("""COMPUTED_VALUE"""),64.0)</f>
        <v>64</v>
      </c>
      <c r="F2674" s="19" t="str">
        <f>IFERROR(__xludf.DUMMYFUNCTION("""COMPUTED_VALUE"""),"BLACK")</f>
        <v>BLACK</v>
      </c>
      <c r="G2674" s="20" t="str">
        <f>IFERROR(__xludf.DUMMYFUNCTION("""COMPUTED_VALUE"""),"Uncle Sams Cider (11/12/2021) 02")</f>
        <v>Uncle Sams Cider (11/12/2021) 02</v>
      </c>
      <c r="H2674" s="19"/>
    </row>
    <row r="2675">
      <c r="A2675" s="9"/>
      <c r="B2675" s="15"/>
      <c r="C2675" s="9">
        <f>IFERROR(__xludf.DUMMYFUNCTION("""COMPUTED_VALUE"""),44577.6388890162)</f>
        <v>44577.63889</v>
      </c>
      <c r="D2675" s="15">
        <f>IFERROR(__xludf.DUMMYFUNCTION("""COMPUTED_VALUE"""),1.007)</f>
        <v>1.007</v>
      </c>
      <c r="E2675" s="16">
        <f>IFERROR(__xludf.DUMMYFUNCTION("""COMPUTED_VALUE"""),64.0)</f>
        <v>64</v>
      </c>
      <c r="F2675" s="19" t="str">
        <f>IFERROR(__xludf.DUMMYFUNCTION("""COMPUTED_VALUE"""),"BLACK")</f>
        <v>BLACK</v>
      </c>
      <c r="G2675" s="20" t="str">
        <f>IFERROR(__xludf.DUMMYFUNCTION("""COMPUTED_VALUE"""),"Uncle Sams Cider (11/12/2021) 02")</f>
        <v>Uncle Sams Cider (11/12/2021) 02</v>
      </c>
      <c r="H2675" s="19"/>
    </row>
    <row r="2676">
      <c r="A2676" s="9"/>
      <c r="B2676" s="15"/>
      <c r="C2676" s="9">
        <f>IFERROR(__xludf.DUMMYFUNCTION("""COMPUTED_VALUE"""),44577.6284560879)</f>
        <v>44577.62846</v>
      </c>
      <c r="D2676" s="15">
        <f>IFERROR(__xludf.DUMMYFUNCTION("""COMPUTED_VALUE"""),1.007)</f>
        <v>1.007</v>
      </c>
      <c r="E2676" s="16">
        <f>IFERROR(__xludf.DUMMYFUNCTION("""COMPUTED_VALUE"""),64.0)</f>
        <v>64</v>
      </c>
      <c r="F2676" s="19" t="str">
        <f>IFERROR(__xludf.DUMMYFUNCTION("""COMPUTED_VALUE"""),"BLACK")</f>
        <v>BLACK</v>
      </c>
      <c r="G2676" s="20" t="str">
        <f>IFERROR(__xludf.DUMMYFUNCTION("""COMPUTED_VALUE"""),"Uncle Sams Cider (11/12/2021) 02")</f>
        <v>Uncle Sams Cider (11/12/2021) 02</v>
      </c>
      <c r="H2676" s="19"/>
    </row>
    <row r="2677">
      <c r="A2677" s="9"/>
      <c r="B2677" s="15"/>
      <c r="C2677" s="9">
        <f>IFERROR(__xludf.DUMMYFUNCTION("""COMPUTED_VALUE"""),44577.6180351388)</f>
        <v>44577.61804</v>
      </c>
      <c r="D2677" s="15">
        <f>IFERROR(__xludf.DUMMYFUNCTION("""COMPUTED_VALUE"""),1.007)</f>
        <v>1.007</v>
      </c>
      <c r="E2677" s="16">
        <f>IFERROR(__xludf.DUMMYFUNCTION("""COMPUTED_VALUE"""),64.0)</f>
        <v>64</v>
      </c>
      <c r="F2677" s="19" t="str">
        <f>IFERROR(__xludf.DUMMYFUNCTION("""COMPUTED_VALUE"""),"BLACK")</f>
        <v>BLACK</v>
      </c>
      <c r="G2677" s="20" t="str">
        <f>IFERROR(__xludf.DUMMYFUNCTION("""COMPUTED_VALUE"""),"Uncle Sams Cider (11/12/2021) 02")</f>
        <v>Uncle Sams Cider (11/12/2021) 02</v>
      </c>
      <c r="H2677" s="19"/>
    </row>
    <row r="2678">
      <c r="A2678" s="9"/>
      <c r="B2678" s="15"/>
      <c r="C2678" s="9">
        <f>IFERROR(__xludf.DUMMYFUNCTION("""COMPUTED_VALUE"""),44577.6076019791)</f>
        <v>44577.6076</v>
      </c>
      <c r="D2678" s="15">
        <f>IFERROR(__xludf.DUMMYFUNCTION("""COMPUTED_VALUE"""),1.007)</f>
        <v>1.007</v>
      </c>
      <c r="E2678" s="16">
        <f>IFERROR(__xludf.DUMMYFUNCTION("""COMPUTED_VALUE"""),64.0)</f>
        <v>64</v>
      </c>
      <c r="F2678" s="19" t="str">
        <f>IFERROR(__xludf.DUMMYFUNCTION("""COMPUTED_VALUE"""),"BLACK")</f>
        <v>BLACK</v>
      </c>
      <c r="G2678" s="20" t="str">
        <f>IFERROR(__xludf.DUMMYFUNCTION("""COMPUTED_VALUE"""),"Uncle Sams Cider (11/12/2021) 02")</f>
        <v>Uncle Sams Cider (11/12/2021) 02</v>
      </c>
      <c r="H2678" s="19"/>
    </row>
    <row r="2679">
      <c r="A2679" s="9"/>
      <c r="B2679" s="15"/>
      <c r="C2679" s="9">
        <f>IFERROR(__xludf.DUMMYFUNCTION("""COMPUTED_VALUE"""),44577.5971809375)</f>
        <v>44577.59718</v>
      </c>
      <c r="D2679" s="15">
        <f>IFERROR(__xludf.DUMMYFUNCTION("""COMPUTED_VALUE"""),1.007)</f>
        <v>1.007</v>
      </c>
      <c r="E2679" s="16">
        <f>IFERROR(__xludf.DUMMYFUNCTION("""COMPUTED_VALUE"""),64.0)</f>
        <v>64</v>
      </c>
      <c r="F2679" s="19" t="str">
        <f>IFERROR(__xludf.DUMMYFUNCTION("""COMPUTED_VALUE"""),"BLACK")</f>
        <v>BLACK</v>
      </c>
      <c r="G2679" s="20" t="str">
        <f>IFERROR(__xludf.DUMMYFUNCTION("""COMPUTED_VALUE"""),"Uncle Sams Cider (11/12/2021) 02")</f>
        <v>Uncle Sams Cider (11/12/2021) 02</v>
      </c>
      <c r="H2679" s="19"/>
    </row>
    <row r="2680">
      <c r="A2680" s="9"/>
      <c r="B2680" s="15"/>
      <c r="C2680" s="9">
        <f>IFERROR(__xludf.DUMMYFUNCTION("""COMPUTED_VALUE"""),44577.5867480208)</f>
        <v>44577.58675</v>
      </c>
      <c r="D2680" s="15">
        <f>IFERROR(__xludf.DUMMYFUNCTION("""COMPUTED_VALUE"""),1.007)</f>
        <v>1.007</v>
      </c>
      <c r="E2680" s="16">
        <f>IFERROR(__xludf.DUMMYFUNCTION("""COMPUTED_VALUE"""),64.0)</f>
        <v>64</v>
      </c>
      <c r="F2680" s="19" t="str">
        <f>IFERROR(__xludf.DUMMYFUNCTION("""COMPUTED_VALUE"""),"BLACK")</f>
        <v>BLACK</v>
      </c>
      <c r="G2680" s="20" t="str">
        <f>IFERROR(__xludf.DUMMYFUNCTION("""COMPUTED_VALUE"""),"Uncle Sams Cider (11/12/2021) 02")</f>
        <v>Uncle Sams Cider (11/12/2021) 02</v>
      </c>
      <c r="H2680" s="19"/>
    </row>
    <row r="2681">
      <c r="A2681" s="9"/>
      <c r="B2681" s="15"/>
      <c r="C2681" s="9">
        <f>IFERROR(__xludf.DUMMYFUNCTION("""COMPUTED_VALUE"""),44577.5762679629)</f>
        <v>44577.57627</v>
      </c>
      <c r="D2681" s="15">
        <f>IFERROR(__xludf.DUMMYFUNCTION("""COMPUTED_VALUE"""),1.007)</f>
        <v>1.007</v>
      </c>
      <c r="E2681" s="16">
        <f>IFERROR(__xludf.DUMMYFUNCTION("""COMPUTED_VALUE"""),64.0)</f>
        <v>64</v>
      </c>
      <c r="F2681" s="19" t="str">
        <f>IFERROR(__xludf.DUMMYFUNCTION("""COMPUTED_VALUE"""),"BLACK")</f>
        <v>BLACK</v>
      </c>
      <c r="G2681" s="20" t="str">
        <f>IFERROR(__xludf.DUMMYFUNCTION("""COMPUTED_VALUE"""),"Uncle Sams Cider (11/12/2021) 02")</f>
        <v>Uncle Sams Cider (11/12/2021) 02</v>
      </c>
      <c r="H2681" s="19"/>
    </row>
    <row r="2682">
      <c r="A2682" s="9"/>
      <c r="B2682" s="15"/>
      <c r="C2682" s="9">
        <f>IFERROR(__xludf.DUMMYFUNCTION("""COMPUTED_VALUE"""),44577.5658473495)</f>
        <v>44577.56585</v>
      </c>
      <c r="D2682" s="15">
        <f>IFERROR(__xludf.DUMMYFUNCTION("""COMPUTED_VALUE"""),1.006)</f>
        <v>1.006</v>
      </c>
      <c r="E2682" s="16">
        <f>IFERROR(__xludf.DUMMYFUNCTION("""COMPUTED_VALUE"""),64.0)</f>
        <v>64</v>
      </c>
      <c r="F2682" s="19" t="str">
        <f>IFERROR(__xludf.DUMMYFUNCTION("""COMPUTED_VALUE"""),"BLACK")</f>
        <v>BLACK</v>
      </c>
      <c r="G2682" s="20" t="str">
        <f>IFERROR(__xludf.DUMMYFUNCTION("""COMPUTED_VALUE"""),"Uncle Sams Cider (11/12/2021) 02")</f>
        <v>Uncle Sams Cider (11/12/2021) 02</v>
      </c>
      <c r="H2682" s="19"/>
    </row>
    <row r="2683">
      <c r="A2683" s="9"/>
      <c r="B2683" s="15"/>
      <c r="C2683" s="9">
        <f>IFERROR(__xludf.DUMMYFUNCTION("""COMPUTED_VALUE"""),44577.5554048148)</f>
        <v>44577.5554</v>
      </c>
      <c r="D2683" s="15">
        <f>IFERROR(__xludf.DUMMYFUNCTION("""COMPUTED_VALUE"""),1.007)</f>
        <v>1.007</v>
      </c>
      <c r="E2683" s="16">
        <f>IFERROR(__xludf.DUMMYFUNCTION("""COMPUTED_VALUE"""),64.0)</f>
        <v>64</v>
      </c>
      <c r="F2683" s="19" t="str">
        <f>IFERROR(__xludf.DUMMYFUNCTION("""COMPUTED_VALUE"""),"BLACK")</f>
        <v>BLACK</v>
      </c>
      <c r="G2683" s="20" t="str">
        <f>IFERROR(__xludf.DUMMYFUNCTION("""COMPUTED_VALUE"""),"Uncle Sams Cider (11/12/2021) 02")</f>
        <v>Uncle Sams Cider (11/12/2021) 02</v>
      </c>
      <c r="H2683" s="19"/>
    </row>
    <row r="2684">
      <c r="A2684" s="9"/>
      <c r="B2684" s="15"/>
      <c r="C2684" s="9">
        <f>IFERROR(__xludf.DUMMYFUNCTION("""COMPUTED_VALUE"""),44577.5449724189)</f>
        <v>44577.54497</v>
      </c>
      <c r="D2684" s="15">
        <f>IFERROR(__xludf.DUMMYFUNCTION("""COMPUTED_VALUE"""),1.007)</f>
        <v>1.007</v>
      </c>
      <c r="E2684" s="16">
        <f>IFERROR(__xludf.DUMMYFUNCTION("""COMPUTED_VALUE"""),64.0)</f>
        <v>64</v>
      </c>
      <c r="F2684" s="19" t="str">
        <f>IFERROR(__xludf.DUMMYFUNCTION("""COMPUTED_VALUE"""),"BLACK")</f>
        <v>BLACK</v>
      </c>
      <c r="G2684" s="20" t="str">
        <f>IFERROR(__xludf.DUMMYFUNCTION("""COMPUTED_VALUE"""),"Uncle Sams Cider (11/12/2021) 02")</f>
        <v>Uncle Sams Cider (11/12/2021) 02</v>
      </c>
      <c r="H2684" s="19"/>
    </row>
    <row r="2685">
      <c r="A2685" s="9"/>
      <c r="B2685" s="15"/>
      <c r="C2685" s="9">
        <f>IFERROR(__xludf.DUMMYFUNCTION("""COMPUTED_VALUE"""),44577.5345497453)</f>
        <v>44577.53455</v>
      </c>
      <c r="D2685" s="15">
        <f>IFERROR(__xludf.DUMMYFUNCTION("""COMPUTED_VALUE"""),1.007)</f>
        <v>1.007</v>
      </c>
      <c r="E2685" s="16">
        <f>IFERROR(__xludf.DUMMYFUNCTION("""COMPUTED_VALUE"""),64.0)</f>
        <v>64</v>
      </c>
      <c r="F2685" s="19" t="str">
        <f>IFERROR(__xludf.DUMMYFUNCTION("""COMPUTED_VALUE"""),"BLACK")</f>
        <v>BLACK</v>
      </c>
      <c r="G2685" s="20" t="str">
        <f>IFERROR(__xludf.DUMMYFUNCTION("""COMPUTED_VALUE"""),"Uncle Sams Cider (11/12/2021) 02")</f>
        <v>Uncle Sams Cider (11/12/2021) 02</v>
      </c>
      <c r="H2685" s="19"/>
    </row>
    <row r="2686">
      <c r="A2686" s="9"/>
      <c r="B2686" s="15"/>
      <c r="C2686" s="9">
        <f>IFERROR(__xludf.DUMMYFUNCTION("""COMPUTED_VALUE"""),44577.5241166087)</f>
        <v>44577.52412</v>
      </c>
      <c r="D2686" s="15">
        <f>IFERROR(__xludf.DUMMYFUNCTION("""COMPUTED_VALUE"""),1.007)</f>
        <v>1.007</v>
      </c>
      <c r="E2686" s="16">
        <f>IFERROR(__xludf.DUMMYFUNCTION("""COMPUTED_VALUE"""),64.0)</f>
        <v>64</v>
      </c>
      <c r="F2686" s="19" t="str">
        <f>IFERROR(__xludf.DUMMYFUNCTION("""COMPUTED_VALUE"""),"BLACK")</f>
        <v>BLACK</v>
      </c>
      <c r="G2686" s="20" t="str">
        <f>IFERROR(__xludf.DUMMYFUNCTION("""COMPUTED_VALUE"""),"Uncle Sams Cider (11/12/2021) 02")</f>
        <v>Uncle Sams Cider (11/12/2021) 02</v>
      </c>
      <c r="H2686" s="19"/>
    </row>
    <row r="2687">
      <c r="A2687" s="9"/>
      <c r="B2687" s="15"/>
      <c r="C2687" s="9">
        <f>IFERROR(__xludf.DUMMYFUNCTION("""COMPUTED_VALUE"""),44577.5136949999)</f>
        <v>44577.51369</v>
      </c>
      <c r="D2687" s="15">
        <f>IFERROR(__xludf.DUMMYFUNCTION("""COMPUTED_VALUE"""),1.007)</f>
        <v>1.007</v>
      </c>
      <c r="E2687" s="16">
        <f>IFERROR(__xludf.DUMMYFUNCTION("""COMPUTED_VALUE"""),64.0)</f>
        <v>64</v>
      </c>
      <c r="F2687" s="19" t="str">
        <f>IFERROR(__xludf.DUMMYFUNCTION("""COMPUTED_VALUE"""),"BLACK")</f>
        <v>BLACK</v>
      </c>
      <c r="G2687" s="20" t="str">
        <f>IFERROR(__xludf.DUMMYFUNCTION("""COMPUTED_VALUE"""),"Uncle Sams Cider (11/12/2021) 02")</f>
        <v>Uncle Sams Cider (11/12/2021) 02</v>
      </c>
      <c r="H2687" s="19"/>
    </row>
    <row r="2688">
      <c r="A2688" s="9"/>
      <c r="B2688" s="15"/>
      <c r="C2688" s="9">
        <f>IFERROR(__xludf.DUMMYFUNCTION("""COMPUTED_VALUE"""),44577.5032732175)</f>
        <v>44577.50327</v>
      </c>
      <c r="D2688" s="15">
        <f>IFERROR(__xludf.DUMMYFUNCTION("""COMPUTED_VALUE"""),1.007)</f>
        <v>1.007</v>
      </c>
      <c r="E2688" s="16">
        <f>IFERROR(__xludf.DUMMYFUNCTION("""COMPUTED_VALUE"""),64.0)</f>
        <v>64</v>
      </c>
      <c r="F2688" s="19" t="str">
        <f>IFERROR(__xludf.DUMMYFUNCTION("""COMPUTED_VALUE"""),"BLACK")</f>
        <v>BLACK</v>
      </c>
      <c r="G2688" s="20" t="str">
        <f>IFERROR(__xludf.DUMMYFUNCTION("""COMPUTED_VALUE"""),"Uncle Sams Cider (11/12/2021) 02")</f>
        <v>Uncle Sams Cider (11/12/2021) 02</v>
      </c>
      <c r="H2688" s="19"/>
    </row>
    <row r="2689">
      <c r="A2689" s="9"/>
      <c r="B2689" s="15"/>
      <c r="C2689" s="9">
        <f>IFERROR(__xludf.DUMMYFUNCTION("""COMPUTED_VALUE"""),44577.4928298611)</f>
        <v>44577.49283</v>
      </c>
      <c r="D2689" s="15">
        <f>IFERROR(__xludf.DUMMYFUNCTION("""COMPUTED_VALUE"""),1.007)</f>
        <v>1.007</v>
      </c>
      <c r="E2689" s="16">
        <f>IFERROR(__xludf.DUMMYFUNCTION("""COMPUTED_VALUE"""),64.0)</f>
        <v>64</v>
      </c>
      <c r="F2689" s="19" t="str">
        <f>IFERROR(__xludf.DUMMYFUNCTION("""COMPUTED_VALUE"""),"BLACK")</f>
        <v>BLACK</v>
      </c>
      <c r="G2689" s="20" t="str">
        <f>IFERROR(__xludf.DUMMYFUNCTION("""COMPUTED_VALUE"""),"Uncle Sams Cider (11/12/2021) 02")</f>
        <v>Uncle Sams Cider (11/12/2021) 02</v>
      </c>
      <c r="H2689" s="19"/>
    </row>
    <row r="2690">
      <c r="A2690" s="9"/>
      <c r="B2690" s="15"/>
      <c r="C2690" s="9">
        <f>IFERROR(__xludf.DUMMYFUNCTION("""COMPUTED_VALUE"""),44577.4823974652)</f>
        <v>44577.4824</v>
      </c>
      <c r="D2690" s="15">
        <f>IFERROR(__xludf.DUMMYFUNCTION("""COMPUTED_VALUE"""),1.007)</f>
        <v>1.007</v>
      </c>
      <c r="E2690" s="16">
        <f>IFERROR(__xludf.DUMMYFUNCTION("""COMPUTED_VALUE"""),64.0)</f>
        <v>64</v>
      </c>
      <c r="F2690" s="19" t="str">
        <f>IFERROR(__xludf.DUMMYFUNCTION("""COMPUTED_VALUE"""),"BLACK")</f>
        <v>BLACK</v>
      </c>
      <c r="G2690" s="20" t="str">
        <f>IFERROR(__xludf.DUMMYFUNCTION("""COMPUTED_VALUE"""),"Uncle Sams Cider (11/12/2021) 02")</f>
        <v>Uncle Sams Cider (11/12/2021) 02</v>
      </c>
      <c r="H2690" s="19"/>
    </row>
    <row r="2691">
      <c r="A2691" s="9"/>
      <c r="B2691" s="15"/>
      <c r="C2691" s="9">
        <f>IFERROR(__xludf.DUMMYFUNCTION("""COMPUTED_VALUE"""),44577.4719420949)</f>
        <v>44577.47194</v>
      </c>
      <c r="D2691" s="15">
        <f>IFERROR(__xludf.DUMMYFUNCTION("""COMPUTED_VALUE"""),1.007)</f>
        <v>1.007</v>
      </c>
      <c r="E2691" s="16">
        <f>IFERROR(__xludf.DUMMYFUNCTION("""COMPUTED_VALUE"""),64.0)</f>
        <v>64</v>
      </c>
      <c r="F2691" s="19" t="str">
        <f>IFERROR(__xludf.DUMMYFUNCTION("""COMPUTED_VALUE"""),"BLACK")</f>
        <v>BLACK</v>
      </c>
      <c r="G2691" s="20" t="str">
        <f>IFERROR(__xludf.DUMMYFUNCTION("""COMPUTED_VALUE"""),"Uncle Sams Cider (11/12/2021) 02")</f>
        <v>Uncle Sams Cider (11/12/2021) 02</v>
      </c>
      <c r="H2691" s="19"/>
    </row>
    <row r="2692">
      <c r="A2692" s="9"/>
      <c r="B2692" s="15"/>
      <c r="C2692" s="9">
        <f>IFERROR(__xludf.DUMMYFUNCTION("""COMPUTED_VALUE"""),44577.4615219212)</f>
        <v>44577.46152</v>
      </c>
      <c r="D2692" s="15">
        <f>IFERROR(__xludf.DUMMYFUNCTION("""COMPUTED_VALUE"""),1.007)</f>
        <v>1.007</v>
      </c>
      <c r="E2692" s="16">
        <f>IFERROR(__xludf.DUMMYFUNCTION("""COMPUTED_VALUE"""),64.0)</f>
        <v>64</v>
      </c>
      <c r="F2692" s="19" t="str">
        <f>IFERROR(__xludf.DUMMYFUNCTION("""COMPUTED_VALUE"""),"BLACK")</f>
        <v>BLACK</v>
      </c>
      <c r="G2692" s="20" t="str">
        <f>IFERROR(__xludf.DUMMYFUNCTION("""COMPUTED_VALUE"""),"Uncle Sams Cider (11/12/2021) 02")</f>
        <v>Uncle Sams Cider (11/12/2021) 02</v>
      </c>
      <c r="H2692" s="19"/>
    </row>
    <row r="2693">
      <c r="A2693" s="9"/>
      <c r="B2693" s="15"/>
      <c r="C2693" s="9">
        <f>IFERROR(__xludf.DUMMYFUNCTION("""COMPUTED_VALUE"""),44577.4511022337)</f>
        <v>44577.4511</v>
      </c>
      <c r="D2693" s="15">
        <f>IFERROR(__xludf.DUMMYFUNCTION("""COMPUTED_VALUE"""),1.007)</f>
        <v>1.007</v>
      </c>
      <c r="E2693" s="16">
        <f>IFERROR(__xludf.DUMMYFUNCTION("""COMPUTED_VALUE"""),64.0)</f>
        <v>64</v>
      </c>
      <c r="F2693" s="19" t="str">
        <f>IFERROR(__xludf.DUMMYFUNCTION("""COMPUTED_VALUE"""),"BLACK")</f>
        <v>BLACK</v>
      </c>
      <c r="G2693" s="20" t="str">
        <f>IFERROR(__xludf.DUMMYFUNCTION("""COMPUTED_VALUE"""),"Uncle Sams Cider (11/12/2021) 02")</f>
        <v>Uncle Sams Cider (11/12/2021) 02</v>
      </c>
      <c r="H2693" s="19"/>
    </row>
    <row r="2694">
      <c r="A2694" s="9"/>
      <c r="B2694" s="15"/>
      <c r="C2694" s="9">
        <f>IFERROR(__xludf.DUMMYFUNCTION("""COMPUTED_VALUE"""),44577.4406580902)</f>
        <v>44577.44066</v>
      </c>
      <c r="D2694" s="15">
        <f>IFERROR(__xludf.DUMMYFUNCTION("""COMPUTED_VALUE"""),1.007)</f>
        <v>1.007</v>
      </c>
      <c r="E2694" s="16">
        <f>IFERROR(__xludf.DUMMYFUNCTION("""COMPUTED_VALUE"""),64.0)</f>
        <v>64</v>
      </c>
      <c r="F2694" s="19" t="str">
        <f>IFERROR(__xludf.DUMMYFUNCTION("""COMPUTED_VALUE"""),"BLACK")</f>
        <v>BLACK</v>
      </c>
      <c r="G2694" s="20" t="str">
        <f>IFERROR(__xludf.DUMMYFUNCTION("""COMPUTED_VALUE"""),"Uncle Sams Cider (11/12/2021) 02")</f>
        <v>Uncle Sams Cider (11/12/2021) 02</v>
      </c>
      <c r="H2694" s="19"/>
    </row>
    <row r="2695">
      <c r="A2695" s="9"/>
      <c r="B2695" s="15"/>
      <c r="C2695" s="9">
        <f>IFERROR(__xludf.DUMMYFUNCTION("""COMPUTED_VALUE"""),44577.4302366087)</f>
        <v>44577.43024</v>
      </c>
      <c r="D2695" s="15">
        <f>IFERROR(__xludf.DUMMYFUNCTION("""COMPUTED_VALUE"""),1.007)</f>
        <v>1.007</v>
      </c>
      <c r="E2695" s="16">
        <f>IFERROR(__xludf.DUMMYFUNCTION("""COMPUTED_VALUE"""),64.0)</f>
        <v>64</v>
      </c>
      <c r="F2695" s="19" t="str">
        <f>IFERROR(__xludf.DUMMYFUNCTION("""COMPUTED_VALUE"""),"BLACK")</f>
        <v>BLACK</v>
      </c>
      <c r="G2695" s="20" t="str">
        <f>IFERROR(__xludf.DUMMYFUNCTION("""COMPUTED_VALUE"""),"Uncle Sams Cider (11/12/2021) 02")</f>
        <v>Uncle Sams Cider (11/12/2021) 02</v>
      </c>
      <c r="H2695" s="19"/>
    </row>
    <row r="2696">
      <c r="A2696" s="9"/>
      <c r="B2696" s="15"/>
      <c r="C2696" s="9">
        <f>IFERROR(__xludf.DUMMYFUNCTION("""COMPUTED_VALUE"""),44577.4198173379)</f>
        <v>44577.41982</v>
      </c>
      <c r="D2696" s="15">
        <f>IFERROR(__xludf.DUMMYFUNCTION("""COMPUTED_VALUE"""),1.007)</f>
        <v>1.007</v>
      </c>
      <c r="E2696" s="16">
        <f>IFERROR(__xludf.DUMMYFUNCTION("""COMPUTED_VALUE"""),64.0)</f>
        <v>64</v>
      </c>
      <c r="F2696" s="19" t="str">
        <f>IFERROR(__xludf.DUMMYFUNCTION("""COMPUTED_VALUE"""),"BLACK")</f>
        <v>BLACK</v>
      </c>
      <c r="G2696" s="20" t="str">
        <f>IFERROR(__xludf.DUMMYFUNCTION("""COMPUTED_VALUE"""),"Uncle Sams Cider (11/12/2021) 02")</f>
        <v>Uncle Sams Cider (11/12/2021) 02</v>
      </c>
      <c r="H2696" s="19"/>
    </row>
    <row r="2697">
      <c r="A2697" s="9"/>
      <c r="B2697" s="15"/>
      <c r="C2697" s="9">
        <f>IFERROR(__xludf.DUMMYFUNCTION("""COMPUTED_VALUE"""),44577.4093727199)</f>
        <v>44577.40937</v>
      </c>
      <c r="D2697" s="15">
        <f>IFERROR(__xludf.DUMMYFUNCTION("""COMPUTED_VALUE"""),1.007)</f>
        <v>1.007</v>
      </c>
      <c r="E2697" s="16">
        <f>IFERROR(__xludf.DUMMYFUNCTION("""COMPUTED_VALUE"""),64.0)</f>
        <v>64</v>
      </c>
      <c r="F2697" s="19" t="str">
        <f>IFERROR(__xludf.DUMMYFUNCTION("""COMPUTED_VALUE"""),"BLACK")</f>
        <v>BLACK</v>
      </c>
      <c r="G2697" s="20" t="str">
        <f>IFERROR(__xludf.DUMMYFUNCTION("""COMPUTED_VALUE"""),"Uncle Sams Cider (11/12/2021) 02")</f>
        <v>Uncle Sams Cider (11/12/2021) 02</v>
      </c>
      <c r="H2697" s="19"/>
    </row>
    <row r="2698">
      <c r="A2698" s="9"/>
      <c r="B2698" s="15"/>
      <c r="C2698" s="9">
        <f>IFERROR(__xludf.DUMMYFUNCTION("""COMPUTED_VALUE"""),44577.3989503588)</f>
        <v>44577.39895</v>
      </c>
      <c r="D2698" s="15">
        <f>IFERROR(__xludf.DUMMYFUNCTION("""COMPUTED_VALUE"""),1.007)</f>
        <v>1.007</v>
      </c>
      <c r="E2698" s="16">
        <f>IFERROR(__xludf.DUMMYFUNCTION("""COMPUTED_VALUE"""),64.0)</f>
        <v>64</v>
      </c>
      <c r="F2698" s="19" t="str">
        <f>IFERROR(__xludf.DUMMYFUNCTION("""COMPUTED_VALUE"""),"BLACK")</f>
        <v>BLACK</v>
      </c>
      <c r="G2698" s="20" t="str">
        <f>IFERROR(__xludf.DUMMYFUNCTION("""COMPUTED_VALUE"""),"Uncle Sams Cider (11/12/2021) 02")</f>
        <v>Uncle Sams Cider (11/12/2021) 02</v>
      </c>
      <c r="H2698" s="19"/>
    </row>
    <row r="2699">
      <c r="A2699" s="9"/>
      <c r="B2699" s="15"/>
      <c r="C2699" s="9">
        <f>IFERROR(__xludf.DUMMYFUNCTION("""COMPUTED_VALUE"""),44577.3885039583)</f>
        <v>44577.3885</v>
      </c>
      <c r="D2699" s="15">
        <f>IFERROR(__xludf.DUMMYFUNCTION("""COMPUTED_VALUE"""),1.007)</f>
        <v>1.007</v>
      </c>
      <c r="E2699" s="16">
        <f>IFERROR(__xludf.DUMMYFUNCTION("""COMPUTED_VALUE"""),64.0)</f>
        <v>64</v>
      </c>
      <c r="F2699" s="19" t="str">
        <f>IFERROR(__xludf.DUMMYFUNCTION("""COMPUTED_VALUE"""),"BLACK")</f>
        <v>BLACK</v>
      </c>
      <c r="G2699" s="20" t="str">
        <f>IFERROR(__xludf.DUMMYFUNCTION("""COMPUTED_VALUE"""),"Uncle Sams Cider (11/12/2021) 02")</f>
        <v>Uncle Sams Cider (11/12/2021) 02</v>
      </c>
      <c r="H2699" s="19"/>
    </row>
    <row r="2700">
      <c r="A2700" s="9"/>
      <c r="B2700" s="15"/>
      <c r="C2700" s="9">
        <f>IFERROR(__xludf.DUMMYFUNCTION("""COMPUTED_VALUE"""),44577.3780720717)</f>
        <v>44577.37807</v>
      </c>
      <c r="D2700" s="15">
        <f>IFERROR(__xludf.DUMMYFUNCTION("""COMPUTED_VALUE"""),1.007)</f>
        <v>1.007</v>
      </c>
      <c r="E2700" s="16">
        <f>IFERROR(__xludf.DUMMYFUNCTION("""COMPUTED_VALUE"""),64.0)</f>
        <v>64</v>
      </c>
      <c r="F2700" s="19" t="str">
        <f>IFERROR(__xludf.DUMMYFUNCTION("""COMPUTED_VALUE"""),"BLACK")</f>
        <v>BLACK</v>
      </c>
      <c r="G2700" s="20" t="str">
        <f>IFERROR(__xludf.DUMMYFUNCTION("""COMPUTED_VALUE"""),"Uncle Sams Cider (11/12/2021) 02")</f>
        <v>Uncle Sams Cider (11/12/2021) 02</v>
      </c>
      <c r="H2700" s="19"/>
    </row>
    <row r="2701">
      <c r="A2701" s="9"/>
      <c r="B2701" s="15"/>
      <c r="C2701" s="9">
        <f>IFERROR(__xludf.DUMMYFUNCTION("""COMPUTED_VALUE"""),44577.367637824)</f>
        <v>44577.36764</v>
      </c>
      <c r="D2701" s="15">
        <f>IFERROR(__xludf.DUMMYFUNCTION("""COMPUTED_VALUE"""),1.007)</f>
        <v>1.007</v>
      </c>
      <c r="E2701" s="16">
        <f>IFERROR(__xludf.DUMMYFUNCTION("""COMPUTED_VALUE"""),64.0)</f>
        <v>64</v>
      </c>
      <c r="F2701" s="19" t="str">
        <f>IFERROR(__xludf.DUMMYFUNCTION("""COMPUTED_VALUE"""),"BLACK")</f>
        <v>BLACK</v>
      </c>
      <c r="G2701" s="20" t="str">
        <f>IFERROR(__xludf.DUMMYFUNCTION("""COMPUTED_VALUE"""),"Uncle Sams Cider (11/12/2021) 02")</f>
        <v>Uncle Sams Cider (11/12/2021) 02</v>
      </c>
      <c r="H2701" s="19"/>
    </row>
    <row r="2702">
      <c r="A2702" s="9"/>
      <c r="B2702" s="15"/>
      <c r="C2702" s="9">
        <f>IFERROR(__xludf.DUMMYFUNCTION("""COMPUTED_VALUE"""),44577.3572159606)</f>
        <v>44577.35722</v>
      </c>
      <c r="D2702" s="15">
        <f>IFERROR(__xludf.DUMMYFUNCTION("""COMPUTED_VALUE"""),1.007)</f>
        <v>1.007</v>
      </c>
      <c r="E2702" s="16">
        <f>IFERROR(__xludf.DUMMYFUNCTION("""COMPUTED_VALUE"""),64.0)</f>
        <v>64</v>
      </c>
      <c r="F2702" s="19" t="str">
        <f>IFERROR(__xludf.DUMMYFUNCTION("""COMPUTED_VALUE"""),"BLACK")</f>
        <v>BLACK</v>
      </c>
      <c r="G2702" s="20" t="str">
        <f>IFERROR(__xludf.DUMMYFUNCTION("""COMPUTED_VALUE"""),"Uncle Sams Cider (11/12/2021) 02")</f>
        <v>Uncle Sams Cider (11/12/2021) 02</v>
      </c>
      <c r="H2702" s="19"/>
    </row>
    <row r="2703">
      <c r="A2703" s="9"/>
      <c r="B2703" s="15"/>
      <c r="C2703" s="9">
        <f>IFERROR(__xludf.DUMMYFUNCTION("""COMPUTED_VALUE"""),44577.3467695601)</f>
        <v>44577.34677</v>
      </c>
      <c r="D2703" s="15">
        <f>IFERROR(__xludf.DUMMYFUNCTION("""COMPUTED_VALUE"""),1.007)</f>
        <v>1.007</v>
      </c>
      <c r="E2703" s="16">
        <f>IFERROR(__xludf.DUMMYFUNCTION("""COMPUTED_VALUE"""),64.0)</f>
        <v>64</v>
      </c>
      <c r="F2703" s="19" t="str">
        <f>IFERROR(__xludf.DUMMYFUNCTION("""COMPUTED_VALUE"""),"BLACK")</f>
        <v>BLACK</v>
      </c>
      <c r="G2703" s="20" t="str">
        <f>IFERROR(__xludf.DUMMYFUNCTION("""COMPUTED_VALUE"""),"Uncle Sams Cider (11/12/2021) 02")</f>
        <v>Uncle Sams Cider (11/12/2021) 02</v>
      </c>
      <c r="H2703" s="19"/>
    </row>
    <row r="2704">
      <c r="A2704" s="9"/>
      <c r="B2704" s="15"/>
      <c r="C2704" s="9">
        <f>IFERROR(__xludf.DUMMYFUNCTION("""COMPUTED_VALUE"""),44577.3363505787)</f>
        <v>44577.33635</v>
      </c>
      <c r="D2704" s="15">
        <f>IFERROR(__xludf.DUMMYFUNCTION("""COMPUTED_VALUE"""),1.007)</f>
        <v>1.007</v>
      </c>
      <c r="E2704" s="16">
        <f>IFERROR(__xludf.DUMMYFUNCTION("""COMPUTED_VALUE"""),64.0)</f>
        <v>64</v>
      </c>
      <c r="F2704" s="19" t="str">
        <f>IFERROR(__xludf.DUMMYFUNCTION("""COMPUTED_VALUE"""),"BLACK")</f>
        <v>BLACK</v>
      </c>
      <c r="G2704" s="20" t="str">
        <f>IFERROR(__xludf.DUMMYFUNCTION("""COMPUTED_VALUE"""),"Uncle Sams Cider (11/12/2021) 02")</f>
        <v>Uncle Sams Cider (11/12/2021) 02</v>
      </c>
      <c r="H2704" s="19"/>
    </row>
    <row r="2705">
      <c r="A2705" s="9"/>
      <c r="B2705" s="15"/>
      <c r="C2705" s="9">
        <f>IFERROR(__xludf.DUMMYFUNCTION("""COMPUTED_VALUE"""),44577.3259303125)</f>
        <v>44577.32593</v>
      </c>
      <c r="D2705" s="15">
        <f>IFERROR(__xludf.DUMMYFUNCTION("""COMPUTED_VALUE"""),1.007)</f>
        <v>1.007</v>
      </c>
      <c r="E2705" s="16">
        <f>IFERROR(__xludf.DUMMYFUNCTION("""COMPUTED_VALUE"""),64.0)</f>
        <v>64</v>
      </c>
      <c r="F2705" s="19" t="str">
        <f>IFERROR(__xludf.DUMMYFUNCTION("""COMPUTED_VALUE"""),"BLACK")</f>
        <v>BLACK</v>
      </c>
      <c r="G2705" s="20" t="str">
        <f>IFERROR(__xludf.DUMMYFUNCTION("""COMPUTED_VALUE"""),"Uncle Sams Cider (11/12/2021) 02")</f>
        <v>Uncle Sams Cider (11/12/2021) 02</v>
      </c>
      <c r="H2705" s="19"/>
    </row>
    <row r="2706">
      <c r="A2706" s="9"/>
      <c r="B2706" s="15"/>
      <c r="C2706" s="9">
        <f>IFERROR(__xludf.DUMMYFUNCTION("""COMPUTED_VALUE"""),44577.3155088078)</f>
        <v>44577.31551</v>
      </c>
      <c r="D2706" s="15">
        <f>IFERROR(__xludf.DUMMYFUNCTION("""COMPUTED_VALUE"""),1.007)</f>
        <v>1.007</v>
      </c>
      <c r="E2706" s="16">
        <f>IFERROR(__xludf.DUMMYFUNCTION("""COMPUTED_VALUE"""),64.0)</f>
        <v>64</v>
      </c>
      <c r="F2706" s="19" t="str">
        <f>IFERROR(__xludf.DUMMYFUNCTION("""COMPUTED_VALUE"""),"BLACK")</f>
        <v>BLACK</v>
      </c>
      <c r="G2706" s="20" t="str">
        <f>IFERROR(__xludf.DUMMYFUNCTION("""COMPUTED_VALUE"""),"Uncle Sams Cider (11/12/2021) 02")</f>
        <v>Uncle Sams Cider (11/12/2021) 02</v>
      </c>
      <c r="H2706" s="19"/>
    </row>
    <row r="2707">
      <c r="A2707" s="9"/>
      <c r="B2707" s="15"/>
      <c r="C2707" s="9">
        <f>IFERROR(__xludf.DUMMYFUNCTION("""COMPUTED_VALUE"""),44577.3050524768)</f>
        <v>44577.30505</v>
      </c>
      <c r="D2707" s="15">
        <f>IFERROR(__xludf.DUMMYFUNCTION("""COMPUTED_VALUE"""),1.007)</f>
        <v>1.007</v>
      </c>
      <c r="E2707" s="16">
        <f>IFERROR(__xludf.DUMMYFUNCTION("""COMPUTED_VALUE"""),64.0)</f>
        <v>64</v>
      </c>
      <c r="F2707" s="19" t="str">
        <f>IFERROR(__xludf.DUMMYFUNCTION("""COMPUTED_VALUE"""),"BLACK")</f>
        <v>BLACK</v>
      </c>
      <c r="G2707" s="20" t="str">
        <f>IFERROR(__xludf.DUMMYFUNCTION("""COMPUTED_VALUE"""),"Uncle Sams Cider (11/12/2021) 02")</f>
        <v>Uncle Sams Cider (11/12/2021) 02</v>
      </c>
      <c r="H2707" s="19"/>
    </row>
    <row r="2708">
      <c r="A2708" s="9"/>
      <c r="B2708" s="15"/>
      <c r="C2708" s="9">
        <f>IFERROR(__xludf.DUMMYFUNCTION("""COMPUTED_VALUE"""),44577.2946202777)</f>
        <v>44577.29462</v>
      </c>
      <c r="D2708" s="15">
        <f>IFERROR(__xludf.DUMMYFUNCTION("""COMPUTED_VALUE"""),1.007)</f>
        <v>1.007</v>
      </c>
      <c r="E2708" s="16">
        <f>IFERROR(__xludf.DUMMYFUNCTION("""COMPUTED_VALUE"""),64.0)</f>
        <v>64</v>
      </c>
      <c r="F2708" s="19" t="str">
        <f>IFERROR(__xludf.DUMMYFUNCTION("""COMPUTED_VALUE"""),"BLACK")</f>
        <v>BLACK</v>
      </c>
      <c r="G2708" s="20" t="str">
        <f>IFERROR(__xludf.DUMMYFUNCTION("""COMPUTED_VALUE"""),"Uncle Sams Cider (11/12/2021) 02")</f>
        <v>Uncle Sams Cider (11/12/2021) 02</v>
      </c>
      <c r="H2708" s="19"/>
    </row>
    <row r="2709">
      <c r="A2709" s="9"/>
      <c r="B2709" s="15"/>
      <c r="C2709" s="9">
        <f>IFERROR(__xludf.DUMMYFUNCTION("""COMPUTED_VALUE"""),44577.2841773148)</f>
        <v>44577.28418</v>
      </c>
      <c r="D2709" s="15">
        <f>IFERROR(__xludf.DUMMYFUNCTION("""COMPUTED_VALUE"""),1.007)</f>
        <v>1.007</v>
      </c>
      <c r="E2709" s="16">
        <f>IFERROR(__xludf.DUMMYFUNCTION("""COMPUTED_VALUE"""),64.0)</f>
        <v>64</v>
      </c>
      <c r="F2709" s="19" t="str">
        <f>IFERROR(__xludf.DUMMYFUNCTION("""COMPUTED_VALUE"""),"BLACK")</f>
        <v>BLACK</v>
      </c>
      <c r="G2709" s="20" t="str">
        <f>IFERROR(__xludf.DUMMYFUNCTION("""COMPUTED_VALUE"""),"Uncle Sams Cider (11/12/2021) 02")</f>
        <v>Uncle Sams Cider (11/12/2021) 02</v>
      </c>
      <c r="H2709" s="19"/>
    </row>
    <row r="2710">
      <c r="A2710" s="9"/>
      <c r="B2710" s="15"/>
      <c r="C2710" s="9">
        <f>IFERROR(__xludf.DUMMYFUNCTION("""COMPUTED_VALUE"""),44577.2737446064)</f>
        <v>44577.27374</v>
      </c>
      <c r="D2710" s="15">
        <f>IFERROR(__xludf.DUMMYFUNCTION("""COMPUTED_VALUE"""),1.007)</f>
        <v>1.007</v>
      </c>
      <c r="E2710" s="16">
        <f>IFERROR(__xludf.DUMMYFUNCTION("""COMPUTED_VALUE"""),64.0)</f>
        <v>64</v>
      </c>
      <c r="F2710" s="19" t="str">
        <f>IFERROR(__xludf.DUMMYFUNCTION("""COMPUTED_VALUE"""),"BLACK")</f>
        <v>BLACK</v>
      </c>
      <c r="G2710" s="20" t="str">
        <f>IFERROR(__xludf.DUMMYFUNCTION("""COMPUTED_VALUE"""),"Uncle Sams Cider (11/12/2021) 02")</f>
        <v>Uncle Sams Cider (11/12/2021) 02</v>
      </c>
      <c r="H2710" s="19"/>
    </row>
    <row r="2711">
      <c r="A2711" s="9"/>
      <c r="B2711" s="15"/>
      <c r="C2711" s="9">
        <f>IFERROR(__xludf.DUMMYFUNCTION("""COMPUTED_VALUE"""),44577.2633236574)</f>
        <v>44577.26332</v>
      </c>
      <c r="D2711" s="15">
        <f>IFERROR(__xludf.DUMMYFUNCTION("""COMPUTED_VALUE"""),1.007)</f>
        <v>1.007</v>
      </c>
      <c r="E2711" s="16">
        <f>IFERROR(__xludf.DUMMYFUNCTION("""COMPUTED_VALUE"""),64.0)</f>
        <v>64</v>
      </c>
      <c r="F2711" s="19" t="str">
        <f>IFERROR(__xludf.DUMMYFUNCTION("""COMPUTED_VALUE"""),"BLACK")</f>
        <v>BLACK</v>
      </c>
      <c r="G2711" s="20" t="str">
        <f>IFERROR(__xludf.DUMMYFUNCTION("""COMPUTED_VALUE"""),"Uncle Sams Cider (11/12/2021) 02")</f>
        <v>Uncle Sams Cider (11/12/2021) 02</v>
      </c>
      <c r="H2711" s="19"/>
    </row>
    <row r="2712">
      <c r="A2712" s="9"/>
      <c r="B2712" s="15"/>
      <c r="C2712" s="9">
        <f>IFERROR(__xludf.DUMMYFUNCTION("""COMPUTED_VALUE"""),44577.2529035648)</f>
        <v>44577.2529</v>
      </c>
      <c r="D2712" s="15">
        <f>IFERROR(__xludf.DUMMYFUNCTION("""COMPUTED_VALUE"""),1.007)</f>
        <v>1.007</v>
      </c>
      <c r="E2712" s="16">
        <f>IFERROR(__xludf.DUMMYFUNCTION("""COMPUTED_VALUE"""),64.0)</f>
        <v>64</v>
      </c>
      <c r="F2712" s="19" t="str">
        <f>IFERROR(__xludf.DUMMYFUNCTION("""COMPUTED_VALUE"""),"BLACK")</f>
        <v>BLACK</v>
      </c>
      <c r="G2712" s="20" t="str">
        <f>IFERROR(__xludf.DUMMYFUNCTION("""COMPUTED_VALUE"""),"Uncle Sams Cider (11/12/2021) 02")</f>
        <v>Uncle Sams Cider (11/12/2021) 02</v>
      </c>
      <c r="H2712" s="19"/>
    </row>
    <row r="2713">
      <c r="A2713" s="9"/>
      <c r="B2713" s="15"/>
      <c r="C2713" s="9">
        <f>IFERROR(__xludf.DUMMYFUNCTION("""COMPUTED_VALUE"""),44577.2424716898)</f>
        <v>44577.24247</v>
      </c>
      <c r="D2713" s="15">
        <f>IFERROR(__xludf.DUMMYFUNCTION("""COMPUTED_VALUE"""),1.007)</f>
        <v>1.007</v>
      </c>
      <c r="E2713" s="16">
        <f>IFERROR(__xludf.DUMMYFUNCTION("""COMPUTED_VALUE"""),65.0)</f>
        <v>65</v>
      </c>
      <c r="F2713" s="19" t="str">
        <f>IFERROR(__xludf.DUMMYFUNCTION("""COMPUTED_VALUE"""),"BLACK")</f>
        <v>BLACK</v>
      </c>
      <c r="G2713" s="20" t="str">
        <f>IFERROR(__xludf.DUMMYFUNCTION("""COMPUTED_VALUE"""),"Uncle Sams Cider (11/12/2021) 02")</f>
        <v>Uncle Sams Cider (11/12/2021) 02</v>
      </c>
      <c r="H2713" s="19"/>
    </row>
    <row r="2714">
      <c r="A2714" s="9"/>
      <c r="B2714" s="15"/>
      <c r="C2714" s="9">
        <f>IFERROR(__xludf.DUMMYFUNCTION("""COMPUTED_VALUE"""),44577.2320501851)</f>
        <v>44577.23205</v>
      </c>
      <c r="D2714" s="15">
        <f>IFERROR(__xludf.DUMMYFUNCTION("""COMPUTED_VALUE"""),1.007)</f>
        <v>1.007</v>
      </c>
      <c r="E2714" s="16">
        <f>IFERROR(__xludf.DUMMYFUNCTION("""COMPUTED_VALUE"""),65.0)</f>
        <v>65</v>
      </c>
      <c r="F2714" s="19" t="str">
        <f>IFERROR(__xludf.DUMMYFUNCTION("""COMPUTED_VALUE"""),"BLACK")</f>
        <v>BLACK</v>
      </c>
      <c r="G2714" s="20" t="str">
        <f>IFERROR(__xludf.DUMMYFUNCTION("""COMPUTED_VALUE"""),"Uncle Sams Cider (11/12/2021) 02")</f>
        <v>Uncle Sams Cider (11/12/2021) 02</v>
      </c>
      <c r="H2714" s="19"/>
    </row>
    <row r="2715">
      <c r="A2715" s="9"/>
      <c r="B2715" s="15"/>
      <c r="C2715" s="9">
        <f>IFERROR(__xludf.DUMMYFUNCTION("""COMPUTED_VALUE"""),44577.2215945486)</f>
        <v>44577.22159</v>
      </c>
      <c r="D2715" s="15">
        <f>IFERROR(__xludf.DUMMYFUNCTION("""COMPUTED_VALUE"""),1.007)</f>
        <v>1.007</v>
      </c>
      <c r="E2715" s="16">
        <f>IFERROR(__xludf.DUMMYFUNCTION("""COMPUTED_VALUE"""),65.0)</f>
        <v>65</v>
      </c>
      <c r="F2715" s="19" t="str">
        <f>IFERROR(__xludf.DUMMYFUNCTION("""COMPUTED_VALUE"""),"BLACK")</f>
        <v>BLACK</v>
      </c>
      <c r="G2715" s="20" t="str">
        <f>IFERROR(__xludf.DUMMYFUNCTION("""COMPUTED_VALUE"""),"Uncle Sams Cider (11/12/2021) 02")</f>
        <v>Uncle Sams Cider (11/12/2021) 02</v>
      </c>
      <c r="H2715" s="19"/>
    </row>
    <row r="2716">
      <c r="A2716" s="9"/>
      <c r="B2716" s="15"/>
      <c r="C2716" s="9">
        <f>IFERROR(__xludf.DUMMYFUNCTION("""COMPUTED_VALUE"""),44577.2111735763)</f>
        <v>44577.21117</v>
      </c>
      <c r="D2716" s="15">
        <f>IFERROR(__xludf.DUMMYFUNCTION("""COMPUTED_VALUE"""),1.007)</f>
        <v>1.007</v>
      </c>
      <c r="E2716" s="16">
        <f>IFERROR(__xludf.DUMMYFUNCTION("""COMPUTED_VALUE"""),65.0)</f>
        <v>65</v>
      </c>
      <c r="F2716" s="19" t="str">
        <f>IFERROR(__xludf.DUMMYFUNCTION("""COMPUTED_VALUE"""),"BLACK")</f>
        <v>BLACK</v>
      </c>
      <c r="G2716" s="20" t="str">
        <f>IFERROR(__xludf.DUMMYFUNCTION("""COMPUTED_VALUE"""),"Uncle Sams Cider (11/12/2021) 02")</f>
        <v>Uncle Sams Cider (11/12/2021) 02</v>
      </c>
      <c r="H2716" s="19"/>
    </row>
    <row r="2717">
      <c r="A2717" s="9"/>
      <c r="B2717" s="15"/>
      <c r="C2717" s="9">
        <f>IFERROR(__xludf.DUMMYFUNCTION("""COMPUTED_VALUE"""),44577.2006714699)</f>
        <v>44577.20067</v>
      </c>
      <c r="D2717" s="15">
        <f>IFERROR(__xludf.DUMMYFUNCTION("""COMPUTED_VALUE"""),1.007)</f>
        <v>1.007</v>
      </c>
      <c r="E2717" s="16">
        <f>IFERROR(__xludf.DUMMYFUNCTION("""COMPUTED_VALUE"""),65.0)</f>
        <v>65</v>
      </c>
      <c r="F2717" s="19" t="str">
        <f>IFERROR(__xludf.DUMMYFUNCTION("""COMPUTED_VALUE"""),"BLACK")</f>
        <v>BLACK</v>
      </c>
      <c r="G2717" s="20" t="str">
        <f>IFERROR(__xludf.DUMMYFUNCTION("""COMPUTED_VALUE"""),"Uncle Sams Cider (11/12/2021) 02")</f>
        <v>Uncle Sams Cider (11/12/2021) 02</v>
      </c>
      <c r="H2717" s="19"/>
    </row>
    <row r="2718">
      <c r="A2718" s="9"/>
      <c r="B2718" s="15"/>
      <c r="C2718" s="9">
        <f>IFERROR(__xludf.DUMMYFUNCTION("""COMPUTED_VALUE"""),44577.1902398726)</f>
        <v>44577.19024</v>
      </c>
      <c r="D2718" s="15">
        <f>IFERROR(__xludf.DUMMYFUNCTION("""COMPUTED_VALUE"""),1.007)</f>
        <v>1.007</v>
      </c>
      <c r="E2718" s="16">
        <f>IFERROR(__xludf.DUMMYFUNCTION("""COMPUTED_VALUE"""),65.0)</f>
        <v>65</v>
      </c>
      <c r="F2718" s="19" t="str">
        <f>IFERROR(__xludf.DUMMYFUNCTION("""COMPUTED_VALUE"""),"BLACK")</f>
        <v>BLACK</v>
      </c>
      <c r="G2718" s="20" t="str">
        <f>IFERROR(__xludf.DUMMYFUNCTION("""COMPUTED_VALUE"""),"Uncle Sams Cider (11/12/2021) 02")</f>
        <v>Uncle Sams Cider (11/12/2021) 02</v>
      </c>
      <c r="H2718" s="19"/>
    </row>
    <row r="2719">
      <c r="A2719" s="9"/>
      <c r="B2719" s="15"/>
      <c r="C2719" s="9">
        <f>IFERROR(__xludf.DUMMYFUNCTION("""COMPUTED_VALUE"""),44577.1798181134)</f>
        <v>44577.17982</v>
      </c>
      <c r="D2719" s="15">
        <f>IFERROR(__xludf.DUMMYFUNCTION("""COMPUTED_VALUE"""),1.007)</f>
        <v>1.007</v>
      </c>
      <c r="E2719" s="16">
        <f>IFERROR(__xludf.DUMMYFUNCTION("""COMPUTED_VALUE"""),65.0)</f>
        <v>65</v>
      </c>
      <c r="F2719" s="19" t="str">
        <f>IFERROR(__xludf.DUMMYFUNCTION("""COMPUTED_VALUE"""),"BLACK")</f>
        <v>BLACK</v>
      </c>
      <c r="G2719" s="20" t="str">
        <f>IFERROR(__xludf.DUMMYFUNCTION("""COMPUTED_VALUE"""),"Uncle Sams Cider (11/12/2021) 02")</f>
        <v>Uncle Sams Cider (11/12/2021) 02</v>
      </c>
      <c r="H2719" s="19"/>
    </row>
    <row r="2720">
      <c r="A2720" s="9"/>
      <c r="B2720" s="15"/>
      <c r="C2720" s="9">
        <f>IFERROR(__xludf.DUMMYFUNCTION("""COMPUTED_VALUE"""),44577.1693962499)</f>
        <v>44577.1694</v>
      </c>
      <c r="D2720" s="15">
        <f>IFERROR(__xludf.DUMMYFUNCTION("""COMPUTED_VALUE"""),1.007)</f>
        <v>1.007</v>
      </c>
      <c r="E2720" s="16">
        <f>IFERROR(__xludf.DUMMYFUNCTION("""COMPUTED_VALUE"""),65.0)</f>
        <v>65</v>
      </c>
      <c r="F2720" s="19" t="str">
        <f>IFERROR(__xludf.DUMMYFUNCTION("""COMPUTED_VALUE"""),"BLACK")</f>
        <v>BLACK</v>
      </c>
      <c r="G2720" s="20" t="str">
        <f>IFERROR(__xludf.DUMMYFUNCTION("""COMPUTED_VALUE"""),"Uncle Sams Cider (11/12/2021) 02")</f>
        <v>Uncle Sams Cider (11/12/2021) 02</v>
      </c>
      <c r="H2720" s="19"/>
    </row>
    <row r="2721">
      <c r="A2721" s="9"/>
      <c r="B2721" s="15"/>
      <c r="C2721" s="9">
        <f>IFERROR(__xludf.DUMMYFUNCTION("""COMPUTED_VALUE"""),44577.1589637037)</f>
        <v>44577.15896</v>
      </c>
      <c r="D2721" s="15">
        <f>IFERROR(__xludf.DUMMYFUNCTION("""COMPUTED_VALUE"""),1.007)</f>
        <v>1.007</v>
      </c>
      <c r="E2721" s="16">
        <f>IFERROR(__xludf.DUMMYFUNCTION("""COMPUTED_VALUE"""),65.0)</f>
        <v>65</v>
      </c>
      <c r="F2721" s="19" t="str">
        <f>IFERROR(__xludf.DUMMYFUNCTION("""COMPUTED_VALUE"""),"BLACK")</f>
        <v>BLACK</v>
      </c>
      <c r="G2721" s="20" t="str">
        <f>IFERROR(__xludf.DUMMYFUNCTION("""COMPUTED_VALUE"""),"Uncle Sams Cider (11/12/2021) 02")</f>
        <v>Uncle Sams Cider (11/12/2021) 02</v>
      </c>
      <c r="H2721" s="19"/>
    </row>
    <row r="2722">
      <c r="A2722" s="9"/>
      <c r="B2722" s="15"/>
      <c r="C2722" s="9">
        <f>IFERROR(__xludf.DUMMYFUNCTION("""COMPUTED_VALUE"""),44577.1485406828)</f>
        <v>44577.14854</v>
      </c>
      <c r="D2722" s="15">
        <f>IFERROR(__xludf.DUMMYFUNCTION("""COMPUTED_VALUE"""),1.007)</f>
        <v>1.007</v>
      </c>
      <c r="E2722" s="16">
        <f>IFERROR(__xludf.DUMMYFUNCTION("""COMPUTED_VALUE"""),65.0)</f>
        <v>65</v>
      </c>
      <c r="F2722" s="19" t="str">
        <f>IFERROR(__xludf.DUMMYFUNCTION("""COMPUTED_VALUE"""),"BLACK")</f>
        <v>BLACK</v>
      </c>
      <c r="G2722" s="20" t="str">
        <f>IFERROR(__xludf.DUMMYFUNCTION("""COMPUTED_VALUE"""),"Uncle Sams Cider (11/12/2021) 02")</f>
        <v>Uncle Sams Cider (11/12/2021) 02</v>
      </c>
      <c r="H2722" s="19"/>
    </row>
    <row r="2723">
      <c r="A2723" s="9"/>
      <c r="B2723" s="15"/>
      <c r="C2723" s="9">
        <f>IFERROR(__xludf.DUMMYFUNCTION("""COMPUTED_VALUE"""),44577.1381200578)</f>
        <v>44577.13812</v>
      </c>
      <c r="D2723" s="15">
        <f>IFERROR(__xludf.DUMMYFUNCTION("""COMPUTED_VALUE"""),1.007)</f>
        <v>1.007</v>
      </c>
      <c r="E2723" s="16">
        <f>IFERROR(__xludf.DUMMYFUNCTION("""COMPUTED_VALUE"""),65.0)</f>
        <v>65</v>
      </c>
      <c r="F2723" s="19" t="str">
        <f>IFERROR(__xludf.DUMMYFUNCTION("""COMPUTED_VALUE"""),"BLACK")</f>
        <v>BLACK</v>
      </c>
      <c r="G2723" s="20" t="str">
        <f>IFERROR(__xludf.DUMMYFUNCTION("""COMPUTED_VALUE"""),"Uncle Sams Cider (11/12/2021) 02")</f>
        <v>Uncle Sams Cider (11/12/2021) 02</v>
      </c>
      <c r="H2723" s="19"/>
    </row>
    <row r="2724">
      <c r="A2724" s="9"/>
      <c r="B2724" s="15"/>
      <c r="C2724" s="9">
        <f>IFERROR(__xludf.DUMMYFUNCTION("""COMPUTED_VALUE"""),44577.1276863773)</f>
        <v>44577.12769</v>
      </c>
      <c r="D2724" s="15">
        <f>IFERROR(__xludf.DUMMYFUNCTION("""COMPUTED_VALUE"""),1.007)</f>
        <v>1.007</v>
      </c>
      <c r="E2724" s="16">
        <f>IFERROR(__xludf.DUMMYFUNCTION("""COMPUTED_VALUE"""),65.0)</f>
        <v>65</v>
      </c>
      <c r="F2724" s="19" t="str">
        <f>IFERROR(__xludf.DUMMYFUNCTION("""COMPUTED_VALUE"""),"BLACK")</f>
        <v>BLACK</v>
      </c>
      <c r="G2724" s="20" t="str">
        <f>IFERROR(__xludf.DUMMYFUNCTION("""COMPUTED_VALUE"""),"Uncle Sams Cider (11/12/2021) 02")</f>
        <v>Uncle Sams Cider (11/12/2021) 02</v>
      </c>
      <c r="H2724" s="19"/>
    </row>
    <row r="2725">
      <c r="A2725" s="9"/>
      <c r="B2725" s="15"/>
      <c r="C2725" s="9">
        <f>IFERROR(__xludf.DUMMYFUNCTION("""COMPUTED_VALUE"""),44577.1172653703)</f>
        <v>44577.11727</v>
      </c>
      <c r="D2725" s="15">
        <f>IFERROR(__xludf.DUMMYFUNCTION("""COMPUTED_VALUE"""),1.007)</f>
        <v>1.007</v>
      </c>
      <c r="E2725" s="16">
        <f>IFERROR(__xludf.DUMMYFUNCTION("""COMPUTED_VALUE"""),65.0)</f>
        <v>65</v>
      </c>
      <c r="F2725" s="19" t="str">
        <f>IFERROR(__xludf.DUMMYFUNCTION("""COMPUTED_VALUE"""),"BLACK")</f>
        <v>BLACK</v>
      </c>
      <c r="G2725" s="20" t="str">
        <f>IFERROR(__xludf.DUMMYFUNCTION("""COMPUTED_VALUE"""),"Uncle Sams Cider (11/12/2021) 02")</f>
        <v>Uncle Sams Cider (11/12/2021) 02</v>
      </c>
      <c r="H2725" s="19"/>
    </row>
    <row r="2726">
      <c r="A2726" s="9"/>
      <c r="B2726" s="15"/>
      <c r="C2726" s="9">
        <f>IFERROR(__xludf.DUMMYFUNCTION("""COMPUTED_VALUE"""),44577.1068208564)</f>
        <v>44577.10682</v>
      </c>
      <c r="D2726" s="15">
        <f>IFERROR(__xludf.DUMMYFUNCTION("""COMPUTED_VALUE"""),1.007)</f>
        <v>1.007</v>
      </c>
      <c r="E2726" s="16">
        <f>IFERROR(__xludf.DUMMYFUNCTION("""COMPUTED_VALUE"""),65.0)</f>
        <v>65</v>
      </c>
      <c r="F2726" s="19" t="str">
        <f>IFERROR(__xludf.DUMMYFUNCTION("""COMPUTED_VALUE"""),"BLACK")</f>
        <v>BLACK</v>
      </c>
      <c r="G2726" s="20" t="str">
        <f>IFERROR(__xludf.DUMMYFUNCTION("""COMPUTED_VALUE"""),"Uncle Sams Cider (11/12/2021) 02")</f>
        <v>Uncle Sams Cider (11/12/2021) 02</v>
      </c>
      <c r="H2726" s="19"/>
    </row>
    <row r="2727">
      <c r="A2727" s="9"/>
      <c r="B2727" s="15"/>
      <c r="C2727" s="9">
        <f>IFERROR(__xludf.DUMMYFUNCTION("""COMPUTED_VALUE"""),44577.0963754166)</f>
        <v>44577.09638</v>
      </c>
      <c r="D2727" s="15">
        <f>IFERROR(__xludf.DUMMYFUNCTION("""COMPUTED_VALUE"""),1.007)</f>
        <v>1.007</v>
      </c>
      <c r="E2727" s="16">
        <f>IFERROR(__xludf.DUMMYFUNCTION("""COMPUTED_VALUE"""),65.0)</f>
        <v>65</v>
      </c>
      <c r="F2727" s="19" t="str">
        <f>IFERROR(__xludf.DUMMYFUNCTION("""COMPUTED_VALUE"""),"BLACK")</f>
        <v>BLACK</v>
      </c>
      <c r="G2727" s="20" t="str">
        <f>IFERROR(__xludf.DUMMYFUNCTION("""COMPUTED_VALUE"""),"Uncle Sams Cider (11/12/2021) 02")</f>
        <v>Uncle Sams Cider (11/12/2021) 02</v>
      </c>
      <c r="H2727" s="19"/>
    </row>
    <row r="2728">
      <c r="A2728" s="9"/>
      <c r="B2728" s="15"/>
      <c r="C2728" s="9">
        <f>IFERROR(__xludf.DUMMYFUNCTION("""COMPUTED_VALUE"""),44577.0859304861)</f>
        <v>44577.08593</v>
      </c>
      <c r="D2728" s="15">
        <f>IFERROR(__xludf.DUMMYFUNCTION("""COMPUTED_VALUE"""),1.007)</f>
        <v>1.007</v>
      </c>
      <c r="E2728" s="16">
        <f>IFERROR(__xludf.DUMMYFUNCTION("""COMPUTED_VALUE"""),65.0)</f>
        <v>65</v>
      </c>
      <c r="F2728" s="19" t="str">
        <f>IFERROR(__xludf.DUMMYFUNCTION("""COMPUTED_VALUE"""),"BLACK")</f>
        <v>BLACK</v>
      </c>
      <c r="G2728" s="20" t="str">
        <f>IFERROR(__xludf.DUMMYFUNCTION("""COMPUTED_VALUE"""),"Uncle Sams Cider (11/12/2021) 02")</f>
        <v>Uncle Sams Cider (11/12/2021) 02</v>
      </c>
      <c r="H2728" s="19"/>
    </row>
    <row r="2729">
      <c r="A2729" s="9"/>
      <c r="B2729" s="15"/>
      <c r="C2729" s="9">
        <f>IFERROR(__xludf.DUMMYFUNCTION("""COMPUTED_VALUE"""),44577.0754967476)</f>
        <v>44577.0755</v>
      </c>
      <c r="D2729" s="15">
        <f>IFERROR(__xludf.DUMMYFUNCTION("""COMPUTED_VALUE"""),1.007)</f>
        <v>1.007</v>
      </c>
      <c r="E2729" s="16">
        <f>IFERROR(__xludf.DUMMYFUNCTION("""COMPUTED_VALUE"""),65.0)</f>
        <v>65</v>
      </c>
      <c r="F2729" s="19" t="str">
        <f>IFERROR(__xludf.DUMMYFUNCTION("""COMPUTED_VALUE"""),"BLACK")</f>
        <v>BLACK</v>
      </c>
      <c r="G2729" s="20" t="str">
        <f>IFERROR(__xludf.DUMMYFUNCTION("""COMPUTED_VALUE"""),"Uncle Sams Cider (11/12/2021) 02")</f>
        <v>Uncle Sams Cider (11/12/2021) 02</v>
      </c>
      <c r="H2729" s="19"/>
    </row>
    <row r="2730">
      <c r="A2730" s="9"/>
      <c r="B2730" s="15"/>
      <c r="C2730" s="9">
        <f>IFERROR(__xludf.DUMMYFUNCTION("""COMPUTED_VALUE"""),44577.0650763657)</f>
        <v>44577.06508</v>
      </c>
      <c r="D2730" s="15">
        <f>IFERROR(__xludf.DUMMYFUNCTION("""COMPUTED_VALUE"""),1.007)</f>
        <v>1.007</v>
      </c>
      <c r="E2730" s="16">
        <f>IFERROR(__xludf.DUMMYFUNCTION("""COMPUTED_VALUE"""),65.0)</f>
        <v>65</v>
      </c>
      <c r="F2730" s="19" t="str">
        <f>IFERROR(__xludf.DUMMYFUNCTION("""COMPUTED_VALUE"""),"BLACK")</f>
        <v>BLACK</v>
      </c>
      <c r="G2730" s="20" t="str">
        <f>IFERROR(__xludf.DUMMYFUNCTION("""COMPUTED_VALUE"""),"Uncle Sams Cider (11/12/2021) 02")</f>
        <v>Uncle Sams Cider (11/12/2021) 02</v>
      </c>
      <c r="H2730" s="19"/>
    </row>
    <row r="2731">
      <c r="A2731" s="9"/>
      <c r="B2731" s="15"/>
      <c r="C2731" s="9">
        <f>IFERROR(__xludf.DUMMYFUNCTION("""COMPUTED_VALUE"""),44577.0546543634)</f>
        <v>44577.05465</v>
      </c>
      <c r="D2731" s="15">
        <f>IFERROR(__xludf.DUMMYFUNCTION("""COMPUTED_VALUE"""),1.007)</f>
        <v>1.007</v>
      </c>
      <c r="E2731" s="16">
        <f>IFERROR(__xludf.DUMMYFUNCTION("""COMPUTED_VALUE"""),65.0)</f>
        <v>65</v>
      </c>
      <c r="F2731" s="19" t="str">
        <f>IFERROR(__xludf.DUMMYFUNCTION("""COMPUTED_VALUE"""),"BLACK")</f>
        <v>BLACK</v>
      </c>
      <c r="G2731" s="20" t="str">
        <f>IFERROR(__xludf.DUMMYFUNCTION("""COMPUTED_VALUE"""),"Uncle Sams Cider (11/12/2021) 02")</f>
        <v>Uncle Sams Cider (11/12/2021) 02</v>
      </c>
      <c r="H2731" s="19"/>
    </row>
    <row r="2732">
      <c r="A2732" s="9"/>
      <c r="B2732" s="15"/>
      <c r="C2732" s="9">
        <f>IFERROR(__xludf.DUMMYFUNCTION("""COMPUTED_VALUE"""),44577.0442335532)</f>
        <v>44577.04423</v>
      </c>
      <c r="D2732" s="15">
        <f>IFERROR(__xludf.DUMMYFUNCTION("""COMPUTED_VALUE"""),1.007)</f>
        <v>1.007</v>
      </c>
      <c r="E2732" s="16">
        <f>IFERROR(__xludf.DUMMYFUNCTION("""COMPUTED_VALUE"""),65.0)</f>
        <v>65</v>
      </c>
      <c r="F2732" s="19" t="str">
        <f>IFERROR(__xludf.DUMMYFUNCTION("""COMPUTED_VALUE"""),"BLACK")</f>
        <v>BLACK</v>
      </c>
      <c r="G2732" s="20" t="str">
        <f>IFERROR(__xludf.DUMMYFUNCTION("""COMPUTED_VALUE"""),"Uncle Sams Cider (11/12/2021) 02")</f>
        <v>Uncle Sams Cider (11/12/2021) 02</v>
      </c>
      <c r="H2732" s="19"/>
    </row>
    <row r="2733">
      <c r="A2733" s="9"/>
      <c r="B2733" s="15"/>
      <c r="C2733" s="9">
        <f>IFERROR(__xludf.DUMMYFUNCTION("""COMPUTED_VALUE"""),44577.033812199)</f>
        <v>44577.03381</v>
      </c>
      <c r="D2733" s="15">
        <f>IFERROR(__xludf.DUMMYFUNCTION("""COMPUTED_VALUE"""),1.007)</f>
        <v>1.007</v>
      </c>
      <c r="E2733" s="16">
        <f>IFERROR(__xludf.DUMMYFUNCTION("""COMPUTED_VALUE"""),65.0)</f>
        <v>65</v>
      </c>
      <c r="F2733" s="19" t="str">
        <f>IFERROR(__xludf.DUMMYFUNCTION("""COMPUTED_VALUE"""),"BLACK")</f>
        <v>BLACK</v>
      </c>
      <c r="G2733" s="20" t="str">
        <f>IFERROR(__xludf.DUMMYFUNCTION("""COMPUTED_VALUE"""),"Uncle Sams Cider (11/12/2021) 02")</f>
        <v>Uncle Sams Cider (11/12/2021) 02</v>
      </c>
      <c r="H2733" s="19"/>
    </row>
    <row r="2734">
      <c r="A2734" s="9"/>
      <c r="B2734" s="15"/>
      <c r="C2734" s="9">
        <f>IFERROR(__xludf.DUMMYFUNCTION("""COMPUTED_VALUE"""),44577.0233561111)</f>
        <v>44577.02336</v>
      </c>
      <c r="D2734" s="15">
        <f>IFERROR(__xludf.DUMMYFUNCTION("""COMPUTED_VALUE"""),1.007)</f>
        <v>1.007</v>
      </c>
      <c r="E2734" s="16">
        <f>IFERROR(__xludf.DUMMYFUNCTION("""COMPUTED_VALUE"""),65.0)</f>
        <v>65</v>
      </c>
      <c r="F2734" s="19" t="str">
        <f>IFERROR(__xludf.DUMMYFUNCTION("""COMPUTED_VALUE"""),"BLACK")</f>
        <v>BLACK</v>
      </c>
      <c r="G2734" s="20" t="str">
        <f>IFERROR(__xludf.DUMMYFUNCTION("""COMPUTED_VALUE"""),"Uncle Sams Cider (11/12/2021) 02")</f>
        <v>Uncle Sams Cider (11/12/2021) 02</v>
      </c>
      <c r="H2734" s="19"/>
    </row>
    <row r="2735">
      <c r="A2735" s="9"/>
      <c r="B2735" s="15"/>
      <c r="C2735" s="9">
        <f>IFERROR(__xludf.DUMMYFUNCTION("""COMPUTED_VALUE"""),44577.0129355439)</f>
        <v>44577.01294</v>
      </c>
      <c r="D2735" s="15">
        <f>IFERROR(__xludf.DUMMYFUNCTION("""COMPUTED_VALUE"""),1.007)</f>
        <v>1.007</v>
      </c>
      <c r="E2735" s="16">
        <f>IFERROR(__xludf.DUMMYFUNCTION("""COMPUTED_VALUE"""),65.0)</f>
        <v>65</v>
      </c>
      <c r="F2735" s="19" t="str">
        <f>IFERROR(__xludf.DUMMYFUNCTION("""COMPUTED_VALUE"""),"BLACK")</f>
        <v>BLACK</v>
      </c>
      <c r="G2735" s="20" t="str">
        <f>IFERROR(__xludf.DUMMYFUNCTION("""COMPUTED_VALUE"""),"Uncle Sams Cider (11/12/2021) 02")</f>
        <v>Uncle Sams Cider (11/12/2021) 02</v>
      </c>
      <c r="H2735" s="19"/>
    </row>
    <row r="2736">
      <c r="A2736" s="9"/>
      <c r="B2736" s="15"/>
      <c r="C2736" s="9">
        <f>IFERROR(__xludf.DUMMYFUNCTION("""COMPUTED_VALUE"""),44577.002514456)</f>
        <v>44577.00251</v>
      </c>
      <c r="D2736" s="15">
        <f>IFERROR(__xludf.DUMMYFUNCTION("""COMPUTED_VALUE"""),1.007)</f>
        <v>1.007</v>
      </c>
      <c r="E2736" s="16">
        <f>IFERROR(__xludf.DUMMYFUNCTION("""COMPUTED_VALUE"""),65.0)</f>
        <v>65</v>
      </c>
      <c r="F2736" s="19" t="str">
        <f>IFERROR(__xludf.DUMMYFUNCTION("""COMPUTED_VALUE"""),"BLACK")</f>
        <v>BLACK</v>
      </c>
      <c r="G2736" s="20" t="str">
        <f>IFERROR(__xludf.DUMMYFUNCTION("""COMPUTED_VALUE"""),"Uncle Sams Cider (11/12/2021) 02")</f>
        <v>Uncle Sams Cider (11/12/2021) 02</v>
      </c>
      <c r="H2736" s="19"/>
    </row>
    <row r="2737">
      <c r="A2737" s="9"/>
      <c r="B2737" s="15"/>
      <c r="C2737" s="9">
        <f>IFERROR(__xludf.DUMMYFUNCTION("""COMPUTED_VALUE"""),44576.9920925231)</f>
        <v>44576.99209</v>
      </c>
      <c r="D2737" s="15">
        <f>IFERROR(__xludf.DUMMYFUNCTION("""COMPUTED_VALUE"""),1.007)</f>
        <v>1.007</v>
      </c>
      <c r="E2737" s="16">
        <f>IFERROR(__xludf.DUMMYFUNCTION("""COMPUTED_VALUE"""),65.0)</f>
        <v>65</v>
      </c>
      <c r="F2737" s="19" t="str">
        <f>IFERROR(__xludf.DUMMYFUNCTION("""COMPUTED_VALUE"""),"BLACK")</f>
        <v>BLACK</v>
      </c>
      <c r="G2737" s="20" t="str">
        <f>IFERROR(__xludf.DUMMYFUNCTION("""COMPUTED_VALUE"""),"Uncle Sams Cider (11/12/2021) 02")</f>
        <v>Uncle Sams Cider (11/12/2021) 02</v>
      </c>
      <c r="H2737" s="19"/>
    </row>
    <row r="2738">
      <c r="A2738" s="9"/>
      <c r="B2738" s="15"/>
      <c r="C2738" s="9">
        <f>IFERROR(__xludf.DUMMYFUNCTION("""COMPUTED_VALUE"""),44576.9816715972)</f>
        <v>44576.98167</v>
      </c>
      <c r="D2738" s="15">
        <f>IFERROR(__xludf.DUMMYFUNCTION("""COMPUTED_VALUE"""),1.007)</f>
        <v>1.007</v>
      </c>
      <c r="E2738" s="16">
        <f>IFERROR(__xludf.DUMMYFUNCTION("""COMPUTED_VALUE"""),65.0)</f>
        <v>65</v>
      </c>
      <c r="F2738" s="19" t="str">
        <f>IFERROR(__xludf.DUMMYFUNCTION("""COMPUTED_VALUE"""),"BLACK")</f>
        <v>BLACK</v>
      </c>
      <c r="G2738" s="20" t="str">
        <f>IFERROR(__xludf.DUMMYFUNCTION("""COMPUTED_VALUE"""),"Uncle Sams Cider (11/12/2021) 02")</f>
        <v>Uncle Sams Cider (11/12/2021) 02</v>
      </c>
      <c r="H2738" s="19"/>
    </row>
    <row r="2739">
      <c r="A2739" s="9"/>
      <c r="B2739" s="15"/>
      <c r="C2739" s="9">
        <f>IFERROR(__xludf.DUMMYFUNCTION("""COMPUTED_VALUE"""),44576.9712265972)</f>
        <v>44576.97123</v>
      </c>
      <c r="D2739" s="15">
        <f>IFERROR(__xludf.DUMMYFUNCTION("""COMPUTED_VALUE"""),1.007)</f>
        <v>1.007</v>
      </c>
      <c r="E2739" s="16">
        <f>IFERROR(__xludf.DUMMYFUNCTION("""COMPUTED_VALUE"""),65.0)</f>
        <v>65</v>
      </c>
      <c r="F2739" s="19" t="str">
        <f>IFERROR(__xludf.DUMMYFUNCTION("""COMPUTED_VALUE"""),"BLACK")</f>
        <v>BLACK</v>
      </c>
      <c r="G2739" s="20" t="str">
        <f>IFERROR(__xludf.DUMMYFUNCTION("""COMPUTED_VALUE"""),"Uncle Sams Cider (11/12/2021) 02")</f>
        <v>Uncle Sams Cider (11/12/2021) 02</v>
      </c>
      <c r="H2739" s="19"/>
    </row>
    <row r="2740">
      <c r="A2740" s="9"/>
      <c r="B2740" s="15"/>
      <c r="C2740" s="9">
        <f>IFERROR(__xludf.DUMMYFUNCTION("""COMPUTED_VALUE"""),44576.9608078009)</f>
        <v>44576.96081</v>
      </c>
      <c r="D2740" s="15">
        <f>IFERROR(__xludf.DUMMYFUNCTION("""COMPUTED_VALUE"""),1.007)</f>
        <v>1.007</v>
      </c>
      <c r="E2740" s="16">
        <f>IFERROR(__xludf.DUMMYFUNCTION("""COMPUTED_VALUE"""),65.0)</f>
        <v>65</v>
      </c>
      <c r="F2740" s="19" t="str">
        <f>IFERROR(__xludf.DUMMYFUNCTION("""COMPUTED_VALUE"""),"BLACK")</f>
        <v>BLACK</v>
      </c>
      <c r="G2740" s="20" t="str">
        <f>IFERROR(__xludf.DUMMYFUNCTION("""COMPUTED_VALUE"""),"Uncle Sams Cider (11/12/2021) 02")</f>
        <v>Uncle Sams Cider (11/12/2021) 02</v>
      </c>
      <c r="H2740" s="19"/>
    </row>
    <row r="2741">
      <c r="A2741" s="9"/>
      <c r="B2741" s="15"/>
      <c r="C2741" s="9">
        <f>IFERROR(__xludf.DUMMYFUNCTION("""COMPUTED_VALUE"""),44576.9503639351)</f>
        <v>44576.95036</v>
      </c>
      <c r="D2741" s="15">
        <f>IFERROR(__xludf.DUMMYFUNCTION("""COMPUTED_VALUE"""),1.007)</f>
        <v>1.007</v>
      </c>
      <c r="E2741" s="16">
        <f>IFERROR(__xludf.DUMMYFUNCTION("""COMPUTED_VALUE"""),65.0)</f>
        <v>65</v>
      </c>
      <c r="F2741" s="19" t="str">
        <f>IFERROR(__xludf.DUMMYFUNCTION("""COMPUTED_VALUE"""),"BLACK")</f>
        <v>BLACK</v>
      </c>
      <c r="G2741" s="20" t="str">
        <f>IFERROR(__xludf.DUMMYFUNCTION("""COMPUTED_VALUE"""),"Uncle Sams Cider (11/12/2021) 02")</f>
        <v>Uncle Sams Cider (11/12/2021) 02</v>
      </c>
      <c r="H2741" s="19"/>
    </row>
    <row r="2742">
      <c r="A2742" s="9"/>
      <c r="B2742" s="15"/>
      <c r="C2742" s="9">
        <f>IFERROR(__xludf.DUMMYFUNCTION("""COMPUTED_VALUE"""),44576.9399424305)</f>
        <v>44576.93994</v>
      </c>
      <c r="D2742" s="15">
        <f>IFERROR(__xludf.DUMMYFUNCTION("""COMPUTED_VALUE"""),1.007)</f>
        <v>1.007</v>
      </c>
      <c r="E2742" s="16">
        <f>IFERROR(__xludf.DUMMYFUNCTION("""COMPUTED_VALUE"""),66.0)</f>
        <v>66</v>
      </c>
      <c r="F2742" s="19" t="str">
        <f>IFERROR(__xludf.DUMMYFUNCTION("""COMPUTED_VALUE"""),"BLACK")</f>
        <v>BLACK</v>
      </c>
      <c r="G2742" s="20" t="str">
        <f>IFERROR(__xludf.DUMMYFUNCTION("""COMPUTED_VALUE"""),"Uncle Sams Cider (11/12/2021) 02")</f>
        <v>Uncle Sams Cider (11/12/2021) 02</v>
      </c>
      <c r="H2742" s="19"/>
    </row>
    <row r="2743">
      <c r="A2743" s="9"/>
      <c r="B2743" s="15"/>
      <c r="C2743" s="9">
        <f>IFERROR(__xludf.DUMMYFUNCTION("""COMPUTED_VALUE"""),44576.929509456)</f>
        <v>44576.92951</v>
      </c>
      <c r="D2743" s="15">
        <f>IFERROR(__xludf.DUMMYFUNCTION("""COMPUTED_VALUE"""),1.007)</f>
        <v>1.007</v>
      </c>
      <c r="E2743" s="16">
        <f>IFERROR(__xludf.DUMMYFUNCTION("""COMPUTED_VALUE"""),66.0)</f>
        <v>66</v>
      </c>
      <c r="F2743" s="19" t="str">
        <f>IFERROR(__xludf.DUMMYFUNCTION("""COMPUTED_VALUE"""),"BLACK")</f>
        <v>BLACK</v>
      </c>
      <c r="G2743" s="20" t="str">
        <f>IFERROR(__xludf.DUMMYFUNCTION("""COMPUTED_VALUE"""),"Uncle Sams Cider (11/12/2021) 02")</f>
        <v>Uncle Sams Cider (11/12/2021) 02</v>
      </c>
      <c r="H2743" s="19"/>
    </row>
    <row r="2744">
      <c r="A2744" s="9"/>
      <c r="B2744" s="15"/>
      <c r="C2744" s="9">
        <f>IFERROR(__xludf.DUMMYFUNCTION("""COMPUTED_VALUE"""),44576.9190878125)</f>
        <v>44576.91909</v>
      </c>
      <c r="D2744" s="15">
        <f>IFERROR(__xludf.DUMMYFUNCTION("""COMPUTED_VALUE"""),1.007)</f>
        <v>1.007</v>
      </c>
      <c r="E2744" s="16">
        <f>IFERROR(__xludf.DUMMYFUNCTION("""COMPUTED_VALUE"""),66.0)</f>
        <v>66</v>
      </c>
      <c r="F2744" s="19" t="str">
        <f>IFERROR(__xludf.DUMMYFUNCTION("""COMPUTED_VALUE"""),"BLACK")</f>
        <v>BLACK</v>
      </c>
      <c r="G2744" s="20" t="str">
        <f>IFERROR(__xludf.DUMMYFUNCTION("""COMPUTED_VALUE"""),"Uncle Sams Cider (11/12/2021) 02")</f>
        <v>Uncle Sams Cider (11/12/2021) 02</v>
      </c>
      <c r="H2744" s="19"/>
    </row>
    <row r="2745">
      <c r="A2745" s="9"/>
      <c r="B2745" s="15"/>
      <c r="C2745" s="9">
        <f>IFERROR(__xludf.DUMMYFUNCTION("""COMPUTED_VALUE"""),44576.9086554166)</f>
        <v>44576.90866</v>
      </c>
      <c r="D2745" s="15">
        <f>IFERROR(__xludf.DUMMYFUNCTION("""COMPUTED_VALUE"""),1.007)</f>
        <v>1.007</v>
      </c>
      <c r="E2745" s="16">
        <f>IFERROR(__xludf.DUMMYFUNCTION("""COMPUTED_VALUE"""),66.0)</f>
        <v>66</v>
      </c>
      <c r="F2745" s="19" t="str">
        <f>IFERROR(__xludf.DUMMYFUNCTION("""COMPUTED_VALUE"""),"BLACK")</f>
        <v>BLACK</v>
      </c>
      <c r="G2745" s="20" t="str">
        <f>IFERROR(__xludf.DUMMYFUNCTION("""COMPUTED_VALUE"""),"Uncle Sams Cider (11/12/2021) 02")</f>
        <v>Uncle Sams Cider (11/12/2021) 02</v>
      </c>
      <c r="H2745" s="19"/>
    </row>
    <row r="2746">
      <c r="A2746" s="9"/>
      <c r="B2746" s="15"/>
      <c r="C2746" s="9">
        <f>IFERROR(__xludf.DUMMYFUNCTION("""COMPUTED_VALUE"""),44576.898232662)</f>
        <v>44576.89823</v>
      </c>
      <c r="D2746" s="15">
        <f>IFERROR(__xludf.DUMMYFUNCTION("""COMPUTED_VALUE"""),1.007)</f>
        <v>1.007</v>
      </c>
      <c r="E2746" s="16">
        <f>IFERROR(__xludf.DUMMYFUNCTION("""COMPUTED_VALUE"""),66.0)</f>
        <v>66</v>
      </c>
      <c r="F2746" s="19" t="str">
        <f>IFERROR(__xludf.DUMMYFUNCTION("""COMPUTED_VALUE"""),"BLACK")</f>
        <v>BLACK</v>
      </c>
      <c r="G2746" s="20" t="str">
        <f>IFERROR(__xludf.DUMMYFUNCTION("""COMPUTED_VALUE"""),"Uncle Sams Cider (11/12/2021) 02")</f>
        <v>Uncle Sams Cider (11/12/2021) 02</v>
      </c>
      <c r="H2746" s="19"/>
    </row>
    <row r="2747">
      <c r="A2747" s="9"/>
      <c r="B2747" s="15"/>
      <c r="C2747" s="9">
        <f>IFERROR(__xludf.DUMMYFUNCTION("""COMPUTED_VALUE"""),44576.8878106134)</f>
        <v>44576.88781</v>
      </c>
      <c r="D2747" s="15">
        <f>IFERROR(__xludf.DUMMYFUNCTION("""COMPUTED_VALUE"""),1.007)</f>
        <v>1.007</v>
      </c>
      <c r="E2747" s="16">
        <f>IFERROR(__xludf.DUMMYFUNCTION("""COMPUTED_VALUE"""),66.0)</f>
        <v>66</v>
      </c>
      <c r="F2747" s="19" t="str">
        <f>IFERROR(__xludf.DUMMYFUNCTION("""COMPUTED_VALUE"""),"BLACK")</f>
        <v>BLACK</v>
      </c>
      <c r="G2747" s="20" t="str">
        <f>IFERROR(__xludf.DUMMYFUNCTION("""COMPUTED_VALUE"""),"Uncle Sams Cider (11/12/2021) 02")</f>
        <v>Uncle Sams Cider (11/12/2021) 02</v>
      </c>
      <c r="H2747" s="19"/>
    </row>
    <row r="2748">
      <c r="A2748" s="9"/>
      <c r="B2748" s="15"/>
      <c r="C2748" s="9">
        <f>IFERROR(__xludf.DUMMYFUNCTION("""COMPUTED_VALUE"""),44576.8773799305)</f>
        <v>44576.87738</v>
      </c>
      <c r="D2748" s="15">
        <f>IFERROR(__xludf.DUMMYFUNCTION("""COMPUTED_VALUE"""),1.007)</f>
        <v>1.007</v>
      </c>
      <c r="E2748" s="16">
        <f>IFERROR(__xludf.DUMMYFUNCTION("""COMPUTED_VALUE"""),66.0)</f>
        <v>66</v>
      </c>
      <c r="F2748" s="19" t="str">
        <f>IFERROR(__xludf.DUMMYFUNCTION("""COMPUTED_VALUE"""),"BLACK")</f>
        <v>BLACK</v>
      </c>
      <c r="G2748" s="20" t="str">
        <f>IFERROR(__xludf.DUMMYFUNCTION("""COMPUTED_VALUE"""),"Uncle Sams Cider (11/12/2021) 02")</f>
        <v>Uncle Sams Cider (11/12/2021) 02</v>
      </c>
      <c r="H2748" s="19"/>
    </row>
    <row r="2749">
      <c r="A2749" s="9"/>
      <c r="B2749" s="15"/>
      <c r="C2749" s="9">
        <f>IFERROR(__xludf.DUMMYFUNCTION("""COMPUTED_VALUE"""),44576.8668887268)</f>
        <v>44576.86689</v>
      </c>
      <c r="D2749" s="15">
        <f>IFERROR(__xludf.DUMMYFUNCTION("""COMPUTED_VALUE"""),1.007)</f>
        <v>1.007</v>
      </c>
      <c r="E2749" s="16">
        <f>IFERROR(__xludf.DUMMYFUNCTION("""COMPUTED_VALUE"""),66.0)</f>
        <v>66</v>
      </c>
      <c r="F2749" s="19" t="str">
        <f>IFERROR(__xludf.DUMMYFUNCTION("""COMPUTED_VALUE"""),"BLACK")</f>
        <v>BLACK</v>
      </c>
      <c r="G2749" s="20" t="str">
        <f>IFERROR(__xludf.DUMMYFUNCTION("""COMPUTED_VALUE"""),"Uncle Sams Cider (11/12/2021) 02")</f>
        <v>Uncle Sams Cider (11/12/2021) 02</v>
      </c>
      <c r="H2749" s="19"/>
    </row>
    <row r="2750">
      <c r="A2750" s="9"/>
      <c r="B2750" s="15"/>
      <c r="C2750" s="9">
        <f>IFERROR(__xludf.DUMMYFUNCTION("""COMPUTED_VALUE"""),44576.856467905)</f>
        <v>44576.85647</v>
      </c>
      <c r="D2750" s="15">
        <f>IFERROR(__xludf.DUMMYFUNCTION("""COMPUTED_VALUE"""),1.007)</f>
        <v>1.007</v>
      </c>
      <c r="E2750" s="16">
        <f>IFERROR(__xludf.DUMMYFUNCTION("""COMPUTED_VALUE"""),66.0)</f>
        <v>66</v>
      </c>
      <c r="F2750" s="19" t="str">
        <f>IFERROR(__xludf.DUMMYFUNCTION("""COMPUTED_VALUE"""),"BLACK")</f>
        <v>BLACK</v>
      </c>
      <c r="G2750" s="20" t="str">
        <f>IFERROR(__xludf.DUMMYFUNCTION("""COMPUTED_VALUE"""),"Uncle Sams Cider (11/12/2021) 02")</f>
        <v>Uncle Sams Cider (11/12/2021) 02</v>
      </c>
      <c r="H2750" s="19"/>
    </row>
    <row r="2751">
      <c r="A2751" s="9"/>
      <c r="B2751" s="15"/>
      <c r="C2751" s="9">
        <f>IFERROR(__xludf.DUMMYFUNCTION("""COMPUTED_VALUE"""),44576.8460461458)</f>
        <v>44576.84605</v>
      </c>
      <c r="D2751" s="15">
        <f>IFERROR(__xludf.DUMMYFUNCTION("""COMPUTED_VALUE"""),1.007)</f>
        <v>1.007</v>
      </c>
      <c r="E2751" s="16">
        <f>IFERROR(__xludf.DUMMYFUNCTION("""COMPUTED_VALUE"""),66.0)</f>
        <v>66</v>
      </c>
      <c r="F2751" s="19" t="str">
        <f>IFERROR(__xludf.DUMMYFUNCTION("""COMPUTED_VALUE"""),"BLACK")</f>
        <v>BLACK</v>
      </c>
      <c r="G2751" s="20" t="str">
        <f>IFERROR(__xludf.DUMMYFUNCTION("""COMPUTED_VALUE"""),"Uncle Sams Cider (11/12/2021) 02")</f>
        <v>Uncle Sams Cider (11/12/2021) 02</v>
      </c>
      <c r="H2751" s="19"/>
    </row>
    <row r="2752">
      <c r="A2752" s="9"/>
      <c r="B2752" s="15"/>
      <c r="C2752" s="9">
        <f>IFERROR(__xludf.DUMMYFUNCTION("""COMPUTED_VALUE"""),44576.8355901388)</f>
        <v>44576.83559</v>
      </c>
      <c r="D2752" s="15">
        <f>IFERROR(__xludf.DUMMYFUNCTION("""COMPUTED_VALUE"""),1.007)</f>
        <v>1.007</v>
      </c>
      <c r="E2752" s="16">
        <f>IFERROR(__xludf.DUMMYFUNCTION("""COMPUTED_VALUE"""),66.0)</f>
        <v>66</v>
      </c>
      <c r="F2752" s="19" t="str">
        <f>IFERROR(__xludf.DUMMYFUNCTION("""COMPUTED_VALUE"""),"BLACK")</f>
        <v>BLACK</v>
      </c>
      <c r="G2752" s="20" t="str">
        <f>IFERROR(__xludf.DUMMYFUNCTION("""COMPUTED_VALUE"""),"Uncle Sams Cider (11/12/2021) 02")</f>
        <v>Uncle Sams Cider (11/12/2021) 02</v>
      </c>
      <c r="H2752" s="19"/>
    </row>
    <row r="2753">
      <c r="A2753" s="9"/>
      <c r="B2753" s="15"/>
      <c r="C2753" s="9">
        <f>IFERROR(__xludf.DUMMYFUNCTION("""COMPUTED_VALUE"""),44576.8251595717)</f>
        <v>44576.82516</v>
      </c>
      <c r="D2753" s="15">
        <f>IFERROR(__xludf.DUMMYFUNCTION("""COMPUTED_VALUE"""),1.007)</f>
        <v>1.007</v>
      </c>
      <c r="E2753" s="16">
        <f>IFERROR(__xludf.DUMMYFUNCTION("""COMPUTED_VALUE"""),66.0)</f>
        <v>66</v>
      </c>
      <c r="F2753" s="19" t="str">
        <f>IFERROR(__xludf.DUMMYFUNCTION("""COMPUTED_VALUE"""),"BLACK")</f>
        <v>BLACK</v>
      </c>
      <c r="G2753" s="20" t="str">
        <f>IFERROR(__xludf.DUMMYFUNCTION("""COMPUTED_VALUE"""),"Uncle Sams Cider (11/12/2021) 02")</f>
        <v>Uncle Sams Cider (11/12/2021) 02</v>
      </c>
      <c r="H2753" s="19"/>
    </row>
    <row r="2754">
      <c r="A2754" s="9"/>
      <c r="B2754" s="15"/>
      <c r="C2754" s="9">
        <f>IFERROR(__xludf.DUMMYFUNCTION("""COMPUTED_VALUE"""),44576.8147256134)</f>
        <v>44576.81473</v>
      </c>
      <c r="D2754" s="15">
        <f>IFERROR(__xludf.DUMMYFUNCTION("""COMPUTED_VALUE"""),1.007)</f>
        <v>1.007</v>
      </c>
      <c r="E2754" s="16">
        <f>IFERROR(__xludf.DUMMYFUNCTION("""COMPUTED_VALUE"""),66.0)</f>
        <v>66</v>
      </c>
      <c r="F2754" s="19" t="str">
        <f>IFERROR(__xludf.DUMMYFUNCTION("""COMPUTED_VALUE"""),"BLACK")</f>
        <v>BLACK</v>
      </c>
      <c r="G2754" s="20" t="str">
        <f>IFERROR(__xludf.DUMMYFUNCTION("""COMPUTED_VALUE"""),"Uncle Sams Cider (11/12/2021) 02")</f>
        <v>Uncle Sams Cider (11/12/2021) 02</v>
      </c>
      <c r="H2754" s="19"/>
    </row>
    <row r="2755">
      <c r="A2755" s="9"/>
      <c r="B2755" s="15"/>
      <c r="C2755" s="9">
        <f>IFERROR(__xludf.DUMMYFUNCTION("""COMPUTED_VALUE"""),44576.8042693055)</f>
        <v>44576.80427</v>
      </c>
      <c r="D2755" s="15">
        <f>IFERROR(__xludf.DUMMYFUNCTION("""COMPUTED_VALUE"""),1.007)</f>
        <v>1.007</v>
      </c>
      <c r="E2755" s="16">
        <f>IFERROR(__xludf.DUMMYFUNCTION("""COMPUTED_VALUE"""),66.0)</f>
        <v>66</v>
      </c>
      <c r="F2755" s="19" t="str">
        <f>IFERROR(__xludf.DUMMYFUNCTION("""COMPUTED_VALUE"""),"BLACK")</f>
        <v>BLACK</v>
      </c>
      <c r="G2755" s="20" t="str">
        <f>IFERROR(__xludf.DUMMYFUNCTION("""COMPUTED_VALUE"""),"Uncle Sams Cider (11/12/2021) 02")</f>
        <v>Uncle Sams Cider (11/12/2021) 02</v>
      </c>
      <c r="H2755" s="19"/>
    </row>
    <row r="2756">
      <c r="A2756" s="9"/>
      <c r="B2756" s="15"/>
      <c r="C2756" s="9">
        <f>IFERROR(__xludf.DUMMYFUNCTION("""COMPUTED_VALUE"""),44576.7938364351)</f>
        <v>44576.79384</v>
      </c>
      <c r="D2756" s="15">
        <f>IFERROR(__xludf.DUMMYFUNCTION("""COMPUTED_VALUE"""),1.007)</f>
        <v>1.007</v>
      </c>
      <c r="E2756" s="16">
        <f>IFERROR(__xludf.DUMMYFUNCTION("""COMPUTED_VALUE"""),66.0)</f>
        <v>66</v>
      </c>
      <c r="F2756" s="19" t="str">
        <f>IFERROR(__xludf.DUMMYFUNCTION("""COMPUTED_VALUE"""),"BLACK")</f>
        <v>BLACK</v>
      </c>
      <c r="G2756" s="20" t="str">
        <f>IFERROR(__xludf.DUMMYFUNCTION("""COMPUTED_VALUE"""),"Uncle Sams Cider (11/12/2021) 02")</f>
        <v>Uncle Sams Cider (11/12/2021) 02</v>
      </c>
      <c r="H2756" s="19"/>
    </row>
    <row r="2757">
      <c r="A2757" s="9"/>
      <c r="B2757" s="15"/>
      <c r="C2757" s="9">
        <f>IFERROR(__xludf.DUMMYFUNCTION("""COMPUTED_VALUE"""),44576.7834037152)</f>
        <v>44576.7834</v>
      </c>
      <c r="D2757" s="15">
        <f>IFERROR(__xludf.DUMMYFUNCTION("""COMPUTED_VALUE"""),1.007)</f>
        <v>1.007</v>
      </c>
      <c r="E2757" s="16">
        <f>IFERROR(__xludf.DUMMYFUNCTION("""COMPUTED_VALUE"""),66.0)</f>
        <v>66</v>
      </c>
      <c r="F2757" s="19" t="str">
        <f>IFERROR(__xludf.DUMMYFUNCTION("""COMPUTED_VALUE"""),"BLACK")</f>
        <v>BLACK</v>
      </c>
      <c r="G2757" s="20" t="str">
        <f>IFERROR(__xludf.DUMMYFUNCTION("""COMPUTED_VALUE"""),"Uncle Sams Cider (11/12/2021) 02")</f>
        <v>Uncle Sams Cider (11/12/2021) 02</v>
      </c>
      <c r="H2757" s="19"/>
    </row>
    <row r="2758">
      <c r="A2758" s="9"/>
      <c r="B2758" s="15"/>
      <c r="C2758" s="9">
        <f>IFERROR(__xludf.DUMMYFUNCTION("""COMPUTED_VALUE"""),44576.7729826388)</f>
        <v>44576.77298</v>
      </c>
      <c r="D2758" s="15">
        <f>IFERROR(__xludf.DUMMYFUNCTION("""COMPUTED_VALUE"""),1.007)</f>
        <v>1.007</v>
      </c>
      <c r="E2758" s="16">
        <f>IFERROR(__xludf.DUMMYFUNCTION("""COMPUTED_VALUE"""),66.0)</f>
        <v>66</v>
      </c>
      <c r="F2758" s="19" t="str">
        <f>IFERROR(__xludf.DUMMYFUNCTION("""COMPUTED_VALUE"""),"BLACK")</f>
        <v>BLACK</v>
      </c>
      <c r="G2758" s="20" t="str">
        <f>IFERROR(__xludf.DUMMYFUNCTION("""COMPUTED_VALUE"""),"Uncle Sams Cider (11/12/2021) 02")</f>
        <v>Uncle Sams Cider (11/12/2021) 02</v>
      </c>
      <c r="H2758" s="19"/>
    </row>
    <row r="2759">
      <c r="A2759" s="9"/>
      <c r="B2759" s="15"/>
      <c r="C2759" s="9">
        <f>IFERROR(__xludf.DUMMYFUNCTION("""COMPUTED_VALUE"""),44576.7625617013)</f>
        <v>44576.76256</v>
      </c>
      <c r="D2759" s="15">
        <f>IFERROR(__xludf.DUMMYFUNCTION("""COMPUTED_VALUE"""),1.007)</f>
        <v>1.007</v>
      </c>
      <c r="E2759" s="16">
        <f>IFERROR(__xludf.DUMMYFUNCTION("""COMPUTED_VALUE"""),66.0)</f>
        <v>66</v>
      </c>
      <c r="F2759" s="19" t="str">
        <f>IFERROR(__xludf.DUMMYFUNCTION("""COMPUTED_VALUE"""),"BLACK")</f>
        <v>BLACK</v>
      </c>
      <c r="G2759" s="20" t="str">
        <f>IFERROR(__xludf.DUMMYFUNCTION("""COMPUTED_VALUE"""),"Uncle Sams Cider (11/12/2021) 02")</f>
        <v>Uncle Sams Cider (11/12/2021) 02</v>
      </c>
      <c r="H2759" s="19"/>
    </row>
    <row r="2760">
      <c r="A2760" s="9"/>
      <c r="B2760" s="15"/>
      <c r="C2760" s="9">
        <f>IFERROR(__xludf.DUMMYFUNCTION("""COMPUTED_VALUE"""),44576.752117824)</f>
        <v>44576.75212</v>
      </c>
      <c r="D2760" s="15">
        <f>IFERROR(__xludf.DUMMYFUNCTION("""COMPUTED_VALUE"""),1.007)</f>
        <v>1.007</v>
      </c>
      <c r="E2760" s="16">
        <f>IFERROR(__xludf.DUMMYFUNCTION("""COMPUTED_VALUE"""),66.0)</f>
        <v>66</v>
      </c>
      <c r="F2760" s="19" t="str">
        <f>IFERROR(__xludf.DUMMYFUNCTION("""COMPUTED_VALUE"""),"BLACK")</f>
        <v>BLACK</v>
      </c>
      <c r="G2760" s="20" t="str">
        <f>IFERROR(__xludf.DUMMYFUNCTION("""COMPUTED_VALUE"""),"Uncle Sams Cider (11/12/2021) 02")</f>
        <v>Uncle Sams Cider (11/12/2021) 02</v>
      </c>
      <c r="H2760" s="19"/>
    </row>
    <row r="2761">
      <c r="A2761" s="9"/>
      <c r="B2761" s="15"/>
      <c r="C2761" s="9">
        <f>IFERROR(__xludf.DUMMYFUNCTION("""COMPUTED_VALUE"""),44576.74169603)</f>
        <v>44576.7417</v>
      </c>
      <c r="D2761" s="15">
        <f>IFERROR(__xludf.DUMMYFUNCTION("""COMPUTED_VALUE"""),1.007)</f>
        <v>1.007</v>
      </c>
      <c r="E2761" s="16">
        <f>IFERROR(__xludf.DUMMYFUNCTION("""COMPUTED_VALUE"""),66.0)</f>
        <v>66</v>
      </c>
      <c r="F2761" s="19" t="str">
        <f>IFERROR(__xludf.DUMMYFUNCTION("""COMPUTED_VALUE"""),"BLACK")</f>
        <v>BLACK</v>
      </c>
      <c r="G2761" s="20" t="str">
        <f>IFERROR(__xludf.DUMMYFUNCTION("""COMPUTED_VALUE"""),"Uncle Sams Cider (11/12/2021) 02")</f>
        <v>Uncle Sams Cider (11/12/2021) 02</v>
      </c>
      <c r="H2761" s="19"/>
    </row>
    <row r="2762">
      <c r="A2762" s="9"/>
      <c r="B2762" s="15"/>
      <c r="C2762" s="9">
        <f>IFERROR(__xludf.DUMMYFUNCTION("""COMPUTED_VALUE"""),44576.731262199)</f>
        <v>44576.73126</v>
      </c>
      <c r="D2762" s="15">
        <f>IFERROR(__xludf.DUMMYFUNCTION("""COMPUTED_VALUE"""),1.007)</f>
        <v>1.007</v>
      </c>
      <c r="E2762" s="16">
        <f>IFERROR(__xludf.DUMMYFUNCTION("""COMPUTED_VALUE"""),66.0)</f>
        <v>66</v>
      </c>
      <c r="F2762" s="19" t="str">
        <f>IFERROR(__xludf.DUMMYFUNCTION("""COMPUTED_VALUE"""),"BLACK")</f>
        <v>BLACK</v>
      </c>
      <c r="G2762" s="20" t="str">
        <f>IFERROR(__xludf.DUMMYFUNCTION("""COMPUTED_VALUE"""),"Uncle Sams Cider (11/12/2021) 02")</f>
        <v>Uncle Sams Cider (11/12/2021) 02</v>
      </c>
      <c r="H2762" s="19"/>
    </row>
    <row r="2763">
      <c r="A2763" s="9"/>
      <c r="B2763" s="15"/>
      <c r="C2763" s="9">
        <f>IFERROR(__xludf.DUMMYFUNCTION("""COMPUTED_VALUE"""),44576.7208396064)</f>
        <v>44576.72084</v>
      </c>
      <c r="D2763" s="15">
        <f>IFERROR(__xludf.DUMMYFUNCTION("""COMPUTED_VALUE"""),1.007)</f>
        <v>1.007</v>
      </c>
      <c r="E2763" s="16">
        <f>IFERROR(__xludf.DUMMYFUNCTION("""COMPUTED_VALUE"""),66.0)</f>
        <v>66</v>
      </c>
      <c r="F2763" s="19" t="str">
        <f>IFERROR(__xludf.DUMMYFUNCTION("""COMPUTED_VALUE"""),"BLACK")</f>
        <v>BLACK</v>
      </c>
      <c r="G2763" s="20" t="str">
        <f>IFERROR(__xludf.DUMMYFUNCTION("""COMPUTED_VALUE"""),"Uncle Sams Cider (11/12/2021) 02")</f>
        <v>Uncle Sams Cider (11/12/2021) 02</v>
      </c>
      <c r="H2763" s="19"/>
    </row>
    <row r="2764">
      <c r="A2764" s="9"/>
      <c r="B2764" s="15"/>
      <c r="C2764" s="9">
        <f>IFERROR(__xludf.DUMMYFUNCTION("""COMPUTED_VALUE"""),44576.7104059375)</f>
        <v>44576.71041</v>
      </c>
      <c r="D2764" s="15">
        <f>IFERROR(__xludf.DUMMYFUNCTION("""COMPUTED_VALUE"""),1.007)</f>
        <v>1.007</v>
      </c>
      <c r="E2764" s="16">
        <f>IFERROR(__xludf.DUMMYFUNCTION("""COMPUTED_VALUE"""),66.0)</f>
        <v>66</v>
      </c>
      <c r="F2764" s="19" t="str">
        <f>IFERROR(__xludf.DUMMYFUNCTION("""COMPUTED_VALUE"""),"BLACK")</f>
        <v>BLACK</v>
      </c>
      <c r="G2764" s="20" t="str">
        <f>IFERROR(__xludf.DUMMYFUNCTION("""COMPUTED_VALUE"""),"Uncle Sams Cider (11/12/2021) 02")</f>
        <v>Uncle Sams Cider (11/12/2021) 02</v>
      </c>
      <c r="H2764" s="19"/>
    </row>
    <row r="2765">
      <c r="A2765" s="9"/>
      <c r="B2765" s="15"/>
      <c r="C2765" s="9">
        <f>IFERROR(__xludf.DUMMYFUNCTION("""COMPUTED_VALUE"""),44576.6999837615)</f>
        <v>44576.69998</v>
      </c>
      <c r="D2765" s="15">
        <f>IFERROR(__xludf.DUMMYFUNCTION("""COMPUTED_VALUE"""),1.007)</f>
        <v>1.007</v>
      </c>
      <c r="E2765" s="16">
        <f>IFERROR(__xludf.DUMMYFUNCTION("""COMPUTED_VALUE"""),66.0)</f>
        <v>66</v>
      </c>
      <c r="F2765" s="19" t="str">
        <f>IFERROR(__xludf.DUMMYFUNCTION("""COMPUTED_VALUE"""),"BLACK")</f>
        <v>BLACK</v>
      </c>
      <c r="G2765" s="20" t="str">
        <f>IFERROR(__xludf.DUMMYFUNCTION("""COMPUTED_VALUE"""),"Uncle Sams Cider (11/12/2021) 02")</f>
        <v>Uncle Sams Cider (11/12/2021) 02</v>
      </c>
      <c r="H2765" s="19"/>
    </row>
    <row r="2766">
      <c r="A2766" s="9"/>
      <c r="B2766" s="15"/>
      <c r="C2766" s="9">
        <f>IFERROR(__xludf.DUMMYFUNCTION("""COMPUTED_VALUE"""),44576.6895614699)</f>
        <v>44576.68956</v>
      </c>
      <c r="D2766" s="15">
        <f>IFERROR(__xludf.DUMMYFUNCTION("""COMPUTED_VALUE"""),1.007)</f>
        <v>1.007</v>
      </c>
      <c r="E2766" s="16">
        <f>IFERROR(__xludf.DUMMYFUNCTION("""COMPUTED_VALUE"""),66.0)</f>
        <v>66</v>
      </c>
      <c r="F2766" s="19" t="str">
        <f>IFERROR(__xludf.DUMMYFUNCTION("""COMPUTED_VALUE"""),"BLACK")</f>
        <v>BLACK</v>
      </c>
      <c r="G2766" s="20" t="str">
        <f>IFERROR(__xludf.DUMMYFUNCTION("""COMPUTED_VALUE"""),"Uncle Sams Cider (11/12/2021) 02")</f>
        <v>Uncle Sams Cider (11/12/2021) 02</v>
      </c>
      <c r="H2766" s="19"/>
    </row>
    <row r="2767">
      <c r="A2767" s="9"/>
      <c r="B2767" s="15"/>
      <c r="C2767" s="9">
        <f>IFERROR(__xludf.DUMMYFUNCTION("""COMPUTED_VALUE"""),44576.6791289004)</f>
        <v>44576.67913</v>
      </c>
      <c r="D2767" s="15">
        <f>IFERROR(__xludf.DUMMYFUNCTION("""COMPUTED_VALUE"""),1.007)</f>
        <v>1.007</v>
      </c>
      <c r="E2767" s="16">
        <f>IFERROR(__xludf.DUMMYFUNCTION("""COMPUTED_VALUE"""),67.0)</f>
        <v>67</v>
      </c>
      <c r="F2767" s="19" t="str">
        <f>IFERROR(__xludf.DUMMYFUNCTION("""COMPUTED_VALUE"""),"BLACK")</f>
        <v>BLACK</v>
      </c>
      <c r="G2767" s="20" t="str">
        <f>IFERROR(__xludf.DUMMYFUNCTION("""COMPUTED_VALUE"""),"Uncle Sams Cider (11/12/2021) 02")</f>
        <v>Uncle Sams Cider (11/12/2021) 02</v>
      </c>
      <c r="H2767" s="19"/>
    </row>
    <row r="2768">
      <c r="A2768" s="9"/>
      <c r="B2768" s="15"/>
      <c r="C2768" s="9">
        <f>IFERROR(__xludf.DUMMYFUNCTION("""COMPUTED_VALUE"""),44576.6686722222)</f>
        <v>44576.66867</v>
      </c>
      <c r="D2768" s="15">
        <f>IFERROR(__xludf.DUMMYFUNCTION("""COMPUTED_VALUE"""),1.007)</f>
        <v>1.007</v>
      </c>
      <c r="E2768" s="16">
        <f>IFERROR(__xludf.DUMMYFUNCTION("""COMPUTED_VALUE"""),66.0)</f>
        <v>66</v>
      </c>
      <c r="F2768" s="19" t="str">
        <f>IFERROR(__xludf.DUMMYFUNCTION("""COMPUTED_VALUE"""),"BLACK")</f>
        <v>BLACK</v>
      </c>
      <c r="G2768" s="20" t="str">
        <f>IFERROR(__xludf.DUMMYFUNCTION("""COMPUTED_VALUE"""),"Uncle Sams Cider (11/12/2021) 02")</f>
        <v>Uncle Sams Cider (11/12/2021) 02</v>
      </c>
      <c r="H2768" s="19"/>
    </row>
    <row r="2769">
      <c r="A2769" s="9"/>
      <c r="B2769" s="15"/>
      <c r="C2769" s="9">
        <f>IFERROR(__xludf.DUMMYFUNCTION("""COMPUTED_VALUE"""),44576.6582525462)</f>
        <v>44576.65825</v>
      </c>
      <c r="D2769" s="15">
        <f>IFERROR(__xludf.DUMMYFUNCTION("""COMPUTED_VALUE"""),1.007)</f>
        <v>1.007</v>
      </c>
      <c r="E2769" s="16">
        <f>IFERROR(__xludf.DUMMYFUNCTION("""COMPUTED_VALUE"""),67.0)</f>
        <v>67</v>
      </c>
      <c r="F2769" s="19" t="str">
        <f>IFERROR(__xludf.DUMMYFUNCTION("""COMPUTED_VALUE"""),"BLACK")</f>
        <v>BLACK</v>
      </c>
      <c r="G2769" s="20" t="str">
        <f>IFERROR(__xludf.DUMMYFUNCTION("""COMPUTED_VALUE"""),"Uncle Sams Cider (11/12/2021) 02")</f>
        <v>Uncle Sams Cider (11/12/2021) 02</v>
      </c>
      <c r="H2769" s="19"/>
    </row>
    <row r="2770">
      <c r="A2770" s="9"/>
      <c r="B2770" s="15"/>
      <c r="C2770" s="9">
        <f>IFERROR(__xludf.DUMMYFUNCTION("""COMPUTED_VALUE"""),44576.6478308912)</f>
        <v>44576.64783</v>
      </c>
      <c r="D2770" s="15">
        <f>IFERROR(__xludf.DUMMYFUNCTION("""COMPUTED_VALUE"""),1.007)</f>
        <v>1.007</v>
      </c>
      <c r="E2770" s="16">
        <f>IFERROR(__xludf.DUMMYFUNCTION("""COMPUTED_VALUE"""),67.0)</f>
        <v>67</v>
      </c>
      <c r="F2770" s="19" t="str">
        <f>IFERROR(__xludf.DUMMYFUNCTION("""COMPUTED_VALUE"""),"BLACK")</f>
        <v>BLACK</v>
      </c>
      <c r="G2770" s="20" t="str">
        <f>IFERROR(__xludf.DUMMYFUNCTION("""COMPUTED_VALUE"""),"Uncle Sams Cider (11/12/2021) 02")</f>
        <v>Uncle Sams Cider (11/12/2021) 02</v>
      </c>
      <c r="H2770" s="19"/>
    </row>
    <row r="2771">
      <c r="A2771" s="9"/>
      <c r="B2771" s="15"/>
      <c r="C2771" s="9">
        <f>IFERROR(__xludf.DUMMYFUNCTION("""COMPUTED_VALUE"""),44576.6374102546)</f>
        <v>44576.63741</v>
      </c>
      <c r="D2771" s="15">
        <f>IFERROR(__xludf.DUMMYFUNCTION("""COMPUTED_VALUE"""),1.007)</f>
        <v>1.007</v>
      </c>
      <c r="E2771" s="16">
        <f>IFERROR(__xludf.DUMMYFUNCTION("""COMPUTED_VALUE"""),67.0)</f>
        <v>67</v>
      </c>
      <c r="F2771" s="19" t="str">
        <f>IFERROR(__xludf.DUMMYFUNCTION("""COMPUTED_VALUE"""),"BLACK")</f>
        <v>BLACK</v>
      </c>
      <c r="G2771" s="20" t="str">
        <f>IFERROR(__xludf.DUMMYFUNCTION("""COMPUTED_VALUE"""),"Uncle Sams Cider (11/12/2021) 02")</f>
        <v>Uncle Sams Cider (11/12/2021) 02</v>
      </c>
      <c r="H2771" s="19"/>
    </row>
    <row r="2772">
      <c r="A2772" s="9"/>
      <c r="B2772" s="15"/>
      <c r="C2772" s="9">
        <f>IFERROR(__xludf.DUMMYFUNCTION("""COMPUTED_VALUE"""),44576.6269886689)</f>
        <v>44576.62699</v>
      </c>
      <c r="D2772" s="15">
        <f>IFERROR(__xludf.DUMMYFUNCTION("""COMPUTED_VALUE"""),1.007)</f>
        <v>1.007</v>
      </c>
      <c r="E2772" s="16">
        <f>IFERROR(__xludf.DUMMYFUNCTION("""COMPUTED_VALUE"""),67.0)</f>
        <v>67</v>
      </c>
      <c r="F2772" s="19" t="str">
        <f>IFERROR(__xludf.DUMMYFUNCTION("""COMPUTED_VALUE"""),"BLACK")</f>
        <v>BLACK</v>
      </c>
      <c r="G2772" s="20" t="str">
        <f>IFERROR(__xludf.DUMMYFUNCTION("""COMPUTED_VALUE"""),"Uncle Sams Cider (11/12/2021) 02")</f>
        <v>Uncle Sams Cider (11/12/2021) 02</v>
      </c>
      <c r="H2772" s="19"/>
    </row>
    <row r="2773">
      <c r="A2773" s="9"/>
      <c r="B2773" s="15"/>
      <c r="C2773" s="9">
        <f>IFERROR(__xludf.DUMMYFUNCTION("""COMPUTED_VALUE"""),44576.6165541435)</f>
        <v>44576.61655</v>
      </c>
      <c r="D2773" s="15">
        <f>IFERROR(__xludf.DUMMYFUNCTION("""COMPUTED_VALUE"""),1.007)</f>
        <v>1.007</v>
      </c>
      <c r="E2773" s="16">
        <f>IFERROR(__xludf.DUMMYFUNCTION("""COMPUTED_VALUE"""),67.0)</f>
        <v>67</v>
      </c>
      <c r="F2773" s="19" t="str">
        <f>IFERROR(__xludf.DUMMYFUNCTION("""COMPUTED_VALUE"""),"BLACK")</f>
        <v>BLACK</v>
      </c>
      <c r="G2773" s="20" t="str">
        <f>IFERROR(__xludf.DUMMYFUNCTION("""COMPUTED_VALUE"""),"Uncle Sams Cider (11/12/2021) 02")</f>
        <v>Uncle Sams Cider (11/12/2021) 02</v>
      </c>
      <c r="H2773" s="19"/>
    </row>
    <row r="2774">
      <c r="A2774" s="9"/>
      <c r="B2774" s="15"/>
      <c r="C2774" s="9">
        <f>IFERROR(__xludf.DUMMYFUNCTION("""COMPUTED_VALUE"""),44576.6061337268)</f>
        <v>44576.60613</v>
      </c>
      <c r="D2774" s="15">
        <f>IFERROR(__xludf.DUMMYFUNCTION("""COMPUTED_VALUE"""),1.007)</f>
        <v>1.007</v>
      </c>
      <c r="E2774" s="16">
        <f>IFERROR(__xludf.DUMMYFUNCTION("""COMPUTED_VALUE"""),67.0)</f>
        <v>67</v>
      </c>
      <c r="F2774" s="19" t="str">
        <f>IFERROR(__xludf.DUMMYFUNCTION("""COMPUTED_VALUE"""),"BLACK")</f>
        <v>BLACK</v>
      </c>
      <c r="G2774" s="20" t="str">
        <f>IFERROR(__xludf.DUMMYFUNCTION("""COMPUTED_VALUE"""),"Uncle Sams Cider (11/12/2021) 02")</f>
        <v>Uncle Sams Cider (11/12/2021) 02</v>
      </c>
      <c r="H2774" s="19"/>
    </row>
    <row r="2775">
      <c r="A2775" s="9"/>
      <c r="B2775" s="15"/>
      <c r="C2775" s="9">
        <f>IFERROR(__xludf.DUMMYFUNCTION("""COMPUTED_VALUE"""),44576.5957123495)</f>
        <v>44576.59571</v>
      </c>
      <c r="D2775" s="15">
        <f>IFERROR(__xludf.DUMMYFUNCTION("""COMPUTED_VALUE"""),1.007)</f>
        <v>1.007</v>
      </c>
      <c r="E2775" s="16">
        <f>IFERROR(__xludf.DUMMYFUNCTION("""COMPUTED_VALUE"""),67.0)</f>
        <v>67</v>
      </c>
      <c r="F2775" s="19" t="str">
        <f>IFERROR(__xludf.DUMMYFUNCTION("""COMPUTED_VALUE"""),"BLACK")</f>
        <v>BLACK</v>
      </c>
      <c r="G2775" s="20" t="str">
        <f>IFERROR(__xludf.DUMMYFUNCTION("""COMPUTED_VALUE"""),"Uncle Sams Cider (11/12/2021) 02")</f>
        <v>Uncle Sams Cider (11/12/2021) 02</v>
      </c>
      <c r="H2775" s="19"/>
    </row>
    <row r="2776">
      <c r="A2776" s="9"/>
      <c r="B2776" s="15"/>
      <c r="C2776" s="9">
        <f>IFERROR(__xludf.DUMMYFUNCTION("""COMPUTED_VALUE"""),44576.5852917361)</f>
        <v>44576.58529</v>
      </c>
      <c r="D2776" s="15">
        <f>IFERROR(__xludf.DUMMYFUNCTION("""COMPUTED_VALUE"""),1.007)</f>
        <v>1.007</v>
      </c>
      <c r="E2776" s="16">
        <f>IFERROR(__xludf.DUMMYFUNCTION("""COMPUTED_VALUE"""),67.0)</f>
        <v>67</v>
      </c>
      <c r="F2776" s="19" t="str">
        <f>IFERROR(__xludf.DUMMYFUNCTION("""COMPUTED_VALUE"""),"BLACK")</f>
        <v>BLACK</v>
      </c>
      <c r="G2776" s="20" t="str">
        <f>IFERROR(__xludf.DUMMYFUNCTION("""COMPUTED_VALUE"""),"Uncle Sams Cider (11/12/2021) 02")</f>
        <v>Uncle Sams Cider (11/12/2021) 02</v>
      </c>
      <c r="H2776" s="19"/>
    </row>
    <row r="2777">
      <c r="A2777" s="9"/>
      <c r="B2777" s="15"/>
      <c r="C2777" s="9">
        <f>IFERROR(__xludf.DUMMYFUNCTION("""COMPUTED_VALUE"""),44576.5748700925)</f>
        <v>44576.57487</v>
      </c>
      <c r="D2777" s="15">
        <f>IFERROR(__xludf.DUMMYFUNCTION("""COMPUTED_VALUE"""),1.007)</f>
        <v>1.007</v>
      </c>
      <c r="E2777" s="16">
        <f>IFERROR(__xludf.DUMMYFUNCTION("""COMPUTED_VALUE"""),67.0)</f>
        <v>67</v>
      </c>
      <c r="F2777" s="19" t="str">
        <f>IFERROR(__xludf.DUMMYFUNCTION("""COMPUTED_VALUE"""),"BLACK")</f>
        <v>BLACK</v>
      </c>
      <c r="G2777" s="20" t="str">
        <f>IFERROR(__xludf.DUMMYFUNCTION("""COMPUTED_VALUE"""),"Uncle Sams Cider (11/12/2021) 02")</f>
        <v>Uncle Sams Cider (11/12/2021) 02</v>
      </c>
      <c r="H2777" s="19"/>
    </row>
    <row r="2778">
      <c r="A2778" s="9"/>
      <c r="B2778" s="15"/>
      <c r="C2778" s="9">
        <f>IFERROR(__xludf.DUMMYFUNCTION("""COMPUTED_VALUE"""),44576.5644488773)</f>
        <v>44576.56445</v>
      </c>
      <c r="D2778" s="15">
        <f>IFERROR(__xludf.DUMMYFUNCTION("""COMPUTED_VALUE"""),1.007)</f>
        <v>1.007</v>
      </c>
      <c r="E2778" s="16">
        <f>IFERROR(__xludf.DUMMYFUNCTION("""COMPUTED_VALUE"""),67.0)</f>
        <v>67</v>
      </c>
      <c r="F2778" s="19" t="str">
        <f>IFERROR(__xludf.DUMMYFUNCTION("""COMPUTED_VALUE"""),"BLACK")</f>
        <v>BLACK</v>
      </c>
      <c r="G2778" s="20" t="str">
        <f>IFERROR(__xludf.DUMMYFUNCTION("""COMPUTED_VALUE"""),"Uncle Sams Cider (11/12/2021) 02")</f>
        <v>Uncle Sams Cider (11/12/2021) 02</v>
      </c>
      <c r="H2778" s="19"/>
    </row>
    <row r="2779">
      <c r="A2779" s="9"/>
      <c r="B2779" s="15"/>
      <c r="C2779" s="9">
        <f>IFERROR(__xludf.DUMMYFUNCTION("""COMPUTED_VALUE"""),44576.5540263657)</f>
        <v>44576.55403</v>
      </c>
      <c r="D2779" s="15">
        <f>IFERROR(__xludf.DUMMYFUNCTION("""COMPUTED_VALUE"""),1.007)</f>
        <v>1.007</v>
      </c>
      <c r="E2779" s="16">
        <f>IFERROR(__xludf.DUMMYFUNCTION("""COMPUTED_VALUE"""),67.0)</f>
        <v>67</v>
      </c>
      <c r="F2779" s="19" t="str">
        <f>IFERROR(__xludf.DUMMYFUNCTION("""COMPUTED_VALUE"""),"BLACK")</f>
        <v>BLACK</v>
      </c>
      <c r="G2779" s="20" t="str">
        <f>IFERROR(__xludf.DUMMYFUNCTION("""COMPUTED_VALUE"""),"Uncle Sams Cider (11/12/2021) 02")</f>
        <v>Uncle Sams Cider (11/12/2021) 02</v>
      </c>
      <c r="H2779" s="19"/>
    </row>
    <row r="2780">
      <c r="A2780" s="9"/>
      <c r="B2780" s="15"/>
      <c r="C2780" s="9">
        <f>IFERROR(__xludf.DUMMYFUNCTION("""COMPUTED_VALUE"""),44576.5436061111)</f>
        <v>44576.54361</v>
      </c>
      <c r="D2780" s="15">
        <f>IFERROR(__xludf.DUMMYFUNCTION("""COMPUTED_VALUE"""),1.007)</f>
        <v>1.007</v>
      </c>
      <c r="E2780" s="16">
        <f>IFERROR(__xludf.DUMMYFUNCTION("""COMPUTED_VALUE"""),67.0)</f>
        <v>67</v>
      </c>
      <c r="F2780" s="19" t="str">
        <f>IFERROR(__xludf.DUMMYFUNCTION("""COMPUTED_VALUE"""),"BLACK")</f>
        <v>BLACK</v>
      </c>
      <c r="G2780" s="20" t="str">
        <f>IFERROR(__xludf.DUMMYFUNCTION("""COMPUTED_VALUE"""),"Uncle Sams Cider (11/12/2021) 02")</f>
        <v>Uncle Sams Cider (11/12/2021) 02</v>
      </c>
      <c r="H2780" s="19"/>
    </row>
    <row r="2781">
      <c r="A2781" s="9"/>
      <c r="B2781" s="15"/>
      <c r="C2781" s="9">
        <f>IFERROR(__xludf.DUMMYFUNCTION("""COMPUTED_VALUE"""),44576.5331848842)</f>
        <v>44576.53318</v>
      </c>
      <c r="D2781" s="15">
        <f>IFERROR(__xludf.DUMMYFUNCTION("""COMPUTED_VALUE"""),1.007)</f>
        <v>1.007</v>
      </c>
      <c r="E2781" s="16">
        <f>IFERROR(__xludf.DUMMYFUNCTION("""COMPUTED_VALUE"""),67.0)</f>
        <v>67</v>
      </c>
      <c r="F2781" s="19" t="str">
        <f>IFERROR(__xludf.DUMMYFUNCTION("""COMPUTED_VALUE"""),"BLACK")</f>
        <v>BLACK</v>
      </c>
      <c r="G2781" s="20" t="str">
        <f>IFERROR(__xludf.DUMMYFUNCTION("""COMPUTED_VALUE"""),"Uncle Sams Cider (11/12/2021) 02")</f>
        <v>Uncle Sams Cider (11/12/2021) 02</v>
      </c>
      <c r="H2781" s="19"/>
    </row>
    <row r="2782">
      <c r="A2782" s="9"/>
      <c r="B2782" s="15"/>
      <c r="C2782" s="9">
        <f>IFERROR(__xludf.DUMMYFUNCTION("""COMPUTED_VALUE"""),44576.5227630787)</f>
        <v>44576.52276</v>
      </c>
      <c r="D2782" s="15">
        <f>IFERROR(__xludf.DUMMYFUNCTION("""COMPUTED_VALUE"""),1.007)</f>
        <v>1.007</v>
      </c>
      <c r="E2782" s="16">
        <f>IFERROR(__xludf.DUMMYFUNCTION("""COMPUTED_VALUE"""),67.0)</f>
        <v>67</v>
      </c>
      <c r="F2782" s="19" t="str">
        <f>IFERROR(__xludf.DUMMYFUNCTION("""COMPUTED_VALUE"""),"BLACK")</f>
        <v>BLACK</v>
      </c>
      <c r="G2782" s="20" t="str">
        <f>IFERROR(__xludf.DUMMYFUNCTION("""COMPUTED_VALUE"""),"Uncle Sams Cider (11/12/2021) 02")</f>
        <v>Uncle Sams Cider (11/12/2021) 02</v>
      </c>
      <c r="H2782" s="19"/>
    </row>
    <row r="2783">
      <c r="A2783" s="9"/>
      <c r="B2783" s="15"/>
      <c r="C2783" s="9">
        <f>IFERROR(__xludf.DUMMYFUNCTION("""COMPUTED_VALUE"""),44576.5123403124)</f>
        <v>44576.51234</v>
      </c>
      <c r="D2783" s="15">
        <f>IFERROR(__xludf.DUMMYFUNCTION("""COMPUTED_VALUE"""),1.007)</f>
        <v>1.007</v>
      </c>
      <c r="E2783" s="16">
        <f>IFERROR(__xludf.DUMMYFUNCTION("""COMPUTED_VALUE"""),67.0)</f>
        <v>67</v>
      </c>
      <c r="F2783" s="19" t="str">
        <f>IFERROR(__xludf.DUMMYFUNCTION("""COMPUTED_VALUE"""),"BLACK")</f>
        <v>BLACK</v>
      </c>
      <c r="G2783" s="20" t="str">
        <f>IFERROR(__xludf.DUMMYFUNCTION("""COMPUTED_VALUE"""),"Uncle Sams Cider (11/12/2021) 02")</f>
        <v>Uncle Sams Cider (11/12/2021) 02</v>
      </c>
      <c r="H2783" s="19"/>
    </row>
    <row r="2784">
      <c r="A2784" s="9"/>
      <c r="B2784" s="15"/>
      <c r="C2784" s="9">
        <f>IFERROR(__xludf.DUMMYFUNCTION("""COMPUTED_VALUE"""),44576.5018373379)</f>
        <v>44576.50184</v>
      </c>
      <c r="D2784" s="15">
        <f>IFERROR(__xludf.DUMMYFUNCTION("""COMPUTED_VALUE"""),1.007)</f>
        <v>1.007</v>
      </c>
      <c r="E2784" s="16">
        <f>IFERROR(__xludf.DUMMYFUNCTION("""COMPUTED_VALUE"""),67.0)</f>
        <v>67</v>
      </c>
      <c r="F2784" s="19" t="str">
        <f>IFERROR(__xludf.DUMMYFUNCTION("""COMPUTED_VALUE"""),"BLACK")</f>
        <v>BLACK</v>
      </c>
      <c r="G2784" s="20" t="str">
        <f>IFERROR(__xludf.DUMMYFUNCTION("""COMPUTED_VALUE"""),"Uncle Sams Cider (11/12/2021) 02")</f>
        <v>Uncle Sams Cider (11/12/2021) 02</v>
      </c>
      <c r="H2784" s="19"/>
    </row>
    <row r="2785">
      <c r="A2785" s="9"/>
      <c r="B2785" s="15"/>
      <c r="C2785" s="9">
        <f>IFERROR(__xludf.DUMMYFUNCTION("""COMPUTED_VALUE"""),44576.4914152546)</f>
        <v>44576.49142</v>
      </c>
      <c r="D2785" s="15">
        <f>IFERROR(__xludf.DUMMYFUNCTION("""COMPUTED_VALUE"""),1.007)</f>
        <v>1.007</v>
      </c>
      <c r="E2785" s="16">
        <f>IFERROR(__xludf.DUMMYFUNCTION("""COMPUTED_VALUE"""),67.0)</f>
        <v>67</v>
      </c>
      <c r="F2785" s="19" t="str">
        <f>IFERROR(__xludf.DUMMYFUNCTION("""COMPUTED_VALUE"""),"BLACK")</f>
        <v>BLACK</v>
      </c>
      <c r="G2785" s="20" t="str">
        <f>IFERROR(__xludf.DUMMYFUNCTION("""COMPUTED_VALUE"""),"Uncle Sams Cider (11/12/2021) 02")</f>
        <v>Uncle Sams Cider (11/12/2021) 02</v>
      </c>
      <c r="H2785" s="19"/>
    </row>
    <row r="2786">
      <c r="A2786" s="9"/>
      <c r="B2786" s="15"/>
      <c r="C2786" s="9">
        <f>IFERROR(__xludf.DUMMYFUNCTION("""COMPUTED_VALUE"""),44576.4809925231)</f>
        <v>44576.48099</v>
      </c>
      <c r="D2786" s="15">
        <f>IFERROR(__xludf.DUMMYFUNCTION("""COMPUTED_VALUE"""),1.007)</f>
        <v>1.007</v>
      </c>
      <c r="E2786" s="16">
        <f>IFERROR(__xludf.DUMMYFUNCTION("""COMPUTED_VALUE"""),67.0)</f>
        <v>67</v>
      </c>
      <c r="F2786" s="19" t="str">
        <f>IFERROR(__xludf.DUMMYFUNCTION("""COMPUTED_VALUE"""),"BLACK")</f>
        <v>BLACK</v>
      </c>
      <c r="G2786" s="20" t="str">
        <f>IFERROR(__xludf.DUMMYFUNCTION("""COMPUTED_VALUE"""),"Uncle Sams Cider (11/12/2021) 02")</f>
        <v>Uncle Sams Cider (11/12/2021) 02</v>
      </c>
      <c r="H2786" s="19"/>
    </row>
    <row r="2787">
      <c r="A2787" s="9"/>
      <c r="B2787" s="15"/>
      <c r="C2787" s="9">
        <f>IFERROR(__xludf.DUMMYFUNCTION("""COMPUTED_VALUE"""),44576.4705715624)</f>
        <v>44576.47057</v>
      </c>
      <c r="D2787" s="15">
        <f>IFERROR(__xludf.DUMMYFUNCTION("""COMPUTED_VALUE"""),1.007)</f>
        <v>1.007</v>
      </c>
      <c r="E2787" s="16">
        <f>IFERROR(__xludf.DUMMYFUNCTION("""COMPUTED_VALUE"""),67.0)</f>
        <v>67</v>
      </c>
      <c r="F2787" s="19" t="str">
        <f>IFERROR(__xludf.DUMMYFUNCTION("""COMPUTED_VALUE"""),"BLACK")</f>
        <v>BLACK</v>
      </c>
      <c r="G2787" s="20" t="str">
        <f>IFERROR(__xludf.DUMMYFUNCTION("""COMPUTED_VALUE"""),"Uncle Sams Cider (11/12/2021) 02")</f>
        <v>Uncle Sams Cider (11/12/2021) 02</v>
      </c>
      <c r="H2787" s="19"/>
    </row>
    <row r="2788">
      <c r="A2788" s="9"/>
      <c r="B2788" s="15"/>
      <c r="C2788" s="9">
        <f>IFERROR(__xludf.DUMMYFUNCTION("""COMPUTED_VALUE"""),44576.4600914814)</f>
        <v>44576.46009</v>
      </c>
      <c r="D2788" s="15">
        <f>IFERROR(__xludf.DUMMYFUNCTION("""COMPUTED_VALUE"""),1.007)</f>
        <v>1.007</v>
      </c>
      <c r="E2788" s="16">
        <f>IFERROR(__xludf.DUMMYFUNCTION("""COMPUTED_VALUE"""),67.0)</f>
        <v>67</v>
      </c>
      <c r="F2788" s="19" t="str">
        <f>IFERROR(__xludf.DUMMYFUNCTION("""COMPUTED_VALUE"""),"BLACK")</f>
        <v>BLACK</v>
      </c>
      <c r="G2788" s="20" t="str">
        <f>IFERROR(__xludf.DUMMYFUNCTION("""COMPUTED_VALUE"""),"Uncle Sams Cider (11/12/2021) 02")</f>
        <v>Uncle Sams Cider (11/12/2021) 02</v>
      </c>
      <c r="H2788" s="19"/>
    </row>
    <row r="2789">
      <c r="A2789" s="9"/>
      <c r="B2789" s="15"/>
      <c r="C2789" s="9">
        <f>IFERROR(__xludf.DUMMYFUNCTION("""COMPUTED_VALUE"""),44576.4496723842)</f>
        <v>44576.44967</v>
      </c>
      <c r="D2789" s="15">
        <f>IFERROR(__xludf.DUMMYFUNCTION("""COMPUTED_VALUE"""),1.007)</f>
        <v>1.007</v>
      </c>
      <c r="E2789" s="16">
        <f>IFERROR(__xludf.DUMMYFUNCTION("""COMPUTED_VALUE"""),67.0)</f>
        <v>67</v>
      </c>
      <c r="F2789" s="19" t="str">
        <f>IFERROR(__xludf.DUMMYFUNCTION("""COMPUTED_VALUE"""),"BLACK")</f>
        <v>BLACK</v>
      </c>
      <c r="G2789" s="20" t="str">
        <f>IFERROR(__xludf.DUMMYFUNCTION("""COMPUTED_VALUE"""),"Uncle Sams Cider (11/12/2021) 02")</f>
        <v>Uncle Sams Cider (11/12/2021) 02</v>
      </c>
      <c r="H2789" s="19"/>
    </row>
    <row r="2790">
      <c r="A2790" s="9"/>
      <c r="B2790" s="15"/>
      <c r="C2790" s="9">
        <f>IFERROR(__xludf.DUMMYFUNCTION("""COMPUTED_VALUE"""),44576.4392516203)</f>
        <v>44576.43925</v>
      </c>
      <c r="D2790" s="15">
        <f>IFERROR(__xludf.DUMMYFUNCTION("""COMPUTED_VALUE"""),1.007)</f>
        <v>1.007</v>
      </c>
      <c r="E2790" s="16">
        <f>IFERROR(__xludf.DUMMYFUNCTION("""COMPUTED_VALUE"""),67.0)</f>
        <v>67</v>
      </c>
      <c r="F2790" s="19" t="str">
        <f>IFERROR(__xludf.DUMMYFUNCTION("""COMPUTED_VALUE"""),"BLACK")</f>
        <v>BLACK</v>
      </c>
      <c r="G2790" s="20" t="str">
        <f>IFERROR(__xludf.DUMMYFUNCTION("""COMPUTED_VALUE"""),"Uncle Sams Cider (11/12/2021) 02")</f>
        <v>Uncle Sams Cider (11/12/2021) 02</v>
      </c>
      <c r="H2790" s="19"/>
    </row>
    <row r="2791">
      <c r="A2791" s="9"/>
      <c r="B2791" s="15"/>
      <c r="C2791" s="9">
        <f>IFERROR(__xludf.DUMMYFUNCTION("""COMPUTED_VALUE"""),44576.4288316319)</f>
        <v>44576.42883</v>
      </c>
      <c r="D2791" s="15">
        <f>IFERROR(__xludf.DUMMYFUNCTION("""COMPUTED_VALUE"""),1.007)</f>
        <v>1.007</v>
      </c>
      <c r="E2791" s="16">
        <f>IFERROR(__xludf.DUMMYFUNCTION("""COMPUTED_VALUE"""),67.0)</f>
        <v>67</v>
      </c>
      <c r="F2791" s="19" t="str">
        <f>IFERROR(__xludf.DUMMYFUNCTION("""COMPUTED_VALUE"""),"BLACK")</f>
        <v>BLACK</v>
      </c>
      <c r="G2791" s="20" t="str">
        <f>IFERROR(__xludf.DUMMYFUNCTION("""COMPUTED_VALUE"""),"Uncle Sams Cider (11/12/2021) 02")</f>
        <v>Uncle Sams Cider (11/12/2021) 02</v>
      </c>
      <c r="H2791" s="19"/>
    </row>
    <row r="2792">
      <c r="A2792" s="9"/>
      <c r="B2792" s="15"/>
      <c r="C2792" s="9">
        <f>IFERROR(__xludf.DUMMYFUNCTION("""COMPUTED_VALUE"""),44576.4184100231)</f>
        <v>44576.41841</v>
      </c>
      <c r="D2792" s="15">
        <f>IFERROR(__xludf.DUMMYFUNCTION("""COMPUTED_VALUE"""),1.007)</f>
        <v>1.007</v>
      </c>
      <c r="E2792" s="16">
        <f>IFERROR(__xludf.DUMMYFUNCTION("""COMPUTED_VALUE"""),67.0)</f>
        <v>67</v>
      </c>
      <c r="F2792" s="19" t="str">
        <f>IFERROR(__xludf.DUMMYFUNCTION("""COMPUTED_VALUE"""),"BLACK")</f>
        <v>BLACK</v>
      </c>
      <c r="G2792" s="20" t="str">
        <f>IFERROR(__xludf.DUMMYFUNCTION("""COMPUTED_VALUE"""),"Uncle Sams Cider (11/12/2021) 02")</f>
        <v>Uncle Sams Cider (11/12/2021) 02</v>
      </c>
      <c r="H2792" s="19"/>
    </row>
    <row r="2793">
      <c r="A2793" s="9"/>
      <c r="B2793" s="15"/>
      <c r="C2793" s="9">
        <f>IFERROR(__xludf.DUMMYFUNCTION("""COMPUTED_VALUE"""),44576.4079885648)</f>
        <v>44576.40799</v>
      </c>
      <c r="D2793" s="15">
        <f>IFERROR(__xludf.DUMMYFUNCTION("""COMPUTED_VALUE"""),1.007)</f>
        <v>1.007</v>
      </c>
      <c r="E2793" s="16">
        <f>IFERROR(__xludf.DUMMYFUNCTION("""COMPUTED_VALUE"""),67.0)</f>
        <v>67</v>
      </c>
      <c r="F2793" s="19" t="str">
        <f>IFERROR(__xludf.DUMMYFUNCTION("""COMPUTED_VALUE"""),"BLACK")</f>
        <v>BLACK</v>
      </c>
      <c r="G2793" s="20" t="str">
        <f>IFERROR(__xludf.DUMMYFUNCTION("""COMPUTED_VALUE"""),"Uncle Sams Cider (11/12/2021) 02")</f>
        <v>Uncle Sams Cider (11/12/2021) 02</v>
      </c>
      <c r="H2793" s="19"/>
    </row>
    <row r="2794">
      <c r="A2794" s="9"/>
      <c r="B2794" s="15"/>
      <c r="C2794" s="9">
        <f>IFERROR(__xludf.DUMMYFUNCTION("""COMPUTED_VALUE"""),44576.397568368)</f>
        <v>44576.39757</v>
      </c>
      <c r="D2794" s="15">
        <f>IFERROR(__xludf.DUMMYFUNCTION("""COMPUTED_VALUE"""),1.007)</f>
        <v>1.007</v>
      </c>
      <c r="E2794" s="16">
        <f>IFERROR(__xludf.DUMMYFUNCTION("""COMPUTED_VALUE"""),67.0)</f>
        <v>67</v>
      </c>
      <c r="F2794" s="19" t="str">
        <f>IFERROR(__xludf.DUMMYFUNCTION("""COMPUTED_VALUE"""),"BLACK")</f>
        <v>BLACK</v>
      </c>
      <c r="G2794" s="20" t="str">
        <f>IFERROR(__xludf.DUMMYFUNCTION("""COMPUTED_VALUE"""),"Uncle Sams Cider (11/12/2021) 02")</f>
        <v>Uncle Sams Cider (11/12/2021) 02</v>
      </c>
      <c r="H2794" s="19"/>
    </row>
    <row r="2795">
      <c r="A2795" s="9"/>
      <c r="B2795" s="15"/>
      <c r="C2795" s="9">
        <f>IFERROR(__xludf.DUMMYFUNCTION("""COMPUTED_VALUE"""),44576.3871471874)</f>
        <v>44576.38715</v>
      </c>
      <c r="D2795" s="15">
        <f>IFERROR(__xludf.DUMMYFUNCTION("""COMPUTED_VALUE"""),1.007)</f>
        <v>1.007</v>
      </c>
      <c r="E2795" s="16">
        <f>IFERROR(__xludf.DUMMYFUNCTION("""COMPUTED_VALUE"""),68.0)</f>
        <v>68</v>
      </c>
      <c r="F2795" s="19" t="str">
        <f>IFERROR(__xludf.DUMMYFUNCTION("""COMPUTED_VALUE"""),"BLACK")</f>
        <v>BLACK</v>
      </c>
      <c r="G2795" s="20" t="str">
        <f>IFERROR(__xludf.DUMMYFUNCTION("""COMPUTED_VALUE"""),"Uncle Sams Cider (11/12/2021) 02")</f>
        <v>Uncle Sams Cider (11/12/2021) 02</v>
      </c>
      <c r="H2795" s="19"/>
    </row>
    <row r="2796">
      <c r="A2796" s="9"/>
      <c r="B2796" s="15"/>
      <c r="C2796" s="9">
        <f>IFERROR(__xludf.DUMMYFUNCTION("""COMPUTED_VALUE"""),44576.37670478)</f>
        <v>44576.3767</v>
      </c>
      <c r="D2796" s="15">
        <f>IFERROR(__xludf.DUMMYFUNCTION("""COMPUTED_VALUE"""),1.007)</f>
        <v>1.007</v>
      </c>
      <c r="E2796" s="16">
        <f>IFERROR(__xludf.DUMMYFUNCTION("""COMPUTED_VALUE"""),68.0)</f>
        <v>68</v>
      </c>
      <c r="F2796" s="19" t="str">
        <f>IFERROR(__xludf.DUMMYFUNCTION("""COMPUTED_VALUE"""),"BLACK")</f>
        <v>BLACK</v>
      </c>
      <c r="G2796" s="20" t="str">
        <f>IFERROR(__xludf.DUMMYFUNCTION("""COMPUTED_VALUE"""),"Uncle Sams Cider (11/12/2021) 02")</f>
        <v>Uncle Sams Cider (11/12/2021) 02</v>
      </c>
      <c r="H2796" s="19"/>
    </row>
    <row r="2797">
      <c r="A2797" s="9"/>
      <c r="B2797" s="15"/>
      <c r="C2797" s="9">
        <f>IFERROR(__xludf.DUMMYFUNCTION("""COMPUTED_VALUE"""),44576.3662728009)</f>
        <v>44576.36627</v>
      </c>
      <c r="D2797" s="15">
        <f>IFERROR(__xludf.DUMMYFUNCTION("""COMPUTED_VALUE"""),1.006)</f>
        <v>1.006</v>
      </c>
      <c r="E2797" s="16">
        <f>IFERROR(__xludf.DUMMYFUNCTION("""COMPUTED_VALUE"""),68.0)</f>
        <v>68</v>
      </c>
      <c r="F2797" s="19" t="str">
        <f>IFERROR(__xludf.DUMMYFUNCTION("""COMPUTED_VALUE"""),"BLACK")</f>
        <v>BLACK</v>
      </c>
      <c r="G2797" s="20" t="str">
        <f>IFERROR(__xludf.DUMMYFUNCTION("""COMPUTED_VALUE"""),"Uncle Sams Cider (11/12/2021) 02")</f>
        <v>Uncle Sams Cider (11/12/2021) 02</v>
      </c>
      <c r="H2797" s="19"/>
    </row>
    <row r="2798">
      <c r="A2798" s="9"/>
      <c r="B2798" s="15"/>
      <c r="C2798" s="9">
        <f>IFERROR(__xludf.DUMMYFUNCTION("""COMPUTED_VALUE"""),44576.3558516435)</f>
        <v>44576.35585</v>
      </c>
      <c r="D2798" s="15">
        <f>IFERROR(__xludf.DUMMYFUNCTION("""COMPUTED_VALUE"""),1.007)</f>
        <v>1.007</v>
      </c>
      <c r="E2798" s="16">
        <f>IFERROR(__xludf.DUMMYFUNCTION("""COMPUTED_VALUE"""),68.0)</f>
        <v>68</v>
      </c>
      <c r="F2798" s="19" t="str">
        <f>IFERROR(__xludf.DUMMYFUNCTION("""COMPUTED_VALUE"""),"BLACK")</f>
        <v>BLACK</v>
      </c>
      <c r="G2798" s="20" t="str">
        <f>IFERROR(__xludf.DUMMYFUNCTION("""COMPUTED_VALUE"""),"Uncle Sams Cider (11/12/2021) 02")</f>
        <v>Uncle Sams Cider (11/12/2021) 02</v>
      </c>
      <c r="H2798" s="19"/>
    </row>
    <row r="2799">
      <c r="A2799" s="9"/>
      <c r="B2799" s="15"/>
      <c r="C2799" s="9">
        <f>IFERROR(__xludf.DUMMYFUNCTION("""COMPUTED_VALUE"""),44576.3454296874)</f>
        <v>44576.34543</v>
      </c>
      <c r="D2799" s="15">
        <f>IFERROR(__xludf.DUMMYFUNCTION("""COMPUTED_VALUE"""),1.006)</f>
        <v>1.006</v>
      </c>
      <c r="E2799" s="16">
        <f>IFERROR(__xludf.DUMMYFUNCTION("""COMPUTED_VALUE"""),68.0)</f>
        <v>68</v>
      </c>
      <c r="F2799" s="19" t="str">
        <f>IFERROR(__xludf.DUMMYFUNCTION("""COMPUTED_VALUE"""),"BLACK")</f>
        <v>BLACK</v>
      </c>
      <c r="G2799" s="20" t="str">
        <f>IFERROR(__xludf.DUMMYFUNCTION("""COMPUTED_VALUE"""),"Uncle Sams Cider (11/12/2021) 02")</f>
        <v>Uncle Sams Cider (11/12/2021) 02</v>
      </c>
      <c r="H2799" s="19"/>
    </row>
    <row r="2800">
      <c r="A2800" s="9"/>
      <c r="B2800" s="15"/>
      <c r="C2800" s="9">
        <f>IFERROR(__xludf.DUMMYFUNCTION("""COMPUTED_VALUE"""),44576.3350074189)</f>
        <v>44576.33501</v>
      </c>
      <c r="D2800" s="15">
        <f>IFERROR(__xludf.DUMMYFUNCTION("""COMPUTED_VALUE"""),1.007)</f>
        <v>1.007</v>
      </c>
      <c r="E2800" s="16">
        <f>IFERROR(__xludf.DUMMYFUNCTION("""COMPUTED_VALUE"""),68.0)</f>
        <v>68</v>
      </c>
      <c r="F2800" s="19" t="str">
        <f>IFERROR(__xludf.DUMMYFUNCTION("""COMPUTED_VALUE"""),"BLACK")</f>
        <v>BLACK</v>
      </c>
      <c r="G2800" s="20" t="str">
        <f>IFERROR(__xludf.DUMMYFUNCTION("""COMPUTED_VALUE"""),"Uncle Sams Cider (11/12/2021) 02")</f>
        <v>Uncle Sams Cider (11/12/2021) 02</v>
      </c>
      <c r="H2800" s="19"/>
    </row>
    <row r="2801">
      <c r="A2801" s="9"/>
      <c r="B2801" s="15"/>
      <c r="C2801" s="9">
        <f>IFERROR(__xludf.DUMMYFUNCTION("""COMPUTED_VALUE"""),44576.3245172453)</f>
        <v>44576.32452</v>
      </c>
      <c r="D2801" s="15">
        <f>IFERROR(__xludf.DUMMYFUNCTION("""COMPUTED_VALUE"""),1.006)</f>
        <v>1.006</v>
      </c>
      <c r="E2801" s="16">
        <f>IFERROR(__xludf.DUMMYFUNCTION("""COMPUTED_VALUE"""),68.0)</f>
        <v>68</v>
      </c>
      <c r="F2801" s="19" t="str">
        <f>IFERROR(__xludf.DUMMYFUNCTION("""COMPUTED_VALUE"""),"BLACK")</f>
        <v>BLACK</v>
      </c>
      <c r="G2801" s="20" t="str">
        <f>IFERROR(__xludf.DUMMYFUNCTION("""COMPUTED_VALUE"""),"Uncle Sams Cider (11/12/2021) 02")</f>
        <v>Uncle Sams Cider (11/12/2021) 02</v>
      </c>
      <c r="H2801" s="19"/>
    </row>
    <row r="2802">
      <c r="A2802" s="9"/>
      <c r="B2802" s="15"/>
      <c r="C2802" s="9">
        <f>IFERROR(__xludf.DUMMYFUNCTION("""COMPUTED_VALUE"""),44576.3140845138)</f>
        <v>44576.31408</v>
      </c>
      <c r="D2802" s="15">
        <f>IFERROR(__xludf.DUMMYFUNCTION("""COMPUTED_VALUE"""),1.006)</f>
        <v>1.006</v>
      </c>
      <c r="E2802" s="16">
        <f>IFERROR(__xludf.DUMMYFUNCTION("""COMPUTED_VALUE"""),68.0)</f>
        <v>68</v>
      </c>
      <c r="F2802" s="19" t="str">
        <f>IFERROR(__xludf.DUMMYFUNCTION("""COMPUTED_VALUE"""),"BLACK")</f>
        <v>BLACK</v>
      </c>
      <c r="G2802" s="20" t="str">
        <f>IFERROR(__xludf.DUMMYFUNCTION("""COMPUTED_VALUE"""),"Uncle Sams Cider (11/12/2021) 02")</f>
        <v>Uncle Sams Cider (11/12/2021) 02</v>
      </c>
      <c r="H2802" s="19"/>
    </row>
    <row r="2803">
      <c r="A2803" s="9"/>
      <c r="B2803" s="15"/>
      <c r="C2803" s="9">
        <f>IFERROR(__xludf.DUMMYFUNCTION("""COMPUTED_VALUE"""),44576.3036516435)</f>
        <v>44576.30365</v>
      </c>
      <c r="D2803" s="15">
        <f>IFERROR(__xludf.DUMMYFUNCTION("""COMPUTED_VALUE"""),1.006)</f>
        <v>1.006</v>
      </c>
      <c r="E2803" s="16">
        <f>IFERROR(__xludf.DUMMYFUNCTION("""COMPUTED_VALUE"""),68.0)</f>
        <v>68</v>
      </c>
      <c r="F2803" s="19" t="str">
        <f>IFERROR(__xludf.DUMMYFUNCTION("""COMPUTED_VALUE"""),"BLACK")</f>
        <v>BLACK</v>
      </c>
      <c r="G2803" s="20" t="str">
        <f>IFERROR(__xludf.DUMMYFUNCTION("""COMPUTED_VALUE"""),"Uncle Sams Cider (11/12/2021) 02")</f>
        <v>Uncle Sams Cider (11/12/2021) 02</v>
      </c>
      <c r="H2803" s="19"/>
    </row>
    <row r="2804">
      <c r="A2804" s="9"/>
      <c r="B2804" s="15"/>
      <c r="C2804" s="9">
        <f>IFERROR(__xludf.DUMMYFUNCTION("""COMPUTED_VALUE"""),44576.2931268055)</f>
        <v>44576.29313</v>
      </c>
      <c r="D2804" s="15">
        <f>IFERROR(__xludf.DUMMYFUNCTION("""COMPUTED_VALUE"""),1.007)</f>
        <v>1.007</v>
      </c>
      <c r="E2804" s="16">
        <f>IFERROR(__xludf.DUMMYFUNCTION("""COMPUTED_VALUE"""),68.0)</f>
        <v>68</v>
      </c>
      <c r="F2804" s="19" t="str">
        <f>IFERROR(__xludf.DUMMYFUNCTION("""COMPUTED_VALUE"""),"BLACK")</f>
        <v>BLACK</v>
      </c>
      <c r="G2804" s="20" t="str">
        <f>IFERROR(__xludf.DUMMYFUNCTION("""COMPUTED_VALUE"""),"Uncle Sams Cider (11/12/2021) 02")</f>
        <v>Uncle Sams Cider (11/12/2021) 02</v>
      </c>
      <c r="H2804" s="19"/>
    </row>
    <row r="2805">
      <c r="A2805" s="9"/>
      <c r="B2805" s="15"/>
      <c r="C2805" s="9">
        <f>IFERROR(__xludf.DUMMYFUNCTION("""COMPUTED_VALUE"""),44576.2827075694)</f>
        <v>44576.28271</v>
      </c>
      <c r="D2805" s="15">
        <f>IFERROR(__xludf.DUMMYFUNCTION("""COMPUTED_VALUE"""),1.006)</f>
        <v>1.006</v>
      </c>
      <c r="E2805" s="16">
        <f>IFERROR(__xludf.DUMMYFUNCTION("""COMPUTED_VALUE"""),68.0)</f>
        <v>68</v>
      </c>
      <c r="F2805" s="19" t="str">
        <f>IFERROR(__xludf.DUMMYFUNCTION("""COMPUTED_VALUE"""),"BLACK")</f>
        <v>BLACK</v>
      </c>
      <c r="G2805" s="20" t="str">
        <f>IFERROR(__xludf.DUMMYFUNCTION("""COMPUTED_VALUE"""),"Uncle Sams Cider (11/12/2021) 02")</f>
        <v>Uncle Sams Cider (11/12/2021) 02</v>
      </c>
      <c r="H2805" s="19"/>
    </row>
    <row r="2806">
      <c r="A2806" s="9"/>
      <c r="B2806" s="15"/>
      <c r="C2806" s="9">
        <f>IFERROR(__xludf.DUMMYFUNCTION("""COMPUTED_VALUE"""),44576.2722731134)</f>
        <v>44576.27227</v>
      </c>
      <c r="D2806" s="15">
        <f>IFERROR(__xludf.DUMMYFUNCTION("""COMPUTED_VALUE"""),1.007)</f>
        <v>1.007</v>
      </c>
      <c r="E2806" s="16">
        <f>IFERROR(__xludf.DUMMYFUNCTION("""COMPUTED_VALUE"""),67.0)</f>
        <v>67</v>
      </c>
      <c r="F2806" s="19" t="str">
        <f>IFERROR(__xludf.DUMMYFUNCTION("""COMPUTED_VALUE"""),"BLACK")</f>
        <v>BLACK</v>
      </c>
      <c r="G2806" s="20" t="str">
        <f>IFERROR(__xludf.DUMMYFUNCTION("""COMPUTED_VALUE"""),"Uncle Sams Cider (11/12/2021) 02")</f>
        <v>Uncle Sams Cider (11/12/2021) 02</v>
      </c>
      <c r="H2806" s="19"/>
    </row>
    <row r="2807">
      <c r="A2807" s="9"/>
      <c r="B2807" s="15"/>
      <c r="C2807" s="9">
        <f>IFERROR(__xludf.DUMMYFUNCTION("""COMPUTED_VALUE"""),44576.2618397453)</f>
        <v>44576.26184</v>
      </c>
      <c r="D2807" s="15">
        <f>IFERROR(__xludf.DUMMYFUNCTION("""COMPUTED_VALUE"""),1.007)</f>
        <v>1.007</v>
      </c>
      <c r="E2807" s="16">
        <f>IFERROR(__xludf.DUMMYFUNCTION("""COMPUTED_VALUE"""),67.0)</f>
        <v>67</v>
      </c>
      <c r="F2807" s="19" t="str">
        <f>IFERROR(__xludf.DUMMYFUNCTION("""COMPUTED_VALUE"""),"BLACK")</f>
        <v>BLACK</v>
      </c>
      <c r="G2807" s="20" t="str">
        <f>IFERROR(__xludf.DUMMYFUNCTION("""COMPUTED_VALUE"""),"Uncle Sams Cider (11/12/2021) 02")</f>
        <v>Uncle Sams Cider (11/12/2021) 02</v>
      </c>
      <c r="H2807" s="19"/>
    </row>
    <row r="2808">
      <c r="A2808" s="9"/>
      <c r="B2808" s="15"/>
      <c r="C2808" s="9">
        <f>IFERROR(__xludf.DUMMYFUNCTION("""COMPUTED_VALUE"""),44576.2514191087)</f>
        <v>44576.25142</v>
      </c>
      <c r="D2808" s="15">
        <f>IFERROR(__xludf.DUMMYFUNCTION("""COMPUTED_VALUE"""),1.007)</f>
        <v>1.007</v>
      </c>
      <c r="E2808" s="16">
        <f>IFERROR(__xludf.DUMMYFUNCTION("""COMPUTED_VALUE"""),67.0)</f>
        <v>67</v>
      </c>
      <c r="F2808" s="19" t="str">
        <f>IFERROR(__xludf.DUMMYFUNCTION("""COMPUTED_VALUE"""),"BLACK")</f>
        <v>BLACK</v>
      </c>
      <c r="G2808" s="20" t="str">
        <f>IFERROR(__xludf.DUMMYFUNCTION("""COMPUTED_VALUE"""),"Uncle Sams Cider (11/12/2021) 02")</f>
        <v>Uncle Sams Cider (11/12/2021) 02</v>
      </c>
      <c r="H2808" s="19"/>
    </row>
    <row r="2809">
      <c r="A2809" s="9"/>
      <c r="B2809" s="15"/>
      <c r="C2809" s="9">
        <f>IFERROR(__xludf.DUMMYFUNCTION("""COMPUTED_VALUE"""),44576.2409971643)</f>
        <v>44576.241</v>
      </c>
      <c r="D2809" s="15">
        <f>IFERROR(__xludf.DUMMYFUNCTION("""COMPUTED_VALUE"""),1.007)</f>
        <v>1.007</v>
      </c>
      <c r="E2809" s="16">
        <f>IFERROR(__xludf.DUMMYFUNCTION("""COMPUTED_VALUE"""),66.0)</f>
        <v>66</v>
      </c>
      <c r="F2809" s="19" t="str">
        <f>IFERROR(__xludf.DUMMYFUNCTION("""COMPUTED_VALUE"""),"BLACK")</f>
        <v>BLACK</v>
      </c>
      <c r="G2809" s="20" t="str">
        <f>IFERROR(__xludf.DUMMYFUNCTION("""COMPUTED_VALUE"""),"Uncle Sams Cider (11/12/2021) 02")</f>
        <v>Uncle Sams Cider (11/12/2021) 02</v>
      </c>
      <c r="H2809" s="19"/>
    </row>
    <row r="2810">
      <c r="A2810" s="9"/>
      <c r="B2810" s="15"/>
      <c r="C2810" s="9">
        <f>IFERROR(__xludf.DUMMYFUNCTION("""COMPUTED_VALUE"""),44576.2305629976)</f>
        <v>44576.23056</v>
      </c>
      <c r="D2810" s="15">
        <f>IFERROR(__xludf.DUMMYFUNCTION("""COMPUTED_VALUE"""),1.007)</f>
        <v>1.007</v>
      </c>
      <c r="E2810" s="16">
        <f>IFERROR(__xludf.DUMMYFUNCTION("""COMPUTED_VALUE"""),66.0)</f>
        <v>66</v>
      </c>
      <c r="F2810" s="19" t="str">
        <f>IFERROR(__xludf.DUMMYFUNCTION("""COMPUTED_VALUE"""),"BLACK")</f>
        <v>BLACK</v>
      </c>
      <c r="G2810" s="20" t="str">
        <f>IFERROR(__xludf.DUMMYFUNCTION("""COMPUTED_VALUE"""),"Uncle Sams Cider (11/12/2021) 02")</f>
        <v>Uncle Sams Cider (11/12/2021) 02</v>
      </c>
      <c r="H2810" s="19"/>
    </row>
    <row r="2811">
      <c r="A2811" s="9"/>
      <c r="B2811" s="15"/>
      <c r="C2811" s="9">
        <f>IFERROR(__xludf.DUMMYFUNCTION("""COMPUTED_VALUE"""),44576.2201080787)</f>
        <v>44576.22011</v>
      </c>
      <c r="D2811" s="15">
        <f>IFERROR(__xludf.DUMMYFUNCTION("""COMPUTED_VALUE"""),1.007)</f>
        <v>1.007</v>
      </c>
      <c r="E2811" s="16">
        <f>IFERROR(__xludf.DUMMYFUNCTION("""COMPUTED_VALUE"""),65.0)</f>
        <v>65</v>
      </c>
      <c r="F2811" s="19" t="str">
        <f>IFERROR(__xludf.DUMMYFUNCTION("""COMPUTED_VALUE"""),"BLACK")</f>
        <v>BLACK</v>
      </c>
      <c r="G2811" s="20" t="str">
        <f>IFERROR(__xludf.DUMMYFUNCTION("""COMPUTED_VALUE"""),"Uncle Sams Cider (11/12/2021) 02")</f>
        <v>Uncle Sams Cider (11/12/2021) 02</v>
      </c>
      <c r="H2811" s="19"/>
    </row>
    <row r="2812">
      <c r="A2812" s="9"/>
      <c r="B2812" s="15"/>
      <c r="C2812" s="9">
        <f>IFERROR(__xludf.DUMMYFUNCTION("""COMPUTED_VALUE"""),44576.2096859027)</f>
        <v>44576.20969</v>
      </c>
      <c r="D2812" s="15">
        <f>IFERROR(__xludf.DUMMYFUNCTION("""COMPUTED_VALUE"""),1.007)</f>
        <v>1.007</v>
      </c>
      <c r="E2812" s="16">
        <f>IFERROR(__xludf.DUMMYFUNCTION("""COMPUTED_VALUE"""),65.0)</f>
        <v>65</v>
      </c>
      <c r="F2812" s="19" t="str">
        <f>IFERROR(__xludf.DUMMYFUNCTION("""COMPUTED_VALUE"""),"BLACK")</f>
        <v>BLACK</v>
      </c>
      <c r="G2812" s="20" t="str">
        <f>IFERROR(__xludf.DUMMYFUNCTION("""COMPUTED_VALUE"""),"Uncle Sams Cider (11/12/2021) 02")</f>
        <v>Uncle Sams Cider (11/12/2021) 02</v>
      </c>
      <c r="H2812" s="19"/>
    </row>
    <row r="2813">
      <c r="A2813" s="9"/>
      <c r="B2813" s="15"/>
      <c r="C2813" s="9">
        <f>IFERROR(__xludf.DUMMYFUNCTION("""COMPUTED_VALUE"""),44576.1992635416)</f>
        <v>44576.19926</v>
      </c>
      <c r="D2813" s="15">
        <f>IFERROR(__xludf.DUMMYFUNCTION("""COMPUTED_VALUE"""),1.007)</f>
        <v>1.007</v>
      </c>
      <c r="E2813" s="16">
        <f>IFERROR(__xludf.DUMMYFUNCTION("""COMPUTED_VALUE"""),65.0)</f>
        <v>65</v>
      </c>
      <c r="F2813" s="19" t="str">
        <f>IFERROR(__xludf.DUMMYFUNCTION("""COMPUTED_VALUE"""),"BLACK")</f>
        <v>BLACK</v>
      </c>
      <c r="G2813" s="20" t="str">
        <f>IFERROR(__xludf.DUMMYFUNCTION("""COMPUTED_VALUE"""),"Uncle Sams Cider (11/12/2021) 02")</f>
        <v>Uncle Sams Cider (11/12/2021) 02</v>
      </c>
      <c r="H2813" s="19"/>
    </row>
    <row r="2814">
      <c r="A2814" s="9"/>
      <c r="B2814" s="15"/>
      <c r="C2814" s="9">
        <f>IFERROR(__xludf.DUMMYFUNCTION("""COMPUTED_VALUE"""),44576.1888424189)</f>
        <v>44576.18884</v>
      </c>
      <c r="D2814" s="15">
        <f>IFERROR(__xludf.DUMMYFUNCTION("""COMPUTED_VALUE"""),1.007)</f>
        <v>1.007</v>
      </c>
      <c r="E2814" s="16">
        <f>IFERROR(__xludf.DUMMYFUNCTION("""COMPUTED_VALUE"""),64.0)</f>
        <v>64</v>
      </c>
      <c r="F2814" s="19" t="str">
        <f>IFERROR(__xludf.DUMMYFUNCTION("""COMPUTED_VALUE"""),"BLACK")</f>
        <v>BLACK</v>
      </c>
      <c r="G2814" s="20" t="str">
        <f>IFERROR(__xludf.DUMMYFUNCTION("""COMPUTED_VALUE"""),"Uncle Sams Cider (11/12/2021) 02")</f>
        <v>Uncle Sams Cider (11/12/2021) 02</v>
      </c>
      <c r="H2814" s="19"/>
    </row>
    <row r="2815">
      <c r="A2815" s="9"/>
      <c r="B2815" s="15"/>
      <c r="C2815" s="9">
        <f>IFERROR(__xludf.DUMMYFUNCTION("""COMPUTED_VALUE"""),44576.1784217245)</f>
        <v>44576.17842</v>
      </c>
      <c r="D2815" s="15">
        <f>IFERROR(__xludf.DUMMYFUNCTION("""COMPUTED_VALUE"""),1.007)</f>
        <v>1.007</v>
      </c>
      <c r="E2815" s="16">
        <f>IFERROR(__xludf.DUMMYFUNCTION("""COMPUTED_VALUE"""),64.0)</f>
        <v>64</v>
      </c>
      <c r="F2815" s="19" t="str">
        <f>IFERROR(__xludf.DUMMYFUNCTION("""COMPUTED_VALUE"""),"BLACK")</f>
        <v>BLACK</v>
      </c>
      <c r="G2815" s="20" t="str">
        <f>IFERROR(__xludf.DUMMYFUNCTION("""COMPUTED_VALUE"""),"Uncle Sams Cider (11/12/2021) 02")</f>
        <v>Uncle Sams Cider (11/12/2021) 02</v>
      </c>
      <c r="H2815" s="19"/>
    </row>
    <row r="2816">
      <c r="A2816" s="9"/>
      <c r="B2816" s="15"/>
      <c r="C2816" s="9">
        <f>IFERROR(__xludf.DUMMYFUNCTION("""COMPUTED_VALUE"""),44576.1680003472)</f>
        <v>44576.168</v>
      </c>
      <c r="D2816" s="15">
        <f>IFERROR(__xludf.DUMMYFUNCTION("""COMPUTED_VALUE"""),1.007)</f>
        <v>1.007</v>
      </c>
      <c r="E2816" s="16">
        <f>IFERROR(__xludf.DUMMYFUNCTION("""COMPUTED_VALUE"""),63.0)</f>
        <v>63</v>
      </c>
      <c r="F2816" s="19" t="str">
        <f>IFERROR(__xludf.DUMMYFUNCTION("""COMPUTED_VALUE"""),"BLACK")</f>
        <v>BLACK</v>
      </c>
      <c r="G2816" s="20" t="str">
        <f>IFERROR(__xludf.DUMMYFUNCTION("""COMPUTED_VALUE"""),"Uncle Sams Cider (11/12/2021) 02")</f>
        <v>Uncle Sams Cider (11/12/2021) 02</v>
      </c>
      <c r="H2816" s="19"/>
    </row>
    <row r="2817">
      <c r="A2817" s="9"/>
      <c r="B2817" s="15"/>
      <c r="C2817" s="9">
        <f>IFERROR(__xludf.DUMMYFUNCTION("""COMPUTED_VALUE"""),44576.1575817939)</f>
        <v>44576.15758</v>
      </c>
      <c r="D2817" s="15">
        <f>IFERROR(__xludf.DUMMYFUNCTION("""COMPUTED_VALUE"""),1.007)</f>
        <v>1.007</v>
      </c>
      <c r="E2817" s="16">
        <f>IFERROR(__xludf.DUMMYFUNCTION("""COMPUTED_VALUE"""),63.0)</f>
        <v>63</v>
      </c>
      <c r="F2817" s="19" t="str">
        <f>IFERROR(__xludf.DUMMYFUNCTION("""COMPUTED_VALUE"""),"BLACK")</f>
        <v>BLACK</v>
      </c>
      <c r="G2817" s="20" t="str">
        <f>IFERROR(__xludf.DUMMYFUNCTION("""COMPUTED_VALUE"""),"Uncle Sams Cider (11/12/2021) 02")</f>
        <v>Uncle Sams Cider (11/12/2021) 02</v>
      </c>
      <c r="H2817" s="19"/>
    </row>
    <row r="2818">
      <c r="A2818" s="9"/>
      <c r="B2818" s="15"/>
      <c r="C2818" s="9">
        <f>IFERROR(__xludf.DUMMYFUNCTION("""COMPUTED_VALUE"""),44576.1471595717)</f>
        <v>44576.14716</v>
      </c>
      <c r="D2818" s="15">
        <f>IFERROR(__xludf.DUMMYFUNCTION("""COMPUTED_VALUE"""),1.007)</f>
        <v>1.007</v>
      </c>
      <c r="E2818" s="16">
        <f>IFERROR(__xludf.DUMMYFUNCTION("""COMPUTED_VALUE"""),63.0)</f>
        <v>63</v>
      </c>
      <c r="F2818" s="19" t="str">
        <f>IFERROR(__xludf.DUMMYFUNCTION("""COMPUTED_VALUE"""),"BLACK")</f>
        <v>BLACK</v>
      </c>
      <c r="G2818" s="20" t="str">
        <f>IFERROR(__xludf.DUMMYFUNCTION("""COMPUTED_VALUE"""),"Uncle Sams Cider (11/12/2021) 02")</f>
        <v>Uncle Sams Cider (11/12/2021) 02</v>
      </c>
      <c r="H2818" s="19"/>
    </row>
    <row r="2819">
      <c r="A2819" s="9"/>
      <c r="B2819" s="15"/>
      <c r="C2819" s="9">
        <f>IFERROR(__xludf.DUMMYFUNCTION("""COMPUTED_VALUE"""),44576.1367278935)</f>
        <v>44576.13673</v>
      </c>
      <c r="D2819" s="15">
        <f>IFERROR(__xludf.DUMMYFUNCTION("""COMPUTED_VALUE"""),1.007)</f>
        <v>1.007</v>
      </c>
      <c r="E2819" s="16">
        <f>IFERROR(__xludf.DUMMYFUNCTION("""COMPUTED_VALUE"""),63.0)</f>
        <v>63</v>
      </c>
      <c r="F2819" s="19" t="str">
        <f>IFERROR(__xludf.DUMMYFUNCTION("""COMPUTED_VALUE"""),"BLACK")</f>
        <v>BLACK</v>
      </c>
      <c r="G2819" s="20" t="str">
        <f>IFERROR(__xludf.DUMMYFUNCTION("""COMPUTED_VALUE"""),"Uncle Sams Cider (11/12/2021) 02")</f>
        <v>Uncle Sams Cider (11/12/2021) 02</v>
      </c>
      <c r="H2819" s="19"/>
    </row>
    <row r="2820">
      <c r="A2820" s="9"/>
      <c r="B2820" s="15"/>
      <c r="C2820" s="9">
        <f>IFERROR(__xludf.DUMMYFUNCTION("""COMPUTED_VALUE"""),44576.1262941435)</f>
        <v>44576.12629</v>
      </c>
      <c r="D2820" s="15">
        <f>IFERROR(__xludf.DUMMYFUNCTION("""COMPUTED_VALUE"""),1.007)</f>
        <v>1.007</v>
      </c>
      <c r="E2820" s="16">
        <f>IFERROR(__xludf.DUMMYFUNCTION("""COMPUTED_VALUE"""),63.0)</f>
        <v>63</v>
      </c>
      <c r="F2820" s="19" t="str">
        <f>IFERROR(__xludf.DUMMYFUNCTION("""COMPUTED_VALUE"""),"BLACK")</f>
        <v>BLACK</v>
      </c>
      <c r="G2820" s="20" t="str">
        <f>IFERROR(__xludf.DUMMYFUNCTION("""COMPUTED_VALUE"""),"Uncle Sams Cider (11/12/2021) 02")</f>
        <v>Uncle Sams Cider (11/12/2021) 02</v>
      </c>
      <c r="H2820" s="19"/>
    </row>
    <row r="2821">
      <c r="A2821" s="9"/>
      <c r="B2821" s="15"/>
      <c r="C2821" s="9">
        <f>IFERROR(__xludf.DUMMYFUNCTION("""COMPUTED_VALUE"""),44576.1158727777)</f>
        <v>44576.11587</v>
      </c>
      <c r="D2821" s="15">
        <f>IFERROR(__xludf.DUMMYFUNCTION("""COMPUTED_VALUE"""),1.007)</f>
        <v>1.007</v>
      </c>
      <c r="E2821" s="16">
        <f>IFERROR(__xludf.DUMMYFUNCTION("""COMPUTED_VALUE"""),63.0)</f>
        <v>63</v>
      </c>
      <c r="F2821" s="19" t="str">
        <f>IFERROR(__xludf.DUMMYFUNCTION("""COMPUTED_VALUE"""),"BLACK")</f>
        <v>BLACK</v>
      </c>
      <c r="G2821" s="20" t="str">
        <f>IFERROR(__xludf.DUMMYFUNCTION("""COMPUTED_VALUE"""),"Uncle Sams Cider (11/12/2021) 02")</f>
        <v>Uncle Sams Cider (11/12/2021) 02</v>
      </c>
      <c r="H2821" s="19"/>
    </row>
    <row r="2822">
      <c r="A2822" s="9"/>
      <c r="B2822" s="15"/>
      <c r="C2822" s="9">
        <f>IFERROR(__xludf.DUMMYFUNCTION("""COMPUTED_VALUE"""),44576.1054505439)</f>
        <v>44576.10545</v>
      </c>
      <c r="D2822" s="15">
        <f>IFERROR(__xludf.DUMMYFUNCTION("""COMPUTED_VALUE"""),1.007)</f>
        <v>1.007</v>
      </c>
      <c r="E2822" s="16">
        <f>IFERROR(__xludf.DUMMYFUNCTION("""COMPUTED_VALUE"""),63.0)</f>
        <v>63</v>
      </c>
      <c r="F2822" s="19" t="str">
        <f>IFERROR(__xludf.DUMMYFUNCTION("""COMPUTED_VALUE"""),"BLACK")</f>
        <v>BLACK</v>
      </c>
      <c r="G2822" s="20" t="str">
        <f>IFERROR(__xludf.DUMMYFUNCTION("""COMPUTED_VALUE"""),"Uncle Sams Cider (11/12/2021) 02")</f>
        <v>Uncle Sams Cider (11/12/2021) 02</v>
      </c>
      <c r="H2822" s="19"/>
    </row>
    <row r="2823">
      <c r="A2823" s="9"/>
      <c r="B2823" s="15"/>
      <c r="C2823" s="9">
        <f>IFERROR(__xludf.DUMMYFUNCTION("""COMPUTED_VALUE"""),44576.0950278935)</f>
        <v>44576.09503</v>
      </c>
      <c r="D2823" s="15">
        <f>IFERROR(__xludf.DUMMYFUNCTION("""COMPUTED_VALUE"""),1.007)</f>
        <v>1.007</v>
      </c>
      <c r="E2823" s="16">
        <f>IFERROR(__xludf.DUMMYFUNCTION("""COMPUTED_VALUE"""),63.0)</f>
        <v>63</v>
      </c>
      <c r="F2823" s="19" t="str">
        <f>IFERROR(__xludf.DUMMYFUNCTION("""COMPUTED_VALUE"""),"BLACK")</f>
        <v>BLACK</v>
      </c>
      <c r="G2823" s="20" t="str">
        <f>IFERROR(__xludf.DUMMYFUNCTION("""COMPUTED_VALUE"""),"Uncle Sams Cider (11/12/2021) 02")</f>
        <v>Uncle Sams Cider (11/12/2021) 02</v>
      </c>
      <c r="H2823" s="19"/>
    </row>
    <row r="2824">
      <c r="A2824" s="9"/>
      <c r="B2824" s="15"/>
      <c r="C2824" s="9">
        <f>IFERROR(__xludf.DUMMYFUNCTION("""COMPUTED_VALUE"""),44576.0845833796)</f>
        <v>44576.08458</v>
      </c>
      <c r="D2824" s="15">
        <f>IFERROR(__xludf.DUMMYFUNCTION("""COMPUTED_VALUE"""),1.007)</f>
        <v>1.007</v>
      </c>
      <c r="E2824" s="16">
        <f>IFERROR(__xludf.DUMMYFUNCTION("""COMPUTED_VALUE"""),63.0)</f>
        <v>63</v>
      </c>
      <c r="F2824" s="19" t="str">
        <f>IFERROR(__xludf.DUMMYFUNCTION("""COMPUTED_VALUE"""),"BLACK")</f>
        <v>BLACK</v>
      </c>
      <c r="G2824" s="20" t="str">
        <f>IFERROR(__xludf.DUMMYFUNCTION("""COMPUTED_VALUE"""),"Uncle Sams Cider (11/12/2021) 02")</f>
        <v>Uncle Sams Cider (11/12/2021) 02</v>
      </c>
      <c r="H2824" s="19"/>
    </row>
    <row r="2825">
      <c r="A2825" s="9"/>
      <c r="B2825" s="15"/>
      <c r="C2825" s="9">
        <f>IFERROR(__xludf.DUMMYFUNCTION("""COMPUTED_VALUE"""),44576.0741625578)</f>
        <v>44576.07416</v>
      </c>
      <c r="D2825" s="15">
        <f>IFERROR(__xludf.DUMMYFUNCTION("""COMPUTED_VALUE"""),1.007)</f>
        <v>1.007</v>
      </c>
      <c r="E2825" s="16">
        <f>IFERROR(__xludf.DUMMYFUNCTION("""COMPUTED_VALUE"""),63.0)</f>
        <v>63</v>
      </c>
      <c r="F2825" s="19" t="str">
        <f>IFERROR(__xludf.DUMMYFUNCTION("""COMPUTED_VALUE"""),"BLACK")</f>
        <v>BLACK</v>
      </c>
      <c r="G2825" s="20" t="str">
        <f>IFERROR(__xludf.DUMMYFUNCTION("""COMPUTED_VALUE"""),"Uncle Sams Cider (11/12/2021) 02")</f>
        <v>Uncle Sams Cider (11/12/2021) 02</v>
      </c>
      <c r="H2825" s="19"/>
    </row>
    <row r="2826">
      <c r="A2826" s="9"/>
      <c r="B2826" s="15"/>
      <c r="C2826" s="9">
        <f>IFERROR(__xludf.DUMMYFUNCTION("""COMPUTED_VALUE"""),44576.0637279282)</f>
        <v>44576.06373</v>
      </c>
      <c r="D2826" s="15">
        <f>IFERROR(__xludf.DUMMYFUNCTION("""COMPUTED_VALUE"""),1.007)</f>
        <v>1.007</v>
      </c>
      <c r="E2826" s="16">
        <f>IFERROR(__xludf.DUMMYFUNCTION("""COMPUTED_VALUE"""),63.0)</f>
        <v>63</v>
      </c>
      <c r="F2826" s="19" t="str">
        <f>IFERROR(__xludf.DUMMYFUNCTION("""COMPUTED_VALUE"""),"BLACK")</f>
        <v>BLACK</v>
      </c>
      <c r="G2826" s="20" t="str">
        <f>IFERROR(__xludf.DUMMYFUNCTION("""COMPUTED_VALUE"""),"Uncle Sams Cider (11/12/2021) 02")</f>
        <v>Uncle Sams Cider (11/12/2021) 02</v>
      </c>
      <c r="H2826" s="19"/>
    </row>
    <row r="2827">
      <c r="A2827" s="9"/>
      <c r="B2827" s="15"/>
      <c r="C2827" s="9">
        <f>IFERROR(__xludf.DUMMYFUNCTION("""COMPUTED_VALUE"""),44576.0532704629)</f>
        <v>44576.05327</v>
      </c>
      <c r="D2827" s="15">
        <f>IFERROR(__xludf.DUMMYFUNCTION("""COMPUTED_VALUE"""),1.007)</f>
        <v>1.007</v>
      </c>
      <c r="E2827" s="16">
        <f>IFERROR(__xludf.DUMMYFUNCTION("""COMPUTED_VALUE"""),63.0)</f>
        <v>63</v>
      </c>
      <c r="F2827" s="19" t="str">
        <f>IFERROR(__xludf.DUMMYFUNCTION("""COMPUTED_VALUE"""),"BLACK")</f>
        <v>BLACK</v>
      </c>
      <c r="G2827" s="20" t="str">
        <f>IFERROR(__xludf.DUMMYFUNCTION("""COMPUTED_VALUE"""),"Uncle Sams Cider (11/12/2021) 02")</f>
        <v>Uncle Sams Cider (11/12/2021) 02</v>
      </c>
      <c r="H2827" s="19"/>
    </row>
    <row r="2828">
      <c r="A2828" s="9"/>
      <c r="B2828" s="15"/>
      <c r="C2828" s="9">
        <f>IFERROR(__xludf.DUMMYFUNCTION("""COMPUTED_VALUE"""),44576.0428501504)</f>
        <v>44576.04285</v>
      </c>
      <c r="D2828" s="15">
        <f>IFERROR(__xludf.DUMMYFUNCTION("""COMPUTED_VALUE"""),1.008)</f>
        <v>1.008</v>
      </c>
      <c r="E2828" s="16">
        <f>IFERROR(__xludf.DUMMYFUNCTION("""COMPUTED_VALUE"""),63.0)</f>
        <v>63</v>
      </c>
      <c r="F2828" s="19" t="str">
        <f>IFERROR(__xludf.DUMMYFUNCTION("""COMPUTED_VALUE"""),"BLACK")</f>
        <v>BLACK</v>
      </c>
      <c r="G2828" s="20" t="str">
        <f>IFERROR(__xludf.DUMMYFUNCTION("""COMPUTED_VALUE"""),"Uncle Sams Cider (11/12/2021) 02")</f>
        <v>Uncle Sams Cider (11/12/2021) 02</v>
      </c>
      <c r="H2828" s="19"/>
    </row>
    <row r="2829">
      <c r="A2829" s="9"/>
      <c r="B2829" s="15"/>
      <c r="C2829" s="9">
        <f>IFERROR(__xludf.DUMMYFUNCTION("""COMPUTED_VALUE"""),44576.0323592476)</f>
        <v>44576.03236</v>
      </c>
      <c r="D2829" s="15">
        <f>IFERROR(__xludf.DUMMYFUNCTION("""COMPUTED_VALUE"""),1.008)</f>
        <v>1.008</v>
      </c>
      <c r="E2829" s="16">
        <f>IFERROR(__xludf.DUMMYFUNCTION("""COMPUTED_VALUE"""),63.0)</f>
        <v>63</v>
      </c>
      <c r="F2829" s="19" t="str">
        <f>IFERROR(__xludf.DUMMYFUNCTION("""COMPUTED_VALUE"""),"BLACK")</f>
        <v>BLACK</v>
      </c>
      <c r="G2829" s="20" t="str">
        <f>IFERROR(__xludf.DUMMYFUNCTION("""COMPUTED_VALUE"""),"Uncle Sams Cider (11/12/2021) 02")</f>
        <v>Uncle Sams Cider (11/12/2021) 02</v>
      </c>
      <c r="H2829" s="19"/>
    </row>
    <row r="2830">
      <c r="A2830" s="9"/>
      <c r="B2830" s="15"/>
      <c r="C2830" s="9">
        <f>IFERROR(__xludf.DUMMYFUNCTION("""COMPUTED_VALUE"""),44576.0219265509)</f>
        <v>44576.02193</v>
      </c>
      <c r="D2830" s="15">
        <f>IFERROR(__xludf.DUMMYFUNCTION("""COMPUTED_VALUE"""),1.007)</f>
        <v>1.007</v>
      </c>
      <c r="E2830" s="16">
        <f>IFERROR(__xludf.DUMMYFUNCTION("""COMPUTED_VALUE"""),63.0)</f>
        <v>63</v>
      </c>
      <c r="F2830" s="19" t="str">
        <f>IFERROR(__xludf.DUMMYFUNCTION("""COMPUTED_VALUE"""),"BLACK")</f>
        <v>BLACK</v>
      </c>
      <c r="G2830" s="20" t="str">
        <f>IFERROR(__xludf.DUMMYFUNCTION("""COMPUTED_VALUE"""),"Uncle Sams Cider (11/12/2021) 02")</f>
        <v>Uncle Sams Cider (11/12/2021) 02</v>
      </c>
      <c r="H2830" s="19"/>
    </row>
    <row r="2831">
      <c r="A2831" s="9"/>
      <c r="B2831" s="15"/>
      <c r="C2831" s="9">
        <f>IFERROR(__xludf.DUMMYFUNCTION("""COMPUTED_VALUE"""),44576.0114684722)</f>
        <v>44576.01147</v>
      </c>
      <c r="D2831" s="15">
        <f>IFERROR(__xludf.DUMMYFUNCTION("""COMPUTED_VALUE"""),1.007)</f>
        <v>1.007</v>
      </c>
      <c r="E2831" s="16">
        <f>IFERROR(__xludf.DUMMYFUNCTION("""COMPUTED_VALUE"""),63.0)</f>
        <v>63</v>
      </c>
      <c r="F2831" s="19" t="str">
        <f>IFERROR(__xludf.DUMMYFUNCTION("""COMPUTED_VALUE"""),"BLACK")</f>
        <v>BLACK</v>
      </c>
      <c r="G2831" s="20" t="str">
        <f>IFERROR(__xludf.DUMMYFUNCTION("""COMPUTED_VALUE"""),"Uncle Sams Cider (11/12/2021) 02")</f>
        <v>Uncle Sams Cider (11/12/2021) 02</v>
      </c>
      <c r="H2831" s="19"/>
    </row>
    <row r="2832">
      <c r="A2832" s="9"/>
      <c r="B2832" s="15"/>
      <c r="C2832" s="9">
        <f>IFERROR(__xludf.DUMMYFUNCTION("""COMPUTED_VALUE"""),44576.0010473495)</f>
        <v>44576.00105</v>
      </c>
      <c r="D2832" s="15">
        <f>IFERROR(__xludf.DUMMYFUNCTION("""COMPUTED_VALUE"""),1.007)</f>
        <v>1.007</v>
      </c>
      <c r="E2832" s="16">
        <f>IFERROR(__xludf.DUMMYFUNCTION("""COMPUTED_VALUE"""),63.0)</f>
        <v>63</v>
      </c>
      <c r="F2832" s="19" t="str">
        <f>IFERROR(__xludf.DUMMYFUNCTION("""COMPUTED_VALUE"""),"BLACK")</f>
        <v>BLACK</v>
      </c>
      <c r="G2832" s="20" t="str">
        <f>IFERROR(__xludf.DUMMYFUNCTION("""COMPUTED_VALUE"""),"Uncle Sams Cider (11/12/2021) 02")</f>
        <v>Uncle Sams Cider (11/12/2021) 02</v>
      </c>
      <c r="H2832" s="19"/>
    </row>
    <row r="2833">
      <c r="A2833" s="9"/>
      <c r="B2833" s="15"/>
      <c r="C2833" s="9">
        <f>IFERROR(__xludf.DUMMYFUNCTION("""COMPUTED_VALUE"""),44575.9906273263)</f>
        <v>44575.99063</v>
      </c>
      <c r="D2833" s="15">
        <f>IFERROR(__xludf.DUMMYFUNCTION("""COMPUTED_VALUE"""),1.007)</f>
        <v>1.007</v>
      </c>
      <c r="E2833" s="16">
        <f>IFERROR(__xludf.DUMMYFUNCTION("""COMPUTED_VALUE"""),63.0)</f>
        <v>63</v>
      </c>
      <c r="F2833" s="19" t="str">
        <f>IFERROR(__xludf.DUMMYFUNCTION("""COMPUTED_VALUE"""),"BLACK")</f>
        <v>BLACK</v>
      </c>
      <c r="G2833" s="20" t="str">
        <f>IFERROR(__xludf.DUMMYFUNCTION("""COMPUTED_VALUE"""),"Uncle Sams Cider (11/12/2021) 02")</f>
        <v>Uncle Sams Cider (11/12/2021) 02</v>
      </c>
      <c r="H2833" s="19"/>
    </row>
    <row r="2834">
      <c r="A2834" s="9"/>
      <c r="B2834" s="15"/>
      <c r="C2834" s="9">
        <f>IFERROR(__xludf.DUMMYFUNCTION("""COMPUTED_VALUE"""),44575.9801823726)</f>
        <v>44575.98018</v>
      </c>
      <c r="D2834" s="15">
        <f>IFERROR(__xludf.DUMMYFUNCTION("""COMPUTED_VALUE"""),1.007)</f>
        <v>1.007</v>
      </c>
      <c r="E2834" s="16">
        <f>IFERROR(__xludf.DUMMYFUNCTION("""COMPUTED_VALUE"""),63.0)</f>
        <v>63</v>
      </c>
      <c r="F2834" s="19" t="str">
        <f>IFERROR(__xludf.DUMMYFUNCTION("""COMPUTED_VALUE"""),"BLACK")</f>
        <v>BLACK</v>
      </c>
      <c r="G2834" s="20" t="str">
        <f>IFERROR(__xludf.DUMMYFUNCTION("""COMPUTED_VALUE"""),"Uncle Sams Cider (11/12/2021) 02")</f>
        <v>Uncle Sams Cider (11/12/2021) 02</v>
      </c>
      <c r="H2834" s="19"/>
    </row>
    <row r="2835">
      <c r="A2835" s="9"/>
      <c r="B2835" s="15"/>
      <c r="C2835" s="9">
        <f>IFERROR(__xludf.DUMMYFUNCTION("""COMPUTED_VALUE"""),44575.9697623495)</f>
        <v>44575.96976</v>
      </c>
      <c r="D2835" s="15">
        <f>IFERROR(__xludf.DUMMYFUNCTION("""COMPUTED_VALUE"""),1.008)</f>
        <v>1.008</v>
      </c>
      <c r="E2835" s="16">
        <f>IFERROR(__xludf.DUMMYFUNCTION("""COMPUTED_VALUE"""),63.0)</f>
        <v>63</v>
      </c>
      <c r="F2835" s="19" t="str">
        <f>IFERROR(__xludf.DUMMYFUNCTION("""COMPUTED_VALUE"""),"BLACK")</f>
        <v>BLACK</v>
      </c>
      <c r="G2835" s="20" t="str">
        <f>IFERROR(__xludf.DUMMYFUNCTION("""COMPUTED_VALUE"""),"Uncle Sams Cider (11/12/2021) 02")</f>
        <v>Uncle Sams Cider (11/12/2021) 02</v>
      </c>
      <c r="H2835" s="19"/>
    </row>
    <row r="2836">
      <c r="A2836" s="9"/>
      <c r="B2836" s="15"/>
      <c r="C2836" s="9">
        <f>IFERROR(__xludf.DUMMYFUNCTION("""COMPUTED_VALUE"""),44575.9593284722)</f>
        <v>44575.95933</v>
      </c>
      <c r="D2836" s="15">
        <f>IFERROR(__xludf.DUMMYFUNCTION("""COMPUTED_VALUE"""),1.008)</f>
        <v>1.008</v>
      </c>
      <c r="E2836" s="16">
        <f>IFERROR(__xludf.DUMMYFUNCTION("""COMPUTED_VALUE"""),63.0)</f>
        <v>63</v>
      </c>
      <c r="F2836" s="19" t="str">
        <f>IFERROR(__xludf.DUMMYFUNCTION("""COMPUTED_VALUE"""),"BLACK")</f>
        <v>BLACK</v>
      </c>
      <c r="G2836" s="20" t="str">
        <f>IFERROR(__xludf.DUMMYFUNCTION("""COMPUTED_VALUE"""),"Uncle Sams Cider (11/12/2021) 02")</f>
        <v>Uncle Sams Cider (11/12/2021) 02</v>
      </c>
      <c r="H2836" s="19"/>
    </row>
    <row r="2837">
      <c r="A2837" s="9"/>
      <c r="B2837" s="15"/>
      <c r="C2837" s="9">
        <f>IFERROR(__xludf.DUMMYFUNCTION("""COMPUTED_VALUE"""),44575.9489083333)</f>
        <v>44575.94891</v>
      </c>
      <c r="D2837" s="15">
        <f>IFERROR(__xludf.DUMMYFUNCTION("""COMPUTED_VALUE"""),1.007)</f>
        <v>1.007</v>
      </c>
      <c r="E2837" s="16">
        <f>IFERROR(__xludf.DUMMYFUNCTION("""COMPUTED_VALUE"""),63.0)</f>
        <v>63</v>
      </c>
      <c r="F2837" s="19" t="str">
        <f>IFERROR(__xludf.DUMMYFUNCTION("""COMPUTED_VALUE"""),"BLACK")</f>
        <v>BLACK</v>
      </c>
      <c r="G2837" s="20" t="str">
        <f>IFERROR(__xludf.DUMMYFUNCTION("""COMPUTED_VALUE"""),"Uncle Sams Cider (11/12/2021) 02")</f>
        <v>Uncle Sams Cider (11/12/2021) 02</v>
      </c>
      <c r="H2837" s="19"/>
    </row>
    <row r="2838">
      <c r="A2838" s="9"/>
      <c r="B2838" s="15"/>
      <c r="C2838" s="9">
        <f>IFERROR(__xludf.DUMMYFUNCTION("""COMPUTED_VALUE"""),44575.9384645833)</f>
        <v>44575.93846</v>
      </c>
      <c r="D2838" s="15">
        <f>IFERROR(__xludf.DUMMYFUNCTION("""COMPUTED_VALUE"""),1.007)</f>
        <v>1.007</v>
      </c>
      <c r="E2838" s="16">
        <f>IFERROR(__xludf.DUMMYFUNCTION("""COMPUTED_VALUE"""),63.0)</f>
        <v>63</v>
      </c>
      <c r="F2838" s="19" t="str">
        <f>IFERROR(__xludf.DUMMYFUNCTION("""COMPUTED_VALUE"""),"BLACK")</f>
        <v>BLACK</v>
      </c>
      <c r="G2838" s="20" t="str">
        <f>IFERROR(__xludf.DUMMYFUNCTION("""COMPUTED_VALUE"""),"Uncle Sams Cider (11/12/2021) 02")</f>
        <v>Uncle Sams Cider (11/12/2021) 02</v>
      </c>
      <c r="H2838" s="19"/>
    </row>
    <row r="2839">
      <c r="A2839" s="9"/>
      <c r="B2839" s="15"/>
      <c r="C2839" s="9">
        <f>IFERROR(__xludf.DUMMYFUNCTION("""COMPUTED_VALUE"""),44575.9280324305)</f>
        <v>44575.92803</v>
      </c>
      <c r="D2839" s="15">
        <f>IFERROR(__xludf.DUMMYFUNCTION("""COMPUTED_VALUE"""),1.008)</f>
        <v>1.008</v>
      </c>
      <c r="E2839" s="16">
        <f>IFERROR(__xludf.DUMMYFUNCTION("""COMPUTED_VALUE"""),63.0)</f>
        <v>63</v>
      </c>
      <c r="F2839" s="19" t="str">
        <f>IFERROR(__xludf.DUMMYFUNCTION("""COMPUTED_VALUE"""),"BLACK")</f>
        <v>BLACK</v>
      </c>
      <c r="G2839" s="20" t="str">
        <f>IFERROR(__xludf.DUMMYFUNCTION("""COMPUTED_VALUE"""),"Uncle Sams Cider (11/12/2021) 02")</f>
        <v>Uncle Sams Cider (11/12/2021) 02</v>
      </c>
      <c r="H2839" s="19"/>
    </row>
    <row r="2840">
      <c r="A2840" s="9"/>
      <c r="B2840" s="15"/>
      <c r="C2840" s="9">
        <f>IFERROR(__xludf.DUMMYFUNCTION("""COMPUTED_VALUE"""),44575.9176121411)</f>
        <v>44575.91761</v>
      </c>
      <c r="D2840" s="15">
        <f>IFERROR(__xludf.DUMMYFUNCTION("""COMPUTED_VALUE"""),1.007)</f>
        <v>1.007</v>
      </c>
      <c r="E2840" s="16">
        <f>IFERROR(__xludf.DUMMYFUNCTION("""COMPUTED_VALUE"""),63.0)</f>
        <v>63</v>
      </c>
      <c r="F2840" s="19" t="str">
        <f>IFERROR(__xludf.DUMMYFUNCTION("""COMPUTED_VALUE"""),"BLACK")</f>
        <v>BLACK</v>
      </c>
      <c r="G2840" s="20" t="str">
        <f>IFERROR(__xludf.DUMMYFUNCTION("""COMPUTED_VALUE"""),"Uncle Sams Cider (11/12/2021) 02")</f>
        <v>Uncle Sams Cider (11/12/2021) 02</v>
      </c>
      <c r="H2840" s="19"/>
    </row>
    <row r="2841">
      <c r="A2841" s="9"/>
      <c r="B2841" s="15"/>
      <c r="C2841" s="9">
        <f>IFERROR(__xludf.DUMMYFUNCTION("""COMPUTED_VALUE"""),44575.9071910069)</f>
        <v>44575.90719</v>
      </c>
      <c r="D2841" s="15">
        <f>IFERROR(__xludf.DUMMYFUNCTION("""COMPUTED_VALUE"""),1.007)</f>
        <v>1.007</v>
      </c>
      <c r="E2841" s="16">
        <f>IFERROR(__xludf.DUMMYFUNCTION("""COMPUTED_VALUE"""),63.0)</f>
        <v>63</v>
      </c>
      <c r="F2841" s="19" t="str">
        <f>IFERROR(__xludf.DUMMYFUNCTION("""COMPUTED_VALUE"""),"BLACK")</f>
        <v>BLACK</v>
      </c>
      <c r="G2841" s="20" t="str">
        <f>IFERROR(__xludf.DUMMYFUNCTION("""COMPUTED_VALUE"""),"Uncle Sams Cider (11/12/2021) 02")</f>
        <v>Uncle Sams Cider (11/12/2021) 02</v>
      </c>
      <c r="H2841" s="19"/>
    </row>
    <row r="2842">
      <c r="A2842" s="9"/>
      <c r="B2842" s="15"/>
      <c r="C2842" s="9">
        <f>IFERROR(__xludf.DUMMYFUNCTION("""COMPUTED_VALUE"""),44575.8967704861)</f>
        <v>44575.89677</v>
      </c>
      <c r="D2842" s="15">
        <f>IFERROR(__xludf.DUMMYFUNCTION("""COMPUTED_VALUE"""),1.008)</f>
        <v>1.008</v>
      </c>
      <c r="E2842" s="16">
        <f>IFERROR(__xludf.DUMMYFUNCTION("""COMPUTED_VALUE"""),63.0)</f>
        <v>63</v>
      </c>
      <c r="F2842" s="19" t="str">
        <f>IFERROR(__xludf.DUMMYFUNCTION("""COMPUTED_VALUE"""),"BLACK")</f>
        <v>BLACK</v>
      </c>
      <c r="G2842" s="20" t="str">
        <f>IFERROR(__xludf.DUMMYFUNCTION("""COMPUTED_VALUE"""),"Uncle Sams Cider (11/12/2021) 02")</f>
        <v>Uncle Sams Cider (11/12/2021) 02</v>
      </c>
      <c r="H2842" s="19"/>
    </row>
    <row r="2843">
      <c r="A2843" s="9"/>
      <c r="B2843" s="15"/>
      <c r="C2843" s="9">
        <f>IFERROR(__xludf.DUMMYFUNCTION("""COMPUTED_VALUE"""),44575.8863484374)</f>
        <v>44575.88635</v>
      </c>
      <c r="D2843" s="15">
        <f>IFERROR(__xludf.DUMMYFUNCTION("""COMPUTED_VALUE"""),1.007)</f>
        <v>1.007</v>
      </c>
      <c r="E2843" s="16">
        <f>IFERROR(__xludf.DUMMYFUNCTION("""COMPUTED_VALUE"""),63.0)</f>
        <v>63</v>
      </c>
      <c r="F2843" s="19" t="str">
        <f>IFERROR(__xludf.DUMMYFUNCTION("""COMPUTED_VALUE"""),"BLACK")</f>
        <v>BLACK</v>
      </c>
      <c r="G2843" s="20" t="str">
        <f>IFERROR(__xludf.DUMMYFUNCTION("""COMPUTED_VALUE"""),"Uncle Sams Cider (11/12/2021) 02")</f>
        <v>Uncle Sams Cider (11/12/2021) 02</v>
      </c>
      <c r="H2843" s="19"/>
    </row>
    <row r="2844">
      <c r="A2844" s="9"/>
      <c r="B2844" s="15"/>
      <c r="C2844" s="9">
        <f>IFERROR(__xludf.DUMMYFUNCTION("""COMPUTED_VALUE"""),44575.8759157407)</f>
        <v>44575.87592</v>
      </c>
      <c r="D2844" s="15">
        <f>IFERROR(__xludf.DUMMYFUNCTION("""COMPUTED_VALUE"""),1.007)</f>
        <v>1.007</v>
      </c>
      <c r="E2844" s="16">
        <f>IFERROR(__xludf.DUMMYFUNCTION("""COMPUTED_VALUE"""),63.0)</f>
        <v>63</v>
      </c>
      <c r="F2844" s="19" t="str">
        <f>IFERROR(__xludf.DUMMYFUNCTION("""COMPUTED_VALUE"""),"BLACK")</f>
        <v>BLACK</v>
      </c>
      <c r="G2844" s="20" t="str">
        <f>IFERROR(__xludf.DUMMYFUNCTION("""COMPUTED_VALUE"""),"Uncle Sams Cider (11/12/2021) 02")</f>
        <v>Uncle Sams Cider (11/12/2021) 02</v>
      </c>
      <c r="H2844" s="19"/>
    </row>
    <row r="2845">
      <c r="A2845" s="9"/>
      <c r="B2845" s="15"/>
      <c r="C2845" s="9">
        <f>IFERROR(__xludf.DUMMYFUNCTION("""COMPUTED_VALUE"""),44575.8654942361)</f>
        <v>44575.86549</v>
      </c>
      <c r="D2845" s="15">
        <f>IFERROR(__xludf.DUMMYFUNCTION("""COMPUTED_VALUE"""),1.007)</f>
        <v>1.007</v>
      </c>
      <c r="E2845" s="16">
        <f>IFERROR(__xludf.DUMMYFUNCTION("""COMPUTED_VALUE"""),63.0)</f>
        <v>63</v>
      </c>
      <c r="F2845" s="19" t="str">
        <f>IFERROR(__xludf.DUMMYFUNCTION("""COMPUTED_VALUE"""),"BLACK")</f>
        <v>BLACK</v>
      </c>
      <c r="G2845" s="20" t="str">
        <f>IFERROR(__xludf.DUMMYFUNCTION("""COMPUTED_VALUE"""),"Uncle Sams Cider (11/12/2021) 02")</f>
        <v>Uncle Sams Cider (11/12/2021) 02</v>
      </c>
      <c r="H2845" s="19"/>
    </row>
    <row r="2846">
      <c r="A2846" s="9"/>
      <c r="B2846" s="15"/>
      <c r="C2846" s="9">
        <f>IFERROR(__xludf.DUMMYFUNCTION("""COMPUTED_VALUE"""),44575.8550622916)</f>
        <v>44575.85506</v>
      </c>
      <c r="D2846" s="15">
        <f>IFERROR(__xludf.DUMMYFUNCTION("""COMPUTED_VALUE"""),1.007)</f>
        <v>1.007</v>
      </c>
      <c r="E2846" s="16">
        <f>IFERROR(__xludf.DUMMYFUNCTION("""COMPUTED_VALUE"""),63.0)</f>
        <v>63</v>
      </c>
      <c r="F2846" s="19" t="str">
        <f>IFERROR(__xludf.DUMMYFUNCTION("""COMPUTED_VALUE"""),"BLACK")</f>
        <v>BLACK</v>
      </c>
      <c r="G2846" s="20" t="str">
        <f>IFERROR(__xludf.DUMMYFUNCTION("""COMPUTED_VALUE"""),"Uncle Sams Cider (11/12/2021) 02")</f>
        <v>Uncle Sams Cider (11/12/2021) 02</v>
      </c>
      <c r="H2846" s="19"/>
    </row>
    <row r="2847">
      <c r="A2847" s="9"/>
      <c r="B2847" s="15"/>
      <c r="C2847" s="9">
        <f>IFERROR(__xludf.DUMMYFUNCTION("""COMPUTED_VALUE"""),44575.8446402893)</f>
        <v>44575.84464</v>
      </c>
      <c r="D2847" s="15">
        <f>IFERROR(__xludf.DUMMYFUNCTION("""COMPUTED_VALUE"""),1.007)</f>
        <v>1.007</v>
      </c>
      <c r="E2847" s="16">
        <f>IFERROR(__xludf.DUMMYFUNCTION("""COMPUTED_VALUE"""),63.0)</f>
        <v>63</v>
      </c>
      <c r="F2847" s="19" t="str">
        <f>IFERROR(__xludf.DUMMYFUNCTION("""COMPUTED_VALUE"""),"BLACK")</f>
        <v>BLACK</v>
      </c>
      <c r="G2847" s="20" t="str">
        <f>IFERROR(__xludf.DUMMYFUNCTION("""COMPUTED_VALUE"""),"Uncle Sams Cider (11/12/2021) 02")</f>
        <v>Uncle Sams Cider (11/12/2021) 02</v>
      </c>
      <c r="H2847" s="19"/>
    </row>
    <row r="2848">
      <c r="A2848" s="9"/>
      <c r="B2848" s="15"/>
      <c r="C2848" s="9">
        <f>IFERROR(__xludf.DUMMYFUNCTION("""COMPUTED_VALUE"""),44575.8342166435)</f>
        <v>44575.83422</v>
      </c>
      <c r="D2848" s="15">
        <f>IFERROR(__xludf.DUMMYFUNCTION("""COMPUTED_VALUE"""),1.007)</f>
        <v>1.007</v>
      </c>
      <c r="E2848" s="16">
        <f>IFERROR(__xludf.DUMMYFUNCTION("""COMPUTED_VALUE"""),63.0)</f>
        <v>63</v>
      </c>
      <c r="F2848" s="19" t="str">
        <f>IFERROR(__xludf.DUMMYFUNCTION("""COMPUTED_VALUE"""),"BLACK")</f>
        <v>BLACK</v>
      </c>
      <c r="G2848" s="20" t="str">
        <f>IFERROR(__xludf.DUMMYFUNCTION("""COMPUTED_VALUE"""),"Uncle Sams Cider (11/12/2021) 02")</f>
        <v>Uncle Sams Cider (11/12/2021) 02</v>
      </c>
      <c r="H2848" s="19"/>
    </row>
    <row r="2849">
      <c r="A2849" s="9"/>
      <c r="B2849" s="15"/>
      <c r="C2849" s="9">
        <f>IFERROR(__xludf.DUMMYFUNCTION("""COMPUTED_VALUE"""),44575.8237951967)</f>
        <v>44575.8238</v>
      </c>
      <c r="D2849" s="15">
        <f>IFERROR(__xludf.DUMMYFUNCTION("""COMPUTED_VALUE"""),1.007)</f>
        <v>1.007</v>
      </c>
      <c r="E2849" s="16">
        <f>IFERROR(__xludf.DUMMYFUNCTION("""COMPUTED_VALUE"""),63.0)</f>
        <v>63</v>
      </c>
      <c r="F2849" s="19" t="str">
        <f>IFERROR(__xludf.DUMMYFUNCTION("""COMPUTED_VALUE"""),"BLACK")</f>
        <v>BLACK</v>
      </c>
      <c r="G2849" s="20" t="str">
        <f>IFERROR(__xludf.DUMMYFUNCTION("""COMPUTED_VALUE"""),"Uncle Sams Cider (11/12/2021) 02")</f>
        <v>Uncle Sams Cider (11/12/2021) 02</v>
      </c>
      <c r="H2849" s="19"/>
    </row>
    <row r="2850">
      <c r="A2850" s="9"/>
      <c r="B2850" s="15"/>
      <c r="C2850" s="9">
        <f>IFERROR(__xludf.DUMMYFUNCTION("""COMPUTED_VALUE"""),44575.8133736805)</f>
        <v>44575.81337</v>
      </c>
      <c r="D2850" s="15">
        <f>IFERROR(__xludf.DUMMYFUNCTION("""COMPUTED_VALUE"""),1.007)</f>
        <v>1.007</v>
      </c>
      <c r="E2850" s="16">
        <f>IFERROR(__xludf.DUMMYFUNCTION("""COMPUTED_VALUE"""),63.0)</f>
        <v>63</v>
      </c>
      <c r="F2850" s="19" t="str">
        <f>IFERROR(__xludf.DUMMYFUNCTION("""COMPUTED_VALUE"""),"BLACK")</f>
        <v>BLACK</v>
      </c>
      <c r="G2850" s="20" t="str">
        <f>IFERROR(__xludf.DUMMYFUNCTION("""COMPUTED_VALUE"""),"Uncle Sams Cider (11/12/2021) 02")</f>
        <v>Uncle Sams Cider (11/12/2021) 02</v>
      </c>
      <c r="H2850" s="19"/>
    </row>
    <row r="2851">
      <c r="A2851" s="9"/>
      <c r="B2851" s="15"/>
      <c r="C2851" s="9">
        <f>IFERROR(__xludf.DUMMYFUNCTION("""COMPUTED_VALUE"""),44575.8029307175)</f>
        <v>44575.80293</v>
      </c>
      <c r="D2851" s="15">
        <f>IFERROR(__xludf.DUMMYFUNCTION("""COMPUTED_VALUE"""),1.008)</f>
        <v>1.008</v>
      </c>
      <c r="E2851" s="16">
        <f>IFERROR(__xludf.DUMMYFUNCTION("""COMPUTED_VALUE"""),63.0)</f>
        <v>63</v>
      </c>
      <c r="F2851" s="19" t="str">
        <f>IFERROR(__xludf.DUMMYFUNCTION("""COMPUTED_VALUE"""),"BLACK")</f>
        <v>BLACK</v>
      </c>
      <c r="G2851" s="20" t="str">
        <f>IFERROR(__xludf.DUMMYFUNCTION("""COMPUTED_VALUE"""),"Uncle Sams Cider (11/12/2021) 02")</f>
        <v>Uncle Sams Cider (11/12/2021) 02</v>
      </c>
      <c r="H2851" s="19"/>
    </row>
    <row r="2852">
      <c r="A2852" s="9"/>
      <c r="B2852" s="15"/>
      <c r="C2852" s="9">
        <f>IFERROR(__xludf.DUMMYFUNCTION("""COMPUTED_VALUE"""),44575.7925091898)</f>
        <v>44575.79251</v>
      </c>
      <c r="D2852" s="15">
        <f>IFERROR(__xludf.DUMMYFUNCTION("""COMPUTED_VALUE"""),1.007)</f>
        <v>1.007</v>
      </c>
      <c r="E2852" s="16">
        <f>IFERROR(__xludf.DUMMYFUNCTION("""COMPUTED_VALUE"""),63.0)</f>
        <v>63</v>
      </c>
      <c r="F2852" s="19" t="str">
        <f>IFERROR(__xludf.DUMMYFUNCTION("""COMPUTED_VALUE"""),"BLACK")</f>
        <v>BLACK</v>
      </c>
      <c r="G2852" s="20" t="str">
        <f>IFERROR(__xludf.DUMMYFUNCTION("""COMPUTED_VALUE"""),"Uncle Sams Cider (11/12/2021) 02")</f>
        <v>Uncle Sams Cider (11/12/2021) 02</v>
      </c>
      <c r="H2852" s="19"/>
    </row>
    <row r="2853">
      <c r="A2853" s="9"/>
      <c r="B2853" s="15"/>
      <c r="C2853" s="9">
        <f>IFERROR(__xludf.DUMMYFUNCTION("""COMPUTED_VALUE"""),44575.7819822222)</f>
        <v>44575.78198</v>
      </c>
      <c r="D2853" s="15">
        <f>IFERROR(__xludf.DUMMYFUNCTION("""COMPUTED_VALUE"""),1.007)</f>
        <v>1.007</v>
      </c>
      <c r="E2853" s="16">
        <f>IFERROR(__xludf.DUMMYFUNCTION("""COMPUTED_VALUE"""),63.0)</f>
        <v>63</v>
      </c>
      <c r="F2853" s="19" t="str">
        <f>IFERROR(__xludf.DUMMYFUNCTION("""COMPUTED_VALUE"""),"BLACK")</f>
        <v>BLACK</v>
      </c>
      <c r="G2853" s="20" t="str">
        <f>IFERROR(__xludf.DUMMYFUNCTION("""COMPUTED_VALUE"""),"Uncle Sams Cider (11/12/2021) 02")</f>
        <v>Uncle Sams Cider (11/12/2021) 02</v>
      </c>
      <c r="H2853" s="19"/>
    </row>
    <row r="2854">
      <c r="A2854" s="9"/>
      <c r="B2854" s="15"/>
      <c r="C2854" s="9">
        <f>IFERROR(__xludf.DUMMYFUNCTION("""COMPUTED_VALUE"""),44575.7715619675)</f>
        <v>44575.77156</v>
      </c>
      <c r="D2854" s="15">
        <f>IFERROR(__xludf.DUMMYFUNCTION("""COMPUTED_VALUE"""),1.007)</f>
        <v>1.007</v>
      </c>
      <c r="E2854" s="16">
        <f>IFERROR(__xludf.DUMMYFUNCTION("""COMPUTED_VALUE"""),63.0)</f>
        <v>63</v>
      </c>
      <c r="F2854" s="19" t="str">
        <f>IFERROR(__xludf.DUMMYFUNCTION("""COMPUTED_VALUE"""),"BLACK")</f>
        <v>BLACK</v>
      </c>
      <c r="G2854" s="20" t="str">
        <f>IFERROR(__xludf.DUMMYFUNCTION("""COMPUTED_VALUE"""),"Uncle Sams Cider (11/12/2021) 02")</f>
        <v>Uncle Sams Cider (11/12/2021) 02</v>
      </c>
      <c r="H2854" s="19"/>
    </row>
    <row r="2855">
      <c r="A2855" s="9"/>
      <c r="B2855" s="15"/>
      <c r="C2855" s="9">
        <f>IFERROR(__xludf.DUMMYFUNCTION("""COMPUTED_VALUE"""),44575.7611415277)</f>
        <v>44575.76114</v>
      </c>
      <c r="D2855" s="15">
        <f>IFERROR(__xludf.DUMMYFUNCTION("""COMPUTED_VALUE"""),1.008)</f>
        <v>1.008</v>
      </c>
      <c r="E2855" s="16">
        <f>IFERROR(__xludf.DUMMYFUNCTION("""COMPUTED_VALUE"""),63.0)</f>
        <v>63</v>
      </c>
      <c r="F2855" s="19" t="str">
        <f>IFERROR(__xludf.DUMMYFUNCTION("""COMPUTED_VALUE"""),"BLACK")</f>
        <v>BLACK</v>
      </c>
      <c r="G2855" s="20" t="str">
        <f>IFERROR(__xludf.DUMMYFUNCTION("""COMPUTED_VALUE"""),"Uncle Sams Cider (11/12/2021) 02")</f>
        <v>Uncle Sams Cider (11/12/2021) 02</v>
      </c>
      <c r="H2855" s="19"/>
    </row>
    <row r="2856">
      <c r="A2856" s="9"/>
      <c r="B2856" s="15"/>
      <c r="C2856" s="9">
        <f>IFERROR(__xludf.DUMMYFUNCTION("""COMPUTED_VALUE"""),44575.7507066087)</f>
        <v>44575.75071</v>
      </c>
      <c r="D2856" s="15">
        <f>IFERROR(__xludf.DUMMYFUNCTION("""COMPUTED_VALUE"""),1.008)</f>
        <v>1.008</v>
      </c>
      <c r="E2856" s="16">
        <f>IFERROR(__xludf.DUMMYFUNCTION("""COMPUTED_VALUE"""),63.0)</f>
        <v>63</v>
      </c>
      <c r="F2856" s="19" t="str">
        <f>IFERROR(__xludf.DUMMYFUNCTION("""COMPUTED_VALUE"""),"BLACK")</f>
        <v>BLACK</v>
      </c>
      <c r="G2856" s="20" t="str">
        <f>IFERROR(__xludf.DUMMYFUNCTION("""COMPUTED_VALUE"""),"Uncle Sams Cider (11/12/2021) 02")</f>
        <v>Uncle Sams Cider (11/12/2021) 02</v>
      </c>
      <c r="H2856" s="19"/>
    </row>
    <row r="2857">
      <c r="A2857" s="9"/>
      <c r="B2857" s="15"/>
      <c r="C2857" s="9">
        <f>IFERROR(__xludf.DUMMYFUNCTION("""COMPUTED_VALUE"""),44575.7402853356)</f>
        <v>44575.74029</v>
      </c>
      <c r="D2857" s="15">
        <f>IFERROR(__xludf.DUMMYFUNCTION("""COMPUTED_VALUE"""),1.007)</f>
        <v>1.007</v>
      </c>
      <c r="E2857" s="16">
        <f>IFERROR(__xludf.DUMMYFUNCTION("""COMPUTED_VALUE"""),63.0)</f>
        <v>63</v>
      </c>
      <c r="F2857" s="19" t="str">
        <f>IFERROR(__xludf.DUMMYFUNCTION("""COMPUTED_VALUE"""),"BLACK")</f>
        <v>BLACK</v>
      </c>
      <c r="G2857" s="20" t="str">
        <f>IFERROR(__xludf.DUMMYFUNCTION("""COMPUTED_VALUE"""),"Uncle Sams Cider (11/12/2021) 02")</f>
        <v>Uncle Sams Cider (11/12/2021) 02</v>
      </c>
      <c r="H2857" s="19"/>
    </row>
    <row r="2858">
      <c r="A2858" s="9"/>
      <c r="B2858" s="15"/>
      <c r="C2858" s="9">
        <f>IFERROR(__xludf.DUMMYFUNCTION("""COMPUTED_VALUE"""),44575.7298530439)</f>
        <v>44575.72985</v>
      </c>
      <c r="D2858" s="15">
        <f>IFERROR(__xludf.DUMMYFUNCTION("""COMPUTED_VALUE"""),1.008)</f>
        <v>1.008</v>
      </c>
      <c r="E2858" s="16">
        <f>IFERROR(__xludf.DUMMYFUNCTION("""COMPUTED_VALUE"""),63.0)</f>
        <v>63</v>
      </c>
      <c r="F2858" s="19" t="str">
        <f>IFERROR(__xludf.DUMMYFUNCTION("""COMPUTED_VALUE"""),"BLACK")</f>
        <v>BLACK</v>
      </c>
      <c r="G2858" s="20" t="str">
        <f>IFERROR(__xludf.DUMMYFUNCTION("""COMPUTED_VALUE"""),"Uncle Sams Cider (11/12/2021) 02")</f>
        <v>Uncle Sams Cider (11/12/2021) 02</v>
      </c>
      <c r="H2858" s="19"/>
    </row>
    <row r="2859">
      <c r="A2859" s="9"/>
      <c r="B2859" s="15"/>
      <c r="C2859" s="9">
        <f>IFERROR(__xludf.DUMMYFUNCTION("""COMPUTED_VALUE"""),44575.7194209027)</f>
        <v>44575.71942</v>
      </c>
      <c r="D2859" s="15">
        <f>IFERROR(__xludf.DUMMYFUNCTION("""COMPUTED_VALUE"""),1.007)</f>
        <v>1.007</v>
      </c>
      <c r="E2859" s="16">
        <f>IFERROR(__xludf.DUMMYFUNCTION("""COMPUTED_VALUE"""),63.0)</f>
        <v>63</v>
      </c>
      <c r="F2859" s="19" t="str">
        <f>IFERROR(__xludf.DUMMYFUNCTION("""COMPUTED_VALUE"""),"BLACK")</f>
        <v>BLACK</v>
      </c>
      <c r="G2859" s="20" t="str">
        <f>IFERROR(__xludf.DUMMYFUNCTION("""COMPUTED_VALUE"""),"Uncle Sams Cider (11/12/2021) 02")</f>
        <v>Uncle Sams Cider (11/12/2021) 02</v>
      </c>
      <c r="H2859" s="19"/>
    </row>
    <row r="2860">
      <c r="A2860" s="9"/>
      <c r="B2860" s="15"/>
      <c r="C2860" s="9">
        <f>IFERROR(__xludf.DUMMYFUNCTION("""COMPUTED_VALUE"""),44575.7089892824)</f>
        <v>44575.70899</v>
      </c>
      <c r="D2860" s="15">
        <f>IFERROR(__xludf.DUMMYFUNCTION("""COMPUTED_VALUE"""),1.007)</f>
        <v>1.007</v>
      </c>
      <c r="E2860" s="16">
        <f>IFERROR(__xludf.DUMMYFUNCTION("""COMPUTED_VALUE"""),63.0)</f>
        <v>63</v>
      </c>
      <c r="F2860" s="19" t="str">
        <f>IFERROR(__xludf.DUMMYFUNCTION("""COMPUTED_VALUE"""),"BLACK")</f>
        <v>BLACK</v>
      </c>
      <c r="G2860" s="20" t="str">
        <f>IFERROR(__xludf.DUMMYFUNCTION("""COMPUTED_VALUE"""),"Uncle Sams Cider (11/12/2021) 02")</f>
        <v>Uncle Sams Cider (11/12/2021) 02</v>
      </c>
      <c r="H2860" s="19"/>
    </row>
    <row r="2861">
      <c r="A2861" s="9"/>
      <c r="B2861" s="15"/>
      <c r="C2861" s="9">
        <f>IFERROR(__xludf.DUMMYFUNCTION("""COMPUTED_VALUE"""),44575.69855728)</f>
        <v>44575.69856</v>
      </c>
      <c r="D2861" s="15">
        <f>IFERROR(__xludf.DUMMYFUNCTION("""COMPUTED_VALUE"""),1.008)</f>
        <v>1.008</v>
      </c>
      <c r="E2861" s="16">
        <f>IFERROR(__xludf.DUMMYFUNCTION("""COMPUTED_VALUE"""),63.0)</f>
        <v>63</v>
      </c>
      <c r="F2861" s="19" t="str">
        <f>IFERROR(__xludf.DUMMYFUNCTION("""COMPUTED_VALUE"""),"BLACK")</f>
        <v>BLACK</v>
      </c>
      <c r="G2861" s="20" t="str">
        <f>IFERROR(__xludf.DUMMYFUNCTION("""COMPUTED_VALUE"""),"Uncle Sams Cider (11/12/2021) 02")</f>
        <v>Uncle Sams Cider (11/12/2021) 02</v>
      </c>
      <c r="H2861" s="19"/>
    </row>
    <row r="2862">
      <c r="A2862" s="9"/>
      <c r="B2862" s="15"/>
      <c r="C2862" s="9">
        <f>IFERROR(__xludf.DUMMYFUNCTION("""COMPUTED_VALUE"""),44575.6881360879)</f>
        <v>44575.68814</v>
      </c>
      <c r="D2862" s="15">
        <f>IFERROR(__xludf.DUMMYFUNCTION("""COMPUTED_VALUE"""),1.007)</f>
        <v>1.007</v>
      </c>
      <c r="E2862" s="16">
        <f>IFERROR(__xludf.DUMMYFUNCTION("""COMPUTED_VALUE"""),63.0)</f>
        <v>63</v>
      </c>
      <c r="F2862" s="19" t="str">
        <f>IFERROR(__xludf.DUMMYFUNCTION("""COMPUTED_VALUE"""),"BLACK")</f>
        <v>BLACK</v>
      </c>
      <c r="G2862" s="20" t="str">
        <f>IFERROR(__xludf.DUMMYFUNCTION("""COMPUTED_VALUE"""),"Uncle Sams Cider (11/12/2021) 02")</f>
        <v>Uncle Sams Cider (11/12/2021) 02</v>
      </c>
      <c r="H2862" s="19"/>
    </row>
    <row r="2863">
      <c r="A2863" s="9"/>
      <c r="B2863" s="15"/>
      <c r="C2863" s="9">
        <f>IFERROR(__xludf.DUMMYFUNCTION("""COMPUTED_VALUE"""),44575.6777134374)</f>
        <v>44575.67771</v>
      </c>
      <c r="D2863" s="15">
        <f>IFERROR(__xludf.DUMMYFUNCTION("""COMPUTED_VALUE"""),1.007)</f>
        <v>1.007</v>
      </c>
      <c r="E2863" s="16">
        <f>IFERROR(__xludf.DUMMYFUNCTION("""COMPUTED_VALUE"""),63.0)</f>
        <v>63</v>
      </c>
      <c r="F2863" s="19" t="str">
        <f>IFERROR(__xludf.DUMMYFUNCTION("""COMPUTED_VALUE"""),"BLACK")</f>
        <v>BLACK</v>
      </c>
      <c r="G2863" s="20" t="str">
        <f>IFERROR(__xludf.DUMMYFUNCTION("""COMPUTED_VALUE"""),"Uncle Sams Cider (11/12/2021) 02")</f>
        <v>Uncle Sams Cider (11/12/2021) 02</v>
      </c>
      <c r="H2863" s="19"/>
    </row>
    <row r="2864">
      <c r="A2864" s="9"/>
      <c r="B2864" s="15"/>
      <c r="C2864" s="9">
        <f>IFERROR(__xludf.DUMMYFUNCTION("""COMPUTED_VALUE"""),44575.6672798032)</f>
        <v>44575.66728</v>
      </c>
      <c r="D2864" s="15">
        <f>IFERROR(__xludf.DUMMYFUNCTION("""COMPUTED_VALUE"""),1.007)</f>
        <v>1.007</v>
      </c>
      <c r="E2864" s="16">
        <f>IFERROR(__xludf.DUMMYFUNCTION("""COMPUTED_VALUE"""),63.0)</f>
        <v>63</v>
      </c>
      <c r="F2864" s="19" t="str">
        <f>IFERROR(__xludf.DUMMYFUNCTION("""COMPUTED_VALUE"""),"BLACK")</f>
        <v>BLACK</v>
      </c>
      <c r="G2864" s="20" t="str">
        <f>IFERROR(__xludf.DUMMYFUNCTION("""COMPUTED_VALUE"""),"Uncle Sams Cider (11/12/2021) 02")</f>
        <v>Uncle Sams Cider (11/12/2021) 02</v>
      </c>
      <c r="H2864" s="19"/>
    </row>
    <row r="2865">
      <c r="A2865" s="9"/>
      <c r="B2865" s="15"/>
      <c r="C2865" s="9">
        <f>IFERROR(__xludf.DUMMYFUNCTION("""COMPUTED_VALUE"""),44575.6568470601)</f>
        <v>44575.65685</v>
      </c>
      <c r="D2865" s="15">
        <f>IFERROR(__xludf.DUMMYFUNCTION("""COMPUTED_VALUE"""),1.007)</f>
        <v>1.007</v>
      </c>
      <c r="E2865" s="16">
        <f>IFERROR(__xludf.DUMMYFUNCTION("""COMPUTED_VALUE"""),63.0)</f>
        <v>63</v>
      </c>
      <c r="F2865" s="19" t="str">
        <f>IFERROR(__xludf.DUMMYFUNCTION("""COMPUTED_VALUE"""),"BLACK")</f>
        <v>BLACK</v>
      </c>
      <c r="G2865" s="20" t="str">
        <f>IFERROR(__xludf.DUMMYFUNCTION("""COMPUTED_VALUE"""),"Uncle Sams Cider (11/12/2021) 02")</f>
        <v>Uncle Sams Cider (11/12/2021) 02</v>
      </c>
      <c r="H2865" s="19"/>
    </row>
    <row r="2866">
      <c r="A2866" s="9"/>
      <c r="B2866" s="15"/>
      <c r="C2866" s="9">
        <f>IFERROR(__xludf.DUMMYFUNCTION("""COMPUTED_VALUE"""),44575.6464251504)</f>
        <v>44575.64643</v>
      </c>
      <c r="D2866" s="15">
        <f>IFERROR(__xludf.DUMMYFUNCTION("""COMPUTED_VALUE"""),1.007)</f>
        <v>1.007</v>
      </c>
      <c r="E2866" s="16">
        <f>IFERROR(__xludf.DUMMYFUNCTION("""COMPUTED_VALUE"""),63.0)</f>
        <v>63</v>
      </c>
      <c r="F2866" s="19" t="str">
        <f>IFERROR(__xludf.DUMMYFUNCTION("""COMPUTED_VALUE"""),"BLACK")</f>
        <v>BLACK</v>
      </c>
      <c r="G2866" s="20" t="str">
        <f>IFERROR(__xludf.DUMMYFUNCTION("""COMPUTED_VALUE"""),"Uncle Sams Cider (11/12/2021) 02")</f>
        <v>Uncle Sams Cider (11/12/2021) 02</v>
      </c>
      <c r="H2866" s="19"/>
    </row>
    <row r="2867">
      <c r="A2867" s="9"/>
      <c r="B2867" s="15"/>
      <c r="C2867" s="9">
        <f>IFERROR(__xludf.DUMMYFUNCTION("""COMPUTED_VALUE"""),44575.6360040509)</f>
        <v>44575.636</v>
      </c>
      <c r="D2867" s="15">
        <f>IFERROR(__xludf.DUMMYFUNCTION("""COMPUTED_VALUE"""),1.007)</f>
        <v>1.007</v>
      </c>
      <c r="E2867" s="16">
        <f>IFERROR(__xludf.DUMMYFUNCTION("""COMPUTED_VALUE"""),63.0)</f>
        <v>63</v>
      </c>
      <c r="F2867" s="19" t="str">
        <f>IFERROR(__xludf.DUMMYFUNCTION("""COMPUTED_VALUE"""),"BLACK")</f>
        <v>BLACK</v>
      </c>
      <c r="G2867" s="20" t="str">
        <f>IFERROR(__xludf.DUMMYFUNCTION("""COMPUTED_VALUE"""),"Uncle Sams Cider (11/12/2021) 02")</f>
        <v>Uncle Sams Cider (11/12/2021) 02</v>
      </c>
      <c r="H2867" s="19"/>
    </row>
    <row r="2868">
      <c r="A2868" s="9"/>
      <c r="B2868" s="15"/>
      <c r="C2868" s="9">
        <f>IFERROR(__xludf.DUMMYFUNCTION("""COMPUTED_VALUE"""),44575.6255711111)</f>
        <v>44575.62557</v>
      </c>
      <c r="D2868" s="15">
        <f>IFERROR(__xludf.DUMMYFUNCTION("""COMPUTED_VALUE"""),1.007)</f>
        <v>1.007</v>
      </c>
      <c r="E2868" s="16">
        <f>IFERROR(__xludf.DUMMYFUNCTION("""COMPUTED_VALUE"""),63.0)</f>
        <v>63</v>
      </c>
      <c r="F2868" s="19" t="str">
        <f>IFERROR(__xludf.DUMMYFUNCTION("""COMPUTED_VALUE"""),"BLACK")</f>
        <v>BLACK</v>
      </c>
      <c r="G2868" s="20" t="str">
        <f>IFERROR(__xludf.DUMMYFUNCTION("""COMPUTED_VALUE"""),"Uncle Sams Cider (11/12/2021) 02")</f>
        <v>Uncle Sams Cider (11/12/2021) 02</v>
      </c>
      <c r="H2868" s="19"/>
    </row>
    <row r="2869">
      <c r="A2869" s="9"/>
      <c r="B2869" s="15"/>
      <c r="C2869" s="9">
        <f>IFERROR(__xludf.DUMMYFUNCTION("""COMPUTED_VALUE"""),44575.6151499884)</f>
        <v>44575.61515</v>
      </c>
      <c r="D2869" s="15">
        <f>IFERROR(__xludf.DUMMYFUNCTION("""COMPUTED_VALUE"""),1.007)</f>
        <v>1.007</v>
      </c>
      <c r="E2869" s="16">
        <f>IFERROR(__xludf.DUMMYFUNCTION("""COMPUTED_VALUE"""),63.0)</f>
        <v>63</v>
      </c>
      <c r="F2869" s="19" t="str">
        <f>IFERROR(__xludf.DUMMYFUNCTION("""COMPUTED_VALUE"""),"BLACK")</f>
        <v>BLACK</v>
      </c>
      <c r="G2869" s="20" t="str">
        <f>IFERROR(__xludf.DUMMYFUNCTION("""COMPUTED_VALUE"""),"Uncle Sams Cider (11/12/2021) 02")</f>
        <v>Uncle Sams Cider (11/12/2021) 02</v>
      </c>
      <c r="H2869" s="19"/>
    </row>
    <row r="2870">
      <c r="A2870" s="9"/>
      <c r="B2870" s="15"/>
      <c r="C2870" s="9">
        <f>IFERROR(__xludf.DUMMYFUNCTION("""COMPUTED_VALUE"""),44575.6046941319)</f>
        <v>44575.60469</v>
      </c>
      <c r="D2870" s="15">
        <f>IFERROR(__xludf.DUMMYFUNCTION("""COMPUTED_VALUE"""),1.007)</f>
        <v>1.007</v>
      </c>
      <c r="E2870" s="16">
        <f>IFERROR(__xludf.DUMMYFUNCTION("""COMPUTED_VALUE"""),63.0)</f>
        <v>63</v>
      </c>
      <c r="F2870" s="19" t="str">
        <f>IFERROR(__xludf.DUMMYFUNCTION("""COMPUTED_VALUE"""),"BLACK")</f>
        <v>BLACK</v>
      </c>
      <c r="G2870" s="20" t="str">
        <f>IFERROR(__xludf.DUMMYFUNCTION("""COMPUTED_VALUE"""),"Uncle Sams Cider (11/12/2021) 02")</f>
        <v>Uncle Sams Cider (11/12/2021) 02</v>
      </c>
      <c r="H2870" s="19"/>
    </row>
    <row r="2871">
      <c r="A2871" s="9"/>
      <c r="B2871" s="15"/>
      <c r="C2871" s="9">
        <f>IFERROR(__xludf.DUMMYFUNCTION("""COMPUTED_VALUE"""),44575.5942378819)</f>
        <v>44575.59424</v>
      </c>
      <c r="D2871" s="15">
        <f>IFERROR(__xludf.DUMMYFUNCTION("""COMPUTED_VALUE"""),1.007)</f>
        <v>1.007</v>
      </c>
      <c r="E2871" s="16">
        <f>IFERROR(__xludf.DUMMYFUNCTION("""COMPUTED_VALUE"""),63.0)</f>
        <v>63</v>
      </c>
      <c r="F2871" s="19" t="str">
        <f>IFERROR(__xludf.DUMMYFUNCTION("""COMPUTED_VALUE"""),"BLACK")</f>
        <v>BLACK</v>
      </c>
      <c r="G2871" s="20" t="str">
        <f>IFERROR(__xludf.DUMMYFUNCTION("""COMPUTED_VALUE"""),"Uncle Sams Cider (11/12/2021) 02")</f>
        <v>Uncle Sams Cider (11/12/2021) 02</v>
      </c>
      <c r="H2871" s="19"/>
    </row>
    <row r="2872">
      <c r="A2872" s="9"/>
      <c r="B2872" s="15"/>
      <c r="C2872" s="9">
        <f>IFERROR(__xludf.DUMMYFUNCTION("""COMPUTED_VALUE"""),44575.58381978)</f>
        <v>44575.58382</v>
      </c>
      <c r="D2872" s="15">
        <f>IFERROR(__xludf.DUMMYFUNCTION("""COMPUTED_VALUE"""),1.007)</f>
        <v>1.007</v>
      </c>
      <c r="E2872" s="16">
        <f>IFERROR(__xludf.DUMMYFUNCTION("""COMPUTED_VALUE"""),63.0)</f>
        <v>63</v>
      </c>
      <c r="F2872" s="19" t="str">
        <f>IFERROR(__xludf.DUMMYFUNCTION("""COMPUTED_VALUE"""),"BLACK")</f>
        <v>BLACK</v>
      </c>
      <c r="G2872" s="20" t="str">
        <f>IFERROR(__xludf.DUMMYFUNCTION("""COMPUTED_VALUE"""),"Uncle Sams Cider (11/12/2021) 02")</f>
        <v>Uncle Sams Cider (11/12/2021) 02</v>
      </c>
      <c r="H2872" s="19"/>
    </row>
    <row r="2873">
      <c r="A2873" s="9"/>
      <c r="B2873" s="15"/>
      <c r="C2873" s="9">
        <f>IFERROR(__xludf.DUMMYFUNCTION("""COMPUTED_VALUE"""),44575.5733984259)</f>
        <v>44575.5734</v>
      </c>
      <c r="D2873" s="15">
        <f>IFERROR(__xludf.DUMMYFUNCTION("""COMPUTED_VALUE"""),1.007)</f>
        <v>1.007</v>
      </c>
      <c r="E2873" s="16">
        <f>IFERROR(__xludf.DUMMYFUNCTION("""COMPUTED_VALUE"""),64.0)</f>
        <v>64</v>
      </c>
      <c r="F2873" s="19" t="str">
        <f>IFERROR(__xludf.DUMMYFUNCTION("""COMPUTED_VALUE"""),"BLACK")</f>
        <v>BLACK</v>
      </c>
      <c r="G2873" s="20" t="str">
        <f>IFERROR(__xludf.DUMMYFUNCTION("""COMPUTED_VALUE"""),"Uncle Sams Cider (11/12/2021) 02")</f>
        <v>Uncle Sams Cider (11/12/2021) 02</v>
      </c>
      <c r="H2873" s="19"/>
    </row>
    <row r="2874">
      <c r="A2874" s="9"/>
      <c r="B2874" s="15"/>
      <c r="C2874" s="9">
        <f>IFERROR(__xludf.DUMMYFUNCTION("""COMPUTED_VALUE"""),44575.5629789467)</f>
        <v>44575.56298</v>
      </c>
      <c r="D2874" s="15">
        <f>IFERROR(__xludf.DUMMYFUNCTION("""COMPUTED_VALUE"""),1.008)</f>
        <v>1.008</v>
      </c>
      <c r="E2874" s="16">
        <f>IFERROR(__xludf.DUMMYFUNCTION("""COMPUTED_VALUE"""),64.0)</f>
        <v>64</v>
      </c>
      <c r="F2874" s="19" t="str">
        <f>IFERROR(__xludf.DUMMYFUNCTION("""COMPUTED_VALUE"""),"BLACK")</f>
        <v>BLACK</v>
      </c>
      <c r="G2874" s="20" t="str">
        <f>IFERROR(__xludf.DUMMYFUNCTION("""COMPUTED_VALUE"""),"Uncle Sams Cider (11/12/2021) 02")</f>
        <v>Uncle Sams Cider (11/12/2021) 02</v>
      </c>
      <c r="H2874" s="19"/>
    </row>
    <row r="2875">
      <c r="A2875" s="9"/>
      <c r="B2875" s="15"/>
      <c r="C2875" s="9">
        <f>IFERROR(__xludf.DUMMYFUNCTION("""COMPUTED_VALUE"""),44575.5525576157)</f>
        <v>44575.55256</v>
      </c>
      <c r="D2875" s="15">
        <f>IFERROR(__xludf.DUMMYFUNCTION("""COMPUTED_VALUE"""),1.007)</f>
        <v>1.007</v>
      </c>
      <c r="E2875" s="16">
        <f>IFERROR(__xludf.DUMMYFUNCTION("""COMPUTED_VALUE"""),64.0)</f>
        <v>64</v>
      </c>
      <c r="F2875" s="19" t="str">
        <f>IFERROR(__xludf.DUMMYFUNCTION("""COMPUTED_VALUE"""),"BLACK")</f>
        <v>BLACK</v>
      </c>
      <c r="G2875" s="20" t="str">
        <f>IFERROR(__xludf.DUMMYFUNCTION("""COMPUTED_VALUE"""),"Uncle Sams Cider (11/12/2021) 02")</f>
        <v>Uncle Sams Cider (11/12/2021) 02</v>
      </c>
      <c r="H2875" s="19"/>
    </row>
    <row r="2876">
      <c r="A2876" s="9"/>
      <c r="B2876" s="15"/>
      <c r="C2876" s="9">
        <f>IFERROR(__xludf.DUMMYFUNCTION("""COMPUTED_VALUE"""),44575.5421257986)</f>
        <v>44575.54213</v>
      </c>
      <c r="D2876" s="15">
        <f>IFERROR(__xludf.DUMMYFUNCTION("""COMPUTED_VALUE"""),1.007)</f>
        <v>1.007</v>
      </c>
      <c r="E2876" s="16">
        <f>IFERROR(__xludf.DUMMYFUNCTION("""COMPUTED_VALUE"""),64.0)</f>
        <v>64</v>
      </c>
      <c r="F2876" s="19" t="str">
        <f>IFERROR(__xludf.DUMMYFUNCTION("""COMPUTED_VALUE"""),"BLACK")</f>
        <v>BLACK</v>
      </c>
      <c r="G2876" s="20" t="str">
        <f>IFERROR(__xludf.DUMMYFUNCTION("""COMPUTED_VALUE"""),"Uncle Sams Cider (11/12/2021) 02")</f>
        <v>Uncle Sams Cider (11/12/2021) 02</v>
      </c>
      <c r="H2876" s="19"/>
    </row>
    <row r="2877">
      <c r="A2877" s="9"/>
      <c r="B2877" s="15"/>
      <c r="C2877" s="9">
        <f>IFERROR(__xludf.DUMMYFUNCTION("""COMPUTED_VALUE"""),44575.5316810763)</f>
        <v>44575.53168</v>
      </c>
      <c r="D2877" s="15">
        <f>IFERROR(__xludf.DUMMYFUNCTION("""COMPUTED_VALUE"""),1.007)</f>
        <v>1.007</v>
      </c>
      <c r="E2877" s="16">
        <f>IFERROR(__xludf.DUMMYFUNCTION("""COMPUTED_VALUE"""),64.0)</f>
        <v>64</v>
      </c>
      <c r="F2877" s="19" t="str">
        <f>IFERROR(__xludf.DUMMYFUNCTION("""COMPUTED_VALUE"""),"BLACK")</f>
        <v>BLACK</v>
      </c>
      <c r="G2877" s="20" t="str">
        <f>IFERROR(__xludf.DUMMYFUNCTION("""COMPUTED_VALUE"""),"Uncle Sams Cider (11/12/2021) 02")</f>
        <v>Uncle Sams Cider (11/12/2021) 02</v>
      </c>
      <c r="H2877" s="19"/>
    </row>
    <row r="2878">
      <c r="A2878" s="9"/>
      <c r="B2878" s="15"/>
      <c r="C2878" s="9">
        <f>IFERROR(__xludf.DUMMYFUNCTION("""COMPUTED_VALUE"""),44575.5212599537)</f>
        <v>44575.52126</v>
      </c>
      <c r="D2878" s="15">
        <f>IFERROR(__xludf.DUMMYFUNCTION("""COMPUTED_VALUE"""),1.007)</f>
        <v>1.007</v>
      </c>
      <c r="E2878" s="16">
        <f>IFERROR(__xludf.DUMMYFUNCTION("""COMPUTED_VALUE"""),64.0)</f>
        <v>64</v>
      </c>
      <c r="F2878" s="19" t="str">
        <f>IFERROR(__xludf.DUMMYFUNCTION("""COMPUTED_VALUE"""),"BLACK")</f>
        <v>BLACK</v>
      </c>
      <c r="G2878" s="20" t="str">
        <f>IFERROR(__xludf.DUMMYFUNCTION("""COMPUTED_VALUE"""),"Uncle Sams Cider (11/12/2021) 02")</f>
        <v>Uncle Sams Cider (11/12/2021) 02</v>
      </c>
      <c r="H2878" s="19"/>
    </row>
    <row r="2879">
      <c r="A2879" s="9"/>
      <c r="B2879" s="15"/>
      <c r="C2879" s="9">
        <f>IFERROR(__xludf.DUMMYFUNCTION("""COMPUTED_VALUE"""),44575.510815081)</f>
        <v>44575.51082</v>
      </c>
      <c r="D2879" s="15">
        <f>IFERROR(__xludf.DUMMYFUNCTION("""COMPUTED_VALUE"""),1.007)</f>
        <v>1.007</v>
      </c>
      <c r="E2879" s="16">
        <f>IFERROR(__xludf.DUMMYFUNCTION("""COMPUTED_VALUE"""),64.0)</f>
        <v>64</v>
      </c>
      <c r="F2879" s="19" t="str">
        <f>IFERROR(__xludf.DUMMYFUNCTION("""COMPUTED_VALUE"""),"BLACK")</f>
        <v>BLACK</v>
      </c>
      <c r="G2879" s="20" t="str">
        <f>IFERROR(__xludf.DUMMYFUNCTION("""COMPUTED_VALUE"""),"Uncle Sams Cider (11/12/2021) 02")</f>
        <v>Uncle Sams Cider (11/12/2021) 02</v>
      </c>
      <c r="H2879" s="19"/>
    </row>
    <row r="2880">
      <c r="A2880" s="9"/>
      <c r="B2880" s="15"/>
      <c r="C2880" s="9">
        <f>IFERROR(__xludf.DUMMYFUNCTION("""COMPUTED_VALUE"""),44575.500393831)</f>
        <v>44575.50039</v>
      </c>
      <c r="D2880" s="15">
        <f>IFERROR(__xludf.DUMMYFUNCTION("""COMPUTED_VALUE"""),1.007)</f>
        <v>1.007</v>
      </c>
      <c r="E2880" s="16">
        <f>IFERROR(__xludf.DUMMYFUNCTION("""COMPUTED_VALUE"""),64.0)</f>
        <v>64</v>
      </c>
      <c r="F2880" s="19" t="str">
        <f>IFERROR(__xludf.DUMMYFUNCTION("""COMPUTED_VALUE"""),"BLACK")</f>
        <v>BLACK</v>
      </c>
      <c r="G2880" s="20" t="str">
        <f>IFERROR(__xludf.DUMMYFUNCTION("""COMPUTED_VALUE"""),"Uncle Sams Cider (11/12/2021) 02")</f>
        <v>Uncle Sams Cider (11/12/2021) 02</v>
      </c>
      <c r="H2880" s="19"/>
    </row>
    <row r="2881">
      <c r="A2881" s="9"/>
      <c r="B2881" s="15"/>
      <c r="C2881" s="9">
        <f>IFERROR(__xludf.DUMMYFUNCTION("""COMPUTED_VALUE"""),44575.4899392476)</f>
        <v>44575.48994</v>
      </c>
      <c r="D2881" s="15">
        <f>IFERROR(__xludf.DUMMYFUNCTION("""COMPUTED_VALUE"""),1.007)</f>
        <v>1.007</v>
      </c>
      <c r="E2881" s="16">
        <f>IFERROR(__xludf.DUMMYFUNCTION("""COMPUTED_VALUE"""),64.0)</f>
        <v>64</v>
      </c>
      <c r="F2881" s="19" t="str">
        <f>IFERROR(__xludf.DUMMYFUNCTION("""COMPUTED_VALUE"""),"BLACK")</f>
        <v>BLACK</v>
      </c>
      <c r="G2881" s="20" t="str">
        <f>IFERROR(__xludf.DUMMYFUNCTION("""COMPUTED_VALUE"""),"Uncle Sams Cider (11/12/2021) 02")</f>
        <v>Uncle Sams Cider (11/12/2021) 02</v>
      </c>
      <c r="H2881" s="19"/>
    </row>
    <row r="2882">
      <c r="A2882" s="9"/>
      <c r="B2882" s="15"/>
      <c r="C2882" s="9">
        <f>IFERROR(__xludf.DUMMYFUNCTION("""COMPUTED_VALUE"""),44575.4795201967)</f>
        <v>44575.47952</v>
      </c>
      <c r="D2882" s="15">
        <f>IFERROR(__xludf.DUMMYFUNCTION("""COMPUTED_VALUE"""),1.007)</f>
        <v>1.007</v>
      </c>
      <c r="E2882" s="16">
        <f>IFERROR(__xludf.DUMMYFUNCTION("""COMPUTED_VALUE"""),64.0)</f>
        <v>64</v>
      </c>
      <c r="F2882" s="19" t="str">
        <f>IFERROR(__xludf.DUMMYFUNCTION("""COMPUTED_VALUE"""),"BLACK")</f>
        <v>BLACK</v>
      </c>
      <c r="G2882" s="20" t="str">
        <f>IFERROR(__xludf.DUMMYFUNCTION("""COMPUTED_VALUE"""),"Uncle Sams Cider (11/12/2021) 02")</f>
        <v>Uncle Sams Cider (11/12/2021) 02</v>
      </c>
      <c r="H2882" s="19"/>
    </row>
    <row r="2883">
      <c r="A2883" s="9"/>
      <c r="B2883" s="15"/>
      <c r="C2883" s="9">
        <f>IFERROR(__xludf.DUMMYFUNCTION("""COMPUTED_VALUE"""),44575.4690984606)</f>
        <v>44575.4691</v>
      </c>
      <c r="D2883" s="15">
        <f>IFERROR(__xludf.DUMMYFUNCTION("""COMPUTED_VALUE"""),1.007)</f>
        <v>1.007</v>
      </c>
      <c r="E2883" s="16">
        <f>IFERROR(__xludf.DUMMYFUNCTION("""COMPUTED_VALUE"""),64.0)</f>
        <v>64</v>
      </c>
      <c r="F2883" s="19" t="str">
        <f>IFERROR(__xludf.DUMMYFUNCTION("""COMPUTED_VALUE"""),"BLACK")</f>
        <v>BLACK</v>
      </c>
      <c r="G2883" s="20" t="str">
        <f>IFERROR(__xludf.DUMMYFUNCTION("""COMPUTED_VALUE"""),"Uncle Sams Cider (11/12/2021) 02")</f>
        <v>Uncle Sams Cider (11/12/2021) 02</v>
      </c>
      <c r="H2883" s="19"/>
    </row>
    <row r="2884">
      <c r="A2884" s="9"/>
      <c r="B2884" s="15"/>
      <c r="C2884" s="9">
        <f>IFERROR(__xludf.DUMMYFUNCTION("""COMPUTED_VALUE"""),44575.4586432638)</f>
        <v>44575.45864</v>
      </c>
      <c r="D2884" s="15">
        <f>IFERROR(__xludf.DUMMYFUNCTION("""COMPUTED_VALUE"""),1.007)</f>
        <v>1.007</v>
      </c>
      <c r="E2884" s="16">
        <f>IFERROR(__xludf.DUMMYFUNCTION("""COMPUTED_VALUE"""),64.0)</f>
        <v>64</v>
      </c>
      <c r="F2884" s="19" t="str">
        <f>IFERROR(__xludf.DUMMYFUNCTION("""COMPUTED_VALUE"""),"BLACK")</f>
        <v>BLACK</v>
      </c>
      <c r="G2884" s="20" t="str">
        <f>IFERROR(__xludf.DUMMYFUNCTION("""COMPUTED_VALUE"""),"Uncle Sams Cider (11/12/2021) 02")</f>
        <v>Uncle Sams Cider (11/12/2021) 02</v>
      </c>
      <c r="H2884" s="19"/>
    </row>
    <row r="2885">
      <c r="A2885" s="9"/>
      <c r="B2885" s="15"/>
      <c r="C2885" s="9">
        <f>IFERROR(__xludf.DUMMYFUNCTION("""COMPUTED_VALUE"""),44575.4482217476)</f>
        <v>44575.44822</v>
      </c>
      <c r="D2885" s="15">
        <f>IFERROR(__xludf.DUMMYFUNCTION("""COMPUTED_VALUE"""),1.007)</f>
        <v>1.007</v>
      </c>
      <c r="E2885" s="16">
        <f>IFERROR(__xludf.DUMMYFUNCTION("""COMPUTED_VALUE"""),64.0)</f>
        <v>64</v>
      </c>
      <c r="F2885" s="19" t="str">
        <f>IFERROR(__xludf.DUMMYFUNCTION("""COMPUTED_VALUE"""),"BLACK")</f>
        <v>BLACK</v>
      </c>
      <c r="G2885" s="20" t="str">
        <f>IFERROR(__xludf.DUMMYFUNCTION("""COMPUTED_VALUE"""),"Uncle Sams Cider (11/12/2021) 02")</f>
        <v>Uncle Sams Cider (11/12/2021) 02</v>
      </c>
      <c r="H2885" s="19"/>
    </row>
    <row r="2886">
      <c r="A2886" s="9"/>
      <c r="B2886" s="15"/>
      <c r="C2886" s="9">
        <f>IFERROR(__xludf.DUMMYFUNCTION("""COMPUTED_VALUE"""),44575.4378015162)</f>
        <v>44575.4378</v>
      </c>
      <c r="D2886" s="15">
        <f>IFERROR(__xludf.DUMMYFUNCTION("""COMPUTED_VALUE"""),1.007)</f>
        <v>1.007</v>
      </c>
      <c r="E2886" s="16">
        <f>IFERROR(__xludf.DUMMYFUNCTION("""COMPUTED_VALUE"""),64.0)</f>
        <v>64</v>
      </c>
      <c r="F2886" s="19" t="str">
        <f>IFERROR(__xludf.DUMMYFUNCTION("""COMPUTED_VALUE"""),"BLACK")</f>
        <v>BLACK</v>
      </c>
      <c r="G2886" s="20" t="str">
        <f>IFERROR(__xludf.DUMMYFUNCTION("""COMPUTED_VALUE"""),"Uncle Sams Cider (11/12/2021) 02")</f>
        <v>Uncle Sams Cider (11/12/2021) 02</v>
      </c>
      <c r="H2886" s="19"/>
    </row>
    <row r="2887">
      <c r="A2887" s="9"/>
      <c r="B2887" s="15"/>
      <c r="C2887" s="9">
        <f>IFERROR(__xludf.DUMMYFUNCTION("""COMPUTED_VALUE"""),44575.4273798726)</f>
        <v>44575.42738</v>
      </c>
      <c r="D2887" s="15">
        <f>IFERROR(__xludf.DUMMYFUNCTION("""COMPUTED_VALUE"""),1.007)</f>
        <v>1.007</v>
      </c>
      <c r="E2887" s="16">
        <f>IFERROR(__xludf.DUMMYFUNCTION("""COMPUTED_VALUE"""),64.0)</f>
        <v>64</v>
      </c>
      <c r="F2887" s="19" t="str">
        <f>IFERROR(__xludf.DUMMYFUNCTION("""COMPUTED_VALUE"""),"BLACK")</f>
        <v>BLACK</v>
      </c>
      <c r="G2887" s="20" t="str">
        <f>IFERROR(__xludf.DUMMYFUNCTION("""COMPUTED_VALUE"""),"Uncle Sams Cider (11/12/2021) 02")</f>
        <v>Uncle Sams Cider (11/12/2021) 02</v>
      </c>
      <c r="H2887" s="19"/>
    </row>
    <row r="2888">
      <c r="A2888" s="9"/>
      <c r="B2888" s="15"/>
      <c r="C2888" s="9">
        <f>IFERROR(__xludf.DUMMYFUNCTION("""COMPUTED_VALUE"""),44575.4169586574)</f>
        <v>44575.41696</v>
      </c>
      <c r="D2888" s="15">
        <f>IFERROR(__xludf.DUMMYFUNCTION("""COMPUTED_VALUE"""),1.007)</f>
        <v>1.007</v>
      </c>
      <c r="E2888" s="16">
        <f>IFERROR(__xludf.DUMMYFUNCTION("""COMPUTED_VALUE"""),64.0)</f>
        <v>64</v>
      </c>
      <c r="F2888" s="19" t="str">
        <f>IFERROR(__xludf.DUMMYFUNCTION("""COMPUTED_VALUE"""),"BLACK")</f>
        <v>BLACK</v>
      </c>
      <c r="G2888" s="20" t="str">
        <f>IFERROR(__xludf.DUMMYFUNCTION("""COMPUTED_VALUE"""),"Uncle Sams Cider (11/12/2021) 02")</f>
        <v>Uncle Sams Cider (11/12/2021) 02</v>
      </c>
      <c r="H2888" s="19"/>
    </row>
    <row r="2889">
      <c r="A2889" s="9"/>
      <c r="B2889" s="15"/>
      <c r="C2889" s="9">
        <f>IFERROR(__xludf.DUMMYFUNCTION("""COMPUTED_VALUE"""),44575.406535162)</f>
        <v>44575.40654</v>
      </c>
      <c r="D2889" s="15">
        <f>IFERROR(__xludf.DUMMYFUNCTION("""COMPUTED_VALUE"""),1.007)</f>
        <v>1.007</v>
      </c>
      <c r="E2889" s="16">
        <f>IFERROR(__xludf.DUMMYFUNCTION("""COMPUTED_VALUE"""),64.0)</f>
        <v>64</v>
      </c>
      <c r="F2889" s="19" t="str">
        <f>IFERROR(__xludf.DUMMYFUNCTION("""COMPUTED_VALUE"""),"BLACK")</f>
        <v>BLACK</v>
      </c>
      <c r="G2889" s="20" t="str">
        <f>IFERROR(__xludf.DUMMYFUNCTION("""COMPUTED_VALUE"""),"Uncle Sams Cider (11/12/2021) 02")</f>
        <v>Uncle Sams Cider (11/12/2021) 02</v>
      </c>
      <c r="H2889" s="19"/>
    </row>
    <row r="2890">
      <c r="A2890" s="9"/>
      <c r="B2890" s="15"/>
      <c r="C2890" s="9">
        <f>IFERROR(__xludf.DUMMYFUNCTION("""COMPUTED_VALUE"""),44575.396105405)</f>
        <v>44575.39611</v>
      </c>
      <c r="D2890" s="15">
        <f>IFERROR(__xludf.DUMMYFUNCTION("""COMPUTED_VALUE"""),1.007)</f>
        <v>1.007</v>
      </c>
      <c r="E2890" s="16">
        <f>IFERROR(__xludf.DUMMYFUNCTION("""COMPUTED_VALUE"""),64.0)</f>
        <v>64</v>
      </c>
      <c r="F2890" s="19" t="str">
        <f>IFERROR(__xludf.DUMMYFUNCTION("""COMPUTED_VALUE"""),"BLACK")</f>
        <v>BLACK</v>
      </c>
      <c r="G2890" s="20" t="str">
        <f>IFERROR(__xludf.DUMMYFUNCTION("""COMPUTED_VALUE"""),"Uncle Sams Cider (11/12/2021) 02")</f>
        <v>Uncle Sams Cider (11/12/2021) 02</v>
      </c>
      <c r="H2890" s="19"/>
    </row>
    <row r="2891">
      <c r="A2891" s="9"/>
      <c r="B2891" s="15"/>
      <c r="C2891" s="9">
        <f>IFERROR(__xludf.DUMMYFUNCTION("""COMPUTED_VALUE"""),44575.3856852199)</f>
        <v>44575.38569</v>
      </c>
      <c r="D2891" s="15">
        <f>IFERROR(__xludf.DUMMYFUNCTION("""COMPUTED_VALUE"""),1.007)</f>
        <v>1.007</v>
      </c>
      <c r="E2891" s="16">
        <f>IFERROR(__xludf.DUMMYFUNCTION("""COMPUTED_VALUE"""),64.0)</f>
        <v>64</v>
      </c>
      <c r="F2891" s="19" t="str">
        <f>IFERROR(__xludf.DUMMYFUNCTION("""COMPUTED_VALUE"""),"BLACK")</f>
        <v>BLACK</v>
      </c>
      <c r="G2891" s="20" t="str">
        <f>IFERROR(__xludf.DUMMYFUNCTION("""COMPUTED_VALUE"""),"Uncle Sams Cider (11/12/2021) 02")</f>
        <v>Uncle Sams Cider (11/12/2021) 02</v>
      </c>
      <c r="H2891" s="19"/>
    </row>
    <row r="2892">
      <c r="A2892" s="9"/>
      <c r="B2892" s="15"/>
      <c r="C2892" s="9">
        <f>IFERROR(__xludf.DUMMYFUNCTION("""COMPUTED_VALUE"""),44575.3752660995)</f>
        <v>44575.37527</v>
      </c>
      <c r="D2892" s="15">
        <f>IFERROR(__xludf.DUMMYFUNCTION("""COMPUTED_VALUE"""),1.007)</f>
        <v>1.007</v>
      </c>
      <c r="E2892" s="16">
        <f>IFERROR(__xludf.DUMMYFUNCTION("""COMPUTED_VALUE"""),64.0)</f>
        <v>64</v>
      </c>
      <c r="F2892" s="19" t="str">
        <f>IFERROR(__xludf.DUMMYFUNCTION("""COMPUTED_VALUE"""),"BLACK")</f>
        <v>BLACK</v>
      </c>
      <c r="G2892" s="20" t="str">
        <f>IFERROR(__xludf.DUMMYFUNCTION("""COMPUTED_VALUE"""),"Uncle Sams Cider (11/12/2021) 02")</f>
        <v>Uncle Sams Cider (11/12/2021) 02</v>
      </c>
      <c r="H2892" s="19"/>
    </row>
    <row r="2893">
      <c r="A2893" s="9"/>
      <c r="B2893" s="15"/>
      <c r="C2893" s="9">
        <f>IFERROR(__xludf.DUMMYFUNCTION("""COMPUTED_VALUE"""),44575.3648436226)</f>
        <v>44575.36484</v>
      </c>
      <c r="D2893" s="15">
        <f>IFERROR(__xludf.DUMMYFUNCTION("""COMPUTED_VALUE"""),1.007)</f>
        <v>1.007</v>
      </c>
      <c r="E2893" s="16">
        <f>IFERROR(__xludf.DUMMYFUNCTION("""COMPUTED_VALUE"""),64.0)</f>
        <v>64</v>
      </c>
      <c r="F2893" s="19" t="str">
        <f>IFERROR(__xludf.DUMMYFUNCTION("""COMPUTED_VALUE"""),"BLACK")</f>
        <v>BLACK</v>
      </c>
      <c r="G2893" s="20" t="str">
        <f>IFERROR(__xludf.DUMMYFUNCTION("""COMPUTED_VALUE"""),"Uncle Sams Cider (11/12/2021) 02")</f>
        <v>Uncle Sams Cider (11/12/2021) 02</v>
      </c>
      <c r="H2893" s="19"/>
    </row>
    <row r="2894">
      <c r="A2894" s="9"/>
      <c r="B2894" s="15"/>
      <c r="C2894" s="9">
        <f>IFERROR(__xludf.DUMMYFUNCTION("""COMPUTED_VALUE"""),44575.3544205555)</f>
        <v>44575.35442</v>
      </c>
      <c r="D2894" s="15">
        <f>IFERROR(__xludf.DUMMYFUNCTION("""COMPUTED_VALUE"""),1.007)</f>
        <v>1.007</v>
      </c>
      <c r="E2894" s="16">
        <f>IFERROR(__xludf.DUMMYFUNCTION("""COMPUTED_VALUE"""),64.0)</f>
        <v>64</v>
      </c>
      <c r="F2894" s="19" t="str">
        <f>IFERROR(__xludf.DUMMYFUNCTION("""COMPUTED_VALUE"""),"BLACK")</f>
        <v>BLACK</v>
      </c>
      <c r="G2894" s="20" t="str">
        <f>IFERROR(__xludf.DUMMYFUNCTION("""COMPUTED_VALUE"""),"Uncle Sams Cider (11/12/2021) 02")</f>
        <v>Uncle Sams Cider (11/12/2021) 02</v>
      </c>
      <c r="H2894" s="19"/>
    </row>
    <row r="2895">
      <c r="A2895" s="9"/>
      <c r="B2895" s="15"/>
      <c r="C2895" s="9">
        <f>IFERROR(__xludf.DUMMYFUNCTION("""COMPUTED_VALUE"""),44575.34399978)</f>
        <v>44575.344</v>
      </c>
      <c r="D2895" s="15">
        <f>IFERROR(__xludf.DUMMYFUNCTION("""COMPUTED_VALUE"""),1.007)</f>
        <v>1.007</v>
      </c>
      <c r="E2895" s="16">
        <f>IFERROR(__xludf.DUMMYFUNCTION("""COMPUTED_VALUE"""),64.0)</f>
        <v>64</v>
      </c>
      <c r="F2895" s="19" t="str">
        <f>IFERROR(__xludf.DUMMYFUNCTION("""COMPUTED_VALUE"""),"BLACK")</f>
        <v>BLACK</v>
      </c>
      <c r="G2895" s="20" t="str">
        <f>IFERROR(__xludf.DUMMYFUNCTION("""COMPUTED_VALUE"""),"Uncle Sams Cider (11/12/2021) 02")</f>
        <v>Uncle Sams Cider (11/12/2021) 02</v>
      </c>
      <c r="H2895" s="19"/>
    </row>
    <row r="2896">
      <c r="A2896" s="9"/>
      <c r="B2896" s="15"/>
      <c r="C2896" s="9">
        <f>IFERROR(__xludf.DUMMYFUNCTION("""COMPUTED_VALUE"""),44575.3335792476)</f>
        <v>44575.33358</v>
      </c>
      <c r="D2896" s="15">
        <f>IFERROR(__xludf.DUMMYFUNCTION("""COMPUTED_VALUE"""),1.007)</f>
        <v>1.007</v>
      </c>
      <c r="E2896" s="16">
        <f>IFERROR(__xludf.DUMMYFUNCTION("""COMPUTED_VALUE"""),64.0)</f>
        <v>64</v>
      </c>
      <c r="F2896" s="19" t="str">
        <f>IFERROR(__xludf.DUMMYFUNCTION("""COMPUTED_VALUE"""),"BLACK")</f>
        <v>BLACK</v>
      </c>
      <c r="G2896" s="20" t="str">
        <f>IFERROR(__xludf.DUMMYFUNCTION("""COMPUTED_VALUE"""),"Uncle Sams Cider (11/12/2021) 02")</f>
        <v>Uncle Sams Cider (11/12/2021) 02</v>
      </c>
      <c r="H2896" s="19"/>
    </row>
    <row r="2897">
      <c r="A2897" s="9"/>
      <c r="B2897" s="15"/>
      <c r="C2897" s="9">
        <f>IFERROR(__xludf.DUMMYFUNCTION("""COMPUTED_VALUE"""),44575.3231471643)</f>
        <v>44575.32315</v>
      </c>
      <c r="D2897" s="15">
        <f>IFERROR(__xludf.DUMMYFUNCTION("""COMPUTED_VALUE"""),1.007)</f>
        <v>1.007</v>
      </c>
      <c r="E2897" s="16">
        <f>IFERROR(__xludf.DUMMYFUNCTION("""COMPUTED_VALUE"""),64.0)</f>
        <v>64</v>
      </c>
      <c r="F2897" s="19" t="str">
        <f>IFERROR(__xludf.DUMMYFUNCTION("""COMPUTED_VALUE"""),"BLACK")</f>
        <v>BLACK</v>
      </c>
      <c r="G2897" s="20" t="str">
        <f>IFERROR(__xludf.DUMMYFUNCTION("""COMPUTED_VALUE"""),"Uncle Sams Cider (11/12/2021) 02")</f>
        <v>Uncle Sams Cider (11/12/2021) 02</v>
      </c>
      <c r="H2897" s="19"/>
    </row>
    <row r="2898">
      <c r="A2898" s="9"/>
      <c r="B2898" s="15"/>
      <c r="C2898" s="9">
        <f>IFERROR(__xludf.DUMMYFUNCTION("""COMPUTED_VALUE"""),44575.312724699)</f>
        <v>44575.31272</v>
      </c>
      <c r="D2898" s="15">
        <f>IFERROR(__xludf.DUMMYFUNCTION("""COMPUTED_VALUE"""),1.007)</f>
        <v>1.007</v>
      </c>
      <c r="E2898" s="16">
        <f>IFERROR(__xludf.DUMMYFUNCTION("""COMPUTED_VALUE"""),64.0)</f>
        <v>64</v>
      </c>
      <c r="F2898" s="19" t="str">
        <f>IFERROR(__xludf.DUMMYFUNCTION("""COMPUTED_VALUE"""),"BLACK")</f>
        <v>BLACK</v>
      </c>
      <c r="G2898" s="20" t="str">
        <f>IFERROR(__xludf.DUMMYFUNCTION("""COMPUTED_VALUE"""),"Uncle Sams Cider (11/12/2021) 02")</f>
        <v>Uncle Sams Cider (11/12/2021) 02</v>
      </c>
      <c r="H2898" s="19"/>
    </row>
    <row r="2899">
      <c r="A2899" s="9"/>
      <c r="B2899" s="15"/>
      <c r="C2899" s="9">
        <f>IFERROR(__xludf.DUMMYFUNCTION("""COMPUTED_VALUE"""),44575.3023044907)</f>
        <v>44575.3023</v>
      </c>
      <c r="D2899" s="15">
        <f>IFERROR(__xludf.DUMMYFUNCTION("""COMPUTED_VALUE"""),1.007)</f>
        <v>1.007</v>
      </c>
      <c r="E2899" s="16">
        <f>IFERROR(__xludf.DUMMYFUNCTION("""COMPUTED_VALUE"""),64.0)</f>
        <v>64</v>
      </c>
      <c r="F2899" s="19" t="str">
        <f>IFERROR(__xludf.DUMMYFUNCTION("""COMPUTED_VALUE"""),"BLACK")</f>
        <v>BLACK</v>
      </c>
      <c r="G2899" s="20" t="str">
        <f>IFERROR(__xludf.DUMMYFUNCTION("""COMPUTED_VALUE"""),"Uncle Sams Cider (11/12/2021) 02")</f>
        <v>Uncle Sams Cider (11/12/2021) 02</v>
      </c>
      <c r="H2899" s="19"/>
    </row>
    <row r="2900">
      <c r="A2900" s="9"/>
      <c r="B2900" s="15"/>
      <c r="C2900" s="9">
        <f>IFERROR(__xludf.DUMMYFUNCTION("""COMPUTED_VALUE"""),44575.2918730439)</f>
        <v>44575.29187</v>
      </c>
      <c r="D2900" s="15">
        <f>IFERROR(__xludf.DUMMYFUNCTION("""COMPUTED_VALUE"""),1.007)</f>
        <v>1.007</v>
      </c>
      <c r="E2900" s="16">
        <f>IFERROR(__xludf.DUMMYFUNCTION("""COMPUTED_VALUE"""),64.0)</f>
        <v>64</v>
      </c>
      <c r="F2900" s="19" t="str">
        <f>IFERROR(__xludf.DUMMYFUNCTION("""COMPUTED_VALUE"""),"BLACK")</f>
        <v>BLACK</v>
      </c>
      <c r="G2900" s="20" t="str">
        <f>IFERROR(__xludf.DUMMYFUNCTION("""COMPUTED_VALUE"""),"Uncle Sams Cider (11/12/2021) 02")</f>
        <v>Uncle Sams Cider (11/12/2021) 02</v>
      </c>
      <c r="H2900" s="19"/>
    </row>
    <row r="2901">
      <c r="A2901" s="9"/>
      <c r="B2901" s="15"/>
      <c r="C2901" s="9">
        <f>IFERROR(__xludf.DUMMYFUNCTION("""COMPUTED_VALUE"""),44575.2814415972)</f>
        <v>44575.28144</v>
      </c>
      <c r="D2901" s="15">
        <f>IFERROR(__xludf.DUMMYFUNCTION("""COMPUTED_VALUE"""),1.007)</f>
        <v>1.007</v>
      </c>
      <c r="E2901" s="16">
        <f>IFERROR(__xludf.DUMMYFUNCTION("""COMPUTED_VALUE"""),64.0)</f>
        <v>64</v>
      </c>
      <c r="F2901" s="19" t="str">
        <f>IFERROR(__xludf.DUMMYFUNCTION("""COMPUTED_VALUE"""),"BLACK")</f>
        <v>BLACK</v>
      </c>
      <c r="G2901" s="20" t="str">
        <f>IFERROR(__xludf.DUMMYFUNCTION("""COMPUTED_VALUE"""),"Uncle Sams Cider (11/12/2021) 02")</f>
        <v>Uncle Sams Cider (11/12/2021) 02</v>
      </c>
      <c r="H2901" s="19"/>
    </row>
    <row r="2902">
      <c r="A2902" s="9"/>
      <c r="B2902" s="15"/>
      <c r="C2902" s="9">
        <f>IFERROR(__xludf.DUMMYFUNCTION("""COMPUTED_VALUE"""),44575.2710210648)</f>
        <v>44575.27102</v>
      </c>
      <c r="D2902" s="15">
        <f>IFERROR(__xludf.DUMMYFUNCTION("""COMPUTED_VALUE"""),1.007)</f>
        <v>1.007</v>
      </c>
      <c r="E2902" s="16">
        <f>IFERROR(__xludf.DUMMYFUNCTION("""COMPUTED_VALUE"""),64.0)</f>
        <v>64</v>
      </c>
      <c r="F2902" s="19" t="str">
        <f>IFERROR(__xludf.DUMMYFUNCTION("""COMPUTED_VALUE"""),"BLACK")</f>
        <v>BLACK</v>
      </c>
      <c r="G2902" s="20" t="str">
        <f>IFERROR(__xludf.DUMMYFUNCTION("""COMPUTED_VALUE"""),"Uncle Sams Cider (11/12/2021) 02")</f>
        <v>Uncle Sams Cider (11/12/2021) 02</v>
      </c>
      <c r="H2902" s="19"/>
    </row>
    <row r="2903">
      <c r="A2903" s="9"/>
      <c r="B2903" s="15"/>
      <c r="C2903" s="9">
        <f>IFERROR(__xludf.DUMMYFUNCTION("""COMPUTED_VALUE"""),44575.2605875694)</f>
        <v>44575.26059</v>
      </c>
      <c r="D2903" s="15">
        <f>IFERROR(__xludf.DUMMYFUNCTION("""COMPUTED_VALUE"""),1.007)</f>
        <v>1.007</v>
      </c>
      <c r="E2903" s="16">
        <f>IFERROR(__xludf.DUMMYFUNCTION("""COMPUTED_VALUE"""),64.0)</f>
        <v>64</v>
      </c>
      <c r="F2903" s="19" t="str">
        <f>IFERROR(__xludf.DUMMYFUNCTION("""COMPUTED_VALUE"""),"BLACK")</f>
        <v>BLACK</v>
      </c>
      <c r="G2903" s="20" t="str">
        <f>IFERROR(__xludf.DUMMYFUNCTION("""COMPUTED_VALUE"""),"Uncle Sams Cider (11/12/2021) 02")</f>
        <v>Uncle Sams Cider (11/12/2021) 02</v>
      </c>
      <c r="H2903" s="19"/>
    </row>
    <row r="2904">
      <c r="A2904" s="9"/>
      <c r="B2904" s="15"/>
      <c r="C2904" s="9">
        <f>IFERROR(__xludf.DUMMYFUNCTION("""COMPUTED_VALUE"""),44575.2501672337)</f>
        <v>44575.25017</v>
      </c>
      <c r="D2904" s="15">
        <f>IFERROR(__xludf.DUMMYFUNCTION("""COMPUTED_VALUE"""),1.007)</f>
        <v>1.007</v>
      </c>
      <c r="E2904" s="16">
        <f>IFERROR(__xludf.DUMMYFUNCTION("""COMPUTED_VALUE"""),64.0)</f>
        <v>64</v>
      </c>
      <c r="F2904" s="19" t="str">
        <f>IFERROR(__xludf.DUMMYFUNCTION("""COMPUTED_VALUE"""),"BLACK")</f>
        <v>BLACK</v>
      </c>
      <c r="G2904" s="20" t="str">
        <f>IFERROR(__xludf.DUMMYFUNCTION("""COMPUTED_VALUE"""),"Uncle Sams Cider (11/12/2021) 02")</f>
        <v>Uncle Sams Cider (11/12/2021) 02</v>
      </c>
      <c r="H2904" s="19"/>
    </row>
    <row r="2905">
      <c r="A2905" s="9"/>
      <c r="B2905" s="15"/>
      <c r="C2905" s="9">
        <f>IFERROR(__xludf.DUMMYFUNCTION("""COMPUTED_VALUE"""),44575.2397471874)</f>
        <v>44575.23975</v>
      </c>
      <c r="D2905" s="15">
        <f>IFERROR(__xludf.DUMMYFUNCTION("""COMPUTED_VALUE"""),1.007)</f>
        <v>1.007</v>
      </c>
      <c r="E2905" s="16">
        <f>IFERROR(__xludf.DUMMYFUNCTION("""COMPUTED_VALUE"""),64.0)</f>
        <v>64</v>
      </c>
      <c r="F2905" s="19" t="str">
        <f>IFERROR(__xludf.DUMMYFUNCTION("""COMPUTED_VALUE"""),"BLACK")</f>
        <v>BLACK</v>
      </c>
      <c r="G2905" s="20" t="str">
        <f>IFERROR(__xludf.DUMMYFUNCTION("""COMPUTED_VALUE"""),"Uncle Sams Cider (11/12/2021) 02")</f>
        <v>Uncle Sams Cider (11/12/2021) 02</v>
      </c>
      <c r="H2905" s="19"/>
    </row>
    <row r="2906">
      <c r="A2906" s="9"/>
      <c r="B2906" s="15"/>
      <c r="C2906" s="9">
        <f>IFERROR(__xludf.DUMMYFUNCTION("""COMPUTED_VALUE"""),44575.2293270717)</f>
        <v>44575.22933</v>
      </c>
      <c r="D2906" s="15">
        <f>IFERROR(__xludf.DUMMYFUNCTION("""COMPUTED_VALUE"""),1.007)</f>
        <v>1.007</v>
      </c>
      <c r="E2906" s="16">
        <f>IFERROR(__xludf.DUMMYFUNCTION("""COMPUTED_VALUE"""),64.0)</f>
        <v>64</v>
      </c>
      <c r="F2906" s="19" t="str">
        <f>IFERROR(__xludf.DUMMYFUNCTION("""COMPUTED_VALUE"""),"BLACK")</f>
        <v>BLACK</v>
      </c>
      <c r="G2906" s="20" t="str">
        <f>IFERROR(__xludf.DUMMYFUNCTION("""COMPUTED_VALUE"""),"Uncle Sams Cider (11/12/2021) 02")</f>
        <v>Uncle Sams Cider (11/12/2021) 02</v>
      </c>
      <c r="H2906" s="19"/>
    </row>
    <row r="2907">
      <c r="A2907" s="9"/>
      <c r="B2907" s="15"/>
      <c r="C2907" s="9">
        <f>IFERROR(__xludf.DUMMYFUNCTION("""COMPUTED_VALUE"""),44575.2189044444)</f>
        <v>44575.2189</v>
      </c>
      <c r="D2907" s="15">
        <f>IFERROR(__xludf.DUMMYFUNCTION("""COMPUTED_VALUE"""),1.008)</f>
        <v>1.008</v>
      </c>
      <c r="E2907" s="16">
        <f>IFERROR(__xludf.DUMMYFUNCTION("""COMPUTED_VALUE"""),64.0)</f>
        <v>64</v>
      </c>
      <c r="F2907" s="19" t="str">
        <f>IFERROR(__xludf.DUMMYFUNCTION("""COMPUTED_VALUE"""),"BLACK")</f>
        <v>BLACK</v>
      </c>
      <c r="G2907" s="20" t="str">
        <f>IFERROR(__xludf.DUMMYFUNCTION("""COMPUTED_VALUE"""),"Uncle Sams Cider (11/12/2021) 02")</f>
        <v>Uncle Sams Cider (11/12/2021) 02</v>
      </c>
      <c r="H2907" s="19"/>
    </row>
    <row r="2908">
      <c r="A2908" s="9"/>
      <c r="B2908" s="15"/>
      <c r="C2908" s="9">
        <f>IFERROR(__xludf.DUMMYFUNCTION("""COMPUTED_VALUE"""),44575.2084827893)</f>
        <v>44575.20848</v>
      </c>
      <c r="D2908" s="15">
        <f>IFERROR(__xludf.DUMMYFUNCTION("""COMPUTED_VALUE"""),1.008)</f>
        <v>1.008</v>
      </c>
      <c r="E2908" s="16">
        <f>IFERROR(__xludf.DUMMYFUNCTION("""COMPUTED_VALUE"""),64.0)</f>
        <v>64</v>
      </c>
      <c r="F2908" s="19" t="str">
        <f>IFERROR(__xludf.DUMMYFUNCTION("""COMPUTED_VALUE"""),"BLACK")</f>
        <v>BLACK</v>
      </c>
      <c r="G2908" s="20" t="str">
        <f>IFERROR(__xludf.DUMMYFUNCTION("""COMPUTED_VALUE"""),"Uncle Sams Cider (11/12/2021) 02")</f>
        <v>Uncle Sams Cider (11/12/2021) 02</v>
      </c>
      <c r="H2908" s="19"/>
    </row>
    <row r="2909">
      <c r="A2909" s="9"/>
      <c r="B2909" s="15"/>
      <c r="C2909" s="9">
        <f>IFERROR(__xludf.DUMMYFUNCTION("""COMPUTED_VALUE"""),44575.1980589467)</f>
        <v>44575.19806</v>
      </c>
      <c r="D2909" s="15">
        <f>IFERROR(__xludf.DUMMYFUNCTION("""COMPUTED_VALUE"""),1.007)</f>
        <v>1.007</v>
      </c>
      <c r="E2909" s="16">
        <f>IFERROR(__xludf.DUMMYFUNCTION("""COMPUTED_VALUE"""),64.0)</f>
        <v>64</v>
      </c>
      <c r="F2909" s="19" t="str">
        <f>IFERROR(__xludf.DUMMYFUNCTION("""COMPUTED_VALUE"""),"BLACK")</f>
        <v>BLACK</v>
      </c>
      <c r="G2909" s="20" t="str">
        <f>IFERROR(__xludf.DUMMYFUNCTION("""COMPUTED_VALUE"""),"Uncle Sams Cider (11/12/2021) 02")</f>
        <v>Uncle Sams Cider (11/12/2021) 02</v>
      </c>
      <c r="H2909" s="19"/>
    </row>
    <row r="2910">
      <c r="A2910" s="9"/>
      <c r="B2910" s="15"/>
      <c r="C2910" s="9">
        <f>IFERROR(__xludf.DUMMYFUNCTION("""COMPUTED_VALUE"""),44575.1876271759)</f>
        <v>44575.18763</v>
      </c>
      <c r="D2910" s="15">
        <f>IFERROR(__xludf.DUMMYFUNCTION("""COMPUTED_VALUE"""),1.008)</f>
        <v>1.008</v>
      </c>
      <c r="E2910" s="16">
        <f>IFERROR(__xludf.DUMMYFUNCTION("""COMPUTED_VALUE"""),64.0)</f>
        <v>64</v>
      </c>
      <c r="F2910" s="19" t="str">
        <f>IFERROR(__xludf.DUMMYFUNCTION("""COMPUTED_VALUE"""),"BLACK")</f>
        <v>BLACK</v>
      </c>
      <c r="G2910" s="20" t="str">
        <f>IFERROR(__xludf.DUMMYFUNCTION("""COMPUTED_VALUE"""),"Uncle Sams Cider (11/12/2021) 02")</f>
        <v>Uncle Sams Cider (11/12/2021) 02</v>
      </c>
      <c r="H2910" s="19"/>
    </row>
    <row r="2911">
      <c r="A2911" s="9"/>
      <c r="B2911" s="15"/>
      <c r="C2911" s="9">
        <f>IFERROR(__xludf.DUMMYFUNCTION("""COMPUTED_VALUE"""),44575.177206574)</f>
        <v>44575.17721</v>
      </c>
      <c r="D2911" s="15">
        <f>IFERROR(__xludf.DUMMYFUNCTION("""COMPUTED_VALUE"""),1.007)</f>
        <v>1.007</v>
      </c>
      <c r="E2911" s="16">
        <f>IFERROR(__xludf.DUMMYFUNCTION("""COMPUTED_VALUE"""),64.0)</f>
        <v>64</v>
      </c>
      <c r="F2911" s="19" t="str">
        <f>IFERROR(__xludf.DUMMYFUNCTION("""COMPUTED_VALUE"""),"BLACK")</f>
        <v>BLACK</v>
      </c>
      <c r="G2911" s="20" t="str">
        <f>IFERROR(__xludf.DUMMYFUNCTION("""COMPUTED_VALUE"""),"Uncle Sams Cider (11/12/2021) 02")</f>
        <v>Uncle Sams Cider (11/12/2021) 02</v>
      </c>
      <c r="H2911" s="19"/>
    </row>
    <row r="2912">
      <c r="A2912" s="9"/>
      <c r="B2912" s="15"/>
      <c r="C2912" s="9">
        <f>IFERROR(__xludf.DUMMYFUNCTION("""COMPUTED_VALUE"""),44575.1667744791)</f>
        <v>44575.16677</v>
      </c>
      <c r="D2912" s="15">
        <f>IFERROR(__xludf.DUMMYFUNCTION("""COMPUTED_VALUE"""),1.007)</f>
        <v>1.007</v>
      </c>
      <c r="E2912" s="16">
        <f>IFERROR(__xludf.DUMMYFUNCTION("""COMPUTED_VALUE"""),64.0)</f>
        <v>64</v>
      </c>
      <c r="F2912" s="19" t="str">
        <f>IFERROR(__xludf.DUMMYFUNCTION("""COMPUTED_VALUE"""),"BLACK")</f>
        <v>BLACK</v>
      </c>
      <c r="G2912" s="20" t="str">
        <f>IFERROR(__xludf.DUMMYFUNCTION("""COMPUTED_VALUE"""),"Uncle Sams Cider (11/12/2021) 02")</f>
        <v>Uncle Sams Cider (11/12/2021) 02</v>
      </c>
      <c r="H2912" s="19"/>
    </row>
    <row r="2913">
      <c r="A2913" s="9"/>
      <c r="B2913" s="15"/>
      <c r="C2913" s="9">
        <f>IFERROR(__xludf.DUMMYFUNCTION("""COMPUTED_VALUE"""),44575.1563428935)</f>
        <v>44575.15634</v>
      </c>
      <c r="D2913" s="15">
        <f>IFERROR(__xludf.DUMMYFUNCTION("""COMPUTED_VALUE"""),1.008)</f>
        <v>1.008</v>
      </c>
      <c r="E2913" s="16">
        <f>IFERROR(__xludf.DUMMYFUNCTION("""COMPUTED_VALUE"""),64.0)</f>
        <v>64</v>
      </c>
      <c r="F2913" s="19" t="str">
        <f>IFERROR(__xludf.DUMMYFUNCTION("""COMPUTED_VALUE"""),"BLACK")</f>
        <v>BLACK</v>
      </c>
      <c r="G2913" s="20" t="str">
        <f>IFERROR(__xludf.DUMMYFUNCTION("""COMPUTED_VALUE"""),"Uncle Sams Cider (11/12/2021) 02")</f>
        <v>Uncle Sams Cider (11/12/2021) 02</v>
      </c>
      <c r="H2913" s="19"/>
    </row>
    <row r="2914">
      <c r="A2914" s="9"/>
      <c r="B2914" s="15"/>
      <c r="C2914" s="9">
        <f>IFERROR(__xludf.DUMMYFUNCTION("""COMPUTED_VALUE"""),44575.1459101273)</f>
        <v>44575.14591</v>
      </c>
      <c r="D2914" s="15">
        <f>IFERROR(__xludf.DUMMYFUNCTION("""COMPUTED_VALUE"""),1.008)</f>
        <v>1.008</v>
      </c>
      <c r="E2914" s="16">
        <f>IFERROR(__xludf.DUMMYFUNCTION("""COMPUTED_VALUE"""),64.0)</f>
        <v>64</v>
      </c>
      <c r="F2914" s="19" t="str">
        <f>IFERROR(__xludf.DUMMYFUNCTION("""COMPUTED_VALUE"""),"BLACK")</f>
        <v>BLACK</v>
      </c>
      <c r="G2914" s="20" t="str">
        <f>IFERROR(__xludf.DUMMYFUNCTION("""COMPUTED_VALUE"""),"Uncle Sams Cider (11/12/2021) 02")</f>
        <v>Uncle Sams Cider (11/12/2021) 02</v>
      </c>
      <c r="H2914" s="19"/>
    </row>
    <row r="2915">
      <c r="A2915" s="9"/>
      <c r="B2915" s="15"/>
      <c r="C2915" s="9">
        <f>IFERROR(__xludf.DUMMYFUNCTION("""COMPUTED_VALUE"""),44575.1354065625)</f>
        <v>44575.13541</v>
      </c>
      <c r="D2915" s="15">
        <f>IFERROR(__xludf.DUMMYFUNCTION("""COMPUTED_VALUE"""),1.007)</f>
        <v>1.007</v>
      </c>
      <c r="E2915" s="16">
        <f>IFERROR(__xludf.DUMMYFUNCTION("""COMPUTED_VALUE"""),64.0)</f>
        <v>64</v>
      </c>
      <c r="F2915" s="19" t="str">
        <f>IFERROR(__xludf.DUMMYFUNCTION("""COMPUTED_VALUE"""),"BLACK")</f>
        <v>BLACK</v>
      </c>
      <c r="G2915" s="20" t="str">
        <f>IFERROR(__xludf.DUMMYFUNCTION("""COMPUTED_VALUE"""),"Uncle Sams Cider (11/12/2021) 02")</f>
        <v>Uncle Sams Cider (11/12/2021) 02</v>
      </c>
      <c r="H2915" s="19"/>
    </row>
    <row r="2916">
      <c r="A2916" s="9"/>
      <c r="B2916" s="15"/>
      <c r="C2916" s="9">
        <f>IFERROR(__xludf.DUMMYFUNCTION("""COMPUTED_VALUE"""),44575.1249739004)</f>
        <v>44575.12497</v>
      </c>
      <c r="D2916" s="15">
        <f>IFERROR(__xludf.DUMMYFUNCTION("""COMPUTED_VALUE"""),1.007)</f>
        <v>1.007</v>
      </c>
      <c r="E2916" s="16">
        <f>IFERROR(__xludf.DUMMYFUNCTION("""COMPUTED_VALUE"""),65.0)</f>
        <v>65</v>
      </c>
      <c r="F2916" s="19" t="str">
        <f>IFERROR(__xludf.DUMMYFUNCTION("""COMPUTED_VALUE"""),"BLACK")</f>
        <v>BLACK</v>
      </c>
      <c r="G2916" s="20" t="str">
        <f>IFERROR(__xludf.DUMMYFUNCTION("""COMPUTED_VALUE"""),"Uncle Sams Cider (11/12/2021) 02")</f>
        <v>Uncle Sams Cider (11/12/2021) 02</v>
      </c>
      <c r="H2916" s="19"/>
    </row>
    <row r="2917">
      <c r="A2917" s="9"/>
      <c r="B2917" s="15"/>
      <c r="C2917" s="9">
        <f>IFERROR(__xludf.DUMMYFUNCTION("""COMPUTED_VALUE"""),44575.1145531018)</f>
        <v>44575.11455</v>
      </c>
      <c r="D2917" s="15">
        <f>IFERROR(__xludf.DUMMYFUNCTION("""COMPUTED_VALUE"""),1.008)</f>
        <v>1.008</v>
      </c>
      <c r="E2917" s="16">
        <f>IFERROR(__xludf.DUMMYFUNCTION("""COMPUTED_VALUE"""),65.0)</f>
        <v>65</v>
      </c>
      <c r="F2917" s="19" t="str">
        <f>IFERROR(__xludf.DUMMYFUNCTION("""COMPUTED_VALUE"""),"BLACK")</f>
        <v>BLACK</v>
      </c>
      <c r="G2917" s="20" t="str">
        <f>IFERROR(__xludf.DUMMYFUNCTION("""COMPUTED_VALUE"""),"Uncle Sams Cider (11/12/2021) 02")</f>
        <v>Uncle Sams Cider (11/12/2021) 02</v>
      </c>
      <c r="H2917" s="19"/>
    </row>
    <row r="2918">
      <c r="A2918" s="9"/>
      <c r="B2918" s="15"/>
      <c r="C2918" s="9">
        <f>IFERROR(__xludf.DUMMYFUNCTION("""COMPUTED_VALUE"""),44575.1041320023)</f>
        <v>44575.10413</v>
      </c>
      <c r="D2918" s="15">
        <f>IFERROR(__xludf.DUMMYFUNCTION("""COMPUTED_VALUE"""),1.007)</f>
        <v>1.007</v>
      </c>
      <c r="E2918" s="16">
        <f>IFERROR(__xludf.DUMMYFUNCTION("""COMPUTED_VALUE"""),65.0)</f>
        <v>65</v>
      </c>
      <c r="F2918" s="19" t="str">
        <f>IFERROR(__xludf.DUMMYFUNCTION("""COMPUTED_VALUE"""),"BLACK")</f>
        <v>BLACK</v>
      </c>
      <c r="G2918" s="20" t="str">
        <f>IFERROR(__xludf.DUMMYFUNCTION("""COMPUTED_VALUE"""),"Uncle Sams Cider (11/12/2021) 02")</f>
        <v>Uncle Sams Cider (11/12/2021) 02</v>
      </c>
      <c r="H2918" s="19"/>
    </row>
    <row r="2919">
      <c r="A2919" s="9"/>
      <c r="B2919" s="15"/>
      <c r="C2919" s="9">
        <f>IFERROR(__xludf.DUMMYFUNCTION("""COMPUTED_VALUE"""),44575.0937116319)</f>
        <v>44575.09371</v>
      </c>
      <c r="D2919" s="15">
        <f>IFERROR(__xludf.DUMMYFUNCTION("""COMPUTED_VALUE"""),1.007)</f>
        <v>1.007</v>
      </c>
      <c r="E2919" s="16">
        <f>IFERROR(__xludf.DUMMYFUNCTION("""COMPUTED_VALUE"""),65.0)</f>
        <v>65</v>
      </c>
      <c r="F2919" s="19" t="str">
        <f>IFERROR(__xludf.DUMMYFUNCTION("""COMPUTED_VALUE"""),"BLACK")</f>
        <v>BLACK</v>
      </c>
      <c r="G2919" s="20" t="str">
        <f>IFERROR(__xludf.DUMMYFUNCTION("""COMPUTED_VALUE"""),"Uncle Sams Cider (11/12/2021) 02")</f>
        <v>Uncle Sams Cider (11/12/2021) 02</v>
      </c>
      <c r="H2919" s="19"/>
    </row>
    <row r="2920">
      <c r="A2920" s="9"/>
      <c r="B2920" s="15"/>
      <c r="C2920" s="9">
        <f>IFERROR(__xludf.DUMMYFUNCTION("""COMPUTED_VALUE"""),44575.0832778703)</f>
        <v>44575.08328</v>
      </c>
      <c r="D2920" s="15">
        <f>IFERROR(__xludf.DUMMYFUNCTION("""COMPUTED_VALUE"""),1.007)</f>
        <v>1.007</v>
      </c>
      <c r="E2920" s="16">
        <f>IFERROR(__xludf.DUMMYFUNCTION("""COMPUTED_VALUE"""),65.0)</f>
        <v>65</v>
      </c>
      <c r="F2920" s="19" t="str">
        <f>IFERROR(__xludf.DUMMYFUNCTION("""COMPUTED_VALUE"""),"BLACK")</f>
        <v>BLACK</v>
      </c>
      <c r="G2920" s="20" t="str">
        <f>IFERROR(__xludf.DUMMYFUNCTION("""COMPUTED_VALUE"""),"Uncle Sams Cider (11/12/2021) 02")</f>
        <v>Uncle Sams Cider (11/12/2021) 02</v>
      </c>
      <c r="H2920" s="19"/>
    </row>
    <row r="2921">
      <c r="A2921" s="9"/>
      <c r="B2921" s="15"/>
      <c r="C2921" s="9">
        <f>IFERROR(__xludf.DUMMYFUNCTION("""COMPUTED_VALUE"""),44575.0728570138)</f>
        <v>44575.07286</v>
      </c>
      <c r="D2921" s="15">
        <f>IFERROR(__xludf.DUMMYFUNCTION("""COMPUTED_VALUE"""),1.007)</f>
        <v>1.007</v>
      </c>
      <c r="E2921" s="16">
        <f>IFERROR(__xludf.DUMMYFUNCTION("""COMPUTED_VALUE"""),65.0)</f>
        <v>65</v>
      </c>
      <c r="F2921" s="19" t="str">
        <f>IFERROR(__xludf.DUMMYFUNCTION("""COMPUTED_VALUE"""),"BLACK")</f>
        <v>BLACK</v>
      </c>
      <c r="G2921" s="20" t="str">
        <f>IFERROR(__xludf.DUMMYFUNCTION("""COMPUTED_VALUE"""),"Uncle Sams Cider (11/12/2021) 02")</f>
        <v>Uncle Sams Cider (11/12/2021) 02</v>
      </c>
      <c r="H2921" s="19"/>
    </row>
    <row r="2922">
      <c r="A2922" s="9"/>
      <c r="B2922" s="15"/>
      <c r="C2922" s="9">
        <f>IFERROR(__xludf.DUMMYFUNCTION("""COMPUTED_VALUE"""),44575.0624240625)</f>
        <v>44575.06242</v>
      </c>
      <c r="D2922" s="15">
        <f>IFERROR(__xludf.DUMMYFUNCTION("""COMPUTED_VALUE"""),1.007)</f>
        <v>1.007</v>
      </c>
      <c r="E2922" s="16">
        <f>IFERROR(__xludf.DUMMYFUNCTION("""COMPUTED_VALUE"""),65.0)</f>
        <v>65</v>
      </c>
      <c r="F2922" s="19" t="str">
        <f>IFERROR(__xludf.DUMMYFUNCTION("""COMPUTED_VALUE"""),"BLACK")</f>
        <v>BLACK</v>
      </c>
      <c r="G2922" s="20" t="str">
        <f>IFERROR(__xludf.DUMMYFUNCTION("""COMPUTED_VALUE"""),"Uncle Sams Cider (11/12/2021) 02")</f>
        <v>Uncle Sams Cider (11/12/2021) 02</v>
      </c>
      <c r="H2922" s="19"/>
    </row>
    <row r="2923">
      <c r="A2923" s="9"/>
      <c r="B2923" s="15"/>
      <c r="C2923" s="9">
        <f>IFERROR(__xludf.DUMMYFUNCTION("""COMPUTED_VALUE"""),44575.0520014699)</f>
        <v>44575.052</v>
      </c>
      <c r="D2923" s="15">
        <f>IFERROR(__xludf.DUMMYFUNCTION("""COMPUTED_VALUE"""),1.007)</f>
        <v>1.007</v>
      </c>
      <c r="E2923" s="16">
        <f>IFERROR(__xludf.DUMMYFUNCTION("""COMPUTED_VALUE"""),65.0)</f>
        <v>65</v>
      </c>
      <c r="F2923" s="19" t="str">
        <f>IFERROR(__xludf.DUMMYFUNCTION("""COMPUTED_VALUE"""),"BLACK")</f>
        <v>BLACK</v>
      </c>
      <c r="G2923" s="20" t="str">
        <f>IFERROR(__xludf.DUMMYFUNCTION("""COMPUTED_VALUE"""),"Uncle Sams Cider (11/12/2021) 02")</f>
        <v>Uncle Sams Cider (11/12/2021) 02</v>
      </c>
      <c r="H2923" s="19"/>
    </row>
    <row r="2924">
      <c r="A2924" s="9"/>
      <c r="B2924" s="15"/>
      <c r="C2924" s="9">
        <f>IFERROR(__xludf.DUMMYFUNCTION("""COMPUTED_VALUE"""),44575.0415690509)</f>
        <v>44575.04157</v>
      </c>
      <c r="D2924" s="15">
        <f>IFERROR(__xludf.DUMMYFUNCTION("""COMPUTED_VALUE"""),1.007)</f>
        <v>1.007</v>
      </c>
      <c r="E2924" s="16">
        <f>IFERROR(__xludf.DUMMYFUNCTION("""COMPUTED_VALUE"""),65.0)</f>
        <v>65</v>
      </c>
      <c r="F2924" s="19" t="str">
        <f>IFERROR(__xludf.DUMMYFUNCTION("""COMPUTED_VALUE"""),"BLACK")</f>
        <v>BLACK</v>
      </c>
      <c r="G2924" s="20" t="str">
        <f>IFERROR(__xludf.DUMMYFUNCTION("""COMPUTED_VALUE"""),"Uncle Sams Cider (11/12/2021) 02")</f>
        <v>Uncle Sams Cider (11/12/2021) 02</v>
      </c>
      <c r="H2924" s="19"/>
    </row>
    <row r="2925">
      <c r="A2925" s="9"/>
      <c r="B2925" s="15"/>
      <c r="C2925" s="9">
        <f>IFERROR(__xludf.DUMMYFUNCTION("""COMPUTED_VALUE"""),44575.0311119791)</f>
        <v>44575.03111</v>
      </c>
      <c r="D2925" s="15">
        <f>IFERROR(__xludf.DUMMYFUNCTION("""COMPUTED_VALUE"""),1.007)</f>
        <v>1.007</v>
      </c>
      <c r="E2925" s="16">
        <f>IFERROR(__xludf.DUMMYFUNCTION("""COMPUTED_VALUE"""),65.0)</f>
        <v>65</v>
      </c>
      <c r="F2925" s="19" t="str">
        <f>IFERROR(__xludf.DUMMYFUNCTION("""COMPUTED_VALUE"""),"BLACK")</f>
        <v>BLACK</v>
      </c>
      <c r="G2925" s="20" t="str">
        <f>IFERROR(__xludf.DUMMYFUNCTION("""COMPUTED_VALUE"""),"Uncle Sams Cider (11/12/2021) 02")</f>
        <v>Uncle Sams Cider (11/12/2021) 02</v>
      </c>
      <c r="H2925" s="19"/>
    </row>
    <row r="2926">
      <c r="A2926" s="9"/>
      <c r="B2926" s="15"/>
      <c r="C2926" s="9">
        <f>IFERROR(__xludf.DUMMYFUNCTION("""COMPUTED_VALUE"""),44575.0206913425)</f>
        <v>44575.02069</v>
      </c>
      <c r="D2926" s="15">
        <f>IFERROR(__xludf.DUMMYFUNCTION("""COMPUTED_VALUE"""),1.007)</f>
        <v>1.007</v>
      </c>
      <c r="E2926" s="16">
        <f>IFERROR(__xludf.DUMMYFUNCTION("""COMPUTED_VALUE"""),65.0)</f>
        <v>65</v>
      </c>
      <c r="F2926" s="19" t="str">
        <f>IFERROR(__xludf.DUMMYFUNCTION("""COMPUTED_VALUE"""),"BLACK")</f>
        <v>BLACK</v>
      </c>
      <c r="G2926" s="20" t="str">
        <f>IFERROR(__xludf.DUMMYFUNCTION("""COMPUTED_VALUE"""),"Uncle Sams Cider (11/12/2021) 02")</f>
        <v>Uncle Sams Cider (11/12/2021) 02</v>
      </c>
      <c r="H2926" s="19"/>
    </row>
    <row r="2927">
      <c r="A2927" s="9"/>
      <c r="B2927" s="15"/>
      <c r="C2927" s="9">
        <f>IFERROR(__xludf.DUMMYFUNCTION("""COMPUTED_VALUE"""),44575.0102692592)</f>
        <v>44575.01027</v>
      </c>
      <c r="D2927" s="15">
        <f>IFERROR(__xludf.DUMMYFUNCTION("""COMPUTED_VALUE"""),1.007)</f>
        <v>1.007</v>
      </c>
      <c r="E2927" s="16">
        <f>IFERROR(__xludf.DUMMYFUNCTION("""COMPUTED_VALUE"""),65.0)</f>
        <v>65</v>
      </c>
      <c r="F2927" s="19" t="str">
        <f>IFERROR(__xludf.DUMMYFUNCTION("""COMPUTED_VALUE"""),"BLACK")</f>
        <v>BLACK</v>
      </c>
      <c r="G2927" s="20" t="str">
        <f>IFERROR(__xludf.DUMMYFUNCTION("""COMPUTED_VALUE"""),"Uncle Sams Cider (11/12/2021) 02")</f>
        <v>Uncle Sams Cider (11/12/2021) 02</v>
      </c>
      <c r="H2927" s="19"/>
    </row>
    <row r="2928">
      <c r="A2928" s="9"/>
      <c r="B2928" s="15"/>
      <c r="C2928" s="9">
        <f>IFERROR(__xludf.DUMMYFUNCTION("""COMPUTED_VALUE"""),44574.9998119097)</f>
        <v>44574.99981</v>
      </c>
      <c r="D2928" s="15">
        <f>IFERROR(__xludf.DUMMYFUNCTION("""COMPUTED_VALUE"""),1.008)</f>
        <v>1.008</v>
      </c>
      <c r="E2928" s="16">
        <f>IFERROR(__xludf.DUMMYFUNCTION("""COMPUTED_VALUE"""),65.0)</f>
        <v>65</v>
      </c>
      <c r="F2928" s="19" t="str">
        <f>IFERROR(__xludf.DUMMYFUNCTION("""COMPUTED_VALUE"""),"BLACK")</f>
        <v>BLACK</v>
      </c>
      <c r="G2928" s="20" t="str">
        <f>IFERROR(__xludf.DUMMYFUNCTION("""COMPUTED_VALUE"""),"Uncle Sams Cider (11/12/2021) 02")</f>
        <v>Uncle Sams Cider (11/12/2021) 02</v>
      </c>
      <c r="H2928" s="19"/>
    </row>
    <row r="2929">
      <c r="A2929" s="9"/>
      <c r="B2929" s="15"/>
      <c r="C2929" s="9">
        <f>IFERROR(__xludf.DUMMYFUNCTION("""COMPUTED_VALUE"""),44574.9893904513)</f>
        <v>44574.98939</v>
      </c>
      <c r="D2929" s="15">
        <f>IFERROR(__xludf.DUMMYFUNCTION("""COMPUTED_VALUE"""),1.007)</f>
        <v>1.007</v>
      </c>
      <c r="E2929" s="16">
        <f>IFERROR(__xludf.DUMMYFUNCTION("""COMPUTED_VALUE"""),65.0)</f>
        <v>65</v>
      </c>
      <c r="F2929" s="19" t="str">
        <f>IFERROR(__xludf.DUMMYFUNCTION("""COMPUTED_VALUE"""),"BLACK")</f>
        <v>BLACK</v>
      </c>
      <c r="G2929" s="20" t="str">
        <f>IFERROR(__xludf.DUMMYFUNCTION("""COMPUTED_VALUE"""),"Uncle Sams Cider (11/12/2021) 02")</f>
        <v>Uncle Sams Cider (11/12/2021) 02</v>
      </c>
      <c r="H2929" s="19"/>
    </row>
    <row r="2930">
      <c r="A2930" s="9"/>
      <c r="B2930" s="15"/>
      <c r="C2930" s="9">
        <f>IFERROR(__xludf.DUMMYFUNCTION("""COMPUTED_VALUE"""),44574.9789683217)</f>
        <v>44574.97897</v>
      </c>
      <c r="D2930" s="15">
        <f>IFERROR(__xludf.DUMMYFUNCTION("""COMPUTED_VALUE"""),1.007)</f>
        <v>1.007</v>
      </c>
      <c r="E2930" s="16">
        <f>IFERROR(__xludf.DUMMYFUNCTION("""COMPUTED_VALUE"""),65.0)</f>
        <v>65</v>
      </c>
      <c r="F2930" s="19" t="str">
        <f>IFERROR(__xludf.DUMMYFUNCTION("""COMPUTED_VALUE"""),"BLACK")</f>
        <v>BLACK</v>
      </c>
      <c r="G2930" s="20" t="str">
        <f>IFERROR(__xludf.DUMMYFUNCTION("""COMPUTED_VALUE"""),"Uncle Sams Cider (11/12/2021) 02")</f>
        <v>Uncle Sams Cider (11/12/2021) 02</v>
      </c>
      <c r="H2930" s="19"/>
    </row>
    <row r="2931">
      <c r="A2931" s="9"/>
      <c r="B2931" s="15"/>
      <c r="C2931" s="9">
        <f>IFERROR(__xludf.DUMMYFUNCTION("""COMPUTED_VALUE"""),44574.9685476851)</f>
        <v>44574.96855</v>
      </c>
      <c r="D2931" s="15">
        <f>IFERROR(__xludf.DUMMYFUNCTION("""COMPUTED_VALUE"""),1.008)</f>
        <v>1.008</v>
      </c>
      <c r="E2931" s="16">
        <f>IFERROR(__xludf.DUMMYFUNCTION("""COMPUTED_VALUE"""),65.0)</f>
        <v>65</v>
      </c>
      <c r="F2931" s="19" t="str">
        <f>IFERROR(__xludf.DUMMYFUNCTION("""COMPUTED_VALUE"""),"BLACK")</f>
        <v>BLACK</v>
      </c>
      <c r="G2931" s="20" t="str">
        <f>IFERROR(__xludf.DUMMYFUNCTION("""COMPUTED_VALUE"""),"Uncle Sams Cider (11/12/2021) 02")</f>
        <v>Uncle Sams Cider (11/12/2021) 02</v>
      </c>
      <c r="H2931" s="19"/>
    </row>
    <row r="2932">
      <c r="A2932" s="9"/>
      <c r="B2932" s="15"/>
      <c r="C2932" s="9">
        <f>IFERROR(__xludf.DUMMYFUNCTION("""COMPUTED_VALUE"""),44574.9581255555)</f>
        <v>44574.95813</v>
      </c>
      <c r="D2932" s="15">
        <f>IFERROR(__xludf.DUMMYFUNCTION("""COMPUTED_VALUE"""),1.007)</f>
        <v>1.007</v>
      </c>
      <c r="E2932" s="16">
        <f>IFERROR(__xludf.DUMMYFUNCTION("""COMPUTED_VALUE"""),65.0)</f>
        <v>65</v>
      </c>
      <c r="F2932" s="19" t="str">
        <f>IFERROR(__xludf.DUMMYFUNCTION("""COMPUTED_VALUE"""),"BLACK")</f>
        <v>BLACK</v>
      </c>
      <c r="G2932" s="20" t="str">
        <f>IFERROR(__xludf.DUMMYFUNCTION("""COMPUTED_VALUE"""),"Uncle Sams Cider (11/12/2021) 02")</f>
        <v>Uncle Sams Cider (11/12/2021) 02</v>
      </c>
      <c r="H2932" s="19"/>
    </row>
    <row r="2933">
      <c r="A2933" s="9"/>
      <c r="B2933" s="15"/>
      <c r="C2933" s="9">
        <f>IFERROR(__xludf.DUMMYFUNCTION("""COMPUTED_VALUE"""),44574.9477053356)</f>
        <v>44574.94771</v>
      </c>
      <c r="D2933" s="15">
        <f>IFERROR(__xludf.DUMMYFUNCTION("""COMPUTED_VALUE"""),1.007)</f>
        <v>1.007</v>
      </c>
      <c r="E2933" s="16">
        <f>IFERROR(__xludf.DUMMYFUNCTION("""COMPUTED_VALUE"""),65.0)</f>
        <v>65</v>
      </c>
      <c r="F2933" s="19" t="str">
        <f>IFERROR(__xludf.DUMMYFUNCTION("""COMPUTED_VALUE"""),"BLACK")</f>
        <v>BLACK</v>
      </c>
      <c r="G2933" s="20" t="str">
        <f>IFERROR(__xludf.DUMMYFUNCTION("""COMPUTED_VALUE"""),"Uncle Sams Cider (11/12/2021) 02")</f>
        <v>Uncle Sams Cider (11/12/2021) 02</v>
      </c>
      <c r="H2933" s="19"/>
    </row>
    <row r="2934">
      <c r="A2934" s="9"/>
      <c r="B2934" s="15"/>
      <c r="C2934" s="9">
        <f>IFERROR(__xludf.DUMMYFUNCTION("""COMPUTED_VALUE"""),44574.9372841782)</f>
        <v>44574.93728</v>
      </c>
      <c r="D2934" s="15">
        <f>IFERROR(__xludf.DUMMYFUNCTION("""COMPUTED_VALUE"""),1.007)</f>
        <v>1.007</v>
      </c>
      <c r="E2934" s="16">
        <f>IFERROR(__xludf.DUMMYFUNCTION("""COMPUTED_VALUE"""),65.0)</f>
        <v>65</v>
      </c>
      <c r="F2934" s="19" t="str">
        <f>IFERROR(__xludf.DUMMYFUNCTION("""COMPUTED_VALUE"""),"BLACK")</f>
        <v>BLACK</v>
      </c>
      <c r="G2934" s="20" t="str">
        <f>IFERROR(__xludf.DUMMYFUNCTION("""COMPUTED_VALUE"""),"Uncle Sams Cider (11/12/2021) 02")</f>
        <v>Uncle Sams Cider (11/12/2021) 02</v>
      </c>
      <c r="H2934" s="19"/>
    </row>
    <row r="2935">
      <c r="A2935" s="9"/>
      <c r="B2935" s="15"/>
      <c r="C2935" s="9">
        <f>IFERROR(__xludf.DUMMYFUNCTION("""COMPUTED_VALUE"""),44574.9268625)</f>
        <v>44574.92686</v>
      </c>
      <c r="D2935" s="15">
        <f>IFERROR(__xludf.DUMMYFUNCTION("""COMPUTED_VALUE"""),1.007)</f>
        <v>1.007</v>
      </c>
      <c r="E2935" s="16">
        <f>IFERROR(__xludf.DUMMYFUNCTION("""COMPUTED_VALUE"""),65.0)</f>
        <v>65</v>
      </c>
      <c r="F2935" s="19" t="str">
        <f>IFERROR(__xludf.DUMMYFUNCTION("""COMPUTED_VALUE"""),"BLACK")</f>
        <v>BLACK</v>
      </c>
      <c r="G2935" s="20" t="str">
        <f>IFERROR(__xludf.DUMMYFUNCTION("""COMPUTED_VALUE"""),"Uncle Sams Cider (11/12/2021) 02")</f>
        <v>Uncle Sams Cider (11/12/2021) 02</v>
      </c>
      <c r="H2935" s="19"/>
    </row>
    <row r="2936">
      <c r="A2936" s="9"/>
      <c r="B2936" s="15"/>
      <c r="C2936" s="9">
        <f>IFERROR(__xludf.DUMMYFUNCTION("""COMPUTED_VALUE"""),44574.9164396064)</f>
        <v>44574.91644</v>
      </c>
      <c r="D2936" s="15">
        <f>IFERROR(__xludf.DUMMYFUNCTION("""COMPUTED_VALUE"""),1.008)</f>
        <v>1.008</v>
      </c>
      <c r="E2936" s="16">
        <f>IFERROR(__xludf.DUMMYFUNCTION("""COMPUTED_VALUE"""),65.0)</f>
        <v>65</v>
      </c>
      <c r="F2936" s="19" t="str">
        <f>IFERROR(__xludf.DUMMYFUNCTION("""COMPUTED_VALUE"""),"BLACK")</f>
        <v>BLACK</v>
      </c>
      <c r="G2936" s="20" t="str">
        <f>IFERROR(__xludf.DUMMYFUNCTION("""COMPUTED_VALUE"""),"Uncle Sams Cider (11/12/2021) 02")</f>
        <v>Uncle Sams Cider (11/12/2021) 02</v>
      </c>
      <c r="H2936" s="19"/>
    </row>
    <row r="2937">
      <c r="A2937" s="9"/>
      <c r="B2937" s="15"/>
      <c r="C2937" s="9">
        <f>IFERROR(__xludf.DUMMYFUNCTION("""COMPUTED_VALUE"""),44574.9060169328)</f>
        <v>44574.90602</v>
      </c>
      <c r="D2937" s="15">
        <f>IFERROR(__xludf.DUMMYFUNCTION("""COMPUTED_VALUE"""),1.007)</f>
        <v>1.007</v>
      </c>
      <c r="E2937" s="16">
        <f>IFERROR(__xludf.DUMMYFUNCTION("""COMPUTED_VALUE"""),65.0)</f>
        <v>65</v>
      </c>
      <c r="F2937" s="19" t="str">
        <f>IFERROR(__xludf.DUMMYFUNCTION("""COMPUTED_VALUE"""),"BLACK")</f>
        <v>BLACK</v>
      </c>
      <c r="G2937" s="20" t="str">
        <f>IFERROR(__xludf.DUMMYFUNCTION("""COMPUTED_VALUE"""),"Uncle Sams Cider (11/12/2021) 02")</f>
        <v>Uncle Sams Cider (11/12/2021) 02</v>
      </c>
      <c r="H2937" s="19"/>
    </row>
    <row r="2938">
      <c r="A2938" s="9"/>
      <c r="B2938" s="15"/>
      <c r="C2938" s="9">
        <f>IFERROR(__xludf.DUMMYFUNCTION("""COMPUTED_VALUE"""),44574.8955961689)</f>
        <v>44574.8956</v>
      </c>
      <c r="D2938" s="15">
        <f>IFERROR(__xludf.DUMMYFUNCTION("""COMPUTED_VALUE"""),1.007)</f>
        <v>1.007</v>
      </c>
      <c r="E2938" s="16">
        <f>IFERROR(__xludf.DUMMYFUNCTION("""COMPUTED_VALUE"""),65.0)</f>
        <v>65</v>
      </c>
      <c r="F2938" s="19" t="str">
        <f>IFERROR(__xludf.DUMMYFUNCTION("""COMPUTED_VALUE"""),"BLACK")</f>
        <v>BLACK</v>
      </c>
      <c r="G2938" s="20" t="str">
        <f>IFERROR(__xludf.DUMMYFUNCTION("""COMPUTED_VALUE"""),"Uncle Sams Cider (11/12/2021) 02")</f>
        <v>Uncle Sams Cider (11/12/2021) 02</v>
      </c>
      <c r="H2938" s="19"/>
    </row>
    <row r="2939">
      <c r="A2939" s="9"/>
      <c r="B2939" s="15"/>
      <c r="C2939" s="9">
        <f>IFERROR(__xludf.DUMMYFUNCTION("""COMPUTED_VALUE"""),44574.8851504282)</f>
        <v>44574.88515</v>
      </c>
      <c r="D2939" s="15">
        <f>IFERROR(__xludf.DUMMYFUNCTION("""COMPUTED_VALUE"""),1.007)</f>
        <v>1.007</v>
      </c>
      <c r="E2939" s="16">
        <f>IFERROR(__xludf.DUMMYFUNCTION("""COMPUTED_VALUE"""),65.0)</f>
        <v>65</v>
      </c>
      <c r="F2939" s="19" t="str">
        <f>IFERROR(__xludf.DUMMYFUNCTION("""COMPUTED_VALUE"""),"BLACK")</f>
        <v>BLACK</v>
      </c>
      <c r="G2939" s="20" t="str">
        <f>IFERROR(__xludf.DUMMYFUNCTION("""COMPUTED_VALUE"""),"Uncle Sams Cider (11/12/2021) 02")</f>
        <v>Uncle Sams Cider (11/12/2021) 02</v>
      </c>
      <c r="H2939" s="19"/>
    </row>
    <row r="2940">
      <c r="A2940" s="9"/>
      <c r="B2940" s="15"/>
      <c r="C2940" s="9">
        <f>IFERROR(__xludf.DUMMYFUNCTION("""COMPUTED_VALUE"""),44574.8747283101)</f>
        <v>44574.87473</v>
      </c>
      <c r="D2940" s="15">
        <f>IFERROR(__xludf.DUMMYFUNCTION("""COMPUTED_VALUE"""),1.007)</f>
        <v>1.007</v>
      </c>
      <c r="E2940" s="16">
        <f>IFERROR(__xludf.DUMMYFUNCTION("""COMPUTED_VALUE"""),65.0)</f>
        <v>65</v>
      </c>
      <c r="F2940" s="19" t="str">
        <f>IFERROR(__xludf.DUMMYFUNCTION("""COMPUTED_VALUE"""),"BLACK")</f>
        <v>BLACK</v>
      </c>
      <c r="G2940" s="20" t="str">
        <f>IFERROR(__xludf.DUMMYFUNCTION("""COMPUTED_VALUE"""),"Uncle Sams Cider (11/12/2021) 02")</f>
        <v>Uncle Sams Cider (11/12/2021) 02</v>
      </c>
      <c r="H2940" s="19"/>
    </row>
    <row r="2941">
      <c r="A2941" s="9"/>
      <c r="B2941" s="15"/>
      <c r="C2941" s="9">
        <f>IFERROR(__xludf.DUMMYFUNCTION("""COMPUTED_VALUE"""),44574.8643063541)</f>
        <v>44574.86431</v>
      </c>
      <c r="D2941" s="15">
        <f>IFERROR(__xludf.DUMMYFUNCTION("""COMPUTED_VALUE"""),1.007)</f>
        <v>1.007</v>
      </c>
      <c r="E2941" s="16">
        <f>IFERROR(__xludf.DUMMYFUNCTION("""COMPUTED_VALUE"""),65.0)</f>
        <v>65</v>
      </c>
      <c r="F2941" s="19" t="str">
        <f>IFERROR(__xludf.DUMMYFUNCTION("""COMPUTED_VALUE"""),"BLACK")</f>
        <v>BLACK</v>
      </c>
      <c r="G2941" s="20" t="str">
        <f>IFERROR(__xludf.DUMMYFUNCTION("""COMPUTED_VALUE"""),"Uncle Sams Cider (11/12/2021) 02")</f>
        <v>Uncle Sams Cider (11/12/2021) 02</v>
      </c>
      <c r="H2941" s="19"/>
    </row>
    <row r="2942">
      <c r="A2942" s="9"/>
      <c r="B2942" s="15"/>
      <c r="C2942" s="9">
        <f>IFERROR(__xludf.DUMMYFUNCTION("""COMPUTED_VALUE"""),44574.8538865509)</f>
        <v>44574.85389</v>
      </c>
      <c r="D2942" s="15">
        <f>IFERROR(__xludf.DUMMYFUNCTION("""COMPUTED_VALUE"""),1.007)</f>
        <v>1.007</v>
      </c>
      <c r="E2942" s="16">
        <f>IFERROR(__xludf.DUMMYFUNCTION("""COMPUTED_VALUE"""),65.0)</f>
        <v>65</v>
      </c>
      <c r="F2942" s="19" t="str">
        <f>IFERROR(__xludf.DUMMYFUNCTION("""COMPUTED_VALUE"""),"BLACK")</f>
        <v>BLACK</v>
      </c>
      <c r="G2942" s="20" t="str">
        <f>IFERROR(__xludf.DUMMYFUNCTION("""COMPUTED_VALUE"""),"Uncle Sams Cider (11/12/2021) 02")</f>
        <v>Uncle Sams Cider (11/12/2021) 02</v>
      </c>
      <c r="H2942" s="19"/>
    </row>
    <row r="2943">
      <c r="A2943" s="9"/>
      <c r="B2943" s="15"/>
      <c r="C2943" s="9">
        <f>IFERROR(__xludf.DUMMYFUNCTION("""COMPUTED_VALUE"""),44574.8434543287)</f>
        <v>44574.84345</v>
      </c>
      <c r="D2943" s="15">
        <f>IFERROR(__xludf.DUMMYFUNCTION("""COMPUTED_VALUE"""),1.007)</f>
        <v>1.007</v>
      </c>
      <c r="E2943" s="16">
        <f>IFERROR(__xludf.DUMMYFUNCTION("""COMPUTED_VALUE"""),65.0)</f>
        <v>65</v>
      </c>
      <c r="F2943" s="19" t="str">
        <f>IFERROR(__xludf.DUMMYFUNCTION("""COMPUTED_VALUE"""),"BLACK")</f>
        <v>BLACK</v>
      </c>
      <c r="G2943" s="20" t="str">
        <f>IFERROR(__xludf.DUMMYFUNCTION("""COMPUTED_VALUE"""),"Uncle Sams Cider (11/12/2021) 02")</f>
        <v>Uncle Sams Cider (11/12/2021) 02</v>
      </c>
      <c r="H2943" s="19"/>
    </row>
    <row r="2944">
      <c r="A2944" s="9"/>
      <c r="B2944" s="15"/>
      <c r="C2944" s="9">
        <f>IFERROR(__xludf.DUMMYFUNCTION("""COMPUTED_VALUE"""),44574.8330342013)</f>
        <v>44574.83303</v>
      </c>
      <c r="D2944" s="15">
        <f>IFERROR(__xludf.DUMMYFUNCTION("""COMPUTED_VALUE"""),1.007)</f>
        <v>1.007</v>
      </c>
      <c r="E2944" s="16">
        <f>IFERROR(__xludf.DUMMYFUNCTION("""COMPUTED_VALUE"""),65.0)</f>
        <v>65</v>
      </c>
      <c r="F2944" s="19" t="str">
        <f>IFERROR(__xludf.DUMMYFUNCTION("""COMPUTED_VALUE"""),"BLACK")</f>
        <v>BLACK</v>
      </c>
      <c r="G2944" s="20" t="str">
        <f>IFERROR(__xludf.DUMMYFUNCTION("""COMPUTED_VALUE"""),"Uncle Sams Cider (11/12/2021) 02")</f>
        <v>Uncle Sams Cider (11/12/2021) 02</v>
      </c>
      <c r="H2944" s="19"/>
    </row>
    <row r="2945">
      <c r="A2945" s="9"/>
      <c r="B2945" s="15"/>
      <c r="C2945" s="9">
        <f>IFERROR(__xludf.DUMMYFUNCTION("""COMPUTED_VALUE"""),44574.8226128703)</f>
        <v>44574.82261</v>
      </c>
      <c r="D2945" s="15">
        <f>IFERROR(__xludf.DUMMYFUNCTION("""COMPUTED_VALUE"""),1.007)</f>
        <v>1.007</v>
      </c>
      <c r="E2945" s="16">
        <f>IFERROR(__xludf.DUMMYFUNCTION("""COMPUTED_VALUE"""),65.0)</f>
        <v>65</v>
      </c>
      <c r="F2945" s="19" t="str">
        <f>IFERROR(__xludf.DUMMYFUNCTION("""COMPUTED_VALUE"""),"BLACK")</f>
        <v>BLACK</v>
      </c>
      <c r="G2945" s="20" t="str">
        <f>IFERROR(__xludf.DUMMYFUNCTION("""COMPUTED_VALUE"""),"Uncle Sams Cider (11/12/2021) 02")</f>
        <v>Uncle Sams Cider (11/12/2021) 02</v>
      </c>
      <c r="H2945" s="19"/>
    </row>
    <row r="2946">
      <c r="A2946" s="9"/>
      <c r="B2946" s="15"/>
      <c r="C2946" s="9">
        <f>IFERROR(__xludf.DUMMYFUNCTION("""COMPUTED_VALUE"""),44574.8121920949)</f>
        <v>44574.81219</v>
      </c>
      <c r="D2946" s="15">
        <f>IFERROR(__xludf.DUMMYFUNCTION("""COMPUTED_VALUE"""),1.007)</f>
        <v>1.007</v>
      </c>
      <c r="E2946" s="16">
        <f>IFERROR(__xludf.DUMMYFUNCTION("""COMPUTED_VALUE"""),65.0)</f>
        <v>65</v>
      </c>
      <c r="F2946" s="19" t="str">
        <f>IFERROR(__xludf.DUMMYFUNCTION("""COMPUTED_VALUE"""),"BLACK")</f>
        <v>BLACK</v>
      </c>
      <c r="G2946" s="20" t="str">
        <f>IFERROR(__xludf.DUMMYFUNCTION("""COMPUTED_VALUE"""),"Uncle Sams Cider (11/12/2021) 02")</f>
        <v>Uncle Sams Cider (11/12/2021) 02</v>
      </c>
      <c r="H2946" s="19"/>
    </row>
    <row r="2947">
      <c r="A2947" s="9"/>
      <c r="B2947" s="15"/>
      <c r="C2947" s="9">
        <f>IFERROR(__xludf.DUMMYFUNCTION("""COMPUTED_VALUE"""),44574.8017463773)</f>
        <v>44574.80175</v>
      </c>
      <c r="D2947" s="15">
        <f>IFERROR(__xludf.DUMMYFUNCTION("""COMPUTED_VALUE"""),1.007)</f>
        <v>1.007</v>
      </c>
      <c r="E2947" s="16">
        <f>IFERROR(__xludf.DUMMYFUNCTION("""COMPUTED_VALUE"""),65.0)</f>
        <v>65</v>
      </c>
      <c r="F2947" s="19" t="str">
        <f>IFERROR(__xludf.DUMMYFUNCTION("""COMPUTED_VALUE"""),"BLACK")</f>
        <v>BLACK</v>
      </c>
      <c r="G2947" s="20" t="str">
        <f>IFERROR(__xludf.DUMMYFUNCTION("""COMPUTED_VALUE"""),"Uncle Sams Cider (11/12/2021) 02")</f>
        <v>Uncle Sams Cider (11/12/2021) 02</v>
      </c>
      <c r="H2947" s="19"/>
    </row>
    <row r="2948">
      <c r="A2948" s="9"/>
      <c r="B2948" s="15"/>
      <c r="C2948" s="9">
        <f>IFERROR(__xludf.DUMMYFUNCTION("""COMPUTED_VALUE"""),44574.7913260879)</f>
        <v>44574.79133</v>
      </c>
      <c r="D2948" s="15">
        <f>IFERROR(__xludf.DUMMYFUNCTION("""COMPUTED_VALUE"""),1.007)</f>
        <v>1.007</v>
      </c>
      <c r="E2948" s="16">
        <f>IFERROR(__xludf.DUMMYFUNCTION("""COMPUTED_VALUE"""),65.0)</f>
        <v>65</v>
      </c>
      <c r="F2948" s="19" t="str">
        <f>IFERROR(__xludf.DUMMYFUNCTION("""COMPUTED_VALUE"""),"BLACK")</f>
        <v>BLACK</v>
      </c>
      <c r="G2948" s="20" t="str">
        <f>IFERROR(__xludf.DUMMYFUNCTION("""COMPUTED_VALUE"""),"Uncle Sams Cider (11/12/2021) 02")</f>
        <v>Uncle Sams Cider (11/12/2021) 02</v>
      </c>
      <c r="H2948" s="19"/>
    </row>
    <row r="2949">
      <c r="A2949" s="9"/>
      <c r="B2949" s="15"/>
      <c r="C2949" s="9">
        <f>IFERROR(__xludf.DUMMYFUNCTION("""COMPUTED_VALUE"""),44574.7808822916)</f>
        <v>44574.78088</v>
      </c>
      <c r="D2949" s="15">
        <f>IFERROR(__xludf.DUMMYFUNCTION("""COMPUTED_VALUE"""),1.007)</f>
        <v>1.007</v>
      </c>
      <c r="E2949" s="16">
        <f>IFERROR(__xludf.DUMMYFUNCTION("""COMPUTED_VALUE"""),65.0)</f>
        <v>65</v>
      </c>
      <c r="F2949" s="19" t="str">
        <f>IFERROR(__xludf.DUMMYFUNCTION("""COMPUTED_VALUE"""),"BLACK")</f>
        <v>BLACK</v>
      </c>
      <c r="G2949" s="20" t="str">
        <f>IFERROR(__xludf.DUMMYFUNCTION("""COMPUTED_VALUE"""),"Uncle Sams Cider (11/12/2021) 02")</f>
        <v>Uncle Sams Cider (11/12/2021) 02</v>
      </c>
      <c r="H2949" s="19"/>
    </row>
    <row r="2950">
      <c r="A2950" s="9"/>
      <c r="B2950" s="15"/>
      <c r="C2950" s="9">
        <f>IFERROR(__xludf.DUMMYFUNCTION("""COMPUTED_VALUE"""),44574.7704608796)</f>
        <v>44574.77046</v>
      </c>
      <c r="D2950" s="15">
        <f>IFERROR(__xludf.DUMMYFUNCTION("""COMPUTED_VALUE"""),1.007)</f>
        <v>1.007</v>
      </c>
      <c r="E2950" s="16">
        <f>IFERROR(__xludf.DUMMYFUNCTION("""COMPUTED_VALUE"""),65.0)</f>
        <v>65</v>
      </c>
      <c r="F2950" s="19" t="str">
        <f>IFERROR(__xludf.DUMMYFUNCTION("""COMPUTED_VALUE"""),"BLACK")</f>
        <v>BLACK</v>
      </c>
      <c r="G2950" s="20" t="str">
        <f>IFERROR(__xludf.DUMMYFUNCTION("""COMPUTED_VALUE"""),"Uncle Sams Cider (11/12/2021) 02")</f>
        <v>Uncle Sams Cider (11/12/2021) 02</v>
      </c>
      <c r="H2950" s="19"/>
    </row>
    <row r="2951">
      <c r="A2951" s="9"/>
      <c r="B2951" s="15"/>
      <c r="C2951" s="9">
        <f>IFERROR(__xludf.DUMMYFUNCTION("""COMPUTED_VALUE"""),44574.7600377083)</f>
        <v>44574.76004</v>
      </c>
      <c r="D2951" s="15">
        <f>IFERROR(__xludf.DUMMYFUNCTION("""COMPUTED_VALUE"""),1.007)</f>
        <v>1.007</v>
      </c>
      <c r="E2951" s="16">
        <f>IFERROR(__xludf.DUMMYFUNCTION("""COMPUTED_VALUE"""),66.0)</f>
        <v>66</v>
      </c>
      <c r="F2951" s="19" t="str">
        <f>IFERROR(__xludf.DUMMYFUNCTION("""COMPUTED_VALUE"""),"BLACK")</f>
        <v>BLACK</v>
      </c>
      <c r="G2951" s="20" t="str">
        <f>IFERROR(__xludf.DUMMYFUNCTION("""COMPUTED_VALUE"""),"Uncle Sams Cider (11/12/2021) 02")</f>
        <v>Uncle Sams Cider (11/12/2021) 02</v>
      </c>
      <c r="H2951" s="19"/>
    </row>
    <row r="2952">
      <c r="A2952" s="9"/>
      <c r="B2952" s="15"/>
      <c r="C2952" s="9">
        <f>IFERROR(__xludf.DUMMYFUNCTION("""COMPUTED_VALUE"""),44574.7496170138)</f>
        <v>44574.74962</v>
      </c>
      <c r="D2952" s="15">
        <f>IFERROR(__xludf.DUMMYFUNCTION("""COMPUTED_VALUE"""),1.007)</f>
        <v>1.007</v>
      </c>
      <c r="E2952" s="16">
        <f>IFERROR(__xludf.DUMMYFUNCTION("""COMPUTED_VALUE"""),66.0)</f>
        <v>66</v>
      </c>
      <c r="F2952" s="19" t="str">
        <f>IFERROR(__xludf.DUMMYFUNCTION("""COMPUTED_VALUE"""),"BLACK")</f>
        <v>BLACK</v>
      </c>
      <c r="G2952" s="20" t="str">
        <f>IFERROR(__xludf.DUMMYFUNCTION("""COMPUTED_VALUE"""),"Uncle Sams Cider (11/12/2021) 02")</f>
        <v>Uncle Sams Cider (11/12/2021) 02</v>
      </c>
      <c r="H2952" s="19"/>
    </row>
    <row r="2953">
      <c r="A2953" s="9"/>
      <c r="B2953" s="15"/>
      <c r="C2953" s="9">
        <f>IFERROR(__xludf.DUMMYFUNCTION("""COMPUTED_VALUE"""),44574.7391970254)</f>
        <v>44574.7392</v>
      </c>
      <c r="D2953" s="15">
        <f>IFERROR(__xludf.DUMMYFUNCTION("""COMPUTED_VALUE"""),1.008)</f>
        <v>1.008</v>
      </c>
      <c r="E2953" s="16">
        <f>IFERROR(__xludf.DUMMYFUNCTION("""COMPUTED_VALUE"""),66.0)</f>
        <v>66</v>
      </c>
      <c r="F2953" s="19" t="str">
        <f>IFERROR(__xludf.DUMMYFUNCTION("""COMPUTED_VALUE"""),"BLACK")</f>
        <v>BLACK</v>
      </c>
      <c r="G2953" s="20" t="str">
        <f>IFERROR(__xludf.DUMMYFUNCTION("""COMPUTED_VALUE"""),"Uncle Sams Cider (11/12/2021) 02")</f>
        <v>Uncle Sams Cider (11/12/2021) 02</v>
      </c>
      <c r="H2953" s="19"/>
    </row>
    <row r="2954">
      <c r="A2954" s="9"/>
      <c r="B2954" s="15"/>
      <c r="C2954" s="9">
        <f>IFERROR(__xludf.DUMMYFUNCTION("""COMPUTED_VALUE"""),44574.7287756018)</f>
        <v>44574.72878</v>
      </c>
      <c r="D2954" s="15">
        <f>IFERROR(__xludf.DUMMYFUNCTION("""COMPUTED_VALUE"""),1.007)</f>
        <v>1.007</v>
      </c>
      <c r="E2954" s="16">
        <f>IFERROR(__xludf.DUMMYFUNCTION("""COMPUTED_VALUE"""),66.0)</f>
        <v>66</v>
      </c>
      <c r="F2954" s="19" t="str">
        <f>IFERROR(__xludf.DUMMYFUNCTION("""COMPUTED_VALUE"""),"BLACK")</f>
        <v>BLACK</v>
      </c>
      <c r="G2954" s="20" t="str">
        <f>IFERROR(__xludf.DUMMYFUNCTION("""COMPUTED_VALUE"""),"Uncle Sams Cider (11/12/2021) 02")</f>
        <v>Uncle Sams Cider (11/12/2021) 02</v>
      </c>
      <c r="H2954" s="19"/>
    </row>
    <row r="2955">
      <c r="A2955" s="9"/>
      <c r="B2955" s="15"/>
      <c r="C2955" s="9">
        <f>IFERROR(__xludf.DUMMYFUNCTION("""COMPUTED_VALUE"""),44574.7183452083)</f>
        <v>44574.71835</v>
      </c>
      <c r="D2955" s="15">
        <f>IFERROR(__xludf.DUMMYFUNCTION("""COMPUTED_VALUE"""),1.007)</f>
        <v>1.007</v>
      </c>
      <c r="E2955" s="16">
        <f>IFERROR(__xludf.DUMMYFUNCTION("""COMPUTED_VALUE"""),66.0)</f>
        <v>66</v>
      </c>
      <c r="F2955" s="19" t="str">
        <f>IFERROR(__xludf.DUMMYFUNCTION("""COMPUTED_VALUE"""),"BLACK")</f>
        <v>BLACK</v>
      </c>
      <c r="G2955" s="20" t="str">
        <f>IFERROR(__xludf.DUMMYFUNCTION("""COMPUTED_VALUE"""),"Uncle Sams Cider (11/12/2021) 02")</f>
        <v>Uncle Sams Cider (11/12/2021) 02</v>
      </c>
      <c r="H2955" s="19"/>
    </row>
    <row r="2956">
      <c r="A2956" s="9"/>
      <c r="B2956" s="15"/>
      <c r="C2956" s="9">
        <f>IFERROR(__xludf.DUMMYFUNCTION("""COMPUTED_VALUE"""),44574.7079006365)</f>
        <v>44574.7079</v>
      </c>
      <c r="D2956" s="15">
        <f>IFERROR(__xludf.DUMMYFUNCTION("""COMPUTED_VALUE"""),1.007)</f>
        <v>1.007</v>
      </c>
      <c r="E2956" s="16">
        <f>IFERROR(__xludf.DUMMYFUNCTION("""COMPUTED_VALUE"""),66.0)</f>
        <v>66</v>
      </c>
      <c r="F2956" s="19" t="str">
        <f>IFERROR(__xludf.DUMMYFUNCTION("""COMPUTED_VALUE"""),"BLACK")</f>
        <v>BLACK</v>
      </c>
      <c r="G2956" s="20" t="str">
        <f>IFERROR(__xludf.DUMMYFUNCTION("""COMPUTED_VALUE"""),"Uncle Sams Cider (11/12/2021) 02")</f>
        <v>Uncle Sams Cider (11/12/2021) 02</v>
      </c>
      <c r="H2956" s="19"/>
    </row>
    <row r="2957">
      <c r="A2957" s="9"/>
      <c r="B2957" s="15"/>
      <c r="C2957" s="9">
        <f>IFERROR(__xludf.DUMMYFUNCTION("""COMPUTED_VALUE"""),44574.6974567824)</f>
        <v>44574.69746</v>
      </c>
      <c r="D2957" s="15">
        <f>IFERROR(__xludf.DUMMYFUNCTION("""COMPUTED_VALUE"""),1.008)</f>
        <v>1.008</v>
      </c>
      <c r="E2957" s="16">
        <f>IFERROR(__xludf.DUMMYFUNCTION("""COMPUTED_VALUE"""),66.0)</f>
        <v>66</v>
      </c>
      <c r="F2957" s="19" t="str">
        <f>IFERROR(__xludf.DUMMYFUNCTION("""COMPUTED_VALUE"""),"BLACK")</f>
        <v>BLACK</v>
      </c>
      <c r="G2957" s="20" t="str">
        <f>IFERROR(__xludf.DUMMYFUNCTION("""COMPUTED_VALUE"""),"Uncle Sams Cider (11/12/2021) 02")</f>
        <v>Uncle Sams Cider (11/12/2021) 02</v>
      </c>
      <c r="H2957" s="19"/>
    </row>
    <row r="2958">
      <c r="A2958" s="9"/>
      <c r="B2958" s="15"/>
      <c r="C2958" s="9">
        <f>IFERROR(__xludf.DUMMYFUNCTION("""COMPUTED_VALUE"""),44574.6870369212)</f>
        <v>44574.68704</v>
      </c>
      <c r="D2958" s="15">
        <f>IFERROR(__xludf.DUMMYFUNCTION("""COMPUTED_VALUE"""),1.007)</f>
        <v>1.007</v>
      </c>
      <c r="E2958" s="16">
        <f>IFERROR(__xludf.DUMMYFUNCTION("""COMPUTED_VALUE"""),66.0)</f>
        <v>66</v>
      </c>
      <c r="F2958" s="19" t="str">
        <f>IFERROR(__xludf.DUMMYFUNCTION("""COMPUTED_VALUE"""),"BLACK")</f>
        <v>BLACK</v>
      </c>
      <c r="G2958" s="20" t="str">
        <f>IFERROR(__xludf.DUMMYFUNCTION("""COMPUTED_VALUE"""),"Uncle Sams Cider (11/12/2021) 02")</f>
        <v>Uncle Sams Cider (11/12/2021) 02</v>
      </c>
      <c r="H2958" s="19"/>
    </row>
    <row r="2959">
      <c r="A2959" s="9"/>
      <c r="B2959" s="15"/>
      <c r="C2959" s="9">
        <f>IFERROR(__xludf.DUMMYFUNCTION("""COMPUTED_VALUE"""),44574.6766155324)</f>
        <v>44574.67662</v>
      </c>
      <c r="D2959" s="15">
        <f>IFERROR(__xludf.DUMMYFUNCTION("""COMPUTED_VALUE"""),1.007)</f>
        <v>1.007</v>
      </c>
      <c r="E2959" s="16">
        <f>IFERROR(__xludf.DUMMYFUNCTION("""COMPUTED_VALUE"""),66.0)</f>
        <v>66</v>
      </c>
      <c r="F2959" s="19" t="str">
        <f>IFERROR(__xludf.DUMMYFUNCTION("""COMPUTED_VALUE"""),"BLACK")</f>
        <v>BLACK</v>
      </c>
      <c r="G2959" s="20" t="str">
        <f>IFERROR(__xludf.DUMMYFUNCTION("""COMPUTED_VALUE"""),"Uncle Sams Cider (11/12/2021) 02")</f>
        <v>Uncle Sams Cider (11/12/2021) 02</v>
      </c>
      <c r="H2959" s="19"/>
    </row>
    <row r="2960">
      <c r="A2960" s="9"/>
      <c r="B2960" s="15"/>
      <c r="C2960" s="9">
        <f>IFERROR(__xludf.DUMMYFUNCTION("""COMPUTED_VALUE"""),44574.6661813078)</f>
        <v>44574.66618</v>
      </c>
      <c r="D2960" s="15">
        <f>IFERROR(__xludf.DUMMYFUNCTION("""COMPUTED_VALUE"""),1.007)</f>
        <v>1.007</v>
      </c>
      <c r="E2960" s="16">
        <f>IFERROR(__xludf.DUMMYFUNCTION("""COMPUTED_VALUE"""),66.0)</f>
        <v>66</v>
      </c>
      <c r="F2960" s="19" t="str">
        <f>IFERROR(__xludf.DUMMYFUNCTION("""COMPUTED_VALUE"""),"BLACK")</f>
        <v>BLACK</v>
      </c>
      <c r="G2960" s="20" t="str">
        <f>IFERROR(__xludf.DUMMYFUNCTION("""COMPUTED_VALUE"""),"Uncle Sams Cider (11/12/2021) 02")</f>
        <v>Uncle Sams Cider (11/12/2021) 02</v>
      </c>
      <c r="H2960" s="19"/>
    </row>
    <row r="2961">
      <c r="A2961" s="9"/>
      <c r="B2961" s="15"/>
      <c r="C2961" s="9">
        <f>IFERROR(__xludf.DUMMYFUNCTION("""COMPUTED_VALUE"""),44574.6557591898)</f>
        <v>44574.65576</v>
      </c>
      <c r="D2961" s="15">
        <f>IFERROR(__xludf.DUMMYFUNCTION("""COMPUTED_VALUE"""),1.007)</f>
        <v>1.007</v>
      </c>
      <c r="E2961" s="16">
        <f>IFERROR(__xludf.DUMMYFUNCTION("""COMPUTED_VALUE"""),66.0)</f>
        <v>66</v>
      </c>
      <c r="F2961" s="19" t="str">
        <f>IFERROR(__xludf.DUMMYFUNCTION("""COMPUTED_VALUE"""),"BLACK")</f>
        <v>BLACK</v>
      </c>
      <c r="G2961" s="20" t="str">
        <f>IFERROR(__xludf.DUMMYFUNCTION("""COMPUTED_VALUE"""),"Uncle Sams Cider (11/12/2021) 02")</f>
        <v>Uncle Sams Cider (11/12/2021) 02</v>
      </c>
      <c r="H2961" s="19"/>
    </row>
    <row r="2962">
      <c r="A2962" s="9"/>
      <c r="B2962" s="15"/>
      <c r="C2962" s="9">
        <f>IFERROR(__xludf.DUMMYFUNCTION("""COMPUTED_VALUE"""),44574.645338993)</f>
        <v>44574.64534</v>
      </c>
      <c r="D2962" s="15">
        <f>IFERROR(__xludf.DUMMYFUNCTION("""COMPUTED_VALUE"""),1.007)</f>
        <v>1.007</v>
      </c>
      <c r="E2962" s="16">
        <f>IFERROR(__xludf.DUMMYFUNCTION("""COMPUTED_VALUE"""),66.0)</f>
        <v>66</v>
      </c>
      <c r="F2962" s="19" t="str">
        <f>IFERROR(__xludf.DUMMYFUNCTION("""COMPUTED_VALUE"""),"BLACK")</f>
        <v>BLACK</v>
      </c>
      <c r="G2962" s="20" t="str">
        <f>IFERROR(__xludf.DUMMYFUNCTION("""COMPUTED_VALUE"""),"Uncle Sams Cider (11/12/2021) 02")</f>
        <v>Uncle Sams Cider (11/12/2021) 02</v>
      </c>
      <c r="H2962" s="19"/>
    </row>
    <row r="2963">
      <c r="A2963" s="9"/>
      <c r="B2963" s="15"/>
      <c r="C2963" s="9">
        <f>IFERROR(__xludf.DUMMYFUNCTION("""COMPUTED_VALUE"""),44574.6349184143)</f>
        <v>44574.63492</v>
      </c>
      <c r="D2963" s="15">
        <f>IFERROR(__xludf.DUMMYFUNCTION("""COMPUTED_VALUE"""),1.007)</f>
        <v>1.007</v>
      </c>
      <c r="E2963" s="16">
        <f>IFERROR(__xludf.DUMMYFUNCTION("""COMPUTED_VALUE"""),66.0)</f>
        <v>66</v>
      </c>
      <c r="F2963" s="19" t="str">
        <f>IFERROR(__xludf.DUMMYFUNCTION("""COMPUTED_VALUE"""),"BLACK")</f>
        <v>BLACK</v>
      </c>
      <c r="G2963" s="20" t="str">
        <f>IFERROR(__xludf.DUMMYFUNCTION("""COMPUTED_VALUE"""),"Uncle Sams Cider (11/12/2021) 02")</f>
        <v>Uncle Sams Cider (11/12/2021) 02</v>
      </c>
      <c r="H2963" s="19"/>
    </row>
    <row r="2964">
      <c r="A2964" s="9"/>
      <c r="B2964" s="15"/>
      <c r="C2964" s="9">
        <f>IFERROR(__xludf.DUMMYFUNCTION("""COMPUTED_VALUE"""),44574.6244973842)</f>
        <v>44574.6245</v>
      </c>
      <c r="D2964" s="15">
        <f>IFERROR(__xludf.DUMMYFUNCTION("""COMPUTED_VALUE"""),1.007)</f>
        <v>1.007</v>
      </c>
      <c r="E2964" s="16">
        <f>IFERROR(__xludf.DUMMYFUNCTION("""COMPUTED_VALUE"""),66.0)</f>
        <v>66</v>
      </c>
      <c r="F2964" s="19" t="str">
        <f>IFERROR(__xludf.DUMMYFUNCTION("""COMPUTED_VALUE"""),"BLACK")</f>
        <v>BLACK</v>
      </c>
      <c r="G2964" s="20" t="str">
        <f>IFERROR(__xludf.DUMMYFUNCTION("""COMPUTED_VALUE"""),"Uncle Sams Cider (11/12/2021) 02")</f>
        <v>Uncle Sams Cider (11/12/2021) 02</v>
      </c>
      <c r="H2964" s="19"/>
    </row>
    <row r="2965">
      <c r="A2965" s="9"/>
      <c r="B2965" s="15"/>
      <c r="C2965" s="9">
        <f>IFERROR(__xludf.DUMMYFUNCTION("""COMPUTED_VALUE"""),44574.6140755324)</f>
        <v>44574.61408</v>
      </c>
      <c r="D2965" s="15">
        <f>IFERROR(__xludf.DUMMYFUNCTION("""COMPUTED_VALUE"""),1.007)</f>
        <v>1.007</v>
      </c>
      <c r="E2965" s="16">
        <f>IFERROR(__xludf.DUMMYFUNCTION("""COMPUTED_VALUE"""),66.0)</f>
        <v>66</v>
      </c>
      <c r="F2965" s="19" t="str">
        <f>IFERROR(__xludf.DUMMYFUNCTION("""COMPUTED_VALUE"""),"BLACK")</f>
        <v>BLACK</v>
      </c>
      <c r="G2965" s="20" t="str">
        <f>IFERROR(__xludf.DUMMYFUNCTION("""COMPUTED_VALUE"""),"Uncle Sams Cider (11/12/2021) 02")</f>
        <v>Uncle Sams Cider (11/12/2021) 02</v>
      </c>
      <c r="H2965" s="19"/>
    </row>
    <row r="2966">
      <c r="A2966" s="9"/>
      <c r="B2966" s="15"/>
      <c r="C2966" s="9">
        <f>IFERROR(__xludf.DUMMYFUNCTION("""COMPUTED_VALUE"""),44574.6036310185)</f>
        <v>44574.60363</v>
      </c>
      <c r="D2966" s="15">
        <f>IFERROR(__xludf.DUMMYFUNCTION("""COMPUTED_VALUE"""),1.007)</f>
        <v>1.007</v>
      </c>
      <c r="E2966" s="16">
        <f>IFERROR(__xludf.DUMMYFUNCTION("""COMPUTED_VALUE"""),66.0)</f>
        <v>66</v>
      </c>
      <c r="F2966" s="19" t="str">
        <f>IFERROR(__xludf.DUMMYFUNCTION("""COMPUTED_VALUE"""),"BLACK")</f>
        <v>BLACK</v>
      </c>
      <c r="G2966" s="20" t="str">
        <f>IFERROR(__xludf.DUMMYFUNCTION("""COMPUTED_VALUE"""),"Uncle Sams Cider (11/12/2021) 02")</f>
        <v>Uncle Sams Cider (11/12/2021) 02</v>
      </c>
      <c r="H2966" s="19"/>
    </row>
    <row r="2967">
      <c r="A2967" s="9"/>
      <c r="B2967" s="15"/>
      <c r="C2967" s="9">
        <f>IFERROR(__xludf.DUMMYFUNCTION("""COMPUTED_VALUE"""),44574.5931986574)</f>
        <v>44574.5932</v>
      </c>
      <c r="D2967" s="15">
        <f>IFERROR(__xludf.DUMMYFUNCTION("""COMPUTED_VALUE"""),1.007)</f>
        <v>1.007</v>
      </c>
      <c r="E2967" s="16">
        <f>IFERROR(__xludf.DUMMYFUNCTION("""COMPUTED_VALUE"""),66.0)</f>
        <v>66</v>
      </c>
      <c r="F2967" s="19" t="str">
        <f>IFERROR(__xludf.DUMMYFUNCTION("""COMPUTED_VALUE"""),"BLACK")</f>
        <v>BLACK</v>
      </c>
      <c r="G2967" s="20" t="str">
        <f>IFERROR(__xludf.DUMMYFUNCTION("""COMPUTED_VALUE"""),"Uncle Sams Cider (11/12/2021) 02")</f>
        <v>Uncle Sams Cider (11/12/2021) 02</v>
      </c>
      <c r="H2967" s="19"/>
    </row>
    <row r="2968">
      <c r="A2968" s="9"/>
      <c r="B2968" s="15"/>
      <c r="C2968" s="9">
        <f>IFERROR(__xludf.DUMMYFUNCTION("""COMPUTED_VALUE"""),44574.5827534375)</f>
        <v>44574.58275</v>
      </c>
      <c r="D2968" s="15">
        <f>IFERROR(__xludf.DUMMYFUNCTION("""COMPUTED_VALUE"""),1.007)</f>
        <v>1.007</v>
      </c>
      <c r="E2968" s="16">
        <f>IFERROR(__xludf.DUMMYFUNCTION("""COMPUTED_VALUE"""),66.0)</f>
        <v>66</v>
      </c>
      <c r="F2968" s="19" t="str">
        <f>IFERROR(__xludf.DUMMYFUNCTION("""COMPUTED_VALUE"""),"BLACK")</f>
        <v>BLACK</v>
      </c>
      <c r="G2968" s="20" t="str">
        <f>IFERROR(__xludf.DUMMYFUNCTION("""COMPUTED_VALUE"""),"Uncle Sams Cider (11/12/2021) 02")</f>
        <v>Uncle Sams Cider (11/12/2021) 02</v>
      </c>
      <c r="H2968" s="19"/>
    </row>
    <row r="2969">
      <c r="A2969" s="9"/>
      <c r="B2969" s="15"/>
      <c r="C2969" s="9">
        <f>IFERROR(__xludf.DUMMYFUNCTION("""COMPUTED_VALUE"""),44574.5723085763)</f>
        <v>44574.57231</v>
      </c>
      <c r="D2969" s="15">
        <f>IFERROR(__xludf.DUMMYFUNCTION("""COMPUTED_VALUE"""),1.007)</f>
        <v>1.007</v>
      </c>
      <c r="E2969" s="16">
        <f>IFERROR(__xludf.DUMMYFUNCTION("""COMPUTED_VALUE"""),66.0)</f>
        <v>66</v>
      </c>
      <c r="F2969" s="19" t="str">
        <f>IFERROR(__xludf.DUMMYFUNCTION("""COMPUTED_VALUE"""),"BLACK")</f>
        <v>BLACK</v>
      </c>
      <c r="G2969" s="20" t="str">
        <f>IFERROR(__xludf.DUMMYFUNCTION("""COMPUTED_VALUE"""),"Uncle Sams Cider (11/12/2021) 02")</f>
        <v>Uncle Sams Cider (11/12/2021) 02</v>
      </c>
      <c r="H2969" s="19"/>
    </row>
    <row r="2970">
      <c r="A2970" s="9"/>
      <c r="B2970" s="15"/>
      <c r="C2970" s="9">
        <f>IFERROR(__xludf.DUMMYFUNCTION("""COMPUTED_VALUE"""),44574.5618739699)</f>
        <v>44574.56187</v>
      </c>
      <c r="D2970" s="15">
        <f>IFERROR(__xludf.DUMMYFUNCTION("""COMPUTED_VALUE"""),1.007)</f>
        <v>1.007</v>
      </c>
      <c r="E2970" s="16">
        <f>IFERROR(__xludf.DUMMYFUNCTION("""COMPUTED_VALUE"""),66.0)</f>
        <v>66</v>
      </c>
      <c r="F2970" s="19" t="str">
        <f>IFERROR(__xludf.DUMMYFUNCTION("""COMPUTED_VALUE"""),"BLACK")</f>
        <v>BLACK</v>
      </c>
      <c r="G2970" s="20" t="str">
        <f>IFERROR(__xludf.DUMMYFUNCTION("""COMPUTED_VALUE"""),"Uncle Sams Cider (11/12/2021) 02")</f>
        <v>Uncle Sams Cider (11/12/2021) 02</v>
      </c>
      <c r="H2970" s="19"/>
    </row>
    <row r="2971">
      <c r="A2971" s="9"/>
      <c r="B2971" s="15"/>
      <c r="C2971" s="9">
        <f>IFERROR(__xludf.DUMMYFUNCTION("""COMPUTED_VALUE"""),44574.5514427777)</f>
        <v>44574.55144</v>
      </c>
      <c r="D2971" s="15">
        <f>IFERROR(__xludf.DUMMYFUNCTION("""COMPUTED_VALUE"""),1.007)</f>
        <v>1.007</v>
      </c>
      <c r="E2971" s="16">
        <f>IFERROR(__xludf.DUMMYFUNCTION("""COMPUTED_VALUE"""),66.0)</f>
        <v>66</v>
      </c>
      <c r="F2971" s="19" t="str">
        <f>IFERROR(__xludf.DUMMYFUNCTION("""COMPUTED_VALUE"""),"BLACK")</f>
        <v>BLACK</v>
      </c>
      <c r="G2971" s="20" t="str">
        <f>IFERROR(__xludf.DUMMYFUNCTION("""COMPUTED_VALUE"""),"Uncle Sams Cider (11/12/2021) 02")</f>
        <v>Uncle Sams Cider (11/12/2021) 02</v>
      </c>
      <c r="H2971" s="19"/>
    </row>
    <row r="2972">
      <c r="A2972" s="9"/>
      <c r="B2972" s="15"/>
      <c r="C2972" s="9">
        <f>IFERROR(__xludf.DUMMYFUNCTION("""COMPUTED_VALUE"""),44574.54101125)</f>
        <v>44574.54101</v>
      </c>
      <c r="D2972" s="15">
        <f>IFERROR(__xludf.DUMMYFUNCTION("""COMPUTED_VALUE"""),1.007)</f>
        <v>1.007</v>
      </c>
      <c r="E2972" s="16">
        <f>IFERROR(__xludf.DUMMYFUNCTION("""COMPUTED_VALUE"""),66.0)</f>
        <v>66</v>
      </c>
      <c r="F2972" s="19" t="str">
        <f>IFERROR(__xludf.DUMMYFUNCTION("""COMPUTED_VALUE"""),"BLACK")</f>
        <v>BLACK</v>
      </c>
      <c r="G2972" s="20" t="str">
        <f>IFERROR(__xludf.DUMMYFUNCTION("""COMPUTED_VALUE"""),"Uncle Sams Cider (11/12/2021) 02")</f>
        <v>Uncle Sams Cider (11/12/2021) 02</v>
      </c>
      <c r="H2972" s="19"/>
    </row>
    <row r="2973">
      <c r="A2973" s="9"/>
      <c r="B2973" s="15"/>
      <c r="C2973" s="9">
        <f>IFERROR(__xludf.DUMMYFUNCTION("""COMPUTED_VALUE"""),44574.5305904513)</f>
        <v>44574.53059</v>
      </c>
      <c r="D2973" s="15">
        <f>IFERROR(__xludf.DUMMYFUNCTION("""COMPUTED_VALUE"""),1.007)</f>
        <v>1.007</v>
      </c>
      <c r="E2973" s="16">
        <f>IFERROR(__xludf.DUMMYFUNCTION("""COMPUTED_VALUE"""),66.0)</f>
        <v>66</v>
      </c>
      <c r="F2973" s="19" t="str">
        <f>IFERROR(__xludf.DUMMYFUNCTION("""COMPUTED_VALUE"""),"BLACK")</f>
        <v>BLACK</v>
      </c>
      <c r="G2973" s="20" t="str">
        <f>IFERROR(__xludf.DUMMYFUNCTION("""COMPUTED_VALUE"""),"Uncle Sams Cider (11/12/2021) 02")</f>
        <v>Uncle Sams Cider (11/12/2021) 02</v>
      </c>
      <c r="H2973" s="19"/>
    </row>
    <row r="2974">
      <c r="A2974" s="9"/>
      <c r="B2974" s="15"/>
      <c r="C2974" s="9">
        <f>IFERROR(__xludf.DUMMYFUNCTION("""COMPUTED_VALUE"""),44574.5201570601)</f>
        <v>44574.52016</v>
      </c>
      <c r="D2974" s="15">
        <f>IFERROR(__xludf.DUMMYFUNCTION("""COMPUTED_VALUE"""),1.007)</f>
        <v>1.007</v>
      </c>
      <c r="E2974" s="16">
        <f>IFERROR(__xludf.DUMMYFUNCTION("""COMPUTED_VALUE"""),66.0)</f>
        <v>66</v>
      </c>
      <c r="F2974" s="19" t="str">
        <f>IFERROR(__xludf.DUMMYFUNCTION("""COMPUTED_VALUE"""),"BLACK")</f>
        <v>BLACK</v>
      </c>
      <c r="G2974" s="20" t="str">
        <f>IFERROR(__xludf.DUMMYFUNCTION("""COMPUTED_VALUE"""),"Uncle Sams Cider (11/12/2021) 02")</f>
        <v>Uncle Sams Cider (11/12/2021) 02</v>
      </c>
      <c r="H2974" s="19"/>
    </row>
    <row r="2975">
      <c r="A2975" s="9"/>
      <c r="B2975" s="15"/>
      <c r="C2975" s="9">
        <f>IFERROR(__xludf.DUMMYFUNCTION("""COMPUTED_VALUE"""),44574.5097366782)</f>
        <v>44574.50974</v>
      </c>
      <c r="D2975" s="15">
        <f>IFERROR(__xludf.DUMMYFUNCTION("""COMPUTED_VALUE"""),1.008)</f>
        <v>1.008</v>
      </c>
      <c r="E2975" s="16">
        <f>IFERROR(__xludf.DUMMYFUNCTION("""COMPUTED_VALUE"""),66.0)</f>
        <v>66</v>
      </c>
      <c r="F2975" s="19" t="str">
        <f>IFERROR(__xludf.DUMMYFUNCTION("""COMPUTED_VALUE"""),"BLACK")</f>
        <v>BLACK</v>
      </c>
      <c r="G2975" s="20" t="str">
        <f>IFERROR(__xludf.DUMMYFUNCTION("""COMPUTED_VALUE"""),"Uncle Sams Cider (11/12/2021) 02")</f>
        <v>Uncle Sams Cider (11/12/2021) 02</v>
      </c>
      <c r="H2975" s="19"/>
    </row>
    <row r="2976">
      <c r="A2976" s="9"/>
      <c r="B2976" s="15"/>
      <c r="C2976" s="9">
        <f>IFERROR(__xludf.DUMMYFUNCTION("""COMPUTED_VALUE"""),44574.4993142245)</f>
        <v>44574.49931</v>
      </c>
      <c r="D2976" s="15">
        <f>IFERROR(__xludf.DUMMYFUNCTION("""COMPUTED_VALUE"""),1.007)</f>
        <v>1.007</v>
      </c>
      <c r="E2976" s="16">
        <f>IFERROR(__xludf.DUMMYFUNCTION("""COMPUTED_VALUE"""),66.0)</f>
        <v>66</v>
      </c>
      <c r="F2976" s="19" t="str">
        <f>IFERROR(__xludf.DUMMYFUNCTION("""COMPUTED_VALUE"""),"BLACK")</f>
        <v>BLACK</v>
      </c>
      <c r="G2976" s="20" t="str">
        <f>IFERROR(__xludf.DUMMYFUNCTION("""COMPUTED_VALUE"""),"Uncle Sams Cider (11/12/2021) 02")</f>
        <v>Uncle Sams Cider (11/12/2021) 02</v>
      </c>
      <c r="H2976" s="19"/>
    </row>
    <row r="2977">
      <c r="A2977" s="9"/>
      <c r="B2977" s="15"/>
      <c r="C2977" s="9">
        <f>IFERROR(__xludf.DUMMYFUNCTION("""COMPUTED_VALUE"""),44574.4888816088)</f>
        <v>44574.48888</v>
      </c>
      <c r="D2977" s="15">
        <f>IFERROR(__xludf.DUMMYFUNCTION("""COMPUTED_VALUE"""),1.007)</f>
        <v>1.007</v>
      </c>
      <c r="E2977" s="16">
        <f>IFERROR(__xludf.DUMMYFUNCTION("""COMPUTED_VALUE"""),66.0)</f>
        <v>66</v>
      </c>
      <c r="F2977" s="19" t="str">
        <f>IFERROR(__xludf.DUMMYFUNCTION("""COMPUTED_VALUE"""),"BLACK")</f>
        <v>BLACK</v>
      </c>
      <c r="G2977" s="20" t="str">
        <f>IFERROR(__xludf.DUMMYFUNCTION("""COMPUTED_VALUE"""),"Uncle Sams Cider (11/12/2021) 02")</f>
        <v>Uncle Sams Cider (11/12/2021) 02</v>
      </c>
      <c r="H2977" s="19"/>
    </row>
    <row r="2978">
      <c r="A2978" s="9"/>
      <c r="B2978" s="15"/>
      <c r="C2978" s="9">
        <f>IFERROR(__xludf.DUMMYFUNCTION("""COMPUTED_VALUE"""),44574.4784607523)</f>
        <v>44574.47846</v>
      </c>
      <c r="D2978" s="15">
        <f>IFERROR(__xludf.DUMMYFUNCTION("""COMPUTED_VALUE"""),1.007)</f>
        <v>1.007</v>
      </c>
      <c r="E2978" s="16">
        <f>IFERROR(__xludf.DUMMYFUNCTION("""COMPUTED_VALUE"""),66.0)</f>
        <v>66</v>
      </c>
      <c r="F2978" s="19" t="str">
        <f>IFERROR(__xludf.DUMMYFUNCTION("""COMPUTED_VALUE"""),"BLACK")</f>
        <v>BLACK</v>
      </c>
      <c r="G2978" s="20" t="str">
        <f>IFERROR(__xludf.DUMMYFUNCTION("""COMPUTED_VALUE"""),"Uncle Sams Cider (11/12/2021) 02")</f>
        <v>Uncle Sams Cider (11/12/2021) 02</v>
      </c>
      <c r="H2978" s="19"/>
    </row>
    <row r="2979">
      <c r="A2979" s="9"/>
      <c r="B2979" s="15"/>
      <c r="C2979" s="9">
        <f>IFERROR(__xludf.DUMMYFUNCTION("""COMPUTED_VALUE"""),44574.4680400347)</f>
        <v>44574.46804</v>
      </c>
      <c r="D2979" s="15">
        <f>IFERROR(__xludf.DUMMYFUNCTION("""COMPUTED_VALUE"""),1.008)</f>
        <v>1.008</v>
      </c>
      <c r="E2979" s="16">
        <f>IFERROR(__xludf.DUMMYFUNCTION("""COMPUTED_VALUE"""),67.0)</f>
        <v>67</v>
      </c>
      <c r="F2979" s="19" t="str">
        <f>IFERROR(__xludf.DUMMYFUNCTION("""COMPUTED_VALUE"""),"BLACK")</f>
        <v>BLACK</v>
      </c>
      <c r="G2979" s="20" t="str">
        <f>IFERROR(__xludf.DUMMYFUNCTION("""COMPUTED_VALUE"""),"Uncle Sams Cider (11/12/2021) 02")</f>
        <v>Uncle Sams Cider (11/12/2021) 02</v>
      </c>
      <c r="H2979" s="19"/>
    </row>
    <row r="2980">
      <c r="A2980" s="9"/>
      <c r="B2980" s="15"/>
      <c r="C2980" s="9">
        <f>IFERROR(__xludf.DUMMYFUNCTION("""COMPUTED_VALUE"""),44574.4575831481)</f>
        <v>44574.45758</v>
      </c>
      <c r="D2980" s="15">
        <f>IFERROR(__xludf.DUMMYFUNCTION("""COMPUTED_VALUE"""),1.007)</f>
        <v>1.007</v>
      </c>
      <c r="E2980" s="16">
        <f>IFERROR(__xludf.DUMMYFUNCTION("""COMPUTED_VALUE"""),67.0)</f>
        <v>67</v>
      </c>
      <c r="F2980" s="19" t="str">
        <f>IFERROR(__xludf.DUMMYFUNCTION("""COMPUTED_VALUE"""),"BLACK")</f>
        <v>BLACK</v>
      </c>
      <c r="G2980" s="20" t="str">
        <f>IFERROR(__xludf.DUMMYFUNCTION("""COMPUTED_VALUE"""),"Uncle Sams Cider (11/12/2021) 02")</f>
        <v>Uncle Sams Cider (11/12/2021) 02</v>
      </c>
      <c r="H2980" s="19"/>
    </row>
    <row r="2981">
      <c r="A2981" s="9"/>
      <c r="B2981" s="15"/>
      <c r="C2981" s="9">
        <f>IFERROR(__xludf.DUMMYFUNCTION("""COMPUTED_VALUE"""),44574.4471379166)</f>
        <v>44574.44714</v>
      </c>
      <c r="D2981" s="15">
        <f>IFERROR(__xludf.DUMMYFUNCTION("""COMPUTED_VALUE"""),1.007)</f>
        <v>1.007</v>
      </c>
      <c r="E2981" s="16">
        <f>IFERROR(__xludf.DUMMYFUNCTION("""COMPUTED_VALUE"""),67.0)</f>
        <v>67</v>
      </c>
      <c r="F2981" s="19" t="str">
        <f>IFERROR(__xludf.DUMMYFUNCTION("""COMPUTED_VALUE"""),"BLACK")</f>
        <v>BLACK</v>
      </c>
      <c r="G2981" s="20" t="str">
        <f>IFERROR(__xludf.DUMMYFUNCTION("""COMPUTED_VALUE"""),"Uncle Sams Cider (11/12/2021) 02")</f>
        <v>Uncle Sams Cider (11/12/2021) 02</v>
      </c>
      <c r="H2981" s="19"/>
    </row>
    <row r="2982">
      <c r="A2982" s="9"/>
      <c r="B2982" s="15"/>
      <c r="C2982" s="9">
        <f>IFERROR(__xludf.DUMMYFUNCTION("""COMPUTED_VALUE"""),44574.4367187037)</f>
        <v>44574.43672</v>
      </c>
      <c r="D2982" s="15">
        <f>IFERROR(__xludf.DUMMYFUNCTION("""COMPUTED_VALUE"""),1.007)</f>
        <v>1.007</v>
      </c>
      <c r="E2982" s="16">
        <f>IFERROR(__xludf.DUMMYFUNCTION("""COMPUTED_VALUE"""),67.0)</f>
        <v>67</v>
      </c>
      <c r="F2982" s="19" t="str">
        <f>IFERROR(__xludf.DUMMYFUNCTION("""COMPUTED_VALUE"""),"BLACK")</f>
        <v>BLACK</v>
      </c>
      <c r="G2982" s="20" t="str">
        <f>IFERROR(__xludf.DUMMYFUNCTION("""COMPUTED_VALUE"""),"Uncle Sams Cider (11/12/2021) 02")</f>
        <v>Uncle Sams Cider (11/12/2021) 02</v>
      </c>
      <c r="H2982" s="19"/>
    </row>
    <row r="2983">
      <c r="A2983" s="9"/>
      <c r="B2983" s="15"/>
      <c r="C2983" s="9">
        <f>IFERROR(__xludf.DUMMYFUNCTION("""COMPUTED_VALUE"""),44574.4262962615)</f>
        <v>44574.4263</v>
      </c>
      <c r="D2983" s="15">
        <f>IFERROR(__xludf.DUMMYFUNCTION("""COMPUTED_VALUE"""),1.007)</f>
        <v>1.007</v>
      </c>
      <c r="E2983" s="16">
        <f>IFERROR(__xludf.DUMMYFUNCTION("""COMPUTED_VALUE"""),67.0)</f>
        <v>67</v>
      </c>
      <c r="F2983" s="19" t="str">
        <f>IFERROR(__xludf.DUMMYFUNCTION("""COMPUTED_VALUE"""),"BLACK")</f>
        <v>BLACK</v>
      </c>
      <c r="G2983" s="20" t="str">
        <f>IFERROR(__xludf.DUMMYFUNCTION("""COMPUTED_VALUE"""),"Uncle Sams Cider (11/12/2021) 02")</f>
        <v>Uncle Sams Cider (11/12/2021) 02</v>
      </c>
      <c r="H2983" s="19"/>
    </row>
    <row r="2984">
      <c r="A2984" s="9"/>
      <c r="B2984" s="15"/>
      <c r="C2984" s="9">
        <f>IFERROR(__xludf.DUMMYFUNCTION("""COMPUTED_VALUE"""),44574.4158615625)</f>
        <v>44574.41586</v>
      </c>
      <c r="D2984" s="15">
        <f>IFERROR(__xludf.DUMMYFUNCTION("""COMPUTED_VALUE"""),1.007)</f>
        <v>1.007</v>
      </c>
      <c r="E2984" s="16">
        <f>IFERROR(__xludf.DUMMYFUNCTION("""COMPUTED_VALUE"""),67.0)</f>
        <v>67</v>
      </c>
      <c r="F2984" s="19" t="str">
        <f>IFERROR(__xludf.DUMMYFUNCTION("""COMPUTED_VALUE"""),"BLACK")</f>
        <v>BLACK</v>
      </c>
      <c r="G2984" s="20" t="str">
        <f>IFERROR(__xludf.DUMMYFUNCTION("""COMPUTED_VALUE"""),"Uncle Sams Cider (11/12/2021) 02")</f>
        <v>Uncle Sams Cider (11/12/2021) 02</v>
      </c>
      <c r="H2984" s="19"/>
    </row>
    <row r="2985">
      <c r="A2985" s="9"/>
      <c r="B2985" s="15"/>
      <c r="C2985" s="9">
        <f>IFERROR(__xludf.DUMMYFUNCTION("""COMPUTED_VALUE"""),44574.4054290393)</f>
        <v>44574.40543</v>
      </c>
      <c r="D2985" s="15">
        <f>IFERROR(__xludf.DUMMYFUNCTION("""COMPUTED_VALUE"""),1.007)</f>
        <v>1.007</v>
      </c>
      <c r="E2985" s="16">
        <f>IFERROR(__xludf.DUMMYFUNCTION("""COMPUTED_VALUE"""),67.0)</f>
        <v>67</v>
      </c>
      <c r="F2985" s="19" t="str">
        <f>IFERROR(__xludf.DUMMYFUNCTION("""COMPUTED_VALUE"""),"BLACK")</f>
        <v>BLACK</v>
      </c>
      <c r="G2985" s="20" t="str">
        <f>IFERROR(__xludf.DUMMYFUNCTION("""COMPUTED_VALUE"""),"Uncle Sams Cider (11/12/2021) 02")</f>
        <v>Uncle Sams Cider (11/12/2021) 02</v>
      </c>
      <c r="H2985" s="19"/>
    </row>
    <row r="2986">
      <c r="A2986" s="9"/>
      <c r="B2986" s="15"/>
      <c r="C2986" s="9">
        <f>IFERROR(__xludf.DUMMYFUNCTION("""COMPUTED_VALUE"""),44574.3949952662)</f>
        <v>44574.395</v>
      </c>
      <c r="D2986" s="15">
        <f>IFERROR(__xludf.DUMMYFUNCTION("""COMPUTED_VALUE"""),1.007)</f>
        <v>1.007</v>
      </c>
      <c r="E2986" s="16">
        <f>IFERROR(__xludf.DUMMYFUNCTION("""COMPUTED_VALUE"""),67.0)</f>
        <v>67</v>
      </c>
      <c r="F2986" s="19" t="str">
        <f>IFERROR(__xludf.DUMMYFUNCTION("""COMPUTED_VALUE"""),"BLACK")</f>
        <v>BLACK</v>
      </c>
      <c r="G2986" s="20" t="str">
        <f>IFERROR(__xludf.DUMMYFUNCTION("""COMPUTED_VALUE"""),"Uncle Sams Cider (11/12/2021) 02")</f>
        <v>Uncle Sams Cider (11/12/2021) 02</v>
      </c>
      <c r="H2986" s="19"/>
    </row>
    <row r="2987">
      <c r="A2987" s="9"/>
      <c r="B2987" s="15"/>
      <c r="C2987" s="9">
        <f>IFERROR(__xludf.DUMMYFUNCTION("""COMPUTED_VALUE"""),44574.3845740162)</f>
        <v>44574.38457</v>
      </c>
      <c r="D2987" s="15">
        <f>IFERROR(__xludf.DUMMYFUNCTION("""COMPUTED_VALUE"""),1.007)</f>
        <v>1.007</v>
      </c>
      <c r="E2987" s="16">
        <f>IFERROR(__xludf.DUMMYFUNCTION("""COMPUTED_VALUE"""),67.0)</f>
        <v>67</v>
      </c>
      <c r="F2987" s="19" t="str">
        <f>IFERROR(__xludf.DUMMYFUNCTION("""COMPUTED_VALUE"""),"BLACK")</f>
        <v>BLACK</v>
      </c>
      <c r="G2987" s="20" t="str">
        <f>IFERROR(__xludf.DUMMYFUNCTION("""COMPUTED_VALUE"""),"Uncle Sams Cider (11/12/2021) 02")</f>
        <v>Uncle Sams Cider (11/12/2021) 02</v>
      </c>
      <c r="H2987" s="19"/>
    </row>
    <row r="2988">
      <c r="A2988" s="9"/>
      <c r="B2988" s="15"/>
      <c r="C2988" s="9">
        <f>IFERROR(__xludf.DUMMYFUNCTION("""COMPUTED_VALUE"""),44574.374153287)</f>
        <v>44574.37415</v>
      </c>
      <c r="D2988" s="15">
        <f>IFERROR(__xludf.DUMMYFUNCTION("""COMPUTED_VALUE"""),1.007)</f>
        <v>1.007</v>
      </c>
      <c r="E2988" s="16">
        <f>IFERROR(__xludf.DUMMYFUNCTION("""COMPUTED_VALUE"""),67.0)</f>
        <v>67</v>
      </c>
      <c r="F2988" s="19" t="str">
        <f>IFERROR(__xludf.DUMMYFUNCTION("""COMPUTED_VALUE"""),"BLACK")</f>
        <v>BLACK</v>
      </c>
      <c r="G2988" s="20" t="str">
        <f>IFERROR(__xludf.DUMMYFUNCTION("""COMPUTED_VALUE"""),"Uncle Sams Cider (11/12/2021) 02")</f>
        <v>Uncle Sams Cider (11/12/2021) 02</v>
      </c>
      <c r="H2988" s="19"/>
    </row>
    <row r="2989">
      <c r="A2989" s="9"/>
      <c r="B2989" s="15"/>
      <c r="C2989" s="9">
        <f>IFERROR(__xludf.DUMMYFUNCTION("""COMPUTED_VALUE"""),44574.363719074)</f>
        <v>44574.36372</v>
      </c>
      <c r="D2989" s="15">
        <f>IFERROR(__xludf.DUMMYFUNCTION("""COMPUTED_VALUE"""),1.008)</f>
        <v>1.008</v>
      </c>
      <c r="E2989" s="16">
        <f>IFERROR(__xludf.DUMMYFUNCTION("""COMPUTED_VALUE"""),67.0)</f>
        <v>67</v>
      </c>
      <c r="F2989" s="19" t="str">
        <f>IFERROR(__xludf.DUMMYFUNCTION("""COMPUTED_VALUE"""),"BLACK")</f>
        <v>BLACK</v>
      </c>
      <c r="G2989" s="20" t="str">
        <f>IFERROR(__xludf.DUMMYFUNCTION("""COMPUTED_VALUE"""),"Uncle Sams Cider (11/12/2021) 02")</f>
        <v>Uncle Sams Cider (11/12/2021) 02</v>
      </c>
      <c r="H2989" s="19"/>
    </row>
    <row r="2990">
      <c r="A2990" s="9"/>
      <c r="B2990" s="15"/>
      <c r="C2990" s="9">
        <f>IFERROR(__xludf.DUMMYFUNCTION("""COMPUTED_VALUE"""),44574.3532981018)</f>
        <v>44574.3533</v>
      </c>
      <c r="D2990" s="15">
        <f>IFERROR(__xludf.DUMMYFUNCTION("""COMPUTED_VALUE"""),1.007)</f>
        <v>1.007</v>
      </c>
      <c r="E2990" s="16">
        <f>IFERROR(__xludf.DUMMYFUNCTION("""COMPUTED_VALUE"""),67.0)</f>
        <v>67</v>
      </c>
      <c r="F2990" s="19" t="str">
        <f>IFERROR(__xludf.DUMMYFUNCTION("""COMPUTED_VALUE"""),"BLACK")</f>
        <v>BLACK</v>
      </c>
      <c r="G2990" s="20" t="str">
        <f>IFERROR(__xludf.DUMMYFUNCTION("""COMPUTED_VALUE"""),"Uncle Sams Cider (11/12/2021) 02")</f>
        <v>Uncle Sams Cider (11/12/2021) 02</v>
      </c>
      <c r="H2990" s="19"/>
    </row>
    <row r="2991">
      <c r="A2991" s="9"/>
      <c r="B2991" s="15"/>
      <c r="C2991" s="9">
        <f>IFERROR(__xludf.DUMMYFUNCTION("""COMPUTED_VALUE"""),44574.3428763541)</f>
        <v>44574.34288</v>
      </c>
      <c r="D2991" s="15">
        <f>IFERROR(__xludf.DUMMYFUNCTION("""COMPUTED_VALUE"""),1.007)</f>
        <v>1.007</v>
      </c>
      <c r="E2991" s="16">
        <f>IFERROR(__xludf.DUMMYFUNCTION("""COMPUTED_VALUE"""),67.0)</f>
        <v>67</v>
      </c>
      <c r="F2991" s="19" t="str">
        <f>IFERROR(__xludf.DUMMYFUNCTION("""COMPUTED_VALUE"""),"BLACK")</f>
        <v>BLACK</v>
      </c>
      <c r="G2991" s="20" t="str">
        <f>IFERROR(__xludf.DUMMYFUNCTION("""COMPUTED_VALUE"""),"Uncle Sams Cider (11/12/2021) 02")</f>
        <v>Uncle Sams Cider (11/12/2021) 02</v>
      </c>
      <c r="H2991" s="19"/>
    </row>
    <row r="2992">
      <c r="A2992" s="9"/>
      <c r="B2992" s="15"/>
      <c r="C2992" s="9">
        <f>IFERROR(__xludf.DUMMYFUNCTION("""COMPUTED_VALUE"""),44574.3324450115)</f>
        <v>44574.33245</v>
      </c>
      <c r="D2992" s="15">
        <f>IFERROR(__xludf.DUMMYFUNCTION("""COMPUTED_VALUE"""),1.007)</f>
        <v>1.007</v>
      </c>
      <c r="E2992" s="16">
        <f>IFERROR(__xludf.DUMMYFUNCTION("""COMPUTED_VALUE"""),67.0)</f>
        <v>67</v>
      </c>
      <c r="F2992" s="19" t="str">
        <f>IFERROR(__xludf.DUMMYFUNCTION("""COMPUTED_VALUE"""),"BLACK")</f>
        <v>BLACK</v>
      </c>
      <c r="G2992" s="20" t="str">
        <f>IFERROR(__xludf.DUMMYFUNCTION("""COMPUTED_VALUE"""),"Uncle Sams Cider (11/12/2021) 02")</f>
        <v>Uncle Sams Cider (11/12/2021) 02</v>
      </c>
      <c r="H2992" s="19"/>
    </row>
    <row r="2993">
      <c r="A2993" s="9"/>
      <c r="B2993" s="15"/>
      <c r="C2993" s="9">
        <f>IFERROR(__xludf.DUMMYFUNCTION("""COMPUTED_VALUE"""),44574.3220119791)</f>
        <v>44574.32201</v>
      </c>
      <c r="D2993" s="15">
        <f>IFERROR(__xludf.DUMMYFUNCTION("""COMPUTED_VALUE"""),1.007)</f>
        <v>1.007</v>
      </c>
      <c r="E2993" s="16">
        <f>IFERROR(__xludf.DUMMYFUNCTION("""COMPUTED_VALUE"""),67.0)</f>
        <v>67</v>
      </c>
      <c r="F2993" s="19" t="str">
        <f>IFERROR(__xludf.DUMMYFUNCTION("""COMPUTED_VALUE"""),"BLACK")</f>
        <v>BLACK</v>
      </c>
      <c r="G2993" s="20" t="str">
        <f>IFERROR(__xludf.DUMMYFUNCTION("""COMPUTED_VALUE"""),"Uncle Sams Cider (11/12/2021) 02")</f>
        <v>Uncle Sams Cider (11/12/2021) 02</v>
      </c>
      <c r="H2993" s="19"/>
    </row>
    <row r="2994">
      <c r="A2994" s="9"/>
      <c r="B2994" s="15"/>
      <c r="C2994" s="9">
        <f>IFERROR(__xludf.DUMMYFUNCTION("""COMPUTED_VALUE"""),44574.311590787)</f>
        <v>44574.31159</v>
      </c>
      <c r="D2994" s="15">
        <f>IFERROR(__xludf.DUMMYFUNCTION("""COMPUTED_VALUE"""),1.007)</f>
        <v>1.007</v>
      </c>
      <c r="E2994" s="16">
        <f>IFERROR(__xludf.DUMMYFUNCTION("""COMPUTED_VALUE"""),67.0)</f>
        <v>67</v>
      </c>
      <c r="F2994" s="19" t="str">
        <f>IFERROR(__xludf.DUMMYFUNCTION("""COMPUTED_VALUE"""),"BLACK")</f>
        <v>BLACK</v>
      </c>
      <c r="G2994" s="20" t="str">
        <f>IFERROR(__xludf.DUMMYFUNCTION("""COMPUTED_VALUE"""),"Uncle Sams Cider (11/12/2021) 02")</f>
        <v>Uncle Sams Cider (11/12/2021) 02</v>
      </c>
      <c r="H2994" s="19"/>
    </row>
    <row r="2995">
      <c r="A2995" s="9"/>
      <c r="B2995" s="15"/>
      <c r="C2995" s="9">
        <f>IFERROR(__xludf.DUMMYFUNCTION("""COMPUTED_VALUE"""),44574.3011683217)</f>
        <v>44574.30117</v>
      </c>
      <c r="D2995" s="15">
        <f>IFERROR(__xludf.DUMMYFUNCTION("""COMPUTED_VALUE"""),1.007)</f>
        <v>1.007</v>
      </c>
      <c r="E2995" s="16">
        <f>IFERROR(__xludf.DUMMYFUNCTION("""COMPUTED_VALUE"""),67.0)</f>
        <v>67</v>
      </c>
      <c r="F2995" s="19" t="str">
        <f>IFERROR(__xludf.DUMMYFUNCTION("""COMPUTED_VALUE"""),"BLACK")</f>
        <v>BLACK</v>
      </c>
      <c r="G2995" s="20" t="str">
        <f>IFERROR(__xludf.DUMMYFUNCTION("""COMPUTED_VALUE"""),"Uncle Sams Cider (11/12/2021) 02")</f>
        <v>Uncle Sams Cider (11/12/2021) 02</v>
      </c>
      <c r="H2995" s="19"/>
    </row>
    <row r="2996">
      <c r="A2996" s="9"/>
      <c r="B2996" s="15"/>
      <c r="C2996" s="9">
        <f>IFERROR(__xludf.DUMMYFUNCTION("""COMPUTED_VALUE"""),44574.290722743)</f>
        <v>44574.29072</v>
      </c>
      <c r="D2996" s="15">
        <f>IFERROR(__xludf.DUMMYFUNCTION("""COMPUTED_VALUE"""),1.007)</f>
        <v>1.007</v>
      </c>
      <c r="E2996" s="16">
        <f>IFERROR(__xludf.DUMMYFUNCTION("""COMPUTED_VALUE"""),67.0)</f>
        <v>67</v>
      </c>
      <c r="F2996" s="19" t="str">
        <f>IFERROR(__xludf.DUMMYFUNCTION("""COMPUTED_VALUE"""),"BLACK")</f>
        <v>BLACK</v>
      </c>
      <c r="G2996" s="20" t="str">
        <f>IFERROR(__xludf.DUMMYFUNCTION("""COMPUTED_VALUE"""),"Uncle Sams Cider (11/12/2021) 02")</f>
        <v>Uncle Sams Cider (11/12/2021) 02</v>
      </c>
      <c r="H2996" s="19"/>
    </row>
    <row r="2997">
      <c r="A2997" s="9"/>
      <c r="B2997" s="15"/>
      <c r="C2997" s="9">
        <f>IFERROR(__xludf.DUMMYFUNCTION("""COMPUTED_VALUE"""),44574.2803007754)</f>
        <v>44574.2803</v>
      </c>
      <c r="D2997" s="15">
        <f>IFERROR(__xludf.DUMMYFUNCTION("""COMPUTED_VALUE"""),1.007)</f>
        <v>1.007</v>
      </c>
      <c r="E2997" s="16">
        <f>IFERROR(__xludf.DUMMYFUNCTION("""COMPUTED_VALUE"""),67.0)</f>
        <v>67</v>
      </c>
      <c r="F2997" s="19" t="str">
        <f>IFERROR(__xludf.DUMMYFUNCTION("""COMPUTED_VALUE"""),"BLACK")</f>
        <v>BLACK</v>
      </c>
      <c r="G2997" s="20" t="str">
        <f>IFERROR(__xludf.DUMMYFUNCTION("""COMPUTED_VALUE"""),"Uncle Sams Cider (11/12/2021) 02")</f>
        <v>Uncle Sams Cider (11/12/2021) 02</v>
      </c>
      <c r="H2997" s="19"/>
    </row>
    <row r="2998">
      <c r="A2998" s="9"/>
      <c r="B2998" s="15"/>
      <c r="C2998" s="9">
        <f>IFERROR(__xludf.DUMMYFUNCTION("""COMPUTED_VALUE"""),44574.2698799884)</f>
        <v>44574.26988</v>
      </c>
      <c r="D2998" s="15">
        <f>IFERROR(__xludf.DUMMYFUNCTION("""COMPUTED_VALUE"""),1.007)</f>
        <v>1.007</v>
      </c>
      <c r="E2998" s="16">
        <f>IFERROR(__xludf.DUMMYFUNCTION("""COMPUTED_VALUE"""),67.0)</f>
        <v>67</v>
      </c>
      <c r="F2998" s="19" t="str">
        <f>IFERROR(__xludf.DUMMYFUNCTION("""COMPUTED_VALUE"""),"BLACK")</f>
        <v>BLACK</v>
      </c>
      <c r="G2998" s="20" t="str">
        <f>IFERROR(__xludf.DUMMYFUNCTION("""COMPUTED_VALUE"""),"Uncle Sams Cider (11/12/2021) 02")</f>
        <v>Uncle Sams Cider (11/12/2021) 02</v>
      </c>
      <c r="H2998" s="19"/>
    </row>
    <row r="2999">
      <c r="A2999" s="9"/>
      <c r="B2999" s="15"/>
      <c r="C2999" s="9">
        <f>IFERROR(__xludf.DUMMYFUNCTION("""COMPUTED_VALUE"""),44574.2594587731)</f>
        <v>44574.25946</v>
      </c>
      <c r="D2999" s="15">
        <f>IFERROR(__xludf.DUMMYFUNCTION("""COMPUTED_VALUE"""),1.007)</f>
        <v>1.007</v>
      </c>
      <c r="E2999" s="16">
        <f>IFERROR(__xludf.DUMMYFUNCTION("""COMPUTED_VALUE"""),67.0)</f>
        <v>67</v>
      </c>
      <c r="F2999" s="19" t="str">
        <f>IFERROR(__xludf.DUMMYFUNCTION("""COMPUTED_VALUE"""),"BLACK")</f>
        <v>BLACK</v>
      </c>
      <c r="G2999" s="20" t="str">
        <f>IFERROR(__xludf.DUMMYFUNCTION("""COMPUTED_VALUE"""),"Uncle Sams Cider (11/12/2021) 02")</f>
        <v>Uncle Sams Cider (11/12/2021) 02</v>
      </c>
      <c r="H2999" s="19"/>
    </row>
    <row r="3000">
      <c r="A3000" s="9"/>
      <c r="B3000" s="15"/>
      <c r="C3000" s="9">
        <f>IFERROR(__xludf.DUMMYFUNCTION("""COMPUTED_VALUE"""),44574.2490237268)</f>
        <v>44574.24902</v>
      </c>
      <c r="D3000" s="15">
        <f>IFERROR(__xludf.DUMMYFUNCTION("""COMPUTED_VALUE"""),1.007)</f>
        <v>1.007</v>
      </c>
      <c r="E3000" s="16">
        <f>IFERROR(__xludf.DUMMYFUNCTION("""COMPUTED_VALUE"""),67.0)</f>
        <v>67</v>
      </c>
      <c r="F3000" s="19" t="str">
        <f>IFERROR(__xludf.DUMMYFUNCTION("""COMPUTED_VALUE"""),"BLACK")</f>
        <v>BLACK</v>
      </c>
      <c r="G3000" s="20" t="str">
        <f>IFERROR(__xludf.DUMMYFUNCTION("""COMPUTED_VALUE"""),"Uncle Sams Cider (11/12/2021) 02")</f>
        <v>Uncle Sams Cider (11/12/2021) 02</v>
      </c>
      <c r="H3000" s="19"/>
    </row>
    <row r="3001">
      <c r="A3001" s="9"/>
      <c r="B3001" s="15"/>
      <c r="C3001" s="9">
        <f>IFERROR(__xludf.DUMMYFUNCTION("""COMPUTED_VALUE"""),44574.2386039467)</f>
        <v>44574.2386</v>
      </c>
      <c r="D3001" s="15">
        <f>IFERROR(__xludf.DUMMYFUNCTION("""COMPUTED_VALUE"""),1.007)</f>
        <v>1.007</v>
      </c>
      <c r="E3001" s="16">
        <f>IFERROR(__xludf.DUMMYFUNCTION("""COMPUTED_VALUE"""),67.0)</f>
        <v>67</v>
      </c>
      <c r="F3001" s="19" t="str">
        <f>IFERROR(__xludf.DUMMYFUNCTION("""COMPUTED_VALUE"""),"BLACK")</f>
        <v>BLACK</v>
      </c>
      <c r="G3001" s="20" t="str">
        <f>IFERROR(__xludf.DUMMYFUNCTION("""COMPUTED_VALUE"""),"Uncle Sams Cider (11/12/2021) 02")</f>
        <v>Uncle Sams Cider (11/12/2021) 02</v>
      </c>
      <c r="H3001" s="19"/>
    </row>
    <row r="3002">
      <c r="A3002" s="9"/>
      <c r="B3002" s="15"/>
      <c r="C3002" s="9">
        <f>IFERROR(__xludf.DUMMYFUNCTION("""COMPUTED_VALUE"""),44574.2281723611)</f>
        <v>44574.22817</v>
      </c>
      <c r="D3002" s="15">
        <f>IFERROR(__xludf.DUMMYFUNCTION("""COMPUTED_VALUE"""),1.007)</f>
        <v>1.007</v>
      </c>
      <c r="E3002" s="16">
        <f>IFERROR(__xludf.DUMMYFUNCTION("""COMPUTED_VALUE"""),67.0)</f>
        <v>67</v>
      </c>
      <c r="F3002" s="19" t="str">
        <f>IFERROR(__xludf.DUMMYFUNCTION("""COMPUTED_VALUE"""),"BLACK")</f>
        <v>BLACK</v>
      </c>
      <c r="G3002" s="20" t="str">
        <f>IFERROR(__xludf.DUMMYFUNCTION("""COMPUTED_VALUE"""),"Uncle Sams Cider (11/12/2021) 02")</f>
        <v>Uncle Sams Cider (11/12/2021) 02</v>
      </c>
      <c r="H3002" s="19"/>
    </row>
    <row r="3003">
      <c r="A3003" s="9"/>
      <c r="B3003" s="15"/>
      <c r="C3003" s="9">
        <f>IFERROR(__xludf.DUMMYFUNCTION("""COMPUTED_VALUE"""),44574.2177277546)</f>
        <v>44574.21773</v>
      </c>
      <c r="D3003" s="15">
        <f>IFERROR(__xludf.DUMMYFUNCTION("""COMPUTED_VALUE"""),1.007)</f>
        <v>1.007</v>
      </c>
      <c r="E3003" s="16">
        <f>IFERROR(__xludf.DUMMYFUNCTION("""COMPUTED_VALUE"""),67.0)</f>
        <v>67</v>
      </c>
      <c r="F3003" s="19" t="str">
        <f>IFERROR(__xludf.DUMMYFUNCTION("""COMPUTED_VALUE"""),"BLACK")</f>
        <v>BLACK</v>
      </c>
      <c r="G3003" s="20" t="str">
        <f>IFERROR(__xludf.DUMMYFUNCTION("""COMPUTED_VALUE"""),"Uncle Sams Cider (11/12/2021) 02")</f>
        <v>Uncle Sams Cider (11/12/2021) 02</v>
      </c>
      <c r="H3003" s="19"/>
    </row>
    <row r="3004">
      <c r="A3004" s="9"/>
      <c r="B3004" s="15"/>
      <c r="C3004" s="9">
        <f>IFERROR(__xludf.DUMMYFUNCTION("""COMPUTED_VALUE"""),44574.2073069791)</f>
        <v>44574.20731</v>
      </c>
      <c r="D3004" s="15">
        <f>IFERROR(__xludf.DUMMYFUNCTION("""COMPUTED_VALUE"""),1.007)</f>
        <v>1.007</v>
      </c>
      <c r="E3004" s="16">
        <f>IFERROR(__xludf.DUMMYFUNCTION("""COMPUTED_VALUE"""),68.0)</f>
        <v>68</v>
      </c>
      <c r="F3004" s="19" t="str">
        <f>IFERROR(__xludf.DUMMYFUNCTION("""COMPUTED_VALUE"""),"BLACK")</f>
        <v>BLACK</v>
      </c>
      <c r="G3004" s="20" t="str">
        <f>IFERROR(__xludf.DUMMYFUNCTION("""COMPUTED_VALUE"""),"Uncle Sams Cider (11/12/2021) 02")</f>
        <v>Uncle Sams Cider (11/12/2021) 02</v>
      </c>
      <c r="H3004" s="19"/>
    </row>
    <row r="3005">
      <c r="A3005" s="9"/>
      <c r="B3005" s="15"/>
      <c r="C3005" s="9">
        <f>IFERROR(__xludf.DUMMYFUNCTION("""COMPUTED_VALUE"""),44574.196885405)</f>
        <v>44574.19689</v>
      </c>
      <c r="D3005" s="15">
        <f>IFERROR(__xludf.DUMMYFUNCTION("""COMPUTED_VALUE"""),1.007)</f>
        <v>1.007</v>
      </c>
      <c r="E3005" s="16">
        <f>IFERROR(__xludf.DUMMYFUNCTION("""COMPUTED_VALUE"""),68.0)</f>
        <v>68</v>
      </c>
      <c r="F3005" s="19" t="str">
        <f>IFERROR(__xludf.DUMMYFUNCTION("""COMPUTED_VALUE"""),"BLACK")</f>
        <v>BLACK</v>
      </c>
      <c r="G3005" s="20" t="str">
        <f>IFERROR(__xludf.DUMMYFUNCTION("""COMPUTED_VALUE"""),"Uncle Sams Cider (11/12/2021) 02")</f>
        <v>Uncle Sams Cider (11/12/2021) 02</v>
      </c>
      <c r="H3005" s="19"/>
    </row>
    <row r="3006">
      <c r="A3006" s="9"/>
      <c r="B3006" s="15"/>
      <c r="C3006" s="9">
        <f>IFERROR(__xludf.DUMMYFUNCTION("""COMPUTED_VALUE"""),44574.1864547569)</f>
        <v>44574.18645</v>
      </c>
      <c r="D3006" s="15">
        <f>IFERROR(__xludf.DUMMYFUNCTION("""COMPUTED_VALUE"""),1.007)</f>
        <v>1.007</v>
      </c>
      <c r="E3006" s="16">
        <f>IFERROR(__xludf.DUMMYFUNCTION("""COMPUTED_VALUE"""),68.0)</f>
        <v>68</v>
      </c>
      <c r="F3006" s="19" t="str">
        <f>IFERROR(__xludf.DUMMYFUNCTION("""COMPUTED_VALUE"""),"BLACK")</f>
        <v>BLACK</v>
      </c>
      <c r="G3006" s="20" t="str">
        <f>IFERROR(__xludf.DUMMYFUNCTION("""COMPUTED_VALUE"""),"Uncle Sams Cider (11/12/2021) 02")</f>
        <v>Uncle Sams Cider (11/12/2021) 02</v>
      </c>
      <c r="H3006" s="19"/>
    </row>
    <row r="3007">
      <c r="A3007" s="9"/>
      <c r="B3007" s="15"/>
      <c r="C3007" s="9">
        <f>IFERROR(__xludf.DUMMYFUNCTION("""COMPUTED_VALUE"""),44574.1760353819)</f>
        <v>44574.17604</v>
      </c>
      <c r="D3007" s="15">
        <f>IFERROR(__xludf.DUMMYFUNCTION("""COMPUTED_VALUE"""),1.007)</f>
        <v>1.007</v>
      </c>
      <c r="E3007" s="16">
        <f>IFERROR(__xludf.DUMMYFUNCTION("""COMPUTED_VALUE"""),68.0)</f>
        <v>68</v>
      </c>
      <c r="F3007" s="19" t="str">
        <f>IFERROR(__xludf.DUMMYFUNCTION("""COMPUTED_VALUE"""),"BLACK")</f>
        <v>BLACK</v>
      </c>
      <c r="G3007" s="20" t="str">
        <f>IFERROR(__xludf.DUMMYFUNCTION("""COMPUTED_VALUE"""),"Uncle Sams Cider (11/12/2021) 02")</f>
        <v>Uncle Sams Cider (11/12/2021) 02</v>
      </c>
      <c r="H3007" s="19"/>
    </row>
    <row r="3008">
      <c r="A3008" s="9"/>
      <c r="B3008" s="15"/>
      <c r="C3008" s="9">
        <f>IFERROR(__xludf.DUMMYFUNCTION("""COMPUTED_VALUE"""),44574.16561375)</f>
        <v>44574.16561</v>
      </c>
      <c r="D3008" s="15">
        <f>IFERROR(__xludf.DUMMYFUNCTION("""COMPUTED_VALUE"""),1.007)</f>
        <v>1.007</v>
      </c>
      <c r="E3008" s="16">
        <f>IFERROR(__xludf.DUMMYFUNCTION("""COMPUTED_VALUE"""),68.0)</f>
        <v>68</v>
      </c>
      <c r="F3008" s="19" t="str">
        <f>IFERROR(__xludf.DUMMYFUNCTION("""COMPUTED_VALUE"""),"BLACK")</f>
        <v>BLACK</v>
      </c>
      <c r="G3008" s="20" t="str">
        <f>IFERROR(__xludf.DUMMYFUNCTION("""COMPUTED_VALUE"""),"Uncle Sams Cider (11/12/2021) 02")</f>
        <v>Uncle Sams Cider (11/12/2021) 02</v>
      </c>
      <c r="H3008" s="19"/>
    </row>
    <row r="3009">
      <c r="A3009" s="9"/>
      <c r="B3009" s="15"/>
      <c r="C3009" s="9">
        <f>IFERROR(__xludf.DUMMYFUNCTION("""COMPUTED_VALUE"""),44574.1551803009)</f>
        <v>44574.15518</v>
      </c>
      <c r="D3009" s="15">
        <f>IFERROR(__xludf.DUMMYFUNCTION("""COMPUTED_VALUE"""),1.007)</f>
        <v>1.007</v>
      </c>
      <c r="E3009" s="16">
        <f>IFERROR(__xludf.DUMMYFUNCTION("""COMPUTED_VALUE"""),68.0)</f>
        <v>68</v>
      </c>
      <c r="F3009" s="19" t="str">
        <f>IFERROR(__xludf.DUMMYFUNCTION("""COMPUTED_VALUE"""),"BLACK")</f>
        <v>BLACK</v>
      </c>
      <c r="G3009" s="20" t="str">
        <f>IFERROR(__xludf.DUMMYFUNCTION("""COMPUTED_VALUE"""),"Uncle Sams Cider (11/12/2021) 02")</f>
        <v>Uncle Sams Cider (11/12/2021) 02</v>
      </c>
      <c r="H3009" s="19"/>
    </row>
    <row r="3010">
      <c r="A3010" s="9"/>
      <c r="B3010" s="15"/>
      <c r="C3010" s="9">
        <f>IFERROR(__xludf.DUMMYFUNCTION("""COMPUTED_VALUE"""),44574.1447474537)</f>
        <v>44574.14475</v>
      </c>
      <c r="D3010" s="15">
        <f>IFERROR(__xludf.DUMMYFUNCTION("""COMPUTED_VALUE"""),1.007)</f>
        <v>1.007</v>
      </c>
      <c r="E3010" s="16">
        <f>IFERROR(__xludf.DUMMYFUNCTION("""COMPUTED_VALUE"""),68.0)</f>
        <v>68</v>
      </c>
      <c r="F3010" s="19" t="str">
        <f>IFERROR(__xludf.DUMMYFUNCTION("""COMPUTED_VALUE"""),"BLACK")</f>
        <v>BLACK</v>
      </c>
      <c r="G3010" s="20" t="str">
        <f>IFERROR(__xludf.DUMMYFUNCTION("""COMPUTED_VALUE"""),"Uncle Sams Cider (11/12/2021) 02")</f>
        <v>Uncle Sams Cider (11/12/2021) 02</v>
      </c>
      <c r="H3010" s="19"/>
    </row>
    <row r="3011">
      <c r="A3011" s="9"/>
      <c r="B3011" s="15"/>
      <c r="C3011" s="9">
        <f>IFERROR(__xludf.DUMMYFUNCTION("""COMPUTED_VALUE"""),44574.1342911458)</f>
        <v>44574.13429</v>
      </c>
      <c r="D3011" s="15">
        <f>IFERROR(__xludf.DUMMYFUNCTION("""COMPUTED_VALUE"""),1.007)</f>
        <v>1.007</v>
      </c>
      <c r="E3011" s="16">
        <f>IFERROR(__xludf.DUMMYFUNCTION("""COMPUTED_VALUE"""),67.0)</f>
        <v>67</v>
      </c>
      <c r="F3011" s="19" t="str">
        <f>IFERROR(__xludf.DUMMYFUNCTION("""COMPUTED_VALUE"""),"BLACK")</f>
        <v>BLACK</v>
      </c>
      <c r="G3011" s="20" t="str">
        <f>IFERROR(__xludf.DUMMYFUNCTION("""COMPUTED_VALUE"""),"Uncle Sams Cider (11/12/2021) 02")</f>
        <v>Uncle Sams Cider (11/12/2021) 02</v>
      </c>
      <c r="H3011" s="19"/>
    </row>
    <row r="3012">
      <c r="A3012" s="9"/>
      <c r="B3012" s="15"/>
      <c r="C3012" s="9">
        <f>IFERROR(__xludf.DUMMYFUNCTION("""COMPUTED_VALUE"""),44574.123789456)</f>
        <v>44574.12379</v>
      </c>
      <c r="D3012" s="15">
        <f>IFERROR(__xludf.DUMMYFUNCTION("""COMPUTED_VALUE"""),1.007)</f>
        <v>1.007</v>
      </c>
      <c r="E3012" s="16">
        <f>IFERROR(__xludf.DUMMYFUNCTION("""COMPUTED_VALUE"""),67.0)</f>
        <v>67</v>
      </c>
      <c r="F3012" s="19" t="str">
        <f>IFERROR(__xludf.DUMMYFUNCTION("""COMPUTED_VALUE"""),"BLACK")</f>
        <v>BLACK</v>
      </c>
      <c r="G3012" s="20" t="str">
        <f>IFERROR(__xludf.DUMMYFUNCTION("""COMPUTED_VALUE"""),"Uncle Sams Cider (11/12/2021) 02")</f>
        <v>Uncle Sams Cider (11/12/2021) 02</v>
      </c>
      <c r="H3012" s="19"/>
    </row>
    <row r="3013">
      <c r="A3013" s="9"/>
      <c r="B3013" s="15"/>
      <c r="C3013" s="9">
        <f>IFERROR(__xludf.DUMMYFUNCTION("""COMPUTED_VALUE"""),44574.1133563425)</f>
        <v>44574.11336</v>
      </c>
      <c r="D3013" s="15">
        <f>IFERROR(__xludf.DUMMYFUNCTION("""COMPUTED_VALUE"""),1.007)</f>
        <v>1.007</v>
      </c>
      <c r="E3013" s="16">
        <f>IFERROR(__xludf.DUMMYFUNCTION("""COMPUTED_VALUE"""),66.0)</f>
        <v>66</v>
      </c>
      <c r="F3013" s="19" t="str">
        <f>IFERROR(__xludf.DUMMYFUNCTION("""COMPUTED_VALUE"""),"BLACK")</f>
        <v>BLACK</v>
      </c>
      <c r="G3013" s="20" t="str">
        <f>IFERROR(__xludf.DUMMYFUNCTION("""COMPUTED_VALUE"""),"Uncle Sams Cider (11/12/2021) 02")</f>
        <v>Uncle Sams Cider (11/12/2021) 02</v>
      </c>
      <c r="H3013" s="19"/>
    </row>
    <row r="3014">
      <c r="A3014" s="9"/>
      <c r="B3014" s="15"/>
      <c r="C3014" s="9">
        <f>IFERROR(__xludf.DUMMYFUNCTION("""COMPUTED_VALUE"""),44574.1029358564)</f>
        <v>44574.10294</v>
      </c>
      <c r="D3014" s="15">
        <f>IFERROR(__xludf.DUMMYFUNCTION("""COMPUTED_VALUE"""),1.007)</f>
        <v>1.007</v>
      </c>
      <c r="E3014" s="16">
        <f>IFERROR(__xludf.DUMMYFUNCTION("""COMPUTED_VALUE"""),66.0)</f>
        <v>66</v>
      </c>
      <c r="F3014" s="19" t="str">
        <f>IFERROR(__xludf.DUMMYFUNCTION("""COMPUTED_VALUE"""),"BLACK")</f>
        <v>BLACK</v>
      </c>
      <c r="G3014" s="20" t="str">
        <f>IFERROR(__xludf.DUMMYFUNCTION("""COMPUTED_VALUE"""),"Uncle Sams Cider (11/12/2021) 02")</f>
        <v>Uncle Sams Cider (11/12/2021) 02</v>
      </c>
      <c r="H3014" s="19"/>
    </row>
    <row r="3015">
      <c r="A3015" s="9"/>
      <c r="B3015" s="15"/>
      <c r="C3015" s="9">
        <f>IFERROR(__xludf.DUMMYFUNCTION("""COMPUTED_VALUE"""),44574.0925141319)</f>
        <v>44574.09251</v>
      </c>
      <c r="D3015" s="15">
        <f>IFERROR(__xludf.DUMMYFUNCTION("""COMPUTED_VALUE"""),1.007)</f>
        <v>1.007</v>
      </c>
      <c r="E3015" s="16">
        <f>IFERROR(__xludf.DUMMYFUNCTION("""COMPUTED_VALUE"""),66.0)</f>
        <v>66</v>
      </c>
      <c r="F3015" s="19" t="str">
        <f>IFERROR(__xludf.DUMMYFUNCTION("""COMPUTED_VALUE"""),"BLACK")</f>
        <v>BLACK</v>
      </c>
      <c r="G3015" s="20" t="str">
        <f>IFERROR(__xludf.DUMMYFUNCTION("""COMPUTED_VALUE"""),"Uncle Sams Cider (11/12/2021) 02")</f>
        <v>Uncle Sams Cider (11/12/2021) 02</v>
      </c>
      <c r="H3015" s="19"/>
    </row>
    <row r="3016">
      <c r="A3016" s="9"/>
      <c r="B3016" s="15"/>
      <c r="C3016" s="9">
        <f>IFERROR(__xludf.DUMMYFUNCTION("""COMPUTED_VALUE"""),44574.0820933564)</f>
        <v>44574.08209</v>
      </c>
      <c r="D3016" s="15">
        <f>IFERROR(__xludf.DUMMYFUNCTION("""COMPUTED_VALUE"""),1.007)</f>
        <v>1.007</v>
      </c>
      <c r="E3016" s="16">
        <f>IFERROR(__xludf.DUMMYFUNCTION("""COMPUTED_VALUE"""),65.0)</f>
        <v>65</v>
      </c>
      <c r="F3016" s="19" t="str">
        <f>IFERROR(__xludf.DUMMYFUNCTION("""COMPUTED_VALUE"""),"BLACK")</f>
        <v>BLACK</v>
      </c>
      <c r="G3016" s="20" t="str">
        <f>IFERROR(__xludf.DUMMYFUNCTION("""COMPUTED_VALUE"""),"Uncle Sams Cider (11/12/2021) 02")</f>
        <v>Uncle Sams Cider (11/12/2021) 02</v>
      </c>
      <c r="H3016" s="19"/>
    </row>
    <row r="3017">
      <c r="A3017" s="9"/>
      <c r="B3017" s="15"/>
      <c r="C3017" s="9">
        <f>IFERROR(__xludf.DUMMYFUNCTION("""COMPUTED_VALUE"""),44574.0716616898)</f>
        <v>44574.07166</v>
      </c>
      <c r="D3017" s="15">
        <f>IFERROR(__xludf.DUMMYFUNCTION("""COMPUTED_VALUE"""),1.007)</f>
        <v>1.007</v>
      </c>
      <c r="E3017" s="16">
        <f>IFERROR(__xludf.DUMMYFUNCTION("""COMPUTED_VALUE"""),65.0)</f>
        <v>65</v>
      </c>
      <c r="F3017" s="19" t="str">
        <f>IFERROR(__xludf.DUMMYFUNCTION("""COMPUTED_VALUE"""),"BLACK")</f>
        <v>BLACK</v>
      </c>
      <c r="G3017" s="20" t="str">
        <f>IFERROR(__xludf.DUMMYFUNCTION("""COMPUTED_VALUE"""),"Uncle Sams Cider (11/12/2021) 02")</f>
        <v>Uncle Sams Cider (11/12/2021) 02</v>
      </c>
      <c r="H3017" s="19"/>
    </row>
    <row r="3018">
      <c r="A3018" s="9"/>
      <c r="B3018" s="15"/>
      <c r="C3018" s="9">
        <f>IFERROR(__xludf.DUMMYFUNCTION("""COMPUTED_VALUE"""),44574.0612396875)</f>
        <v>44574.06124</v>
      </c>
      <c r="D3018" s="15">
        <f>IFERROR(__xludf.DUMMYFUNCTION("""COMPUTED_VALUE"""),1.007)</f>
        <v>1.007</v>
      </c>
      <c r="E3018" s="16">
        <f>IFERROR(__xludf.DUMMYFUNCTION("""COMPUTED_VALUE"""),64.0)</f>
        <v>64</v>
      </c>
      <c r="F3018" s="19" t="str">
        <f>IFERROR(__xludf.DUMMYFUNCTION("""COMPUTED_VALUE"""),"BLACK")</f>
        <v>BLACK</v>
      </c>
      <c r="G3018" s="20" t="str">
        <f>IFERROR(__xludf.DUMMYFUNCTION("""COMPUTED_VALUE"""),"Uncle Sams Cider (11/12/2021) 02")</f>
        <v>Uncle Sams Cider (11/12/2021) 02</v>
      </c>
      <c r="H3018" s="19"/>
    </row>
    <row r="3019">
      <c r="A3019" s="9"/>
      <c r="B3019" s="15"/>
      <c r="C3019" s="9">
        <f>IFERROR(__xludf.DUMMYFUNCTION("""COMPUTED_VALUE"""),44574.0508175231)</f>
        <v>44574.05082</v>
      </c>
      <c r="D3019" s="15">
        <f>IFERROR(__xludf.DUMMYFUNCTION("""COMPUTED_VALUE"""),1.007)</f>
        <v>1.007</v>
      </c>
      <c r="E3019" s="16">
        <f>IFERROR(__xludf.DUMMYFUNCTION("""COMPUTED_VALUE"""),64.0)</f>
        <v>64</v>
      </c>
      <c r="F3019" s="19" t="str">
        <f>IFERROR(__xludf.DUMMYFUNCTION("""COMPUTED_VALUE"""),"BLACK")</f>
        <v>BLACK</v>
      </c>
      <c r="G3019" s="20" t="str">
        <f>IFERROR(__xludf.DUMMYFUNCTION("""COMPUTED_VALUE"""),"Uncle Sams Cider (11/12/2021) 02")</f>
        <v>Uncle Sams Cider (11/12/2021) 02</v>
      </c>
      <c r="H3019" s="19"/>
    </row>
    <row r="3020">
      <c r="A3020" s="9"/>
      <c r="B3020" s="15"/>
      <c r="C3020" s="9">
        <f>IFERROR(__xludf.DUMMYFUNCTION("""COMPUTED_VALUE"""),44574.0403965162)</f>
        <v>44574.0404</v>
      </c>
      <c r="D3020" s="15">
        <f>IFERROR(__xludf.DUMMYFUNCTION("""COMPUTED_VALUE"""),1.007)</f>
        <v>1.007</v>
      </c>
      <c r="E3020" s="16">
        <f>IFERROR(__xludf.DUMMYFUNCTION("""COMPUTED_VALUE"""),63.0)</f>
        <v>63</v>
      </c>
      <c r="F3020" s="19" t="str">
        <f>IFERROR(__xludf.DUMMYFUNCTION("""COMPUTED_VALUE"""),"BLACK")</f>
        <v>BLACK</v>
      </c>
      <c r="G3020" s="20" t="str">
        <f>IFERROR(__xludf.DUMMYFUNCTION("""COMPUTED_VALUE"""),"Uncle Sams Cider (11/12/2021) 02")</f>
        <v>Uncle Sams Cider (11/12/2021) 02</v>
      </c>
      <c r="H3020" s="19"/>
    </row>
    <row r="3021">
      <c r="A3021" s="9"/>
      <c r="B3021" s="15"/>
      <c r="C3021" s="9">
        <f>IFERROR(__xludf.DUMMYFUNCTION("""COMPUTED_VALUE"""),44574.0299659143)</f>
        <v>44574.02997</v>
      </c>
      <c r="D3021" s="15">
        <f>IFERROR(__xludf.DUMMYFUNCTION("""COMPUTED_VALUE"""),1.007)</f>
        <v>1.007</v>
      </c>
      <c r="E3021" s="16">
        <f>IFERROR(__xludf.DUMMYFUNCTION("""COMPUTED_VALUE"""),63.0)</f>
        <v>63</v>
      </c>
      <c r="F3021" s="19" t="str">
        <f>IFERROR(__xludf.DUMMYFUNCTION("""COMPUTED_VALUE"""),"BLACK")</f>
        <v>BLACK</v>
      </c>
      <c r="G3021" s="20" t="str">
        <f>IFERROR(__xludf.DUMMYFUNCTION("""COMPUTED_VALUE"""),"Uncle Sams Cider (11/12/2021) 02")</f>
        <v>Uncle Sams Cider (11/12/2021) 02</v>
      </c>
      <c r="H3021" s="19"/>
    </row>
    <row r="3022">
      <c r="A3022" s="9"/>
      <c r="B3022" s="15"/>
      <c r="C3022" s="9">
        <f>IFERROR(__xludf.DUMMYFUNCTION("""COMPUTED_VALUE"""),44574.0195450462)</f>
        <v>44574.01955</v>
      </c>
      <c r="D3022" s="15">
        <f>IFERROR(__xludf.DUMMYFUNCTION("""COMPUTED_VALUE"""),1.008)</f>
        <v>1.008</v>
      </c>
      <c r="E3022" s="16">
        <f>IFERROR(__xludf.DUMMYFUNCTION("""COMPUTED_VALUE"""),63.0)</f>
        <v>63</v>
      </c>
      <c r="F3022" s="19" t="str">
        <f>IFERROR(__xludf.DUMMYFUNCTION("""COMPUTED_VALUE"""),"BLACK")</f>
        <v>BLACK</v>
      </c>
      <c r="G3022" s="20" t="str">
        <f>IFERROR(__xludf.DUMMYFUNCTION("""COMPUTED_VALUE"""),"Uncle Sams Cider (11/12/2021) 02")</f>
        <v>Uncle Sams Cider (11/12/2021) 02</v>
      </c>
      <c r="H3022" s="19"/>
    </row>
    <row r="3023">
      <c r="A3023" s="9"/>
      <c r="B3023" s="15"/>
      <c r="C3023" s="9">
        <f>IFERROR(__xludf.DUMMYFUNCTION("""COMPUTED_VALUE"""),44574.0091128125)</f>
        <v>44574.00911</v>
      </c>
      <c r="D3023" s="15">
        <f>IFERROR(__xludf.DUMMYFUNCTION("""COMPUTED_VALUE"""),1.008)</f>
        <v>1.008</v>
      </c>
      <c r="E3023" s="16">
        <f>IFERROR(__xludf.DUMMYFUNCTION("""COMPUTED_VALUE"""),63.0)</f>
        <v>63</v>
      </c>
      <c r="F3023" s="19" t="str">
        <f>IFERROR(__xludf.DUMMYFUNCTION("""COMPUTED_VALUE"""),"BLACK")</f>
        <v>BLACK</v>
      </c>
      <c r="G3023" s="20" t="str">
        <f>IFERROR(__xludf.DUMMYFUNCTION("""COMPUTED_VALUE"""),"Uncle Sams Cider (11/12/2021) 02")</f>
        <v>Uncle Sams Cider (11/12/2021) 02</v>
      </c>
      <c r="H3023" s="19"/>
    </row>
    <row r="3024">
      <c r="A3024" s="9"/>
      <c r="B3024" s="15"/>
      <c r="C3024" s="9">
        <f>IFERROR(__xludf.DUMMYFUNCTION("""COMPUTED_VALUE"""),44573.9986898958)</f>
        <v>44573.99869</v>
      </c>
      <c r="D3024" s="15">
        <f>IFERROR(__xludf.DUMMYFUNCTION("""COMPUTED_VALUE"""),1.008)</f>
        <v>1.008</v>
      </c>
      <c r="E3024" s="16">
        <f>IFERROR(__xludf.DUMMYFUNCTION("""COMPUTED_VALUE"""),63.0)</f>
        <v>63</v>
      </c>
      <c r="F3024" s="19" t="str">
        <f>IFERROR(__xludf.DUMMYFUNCTION("""COMPUTED_VALUE"""),"BLACK")</f>
        <v>BLACK</v>
      </c>
      <c r="G3024" s="20" t="str">
        <f>IFERROR(__xludf.DUMMYFUNCTION("""COMPUTED_VALUE"""),"Uncle Sams Cider (11/12/2021) 02")</f>
        <v>Uncle Sams Cider (11/12/2021) 02</v>
      </c>
      <c r="H3024" s="19"/>
    </row>
    <row r="3025">
      <c r="A3025" s="9"/>
      <c r="B3025" s="15"/>
      <c r="C3025" s="9">
        <f>IFERROR(__xludf.DUMMYFUNCTION("""COMPUTED_VALUE"""),44573.988269074)</f>
        <v>44573.98827</v>
      </c>
      <c r="D3025" s="15">
        <f>IFERROR(__xludf.DUMMYFUNCTION("""COMPUTED_VALUE"""),1.008)</f>
        <v>1.008</v>
      </c>
      <c r="E3025" s="16">
        <f>IFERROR(__xludf.DUMMYFUNCTION("""COMPUTED_VALUE"""),63.0)</f>
        <v>63</v>
      </c>
      <c r="F3025" s="19" t="str">
        <f>IFERROR(__xludf.DUMMYFUNCTION("""COMPUTED_VALUE"""),"BLACK")</f>
        <v>BLACK</v>
      </c>
      <c r="G3025" s="20" t="str">
        <f>IFERROR(__xludf.DUMMYFUNCTION("""COMPUTED_VALUE"""),"Uncle Sams Cider (11/12/2021) 02")</f>
        <v>Uncle Sams Cider (11/12/2021) 02</v>
      </c>
      <c r="H3025" s="19"/>
    </row>
    <row r="3026">
      <c r="A3026" s="9"/>
      <c r="B3026" s="15"/>
      <c r="C3026" s="9">
        <f>IFERROR(__xludf.DUMMYFUNCTION("""COMPUTED_VALUE"""),44573.9778475231)</f>
        <v>44573.97785</v>
      </c>
      <c r="D3026" s="15">
        <f>IFERROR(__xludf.DUMMYFUNCTION("""COMPUTED_VALUE"""),1.008)</f>
        <v>1.008</v>
      </c>
      <c r="E3026" s="16">
        <f>IFERROR(__xludf.DUMMYFUNCTION("""COMPUTED_VALUE"""),63.0)</f>
        <v>63</v>
      </c>
      <c r="F3026" s="19" t="str">
        <f>IFERROR(__xludf.DUMMYFUNCTION("""COMPUTED_VALUE"""),"BLACK")</f>
        <v>BLACK</v>
      </c>
      <c r="G3026" s="20" t="str">
        <f>IFERROR(__xludf.DUMMYFUNCTION("""COMPUTED_VALUE"""),"Uncle Sams Cider (11/12/2021) 02")</f>
        <v>Uncle Sams Cider (11/12/2021) 02</v>
      </c>
      <c r="H3026" s="19"/>
    </row>
    <row r="3027">
      <c r="A3027" s="9"/>
      <c r="B3027" s="15"/>
      <c r="C3027" s="9">
        <f>IFERROR(__xludf.DUMMYFUNCTION("""COMPUTED_VALUE"""),44573.967426655)</f>
        <v>44573.96743</v>
      </c>
      <c r="D3027" s="15">
        <f>IFERROR(__xludf.DUMMYFUNCTION("""COMPUTED_VALUE"""),1.008)</f>
        <v>1.008</v>
      </c>
      <c r="E3027" s="16">
        <f>IFERROR(__xludf.DUMMYFUNCTION("""COMPUTED_VALUE"""),63.0)</f>
        <v>63</v>
      </c>
      <c r="F3027" s="19" t="str">
        <f>IFERROR(__xludf.DUMMYFUNCTION("""COMPUTED_VALUE"""),"BLACK")</f>
        <v>BLACK</v>
      </c>
      <c r="G3027" s="20" t="str">
        <f>IFERROR(__xludf.DUMMYFUNCTION("""COMPUTED_VALUE"""),"Uncle Sams Cider (11/12/2021) 02")</f>
        <v>Uncle Sams Cider (11/12/2021) 02</v>
      </c>
      <c r="H3027" s="19"/>
    </row>
    <row r="3028">
      <c r="A3028" s="9"/>
      <c r="B3028" s="15"/>
      <c r="C3028" s="9">
        <f>IFERROR(__xludf.DUMMYFUNCTION("""COMPUTED_VALUE"""),44573.9570085879)</f>
        <v>44573.95701</v>
      </c>
      <c r="D3028" s="15">
        <f>IFERROR(__xludf.DUMMYFUNCTION("""COMPUTED_VALUE"""),1.008)</f>
        <v>1.008</v>
      </c>
      <c r="E3028" s="16">
        <f>IFERROR(__xludf.DUMMYFUNCTION("""COMPUTED_VALUE"""),63.0)</f>
        <v>63</v>
      </c>
      <c r="F3028" s="19" t="str">
        <f>IFERROR(__xludf.DUMMYFUNCTION("""COMPUTED_VALUE"""),"BLACK")</f>
        <v>BLACK</v>
      </c>
      <c r="G3028" s="20" t="str">
        <f>IFERROR(__xludf.DUMMYFUNCTION("""COMPUTED_VALUE"""),"Uncle Sams Cider (11/12/2021) 02")</f>
        <v>Uncle Sams Cider (11/12/2021) 02</v>
      </c>
      <c r="H3028" s="19"/>
    </row>
    <row r="3029">
      <c r="A3029" s="9"/>
      <c r="B3029" s="15"/>
      <c r="C3029" s="9">
        <f>IFERROR(__xludf.DUMMYFUNCTION("""COMPUTED_VALUE"""),44573.9465870486)</f>
        <v>44573.94659</v>
      </c>
      <c r="D3029" s="15">
        <f>IFERROR(__xludf.DUMMYFUNCTION("""COMPUTED_VALUE"""),1.008)</f>
        <v>1.008</v>
      </c>
      <c r="E3029" s="16">
        <f>IFERROR(__xludf.DUMMYFUNCTION("""COMPUTED_VALUE"""),63.0)</f>
        <v>63</v>
      </c>
      <c r="F3029" s="19" t="str">
        <f>IFERROR(__xludf.DUMMYFUNCTION("""COMPUTED_VALUE"""),"BLACK")</f>
        <v>BLACK</v>
      </c>
      <c r="G3029" s="20" t="str">
        <f>IFERROR(__xludf.DUMMYFUNCTION("""COMPUTED_VALUE"""),"Uncle Sams Cider (11/12/2021) 02")</f>
        <v>Uncle Sams Cider (11/12/2021) 02</v>
      </c>
      <c r="H3029" s="19"/>
    </row>
    <row r="3030">
      <c r="A3030" s="9"/>
      <c r="B3030" s="15"/>
      <c r="C3030" s="9">
        <f>IFERROR(__xludf.DUMMYFUNCTION("""COMPUTED_VALUE"""),44573.9360717476)</f>
        <v>44573.93607</v>
      </c>
      <c r="D3030" s="15">
        <f>IFERROR(__xludf.DUMMYFUNCTION("""COMPUTED_VALUE"""),1.008)</f>
        <v>1.008</v>
      </c>
      <c r="E3030" s="16">
        <f>IFERROR(__xludf.DUMMYFUNCTION("""COMPUTED_VALUE"""),63.0)</f>
        <v>63</v>
      </c>
      <c r="F3030" s="19" t="str">
        <f>IFERROR(__xludf.DUMMYFUNCTION("""COMPUTED_VALUE"""),"BLACK")</f>
        <v>BLACK</v>
      </c>
      <c r="G3030" s="20" t="str">
        <f>IFERROR(__xludf.DUMMYFUNCTION("""COMPUTED_VALUE"""),"Uncle Sams Cider (11/12/2021) 02")</f>
        <v>Uncle Sams Cider (11/12/2021) 02</v>
      </c>
      <c r="H3030" s="19"/>
    </row>
    <row r="3031">
      <c r="A3031" s="9"/>
      <c r="B3031" s="15"/>
      <c r="C3031" s="9">
        <f>IFERROR(__xludf.DUMMYFUNCTION("""COMPUTED_VALUE"""),44573.9256521759)</f>
        <v>44573.92565</v>
      </c>
      <c r="D3031" s="15">
        <f>IFERROR(__xludf.DUMMYFUNCTION("""COMPUTED_VALUE"""),1.008)</f>
        <v>1.008</v>
      </c>
      <c r="E3031" s="16">
        <f>IFERROR(__xludf.DUMMYFUNCTION("""COMPUTED_VALUE"""),63.0)</f>
        <v>63</v>
      </c>
      <c r="F3031" s="19" t="str">
        <f>IFERROR(__xludf.DUMMYFUNCTION("""COMPUTED_VALUE"""),"BLACK")</f>
        <v>BLACK</v>
      </c>
      <c r="G3031" s="20" t="str">
        <f>IFERROR(__xludf.DUMMYFUNCTION("""COMPUTED_VALUE"""),"Uncle Sams Cider (11/12/2021) 02")</f>
        <v>Uncle Sams Cider (11/12/2021) 02</v>
      </c>
      <c r="H3031" s="19"/>
    </row>
    <row r="3032">
      <c r="A3032" s="9"/>
      <c r="B3032" s="15"/>
      <c r="C3032" s="9">
        <f>IFERROR(__xludf.DUMMYFUNCTION("""COMPUTED_VALUE"""),44573.915196956)</f>
        <v>44573.9152</v>
      </c>
      <c r="D3032" s="15">
        <f>IFERROR(__xludf.DUMMYFUNCTION("""COMPUTED_VALUE"""),1.008)</f>
        <v>1.008</v>
      </c>
      <c r="E3032" s="16">
        <f>IFERROR(__xludf.DUMMYFUNCTION("""COMPUTED_VALUE"""),63.0)</f>
        <v>63</v>
      </c>
      <c r="F3032" s="19" t="str">
        <f>IFERROR(__xludf.DUMMYFUNCTION("""COMPUTED_VALUE"""),"BLACK")</f>
        <v>BLACK</v>
      </c>
      <c r="G3032" s="20" t="str">
        <f>IFERROR(__xludf.DUMMYFUNCTION("""COMPUTED_VALUE"""),"Uncle Sams Cider (11/12/2021) 02")</f>
        <v>Uncle Sams Cider (11/12/2021) 02</v>
      </c>
      <c r="H3032" s="19"/>
    </row>
    <row r="3033">
      <c r="A3033" s="9"/>
      <c r="B3033" s="15"/>
      <c r="C3033" s="9">
        <f>IFERROR(__xludf.DUMMYFUNCTION("""COMPUTED_VALUE"""),44573.9047768634)</f>
        <v>44573.90478</v>
      </c>
      <c r="D3033" s="15">
        <f>IFERROR(__xludf.DUMMYFUNCTION("""COMPUTED_VALUE"""),1.008)</f>
        <v>1.008</v>
      </c>
      <c r="E3033" s="16">
        <f>IFERROR(__xludf.DUMMYFUNCTION("""COMPUTED_VALUE"""),63.0)</f>
        <v>63</v>
      </c>
      <c r="F3033" s="19" t="str">
        <f>IFERROR(__xludf.DUMMYFUNCTION("""COMPUTED_VALUE"""),"BLACK")</f>
        <v>BLACK</v>
      </c>
      <c r="G3033" s="20" t="str">
        <f>IFERROR(__xludf.DUMMYFUNCTION("""COMPUTED_VALUE"""),"Uncle Sams Cider (11/12/2021) 02")</f>
        <v>Uncle Sams Cider (11/12/2021) 02</v>
      </c>
      <c r="H3033" s="19"/>
    </row>
    <row r="3034">
      <c r="A3034" s="9"/>
      <c r="B3034" s="15"/>
      <c r="C3034" s="9">
        <f>IFERROR(__xludf.DUMMYFUNCTION("""COMPUTED_VALUE"""),44573.8943553472)</f>
        <v>44573.89436</v>
      </c>
      <c r="D3034" s="15">
        <f>IFERROR(__xludf.DUMMYFUNCTION("""COMPUTED_VALUE"""),1.008)</f>
        <v>1.008</v>
      </c>
      <c r="E3034" s="16">
        <f>IFERROR(__xludf.DUMMYFUNCTION("""COMPUTED_VALUE"""),63.0)</f>
        <v>63</v>
      </c>
      <c r="F3034" s="19" t="str">
        <f>IFERROR(__xludf.DUMMYFUNCTION("""COMPUTED_VALUE"""),"BLACK")</f>
        <v>BLACK</v>
      </c>
      <c r="G3034" s="20" t="str">
        <f>IFERROR(__xludf.DUMMYFUNCTION("""COMPUTED_VALUE"""),"Uncle Sams Cider (11/12/2021) 02")</f>
        <v>Uncle Sams Cider (11/12/2021) 02</v>
      </c>
      <c r="H3034" s="19"/>
    </row>
    <row r="3035">
      <c r="A3035" s="9"/>
      <c r="B3035" s="15"/>
      <c r="C3035" s="9">
        <f>IFERROR(__xludf.DUMMYFUNCTION("""COMPUTED_VALUE"""),44573.8839332638)</f>
        <v>44573.88393</v>
      </c>
      <c r="D3035" s="15">
        <f>IFERROR(__xludf.DUMMYFUNCTION("""COMPUTED_VALUE"""),1.008)</f>
        <v>1.008</v>
      </c>
      <c r="E3035" s="16">
        <f>IFERROR(__xludf.DUMMYFUNCTION("""COMPUTED_VALUE"""),63.0)</f>
        <v>63</v>
      </c>
      <c r="F3035" s="19" t="str">
        <f>IFERROR(__xludf.DUMMYFUNCTION("""COMPUTED_VALUE"""),"BLACK")</f>
        <v>BLACK</v>
      </c>
      <c r="G3035" s="20" t="str">
        <f>IFERROR(__xludf.DUMMYFUNCTION("""COMPUTED_VALUE"""),"Uncle Sams Cider (11/12/2021) 02")</f>
        <v>Uncle Sams Cider (11/12/2021) 02</v>
      </c>
      <c r="H3035" s="19"/>
    </row>
    <row r="3036">
      <c r="A3036" s="9"/>
      <c r="B3036" s="15"/>
      <c r="C3036" s="9">
        <f>IFERROR(__xludf.DUMMYFUNCTION("""COMPUTED_VALUE"""),44573.8735103935)</f>
        <v>44573.87351</v>
      </c>
      <c r="D3036" s="15">
        <f>IFERROR(__xludf.DUMMYFUNCTION("""COMPUTED_VALUE"""),1.008)</f>
        <v>1.008</v>
      </c>
      <c r="E3036" s="16">
        <f>IFERROR(__xludf.DUMMYFUNCTION("""COMPUTED_VALUE"""),63.0)</f>
        <v>63</v>
      </c>
      <c r="F3036" s="19" t="str">
        <f>IFERROR(__xludf.DUMMYFUNCTION("""COMPUTED_VALUE"""),"BLACK")</f>
        <v>BLACK</v>
      </c>
      <c r="G3036" s="20" t="str">
        <f>IFERROR(__xludf.DUMMYFUNCTION("""COMPUTED_VALUE"""),"Uncle Sams Cider (11/12/2021) 02")</f>
        <v>Uncle Sams Cider (11/12/2021) 02</v>
      </c>
      <c r="H3036" s="19"/>
    </row>
    <row r="3037">
      <c r="A3037" s="9"/>
      <c r="B3037" s="15"/>
      <c r="C3037" s="9">
        <f>IFERROR(__xludf.DUMMYFUNCTION("""COMPUTED_VALUE"""),44573.8630879745)</f>
        <v>44573.86309</v>
      </c>
      <c r="D3037" s="15">
        <f>IFERROR(__xludf.DUMMYFUNCTION("""COMPUTED_VALUE"""),1.008)</f>
        <v>1.008</v>
      </c>
      <c r="E3037" s="16">
        <f>IFERROR(__xludf.DUMMYFUNCTION("""COMPUTED_VALUE"""),63.0)</f>
        <v>63</v>
      </c>
      <c r="F3037" s="19" t="str">
        <f>IFERROR(__xludf.DUMMYFUNCTION("""COMPUTED_VALUE"""),"BLACK")</f>
        <v>BLACK</v>
      </c>
      <c r="G3037" s="20" t="str">
        <f>IFERROR(__xludf.DUMMYFUNCTION("""COMPUTED_VALUE"""),"Uncle Sams Cider (11/12/2021) 02")</f>
        <v>Uncle Sams Cider (11/12/2021) 02</v>
      </c>
      <c r="H3037" s="19"/>
    </row>
    <row r="3038">
      <c r="A3038" s="9"/>
      <c r="B3038" s="15"/>
      <c r="C3038" s="9">
        <f>IFERROR(__xludf.DUMMYFUNCTION("""COMPUTED_VALUE"""),44573.8526679745)</f>
        <v>44573.85267</v>
      </c>
      <c r="D3038" s="15">
        <f>IFERROR(__xludf.DUMMYFUNCTION("""COMPUTED_VALUE"""),1.008)</f>
        <v>1.008</v>
      </c>
      <c r="E3038" s="16">
        <f>IFERROR(__xludf.DUMMYFUNCTION("""COMPUTED_VALUE"""),63.0)</f>
        <v>63</v>
      </c>
      <c r="F3038" s="19" t="str">
        <f>IFERROR(__xludf.DUMMYFUNCTION("""COMPUTED_VALUE"""),"BLACK")</f>
        <v>BLACK</v>
      </c>
      <c r="G3038" s="20" t="str">
        <f>IFERROR(__xludf.DUMMYFUNCTION("""COMPUTED_VALUE"""),"Uncle Sams Cider (11/12/2021) 02")</f>
        <v>Uncle Sams Cider (11/12/2021) 02</v>
      </c>
      <c r="H3038" s="19"/>
    </row>
    <row r="3039">
      <c r="A3039" s="9"/>
      <c r="B3039" s="15"/>
      <c r="C3039" s="9">
        <f>IFERROR(__xludf.DUMMYFUNCTION("""COMPUTED_VALUE"""),44573.8422464699)</f>
        <v>44573.84225</v>
      </c>
      <c r="D3039" s="15">
        <f>IFERROR(__xludf.DUMMYFUNCTION("""COMPUTED_VALUE"""),1.008)</f>
        <v>1.008</v>
      </c>
      <c r="E3039" s="16">
        <f>IFERROR(__xludf.DUMMYFUNCTION("""COMPUTED_VALUE"""),63.0)</f>
        <v>63</v>
      </c>
      <c r="F3039" s="19" t="str">
        <f>IFERROR(__xludf.DUMMYFUNCTION("""COMPUTED_VALUE"""),"BLACK")</f>
        <v>BLACK</v>
      </c>
      <c r="G3039" s="20" t="str">
        <f>IFERROR(__xludf.DUMMYFUNCTION("""COMPUTED_VALUE"""),"Uncle Sams Cider (11/12/2021) 02")</f>
        <v>Uncle Sams Cider (11/12/2021) 02</v>
      </c>
      <c r="H3039" s="19"/>
    </row>
    <row r="3040">
      <c r="A3040" s="9"/>
      <c r="B3040" s="15"/>
      <c r="C3040" s="9">
        <f>IFERROR(__xludf.DUMMYFUNCTION("""COMPUTED_VALUE"""),44573.8318262847)</f>
        <v>44573.83183</v>
      </c>
      <c r="D3040" s="15">
        <f>IFERROR(__xludf.DUMMYFUNCTION("""COMPUTED_VALUE"""),1.007)</f>
        <v>1.007</v>
      </c>
      <c r="E3040" s="16">
        <f>IFERROR(__xludf.DUMMYFUNCTION("""COMPUTED_VALUE"""),63.0)</f>
        <v>63</v>
      </c>
      <c r="F3040" s="19" t="str">
        <f>IFERROR(__xludf.DUMMYFUNCTION("""COMPUTED_VALUE"""),"BLACK")</f>
        <v>BLACK</v>
      </c>
      <c r="G3040" s="20" t="str">
        <f>IFERROR(__xludf.DUMMYFUNCTION("""COMPUTED_VALUE"""),"Uncle Sams Cider (11/12/2021) 02")</f>
        <v>Uncle Sams Cider (11/12/2021) 02</v>
      </c>
      <c r="H3040" s="19"/>
    </row>
    <row r="3041">
      <c r="A3041" s="9"/>
      <c r="B3041" s="15"/>
      <c r="C3041" s="9">
        <f>IFERROR(__xludf.DUMMYFUNCTION("""COMPUTED_VALUE"""),44573.8213811689)</f>
        <v>44573.82138</v>
      </c>
      <c r="D3041" s="15">
        <f>IFERROR(__xludf.DUMMYFUNCTION("""COMPUTED_VALUE"""),1.008)</f>
        <v>1.008</v>
      </c>
      <c r="E3041" s="16">
        <f>IFERROR(__xludf.DUMMYFUNCTION("""COMPUTED_VALUE"""),63.0)</f>
        <v>63</v>
      </c>
      <c r="F3041" s="19" t="str">
        <f>IFERROR(__xludf.DUMMYFUNCTION("""COMPUTED_VALUE"""),"BLACK")</f>
        <v>BLACK</v>
      </c>
      <c r="G3041" s="20" t="str">
        <f>IFERROR(__xludf.DUMMYFUNCTION("""COMPUTED_VALUE"""),"Uncle Sams Cider (11/12/2021) 02")</f>
        <v>Uncle Sams Cider (11/12/2021) 02</v>
      </c>
      <c r="H3041" s="19"/>
    </row>
    <row r="3042">
      <c r="A3042" s="9"/>
      <c r="B3042" s="15"/>
      <c r="C3042" s="9">
        <f>IFERROR(__xludf.DUMMYFUNCTION("""COMPUTED_VALUE"""),44573.8109598032)</f>
        <v>44573.81096</v>
      </c>
      <c r="D3042" s="15">
        <f>IFERROR(__xludf.DUMMYFUNCTION("""COMPUTED_VALUE"""),1.008)</f>
        <v>1.008</v>
      </c>
      <c r="E3042" s="16">
        <f>IFERROR(__xludf.DUMMYFUNCTION("""COMPUTED_VALUE"""),63.0)</f>
        <v>63</v>
      </c>
      <c r="F3042" s="19" t="str">
        <f>IFERROR(__xludf.DUMMYFUNCTION("""COMPUTED_VALUE"""),"BLACK")</f>
        <v>BLACK</v>
      </c>
      <c r="G3042" s="20" t="str">
        <f>IFERROR(__xludf.DUMMYFUNCTION("""COMPUTED_VALUE"""),"Uncle Sams Cider (11/12/2021) 02")</f>
        <v>Uncle Sams Cider (11/12/2021) 02</v>
      </c>
      <c r="H3042" s="19"/>
    </row>
    <row r="3043">
      <c r="A3043" s="9"/>
      <c r="B3043" s="15"/>
      <c r="C3043" s="9">
        <f>IFERROR(__xludf.DUMMYFUNCTION("""COMPUTED_VALUE"""),44573.8005262962)</f>
        <v>44573.80053</v>
      </c>
      <c r="D3043" s="15">
        <f>IFERROR(__xludf.DUMMYFUNCTION("""COMPUTED_VALUE"""),1.008)</f>
        <v>1.008</v>
      </c>
      <c r="E3043" s="16">
        <f>IFERROR(__xludf.DUMMYFUNCTION("""COMPUTED_VALUE"""),63.0)</f>
        <v>63</v>
      </c>
      <c r="F3043" s="19" t="str">
        <f>IFERROR(__xludf.DUMMYFUNCTION("""COMPUTED_VALUE"""),"BLACK")</f>
        <v>BLACK</v>
      </c>
      <c r="G3043" s="20" t="str">
        <f>IFERROR(__xludf.DUMMYFUNCTION("""COMPUTED_VALUE"""),"Uncle Sams Cider (11/12/2021) 02")</f>
        <v>Uncle Sams Cider (11/12/2021) 02</v>
      </c>
      <c r="H3043" s="19"/>
    </row>
    <row r="3044">
      <c r="A3044" s="9"/>
      <c r="B3044" s="15"/>
      <c r="C3044" s="9">
        <f>IFERROR(__xludf.DUMMYFUNCTION("""COMPUTED_VALUE"""),44573.7901035763)</f>
        <v>44573.7901</v>
      </c>
      <c r="D3044" s="15">
        <f>IFERROR(__xludf.DUMMYFUNCTION("""COMPUTED_VALUE"""),1.008)</f>
        <v>1.008</v>
      </c>
      <c r="E3044" s="16">
        <f>IFERROR(__xludf.DUMMYFUNCTION("""COMPUTED_VALUE"""),63.0)</f>
        <v>63</v>
      </c>
      <c r="F3044" s="19" t="str">
        <f>IFERROR(__xludf.DUMMYFUNCTION("""COMPUTED_VALUE"""),"BLACK")</f>
        <v>BLACK</v>
      </c>
      <c r="G3044" s="20" t="str">
        <f>IFERROR(__xludf.DUMMYFUNCTION("""COMPUTED_VALUE"""),"Uncle Sams Cider (11/12/2021) 02")</f>
        <v>Uncle Sams Cider (11/12/2021) 02</v>
      </c>
      <c r="H3044" s="19"/>
    </row>
    <row r="3045">
      <c r="A3045" s="9"/>
      <c r="B3045" s="15"/>
      <c r="C3045" s="9">
        <f>IFERROR(__xludf.DUMMYFUNCTION("""COMPUTED_VALUE"""),44573.7796709837)</f>
        <v>44573.77967</v>
      </c>
      <c r="D3045" s="15">
        <f>IFERROR(__xludf.DUMMYFUNCTION("""COMPUTED_VALUE"""),1.008)</f>
        <v>1.008</v>
      </c>
      <c r="E3045" s="16">
        <f>IFERROR(__xludf.DUMMYFUNCTION("""COMPUTED_VALUE"""),63.0)</f>
        <v>63</v>
      </c>
      <c r="F3045" s="19" t="str">
        <f>IFERROR(__xludf.DUMMYFUNCTION("""COMPUTED_VALUE"""),"BLACK")</f>
        <v>BLACK</v>
      </c>
      <c r="G3045" s="20" t="str">
        <f>IFERROR(__xludf.DUMMYFUNCTION("""COMPUTED_VALUE"""),"Uncle Sams Cider (11/12/2021) 02")</f>
        <v>Uncle Sams Cider (11/12/2021) 02</v>
      </c>
      <c r="H3045" s="19"/>
    </row>
    <row r="3046">
      <c r="A3046" s="9"/>
      <c r="B3046" s="15"/>
      <c r="C3046" s="9">
        <f>IFERROR(__xludf.DUMMYFUNCTION("""COMPUTED_VALUE"""),44573.7692507291)</f>
        <v>44573.76925</v>
      </c>
      <c r="D3046" s="15">
        <f>IFERROR(__xludf.DUMMYFUNCTION("""COMPUTED_VALUE"""),1.008)</f>
        <v>1.008</v>
      </c>
      <c r="E3046" s="16">
        <f>IFERROR(__xludf.DUMMYFUNCTION("""COMPUTED_VALUE"""),63.0)</f>
        <v>63</v>
      </c>
      <c r="F3046" s="19" t="str">
        <f>IFERROR(__xludf.DUMMYFUNCTION("""COMPUTED_VALUE"""),"BLACK")</f>
        <v>BLACK</v>
      </c>
      <c r="G3046" s="20" t="str">
        <f>IFERROR(__xludf.DUMMYFUNCTION("""COMPUTED_VALUE"""),"Uncle Sams Cider (11/12/2021) 02")</f>
        <v>Uncle Sams Cider (11/12/2021) 02</v>
      </c>
      <c r="H3046" s="19"/>
    </row>
    <row r="3047">
      <c r="A3047" s="9"/>
      <c r="B3047" s="15"/>
      <c r="C3047" s="9">
        <f>IFERROR(__xludf.DUMMYFUNCTION("""COMPUTED_VALUE"""),44573.7588290162)</f>
        <v>44573.75883</v>
      </c>
      <c r="D3047" s="15">
        <f>IFERROR(__xludf.DUMMYFUNCTION("""COMPUTED_VALUE"""),1.008)</f>
        <v>1.008</v>
      </c>
      <c r="E3047" s="16">
        <f>IFERROR(__xludf.DUMMYFUNCTION("""COMPUTED_VALUE"""),63.0)</f>
        <v>63</v>
      </c>
      <c r="F3047" s="19" t="str">
        <f>IFERROR(__xludf.DUMMYFUNCTION("""COMPUTED_VALUE"""),"BLACK")</f>
        <v>BLACK</v>
      </c>
      <c r="G3047" s="20" t="str">
        <f>IFERROR(__xludf.DUMMYFUNCTION("""COMPUTED_VALUE"""),"Uncle Sams Cider (11/12/2021) 02")</f>
        <v>Uncle Sams Cider (11/12/2021) 02</v>
      </c>
      <c r="H3047" s="19"/>
    </row>
    <row r="3048">
      <c r="A3048" s="9"/>
      <c r="B3048" s="15"/>
      <c r="C3048" s="9">
        <f>IFERROR(__xludf.DUMMYFUNCTION("""COMPUTED_VALUE"""),44573.7484064351)</f>
        <v>44573.74841</v>
      </c>
      <c r="D3048" s="15">
        <f>IFERROR(__xludf.DUMMYFUNCTION("""COMPUTED_VALUE"""),1.008)</f>
        <v>1.008</v>
      </c>
      <c r="E3048" s="16">
        <f>IFERROR(__xludf.DUMMYFUNCTION("""COMPUTED_VALUE"""),63.0)</f>
        <v>63</v>
      </c>
      <c r="F3048" s="19" t="str">
        <f>IFERROR(__xludf.DUMMYFUNCTION("""COMPUTED_VALUE"""),"BLACK")</f>
        <v>BLACK</v>
      </c>
      <c r="G3048" s="20" t="str">
        <f>IFERROR(__xludf.DUMMYFUNCTION("""COMPUTED_VALUE"""),"Uncle Sams Cider (11/12/2021) 02")</f>
        <v>Uncle Sams Cider (11/12/2021) 02</v>
      </c>
      <c r="H3048" s="19"/>
    </row>
    <row r="3049">
      <c r="A3049" s="9"/>
      <c r="B3049" s="15"/>
      <c r="C3049" s="9">
        <f>IFERROR(__xludf.DUMMYFUNCTION("""COMPUTED_VALUE"""),44573.7379741087)</f>
        <v>44573.73797</v>
      </c>
      <c r="D3049" s="15">
        <f>IFERROR(__xludf.DUMMYFUNCTION("""COMPUTED_VALUE"""),1.008)</f>
        <v>1.008</v>
      </c>
      <c r="E3049" s="16">
        <f>IFERROR(__xludf.DUMMYFUNCTION("""COMPUTED_VALUE"""),63.0)</f>
        <v>63</v>
      </c>
      <c r="F3049" s="19" t="str">
        <f>IFERROR(__xludf.DUMMYFUNCTION("""COMPUTED_VALUE"""),"BLACK")</f>
        <v>BLACK</v>
      </c>
      <c r="G3049" s="20" t="str">
        <f>IFERROR(__xludf.DUMMYFUNCTION("""COMPUTED_VALUE"""),"Uncle Sams Cider (11/12/2021) 02")</f>
        <v>Uncle Sams Cider (11/12/2021) 02</v>
      </c>
      <c r="H3049" s="19"/>
    </row>
    <row r="3050">
      <c r="A3050" s="9"/>
      <c r="B3050" s="15"/>
      <c r="C3050" s="9">
        <f>IFERROR(__xludf.DUMMYFUNCTION("""COMPUTED_VALUE"""),44573.7275529745)</f>
        <v>44573.72755</v>
      </c>
      <c r="D3050" s="15">
        <f>IFERROR(__xludf.DUMMYFUNCTION("""COMPUTED_VALUE"""),1.008)</f>
        <v>1.008</v>
      </c>
      <c r="E3050" s="16">
        <f>IFERROR(__xludf.DUMMYFUNCTION("""COMPUTED_VALUE"""),63.0)</f>
        <v>63</v>
      </c>
      <c r="F3050" s="19" t="str">
        <f>IFERROR(__xludf.DUMMYFUNCTION("""COMPUTED_VALUE"""),"BLACK")</f>
        <v>BLACK</v>
      </c>
      <c r="G3050" s="20" t="str">
        <f>IFERROR(__xludf.DUMMYFUNCTION("""COMPUTED_VALUE"""),"Uncle Sams Cider (11/12/2021) 02")</f>
        <v>Uncle Sams Cider (11/12/2021) 02</v>
      </c>
      <c r="H3050" s="19"/>
    </row>
    <row r="3051">
      <c r="A3051" s="9"/>
      <c r="B3051" s="15"/>
      <c r="C3051" s="9">
        <f>IFERROR(__xludf.DUMMYFUNCTION("""COMPUTED_VALUE"""),44573.7171205208)</f>
        <v>44573.71712</v>
      </c>
      <c r="D3051" s="15">
        <f>IFERROR(__xludf.DUMMYFUNCTION("""COMPUTED_VALUE"""),1.008)</f>
        <v>1.008</v>
      </c>
      <c r="E3051" s="16">
        <f>IFERROR(__xludf.DUMMYFUNCTION("""COMPUTED_VALUE"""),63.0)</f>
        <v>63</v>
      </c>
      <c r="F3051" s="19" t="str">
        <f>IFERROR(__xludf.DUMMYFUNCTION("""COMPUTED_VALUE"""),"BLACK")</f>
        <v>BLACK</v>
      </c>
      <c r="G3051" s="20" t="str">
        <f>IFERROR(__xludf.DUMMYFUNCTION("""COMPUTED_VALUE"""),"Uncle Sams Cider (11/12/2021) 02")</f>
        <v>Uncle Sams Cider (11/12/2021) 02</v>
      </c>
      <c r="H3051" s="19"/>
    </row>
    <row r="3052">
      <c r="A3052" s="9"/>
      <c r="B3052" s="15"/>
      <c r="C3052" s="9">
        <f>IFERROR(__xludf.DUMMYFUNCTION("""COMPUTED_VALUE"""),44573.7067015625)</f>
        <v>44573.7067</v>
      </c>
      <c r="D3052" s="15">
        <f>IFERROR(__xludf.DUMMYFUNCTION("""COMPUTED_VALUE"""),1.008)</f>
        <v>1.008</v>
      </c>
      <c r="E3052" s="16">
        <f>IFERROR(__xludf.DUMMYFUNCTION("""COMPUTED_VALUE"""),63.0)</f>
        <v>63</v>
      </c>
      <c r="F3052" s="19" t="str">
        <f>IFERROR(__xludf.DUMMYFUNCTION("""COMPUTED_VALUE"""),"BLACK")</f>
        <v>BLACK</v>
      </c>
      <c r="G3052" s="20" t="str">
        <f>IFERROR(__xludf.DUMMYFUNCTION("""COMPUTED_VALUE"""),"Uncle Sams Cider (11/12/2021) 02")</f>
        <v>Uncle Sams Cider (11/12/2021) 02</v>
      </c>
      <c r="H3052" s="19"/>
    </row>
    <row r="3053">
      <c r="A3053" s="9"/>
      <c r="B3053" s="15"/>
      <c r="C3053" s="9">
        <f>IFERROR(__xludf.DUMMYFUNCTION("""COMPUTED_VALUE"""),44573.6962326388)</f>
        <v>44573.69623</v>
      </c>
      <c r="D3053" s="15">
        <f>IFERROR(__xludf.DUMMYFUNCTION("""COMPUTED_VALUE"""),1.008)</f>
        <v>1.008</v>
      </c>
      <c r="E3053" s="16">
        <f>IFERROR(__xludf.DUMMYFUNCTION("""COMPUTED_VALUE"""),63.0)</f>
        <v>63</v>
      </c>
      <c r="F3053" s="19" t="str">
        <f>IFERROR(__xludf.DUMMYFUNCTION("""COMPUTED_VALUE"""),"BLACK")</f>
        <v>BLACK</v>
      </c>
      <c r="G3053" s="20" t="str">
        <f>IFERROR(__xludf.DUMMYFUNCTION("""COMPUTED_VALUE"""),"Uncle Sams Cider (11/12/2021) 02")</f>
        <v>Uncle Sams Cider (11/12/2021) 02</v>
      </c>
      <c r="H3053" s="19"/>
    </row>
    <row r="3054">
      <c r="A3054" s="9"/>
      <c r="B3054" s="15"/>
      <c r="C3054" s="9">
        <f>IFERROR(__xludf.DUMMYFUNCTION("""COMPUTED_VALUE"""),44573.685810625)</f>
        <v>44573.68581</v>
      </c>
      <c r="D3054" s="15">
        <f>IFERROR(__xludf.DUMMYFUNCTION("""COMPUTED_VALUE"""),1.008)</f>
        <v>1.008</v>
      </c>
      <c r="E3054" s="16">
        <f>IFERROR(__xludf.DUMMYFUNCTION("""COMPUTED_VALUE"""),63.0)</f>
        <v>63</v>
      </c>
      <c r="F3054" s="19" t="str">
        <f>IFERROR(__xludf.DUMMYFUNCTION("""COMPUTED_VALUE"""),"BLACK")</f>
        <v>BLACK</v>
      </c>
      <c r="G3054" s="20" t="str">
        <f>IFERROR(__xludf.DUMMYFUNCTION("""COMPUTED_VALUE"""),"Uncle Sams Cider (11/12/2021) 02")</f>
        <v>Uncle Sams Cider (11/12/2021) 02</v>
      </c>
      <c r="H3054" s="19"/>
    </row>
    <row r="3055">
      <c r="A3055" s="9"/>
      <c r="B3055" s="15"/>
      <c r="C3055" s="9">
        <f>IFERROR(__xludf.DUMMYFUNCTION("""COMPUTED_VALUE"""),44573.6753882638)</f>
        <v>44573.67539</v>
      </c>
      <c r="D3055" s="15">
        <f>IFERROR(__xludf.DUMMYFUNCTION("""COMPUTED_VALUE"""),1.008)</f>
        <v>1.008</v>
      </c>
      <c r="E3055" s="16">
        <f>IFERROR(__xludf.DUMMYFUNCTION("""COMPUTED_VALUE"""),63.0)</f>
        <v>63</v>
      </c>
      <c r="F3055" s="19" t="str">
        <f>IFERROR(__xludf.DUMMYFUNCTION("""COMPUTED_VALUE"""),"BLACK")</f>
        <v>BLACK</v>
      </c>
      <c r="G3055" s="20" t="str">
        <f>IFERROR(__xludf.DUMMYFUNCTION("""COMPUTED_VALUE"""),"Uncle Sams Cider (11/12/2021) 02")</f>
        <v>Uncle Sams Cider (11/12/2021) 02</v>
      </c>
      <c r="H3055" s="19"/>
    </row>
    <row r="3056">
      <c r="A3056" s="9"/>
      <c r="B3056" s="15"/>
      <c r="C3056" s="9">
        <f>IFERROR(__xludf.DUMMYFUNCTION("""COMPUTED_VALUE"""),44573.6649427083)</f>
        <v>44573.66494</v>
      </c>
      <c r="D3056" s="15">
        <f>IFERROR(__xludf.DUMMYFUNCTION("""COMPUTED_VALUE"""),1.008)</f>
        <v>1.008</v>
      </c>
      <c r="E3056" s="16">
        <f>IFERROR(__xludf.DUMMYFUNCTION("""COMPUTED_VALUE"""),63.0)</f>
        <v>63</v>
      </c>
      <c r="F3056" s="19" t="str">
        <f>IFERROR(__xludf.DUMMYFUNCTION("""COMPUTED_VALUE"""),"BLACK")</f>
        <v>BLACK</v>
      </c>
      <c r="G3056" s="20" t="str">
        <f>IFERROR(__xludf.DUMMYFUNCTION("""COMPUTED_VALUE"""),"Uncle Sams Cider (11/12/2021) 02")</f>
        <v>Uncle Sams Cider (11/12/2021) 02</v>
      </c>
      <c r="H3056" s="19"/>
    </row>
    <row r="3057">
      <c r="A3057" s="9"/>
      <c r="B3057" s="15"/>
      <c r="C3057" s="9">
        <f>IFERROR(__xludf.DUMMYFUNCTION("""COMPUTED_VALUE"""),44573.6545222106)</f>
        <v>44573.65452</v>
      </c>
      <c r="D3057" s="15">
        <f>IFERROR(__xludf.DUMMYFUNCTION("""COMPUTED_VALUE"""),1.008)</f>
        <v>1.008</v>
      </c>
      <c r="E3057" s="16">
        <f>IFERROR(__xludf.DUMMYFUNCTION("""COMPUTED_VALUE"""),63.0)</f>
        <v>63</v>
      </c>
      <c r="F3057" s="19" t="str">
        <f>IFERROR(__xludf.DUMMYFUNCTION("""COMPUTED_VALUE"""),"BLACK")</f>
        <v>BLACK</v>
      </c>
      <c r="G3057" s="20" t="str">
        <f>IFERROR(__xludf.DUMMYFUNCTION("""COMPUTED_VALUE"""),"Uncle Sams Cider (11/12/2021) 02")</f>
        <v>Uncle Sams Cider (11/12/2021) 02</v>
      </c>
      <c r="H3057" s="19"/>
    </row>
    <row r="3058">
      <c r="A3058" s="9"/>
      <c r="B3058" s="15"/>
      <c r="C3058" s="9">
        <f>IFERROR(__xludf.DUMMYFUNCTION("""COMPUTED_VALUE"""),44573.6441006712)</f>
        <v>44573.6441</v>
      </c>
      <c r="D3058" s="15">
        <f>IFERROR(__xludf.DUMMYFUNCTION("""COMPUTED_VALUE"""),1.008)</f>
        <v>1.008</v>
      </c>
      <c r="E3058" s="16">
        <f>IFERROR(__xludf.DUMMYFUNCTION("""COMPUTED_VALUE"""),63.0)</f>
        <v>63</v>
      </c>
      <c r="F3058" s="19" t="str">
        <f>IFERROR(__xludf.DUMMYFUNCTION("""COMPUTED_VALUE"""),"BLACK")</f>
        <v>BLACK</v>
      </c>
      <c r="G3058" s="20" t="str">
        <f>IFERROR(__xludf.DUMMYFUNCTION("""COMPUTED_VALUE"""),"Uncle Sams Cider (11/12/2021) 02")</f>
        <v>Uncle Sams Cider (11/12/2021) 02</v>
      </c>
      <c r="H3058" s="19"/>
    </row>
    <row r="3059">
      <c r="A3059" s="9"/>
      <c r="B3059" s="15"/>
      <c r="C3059" s="9">
        <f>IFERROR(__xludf.DUMMYFUNCTION("""COMPUTED_VALUE"""),44573.6336803124)</f>
        <v>44573.63368</v>
      </c>
      <c r="D3059" s="15">
        <f>IFERROR(__xludf.DUMMYFUNCTION("""COMPUTED_VALUE"""),1.008)</f>
        <v>1.008</v>
      </c>
      <c r="E3059" s="16">
        <f>IFERROR(__xludf.DUMMYFUNCTION("""COMPUTED_VALUE"""),63.0)</f>
        <v>63</v>
      </c>
      <c r="F3059" s="19" t="str">
        <f>IFERROR(__xludf.DUMMYFUNCTION("""COMPUTED_VALUE"""),"BLACK")</f>
        <v>BLACK</v>
      </c>
      <c r="G3059" s="20" t="str">
        <f>IFERROR(__xludf.DUMMYFUNCTION("""COMPUTED_VALUE"""),"Uncle Sams Cider (11/12/2021) 02")</f>
        <v>Uncle Sams Cider (11/12/2021) 02</v>
      </c>
      <c r="H3059" s="19"/>
    </row>
    <row r="3060">
      <c r="A3060" s="9"/>
      <c r="B3060" s="15"/>
      <c r="C3060" s="9">
        <f>IFERROR(__xludf.DUMMYFUNCTION("""COMPUTED_VALUE"""),44573.6232601157)</f>
        <v>44573.62326</v>
      </c>
      <c r="D3060" s="15">
        <f>IFERROR(__xludf.DUMMYFUNCTION("""COMPUTED_VALUE"""),1.008)</f>
        <v>1.008</v>
      </c>
      <c r="E3060" s="16">
        <f>IFERROR(__xludf.DUMMYFUNCTION("""COMPUTED_VALUE"""),63.0)</f>
        <v>63</v>
      </c>
      <c r="F3060" s="19" t="str">
        <f>IFERROR(__xludf.DUMMYFUNCTION("""COMPUTED_VALUE"""),"BLACK")</f>
        <v>BLACK</v>
      </c>
      <c r="G3060" s="20" t="str">
        <f>IFERROR(__xludf.DUMMYFUNCTION("""COMPUTED_VALUE"""),"Uncle Sams Cider (11/12/2021) 02")</f>
        <v>Uncle Sams Cider (11/12/2021) 02</v>
      </c>
      <c r="H3060" s="19"/>
    </row>
    <row r="3061">
      <c r="A3061" s="9"/>
      <c r="B3061" s="15"/>
      <c r="C3061" s="9">
        <f>IFERROR(__xludf.DUMMYFUNCTION("""COMPUTED_VALUE"""),44573.6128277777)</f>
        <v>44573.61283</v>
      </c>
      <c r="D3061" s="15">
        <f>IFERROR(__xludf.DUMMYFUNCTION("""COMPUTED_VALUE"""),1.008)</f>
        <v>1.008</v>
      </c>
      <c r="E3061" s="16">
        <f>IFERROR(__xludf.DUMMYFUNCTION("""COMPUTED_VALUE"""),63.0)</f>
        <v>63</v>
      </c>
      <c r="F3061" s="19" t="str">
        <f>IFERROR(__xludf.DUMMYFUNCTION("""COMPUTED_VALUE"""),"BLACK")</f>
        <v>BLACK</v>
      </c>
      <c r="G3061" s="20" t="str">
        <f>IFERROR(__xludf.DUMMYFUNCTION("""COMPUTED_VALUE"""),"Uncle Sams Cider (11/12/2021) 02")</f>
        <v>Uncle Sams Cider (11/12/2021) 02</v>
      </c>
      <c r="H3061" s="19"/>
    </row>
    <row r="3062">
      <c r="A3062" s="9"/>
      <c r="B3062" s="15"/>
      <c r="C3062" s="9">
        <f>IFERROR(__xludf.DUMMYFUNCTION("""COMPUTED_VALUE"""),44573.6024072338)</f>
        <v>44573.60241</v>
      </c>
      <c r="D3062" s="15">
        <f>IFERROR(__xludf.DUMMYFUNCTION("""COMPUTED_VALUE"""),1.008)</f>
        <v>1.008</v>
      </c>
      <c r="E3062" s="16">
        <f>IFERROR(__xludf.DUMMYFUNCTION("""COMPUTED_VALUE"""),63.0)</f>
        <v>63</v>
      </c>
      <c r="F3062" s="19" t="str">
        <f>IFERROR(__xludf.DUMMYFUNCTION("""COMPUTED_VALUE"""),"BLACK")</f>
        <v>BLACK</v>
      </c>
      <c r="G3062" s="20" t="str">
        <f>IFERROR(__xludf.DUMMYFUNCTION("""COMPUTED_VALUE"""),"Uncle Sams Cider (11/12/2021) 02")</f>
        <v>Uncle Sams Cider (11/12/2021) 02</v>
      </c>
      <c r="H3062" s="19"/>
    </row>
    <row r="3063">
      <c r="A3063" s="9"/>
      <c r="B3063" s="15"/>
      <c r="C3063" s="9">
        <f>IFERROR(__xludf.DUMMYFUNCTION("""COMPUTED_VALUE"""),44573.5919742939)</f>
        <v>44573.59197</v>
      </c>
      <c r="D3063" s="15">
        <f>IFERROR(__xludf.DUMMYFUNCTION("""COMPUTED_VALUE"""),1.008)</f>
        <v>1.008</v>
      </c>
      <c r="E3063" s="16">
        <f>IFERROR(__xludf.DUMMYFUNCTION("""COMPUTED_VALUE"""),63.0)</f>
        <v>63</v>
      </c>
      <c r="F3063" s="19" t="str">
        <f>IFERROR(__xludf.DUMMYFUNCTION("""COMPUTED_VALUE"""),"BLACK")</f>
        <v>BLACK</v>
      </c>
      <c r="G3063" s="20" t="str">
        <f>IFERROR(__xludf.DUMMYFUNCTION("""COMPUTED_VALUE"""),"Uncle Sams Cider (11/12/2021) 02")</f>
        <v>Uncle Sams Cider (11/12/2021) 02</v>
      </c>
      <c r="H3063" s="19"/>
    </row>
    <row r="3064">
      <c r="A3064" s="9"/>
      <c r="B3064" s="15"/>
      <c r="C3064" s="9">
        <f>IFERROR(__xludf.DUMMYFUNCTION("""COMPUTED_VALUE"""),44573.5815530324)</f>
        <v>44573.58155</v>
      </c>
      <c r="D3064" s="15">
        <f>IFERROR(__xludf.DUMMYFUNCTION("""COMPUTED_VALUE"""),1.008)</f>
        <v>1.008</v>
      </c>
      <c r="E3064" s="16">
        <f>IFERROR(__xludf.DUMMYFUNCTION("""COMPUTED_VALUE"""),63.0)</f>
        <v>63</v>
      </c>
      <c r="F3064" s="19" t="str">
        <f>IFERROR(__xludf.DUMMYFUNCTION("""COMPUTED_VALUE"""),"BLACK")</f>
        <v>BLACK</v>
      </c>
      <c r="G3064" s="20" t="str">
        <f>IFERROR(__xludf.DUMMYFUNCTION("""COMPUTED_VALUE"""),"Uncle Sams Cider (11/12/2021) 02")</f>
        <v>Uncle Sams Cider (11/12/2021) 02</v>
      </c>
      <c r="H3064" s="19"/>
    </row>
    <row r="3065">
      <c r="A3065" s="9"/>
      <c r="B3065" s="15"/>
      <c r="C3065" s="9">
        <f>IFERROR(__xludf.DUMMYFUNCTION("""COMPUTED_VALUE"""),44573.571120868)</f>
        <v>44573.57112</v>
      </c>
      <c r="D3065" s="15">
        <f>IFERROR(__xludf.DUMMYFUNCTION("""COMPUTED_VALUE"""),1.008)</f>
        <v>1.008</v>
      </c>
      <c r="E3065" s="16">
        <f>IFERROR(__xludf.DUMMYFUNCTION("""COMPUTED_VALUE"""),63.0)</f>
        <v>63</v>
      </c>
      <c r="F3065" s="19" t="str">
        <f>IFERROR(__xludf.DUMMYFUNCTION("""COMPUTED_VALUE"""),"BLACK")</f>
        <v>BLACK</v>
      </c>
      <c r="G3065" s="20" t="str">
        <f>IFERROR(__xludf.DUMMYFUNCTION("""COMPUTED_VALUE"""),"Uncle Sams Cider (11/12/2021) 02")</f>
        <v>Uncle Sams Cider (11/12/2021) 02</v>
      </c>
      <c r="H3065" s="19"/>
    </row>
    <row r="3066">
      <c r="A3066" s="9"/>
      <c r="B3066" s="15"/>
      <c r="C3066" s="9">
        <f>IFERROR(__xludf.DUMMYFUNCTION("""COMPUTED_VALUE"""),44573.5606993055)</f>
        <v>44573.5607</v>
      </c>
      <c r="D3066" s="15">
        <f>IFERROR(__xludf.DUMMYFUNCTION("""COMPUTED_VALUE"""),1.008)</f>
        <v>1.008</v>
      </c>
      <c r="E3066" s="16">
        <f>IFERROR(__xludf.DUMMYFUNCTION("""COMPUTED_VALUE"""),63.0)</f>
        <v>63</v>
      </c>
      <c r="F3066" s="19" t="str">
        <f>IFERROR(__xludf.DUMMYFUNCTION("""COMPUTED_VALUE"""),"BLACK")</f>
        <v>BLACK</v>
      </c>
      <c r="G3066" s="20" t="str">
        <f>IFERROR(__xludf.DUMMYFUNCTION("""COMPUTED_VALUE"""),"Uncle Sams Cider (11/12/2021) 02")</f>
        <v>Uncle Sams Cider (11/12/2021) 02</v>
      </c>
      <c r="H3066" s="19"/>
    </row>
    <row r="3067">
      <c r="A3067" s="9"/>
      <c r="B3067" s="15"/>
      <c r="C3067" s="9">
        <f>IFERROR(__xludf.DUMMYFUNCTION("""COMPUTED_VALUE"""),44573.5502762384)</f>
        <v>44573.55028</v>
      </c>
      <c r="D3067" s="15">
        <f>IFERROR(__xludf.DUMMYFUNCTION("""COMPUTED_VALUE"""),1.008)</f>
        <v>1.008</v>
      </c>
      <c r="E3067" s="16">
        <f>IFERROR(__xludf.DUMMYFUNCTION("""COMPUTED_VALUE"""),63.0)</f>
        <v>63</v>
      </c>
      <c r="F3067" s="19" t="str">
        <f>IFERROR(__xludf.DUMMYFUNCTION("""COMPUTED_VALUE"""),"BLACK")</f>
        <v>BLACK</v>
      </c>
      <c r="G3067" s="20" t="str">
        <f>IFERROR(__xludf.DUMMYFUNCTION("""COMPUTED_VALUE"""),"Uncle Sams Cider (11/12/2021) 02")</f>
        <v>Uncle Sams Cider (11/12/2021) 02</v>
      </c>
      <c r="H3067" s="19"/>
    </row>
    <row r="3068">
      <c r="A3068" s="9"/>
      <c r="B3068" s="15"/>
      <c r="C3068" s="9">
        <f>IFERROR(__xludf.DUMMYFUNCTION("""COMPUTED_VALUE"""),44573.5398429861)</f>
        <v>44573.53984</v>
      </c>
      <c r="D3068" s="15">
        <f>IFERROR(__xludf.DUMMYFUNCTION("""COMPUTED_VALUE"""),1.008)</f>
        <v>1.008</v>
      </c>
      <c r="E3068" s="16">
        <f>IFERROR(__xludf.DUMMYFUNCTION("""COMPUTED_VALUE"""),63.0)</f>
        <v>63</v>
      </c>
      <c r="F3068" s="19" t="str">
        <f>IFERROR(__xludf.DUMMYFUNCTION("""COMPUTED_VALUE"""),"BLACK")</f>
        <v>BLACK</v>
      </c>
      <c r="G3068" s="20" t="str">
        <f>IFERROR(__xludf.DUMMYFUNCTION("""COMPUTED_VALUE"""),"Uncle Sams Cider (11/12/2021) 02")</f>
        <v>Uncle Sams Cider (11/12/2021) 02</v>
      </c>
      <c r="H3068" s="19"/>
    </row>
    <row r="3069">
      <c r="A3069" s="9"/>
      <c r="B3069" s="15"/>
      <c r="C3069" s="9">
        <f>IFERROR(__xludf.DUMMYFUNCTION("""COMPUTED_VALUE"""),44573.5293986689)</f>
        <v>44573.5294</v>
      </c>
      <c r="D3069" s="15">
        <f>IFERROR(__xludf.DUMMYFUNCTION("""COMPUTED_VALUE"""),1.008)</f>
        <v>1.008</v>
      </c>
      <c r="E3069" s="16">
        <f>IFERROR(__xludf.DUMMYFUNCTION("""COMPUTED_VALUE"""),64.0)</f>
        <v>64</v>
      </c>
      <c r="F3069" s="19" t="str">
        <f>IFERROR(__xludf.DUMMYFUNCTION("""COMPUTED_VALUE"""),"BLACK")</f>
        <v>BLACK</v>
      </c>
      <c r="G3069" s="20" t="str">
        <f>IFERROR(__xludf.DUMMYFUNCTION("""COMPUTED_VALUE"""),"Uncle Sams Cider (11/12/2021) 02")</f>
        <v>Uncle Sams Cider (11/12/2021) 02</v>
      </c>
      <c r="H3069" s="19"/>
    </row>
    <row r="3070">
      <c r="A3070" s="9"/>
      <c r="B3070" s="15"/>
      <c r="C3070" s="9">
        <f>IFERROR(__xludf.DUMMYFUNCTION("""COMPUTED_VALUE"""),44573.5189780555)</f>
        <v>44573.51898</v>
      </c>
      <c r="D3070" s="15">
        <f>IFERROR(__xludf.DUMMYFUNCTION("""COMPUTED_VALUE"""),1.008)</f>
        <v>1.008</v>
      </c>
      <c r="E3070" s="16">
        <f>IFERROR(__xludf.DUMMYFUNCTION("""COMPUTED_VALUE"""),64.0)</f>
        <v>64</v>
      </c>
      <c r="F3070" s="19" t="str">
        <f>IFERROR(__xludf.DUMMYFUNCTION("""COMPUTED_VALUE"""),"BLACK")</f>
        <v>BLACK</v>
      </c>
      <c r="G3070" s="20" t="str">
        <f>IFERROR(__xludf.DUMMYFUNCTION("""COMPUTED_VALUE"""),"Uncle Sams Cider (11/12/2021) 02")</f>
        <v>Uncle Sams Cider (11/12/2021) 02</v>
      </c>
      <c r="H3070" s="19"/>
    </row>
    <row r="3071">
      <c r="A3071" s="9"/>
      <c r="B3071" s="15"/>
      <c r="C3071" s="9">
        <f>IFERROR(__xludf.DUMMYFUNCTION("""COMPUTED_VALUE"""),44573.5085562499)</f>
        <v>44573.50856</v>
      </c>
      <c r="D3071" s="15">
        <f>IFERROR(__xludf.DUMMYFUNCTION("""COMPUTED_VALUE"""),1.008)</f>
        <v>1.008</v>
      </c>
      <c r="E3071" s="16">
        <f>IFERROR(__xludf.DUMMYFUNCTION("""COMPUTED_VALUE"""),64.0)</f>
        <v>64</v>
      </c>
      <c r="F3071" s="19" t="str">
        <f>IFERROR(__xludf.DUMMYFUNCTION("""COMPUTED_VALUE"""),"BLACK")</f>
        <v>BLACK</v>
      </c>
      <c r="G3071" s="20" t="str">
        <f>IFERROR(__xludf.DUMMYFUNCTION("""COMPUTED_VALUE"""),"Uncle Sams Cider (11/12/2021) 02")</f>
        <v>Uncle Sams Cider (11/12/2021) 02</v>
      </c>
      <c r="H3071" s="19"/>
    </row>
    <row r="3072">
      <c r="A3072" s="9"/>
      <c r="B3072" s="15"/>
      <c r="C3072" s="9">
        <f>IFERROR(__xludf.DUMMYFUNCTION("""COMPUTED_VALUE"""),44573.4981368634)</f>
        <v>44573.49814</v>
      </c>
      <c r="D3072" s="15">
        <f>IFERROR(__xludf.DUMMYFUNCTION("""COMPUTED_VALUE"""),1.008)</f>
        <v>1.008</v>
      </c>
      <c r="E3072" s="16">
        <f>IFERROR(__xludf.DUMMYFUNCTION("""COMPUTED_VALUE"""),64.0)</f>
        <v>64</v>
      </c>
      <c r="F3072" s="19" t="str">
        <f>IFERROR(__xludf.DUMMYFUNCTION("""COMPUTED_VALUE"""),"BLACK")</f>
        <v>BLACK</v>
      </c>
      <c r="G3072" s="20" t="str">
        <f>IFERROR(__xludf.DUMMYFUNCTION("""COMPUTED_VALUE"""),"Uncle Sams Cider (11/12/2021) 02")</f>
        <v>Uncle Sams Cider (11/12/2021) 02</v>
      </c>
      <c r="H3072" s="19"/>
    </row>
    <row r="3073">
      <c r="A3073" s="9"/>
      <c r="B3073" s="15"/>
      <c r="C3073" s="9">
        <f>IFERROR(__xludf.DUMMYFUNCTION("""COMPUTED_VALUE"""),44573.4877156481)</f>
        <v>44573.48772</v>
      </c>
      <c r="D3073" s="15">
        <f>IFERROR(__xludf.DUMMYFUNCTION("""COMPUTED_VALUE"""),1.008)</f>
        <v>1.008</v>
      </c>
      <c r="E3073" s="16">
        <f>IFERROR(__xludf.DUMMYFUNCTION("""COMPUTED_VALUE"""),64.0)</f>
        <v>64</v>
      </c>
      <c r="F3073" s="19" t="str">
        <f>IFERROR(__xludf.DUMMYFUNCTION("""COMPUTED_VALUE"""),"BLACK")</f>
        <v>BLACK</v>
      </c>
      <c r="G3073" s="20" t="str">
        <f>IFERROR(__xludf.DUMMYFUNCTION("""COMPUTED_VALUE"""),"Uncle Sams Cider (11/12/2021) 02")</f>
        <v>Uncle Sams Cider (11/12/2021) 02</v>
      </c>
      <c r="H3073" s="19"/>
    </row>
    <row r="3074">
      <c r="A3074" s="9"/>
      <c r="B3074" s="15"/>
      <c r="C3074" s="9">
        <f>IFERROR(__xludf.DUMMYFUNCTION("""COMPUTED_VALUE"""),44573.4772952546)</f>
        <v>44573.4773</v>
      </c>
      <c r="D3074" s="15">
        <f>IFERROR(__xludf.DUMMYFUNCTION("""COMPUTED_VALUE"""),1.008)</f>
        <v>1.008</v>
      </c>
      <c r="E3074" s="16">
        <f>IFERROR(__xludf.DUMMYFUNCTION("""COMPUTED_VALUE"""),64.0)</f>
        <v>64</v>
      </c>
      <c r="F3074" s="19" t="str">
        <f>IFERROR(__xludf.DUMMYFUNCTION("""COMPUTED_VALUE"""),"BLACK")</f>
        <v>BLACK</v>
      </c>
      <c r="G3074" s="20" t="str">
        <f>IFERROR(__xludf.DUMMYFUNCTION("""COMPUTED_VALUE"""),"Uncle Sams Cider (11/12/2021) 02")</f>
        <v>Uncle Sams Cider (11/12/2021) 02</v>
      </c>
      <c r="H3074" s="19"/>
    </row>
    <row r="3075">
      <c r="A3075" s="9"/>
      <c r="B3075" s="15"/>
      <c r="C3075" s="9">
        <f>IFERROR(__xludf.DUMMYFUNCTION("""COMPUTED_VALUE"""),44573.4668732291)</f>
        <v>44573.46687</v>
      </c>
      <c r="D3075" s="15">
        <f>IFERROR(__xludf.DUMMYFUNCTION("""COMPUTED_VALUE"""),1.008)</f>
        <v>1.008</v>
      </c>
      <c r="E3075" s="16">
        <f>IFERROR(__xludf.DUMMYFUNCTION("""COMPUTED_VALUE"""),64.0)</f>
        <v>64</v>
      </c>
      <c r="F3075" s="19" t="str">
        <f>IFERROR(__xludf.DUMMYFUNCTION("""COMPUTED_VALUE"""),"BLACK")</f>
        <v>BLACK</v>
      </c>
      <c r="G3075" s="20" t="str">
        <f>IFERROR(__xludf.DUMMYFUNCTION("""COMPUTED_VALUE"""),"Uncle Sams Cider (11/12/2021) 02")</f>
        <v>Uncle Sams Cider (11/12/2021) 02</v>
      </c>
      <c r="H3075" s="19"/>
    </row>
    <row r="3076">
      <c r="A3076" s="9"/>
      <c r="B3076" s="15"/>
      <c r="C3076" s="9">
        <f>IFERROR(__xludf.DUMMYFUNCTION("""COMPUTED_VALUE"""),44573.4564519791)</f>
        <v>44573.45645</v>
      </c>
      <c r="D3076" s="15">
        <f>IFERROR(__xludf.DUMMYFUNCTION("""COMPUTED_VALUE"""),1.008)</f>
        <v>1.008</v>
      </c>
      <c r="E3076" s="16">
        <f>IFERROR(__xludf.DUMMYFUNCTION("""COMPUTED_VALUE"""),64.0)</f>
        <v>64</v>
      </c>
      <c r="F3076" s="19" t="str">
        <f>IFERROR(__xludf.DUMMYFUNCTION("""COMPUTED_VALUE"""),"BLACK")</f>
        <v>BLACK</v>
      </c>
      <c r="G3076" s="20" t="str">
        <f>IFERROR(__xludf.DUMMYFUNCTION("""COMPUTED_VALUE"""),"Uncle Sams Cider (11/12/2021) 02")</f>
        <v>Uncle Sams Cider (11/12/2021) 02</v>
      </c>
      <c r="H3076" s="19"/>
    </row>
    <row r="3077">
      <c r="A3077" s="9"/>
      <c r="B3077" s="15"/>
      <c r="C3077" s="9">
        <f>IFERROR(__xludf.DUMMYFUNCTION("""COMPUTED_VALUE"""),44573.4460312152)</f>
        <v>44573.44603</v>
      </c>
      <c r="D3077" s="15">
        <f>IFERROR(__xludf.DUMMYFUNCTION("""COMPUTED_VALUE"""),1.008)</f>
        <v>1.008</v>
      </c>
      <c r="E3077" s="16">
        <f>IFERROR(__xludf.DUMMYFUNCTION("""COMPUTED_VALUE"""),64.0)</f>
        <v>64</v>
      </c>
      <c r="F3077" s="19" t="str">
        <f>IFERROR(__xludf.DUMMYFUNCTION("""COMPUTED_VALUE"""),"BLACK")</f>
        <v>BLACK</v>
      </c>
      <c r="G3077" s="20" t="str">
        <f>IFERROR(__xludf.DUMMYFUNCTION("""COMPUTED_VALUE"""),"Uncle Sams Cider (11/12/2021) 02")</f>
        <v>Uncle Sams Cider (11/12/2021) 02</v>
      </c>
      <c r="H3077" s="19"/>
    </row>
    <row r="3078">
      <c r="A3078" s="9"/>
      <c r="B3078" s="15"/>
      <c r="C3078" s="9">
        <f>IFERROR(__xludf.DUMMYFUNCTION("""COMPUTED_VALUE"""),44573.4356087847)</f>
        <v>44573.43561</v>
      </c>
      <c r="D3078" s="15">
        <f>IFERROR(__xludf.DUMMYFUNCTION("""COMPUTED_VALUE"""),1.008)</f>
        <v>1.008</v>
      </c>
      <c r="E3078" s="16">
        <f>IFERROR(__xludf.DUMMYFUNCTION("""COMPUTED_VALUE"""),64.0)</f>
        <v>64</v>
      </c>
      <c r="F3078" s="19" t="str">
        <f>IFERROR(__xludf.DUMMYFUNCTION("""COMPUTED_VALUE"""),"BLACK")</f>
        <v>BLACK</v>
      </c>
      <c r="G3078" s="20" t="str">
        <f>IFERROR(__xludf.DUMMYFUNCTION("""COMPUTED_VALUE"""),"Uncle Sams Cider (11/12/2021) 02")</f>
        <v>Uncle Sams Cider (11/12/2021) 02</v>
      </c>
      <c r="H3078" s="19"/>
    </row>
    <row r="3079">
      <c r="A3079" s="9"/>
      <c r="B3079" s="15"/>
      <c r="C3079" s="9">
        <f>IFERROR(__xludf.DUMMYFUNCTION("""COMPUTED_VALUE"""),44573.4251873263)</f>
        <v>44573.42519</v>
      </c>
      <c r="D3079" s="15">
        <f>IFERROR(__xludf.DUMMYFUNCTION("""COMPUTED_VALUE"""),1.008)</f>
        <v>1.008</v>
      </c>
      <c r="E3079" s="16">
        <f>IFERROR(__xludf.DUMMYFUNCTION("""COMPUTED_VALUE"""),64.0)</f>
        <v>64</v>
      </c>
      <c r="F3079" s="19" t="str">
        <f>IFERROR(__xludf.DUMMYFUNCTION("""COMPUTED_VALUE"""),"BLACK")</f>
        <v>BLACK</v>
      </c>
      <c r="G3079" s="20" t="str">
        <f>IFERROR(__xludf.DUMMYFUNCTION("""COMPUTED_VALUE"""),"Uncle Sams Cider (11/12/2021) 02")</f>
        <v>Uncle Sams Cider (11/12/2021) 02</v>
      </c>
      <c r="H3079" s="19"/>
    </row>
    <row r="3080">
      <c r="A3080" s="9"/>
      <c r="B3080" s="15"/>
      <c r="C3080" s="9">
        <f>IFERROR(__xludf.DUMMYFUNCTION("""COMPUTED_VALUE"""),44573.4147418981)</f>
        <v>44573.41474</v>
      </c>
      <c r="D3080" s="15">
        <f>IFERROR(__xludf.DUMMYFUNCTION("""COMPUTED_VALUE"""),1.008)</f>
        <v>1.008</v>
      </c>
      <c r="E3080" s="16">
        <f>IFERROR(__xludf.DUMMYFUNCTION("""COMPUTED_VALUE"""),64.0)</f>
        <v>64</v>
      </c>
      <c r="F3080" s="19" t="str">
        <f>IFERROR(__xludf.DUMMYFUNCTION("""COMPUTED_VALUE"""),"BLACK")</f>
        <v>BLACK</v>
      </c>
      <c r="G3080" s="20" t="str">
        <f>IFERROR(__xludf.DUMMYFUNCTION("""COMPUTED_VALUE"""),"Uncle Sams Cider (11/12/2021) 02")</f>
        <v>Uncle Sams Cider (11/12/2021) 02</v>
      </c>
      <c r="H3080" s="19"/>
    </row>
    <row r="3081">
      <c r="A3081" s="9"/>
      <c r="B3081" s="15"/>
      <c r="C3081" s="9">
        <f>IFERROR(__xludf.DUMMYFUNCTION("""COMPUTED_VALUE"""),44573.4043103819)</f>
        <v>44573.40431</v>
      </c>
      <c r="D3081" s="15">
        <f>IFERROR(__xludf.DUMMYFUNCTION("""COMPUTED_VALUE"""),1.008)</f>
        <v>1.008</v>
      </c>
      <c r="E3081" s="16">
        <f>IFERROR(__xludf.DUMMYFUNCTION("""COMPUTED_VALUE"""),64.0)</f>
        <v>64</v>
      </c>
      <c r="F3081" s="19" t="str">
        <f>IFERROR(__xludf.DUMMYFUNCTION("""COMPUTED_VALUE"""),"BLACK")</f>
        <v>BLACK</v>
      </c>
      <c r="G3081" s="20" t="str">
        <f>IFERROR(__xludf.DUMMYFUNCTION("""COMPUTED_VALUE"""),"Uncle Sams Cider (11/12/2021) 02")</f>
        <v>Uncle Sams Cider (11/12/2021) 02</v>
      </c>
      <c r="H3081" s="19"/>
    </row>
    <row r="3082">
      <c r="A3082" s="9"/>
      <c r="B3082" s="15"/>
      <c r="C3082" s="9">
        <f>IFERROR(__xludf.DUMMYFUNCTION("""COMPUTED_VALUE"""),44573.3938899189)</f>
        <v>44573.39389</v>
      </c>
      <c r="D3082" s="15">
        <f>IFERROR(__xludf.DUMMYFUNCTION("""COMPUTED_VALUE"""),1.008)</f>
        <v>1.008</v>
      </c>
      <c r="E3082" s="16">
        <f>IFERROR(__xludf.DUMMYFUNCTION("""COMPUTED_VALUE"""),64.0)</f>
        <v>64</v>
      </c>
      <c r="F3082" s="19" t="str">
        <f>IFERROR(__xludf.DUMMYFUNCTION("""COMPUTED_VALUE"""),"BLACK")</f>
        <v>BLACK</v>
      </c>
      <c r="G3082" s="20" t="str">
        <f>IFERROR(__xludf.DUMMYFUNCTION("""COMPUTED_VALUE"""),"Uncle Sams Cider (11/12/2021) 02")</f>
        <v>Uncle Sams Cider (11/12/2021) 02</v>
      </c>
      <c r="H3082" s="19"/>
    </row>
    <row r="3083">
      <c r="A3083" s="9"/>
      <c r="B3083" s="15"/>
      <c r="C3083" s="9">
        <f>IFERROR(__xludf.DUMMYFUNCTION("""COMPUTED_VALUE"""),44573.3834707638)</f>
        <v>44573.38347</v>
      </c>
      <c r="D3083" s="15">
        <f>IFERROR(__xludf.DUMMYFUNCTION("""COMPUTED_VALUE"""),1.008)</f>
        <v>1.008</v>
      </c>
      <c r="E3083" s="16">
        <f>IFERROR(__xludf.DUMMYFUNCTION("""COMPUTED_VALUE"""),64.0)</f>
        <v>64</v>
      </c>
      <c r="F3083" s="19" t="str">
        <f>IFERROR(__xludf.DUMMYFUNCTION("""COMPUTED_VALUE"""),"BLACK")</f>
        <v>BLACK</v>
      </c>
      <c r="G3083" s="20" t="str">
        <f>IFERROR(__xludf.DUMMYFUNCTION("""COMPUTED_VALUE"""),"Uncle Sams Cider (11/12/2021) 02")</f>
        <v>Uncle Sams Cider (11/12/2021) 02</v>
      </c>
      <c r="H3083" s="19"/>
    </row>
    <row r="3084">
      <c r="A3084" s="9"/>
      <c r="B3084" s="15"/>
      <c r="C3084" s="9">
        <f>IFERROR(__xludf.DUMMYFUNCTION("""COMPUTED_VALUE"""),44573.3730494212)</f>
        <v>44573.37305</v>
      </c>
      <c r="D3084" s="15">
        <f>IFERROR(__xludf.DUMMYFUNCTION("""COMPUTED_VALUE"""),1.008)</f>
        <v>1.008</v>
      </c>
      <c r="E3084" s="16">
        <f>IFERROR(__xludf.DUMMYFUNCTION("""COMPUTED_VALUE"""),64.0)</f>
        <v>64</v>
      </c>
      <c r="F3084" s="19" t="str">
        <f>IFERROR(__xludf.DUMMYFUNCTION("""COMPUTED_VALUE"""),"BLACK")</f>
        <v>BLACK</v>
      </c>
      <c r="G3084" s="20" t="str">
        <f>IFERROR(__xludf.DUMMYFUNCTION("""COMPUTED_VALUE"""),"Uncle Sams Cider (11/12/2021) 02")</f>
        <v>Uncle Sams Cider (11/12/2021) 02</v>
      </c>
      <c r="H3084" s="19"/>
    </row>
    <row r="3085">
      <c r="A3085" s="9"/>
      <c r="B3085" s="15"/>
      <c r="C3085" s="9">
        <f>IFERROR(__xludf.DUMMYFUNCTION("""COMPUTED_VALUE"""),44573.3626281828)</f>
        <v>44573.36263</v>
      </c>
      <c r="D3085" s="15">
        <f>IFERROR(__xludf.DUMMYFUNCTION("""COMPUTED_VALUE"""),1.008)</f>
        <v>1.008</v>
      </c>
      <c r="E3085" s="16">
        <f>IFERROR(__xludf.DUMMYFUNCTION("""COMPUTED_VALUE"""),64.0)</f>
        <v>64</v>
      </c>
      <c r="F3085" s="19" t="str">
        <f>IFERROR(__xludf.DUMMYFUNCTION("""COMPUTED_VALUE"""),"BLACK")</f>
        <v>BLACK</v>
      </c>
      <c r="G3085" s="20" t="str">
        <f>IFERROR(__xludf.DUMMYFUNCTION("""COMPUTED_VALUE"""),"Uncle Sams Cider (11/12/2021) 02")</f>
        <v>Uncle Sams Cider (11/12/2021) 02</v>
      </c>
      <c r="H3085" s="19"/>
    </row>
    <row r="3086">
      <c r="A3086" s="9"/>
      <c r="B3086" s="15"/>
      <c r="C3086" s="9">
        <f>IFERROR(__xludf.DUMMYFUNCTION("""COMPUTED_VALUE"""),44573.3522074768)</f>
        <v>44573.35221</v>
      </c>
      <c r="D3086" s="15">
        <f>IFERROR(__xludf.DUMMYFUNCTION("""COMPUTED_VALUE"""),1.008)</f>
        <v>1.008</v>
      </c>
      <c r="E3086" s="16">
        <f>IFERROR(__xludf.DUMMYFUNCTION("""COMPUTED_VALUE"""),64.0)</f>
        <v>64</v>
      </c>
      <c r="F3086" s="19" t="str">
        <f>IFERROR(__xludf.DUMMYFUNCTION("""COMPUTED_VALUE"""),"BLACK")</f>
        <v>BLACK</v>
      </c>
      <c r="G3086" s="20" t="str">
        <f>IFERROR(__xludf.DUMMYFUNCTION("""COMPUTED_VALUE"""),"Uncle Sams Cider (11/12/2021) 02")</f>
        <v>Uncle Sams Cider (11/12/2021) 02</v>
      </c>
      <c r="H3086" s="19"/>
    </row>
    <row r="3087">
      <c r="A3087" s="9"/>
      <c r="B3087" s="15"/>
      <c r="C3087" s="9">
        <f>IFERROR(__xludf.DUMMYFUNCTION("""COMPUTED_VALUE"""),44573.3417627662)</f>
        <v>44573.34176</v>
      </c>
      <c r="D3087" s="15">
        <f>IFERROR(__xludf.DUMMYFUNCTION("""COMPUTED_VALUE"""),1.008)</f>
        <v>1.008</v>
      </c>
      <c r="E3087" s="16">
        <f>IFERROR(__xludf.DUMMYFUNCTION("""COMPUTED_VALUE"""),64.0)</f>
        <v>64</v>
      </c>
      <c r="F3087" s="19" t="str">
        <f>IFERROR(__xludf.DUMMYFUNCTION("""COMPUTED_VALUE"""),"BLACK")</f>
        <v>BLACK</v>
      </c>
      <c r="G3087" s="20" t="str">
        <f>IFERROR(__xludf.DUMMYFUNCTION("""COMPUTED_VALUE"""),"Uncle Sams Cider (11/12/2021) 02")</f>
        <v>Uncle Sams Cider (11/12/2021) 02</v>
      </c>
      <c r="H3087" s="19"/>
    </row>
    <row r="3088">
      <c r="A3088" s="9"/>
      <c r="B3088" s="15"/>
      <c r="C3088" s="9">
        <f>IFERROR(__xludf.DUMMYFUNCTION("""COMPUTED_VALUE"""),44573.3313295601)</f>
        <v>44573.33133</v>
      </c>
      <c r="D3088" s="15">
        <f>IFERROR(__xludf.DUMMYFUNCTION("""COMPUTED_VALUE"""),1.008)</f>
        <v>1.008</v>
      </c>
      <c r="E3088" s="16">
        <f>IFERROR(__xludf.DUMMYFUNCTION("""COMPUTED_VALUE"""),64.0)</f>
        <v>64</v>
      </c>
      <c r="F3088" s="19" t="str">
        <f>IFERROR(__xludf.DUMMYFUNCTION("""COMPUTED_VALUE"""),"BLACK")</f>
        <v>BLACK</v>
      </c>
      <c r="G3088" s="20" t="str">
        <f>IFERROR(__xludf.DUMMYFUNCTION("""COMPUTED_VALUE"""),"Uncle Sams Cider (11/12/2021) 02")</f>
        <v>Uncle Sams Cider (11/12/2021) 02</v>
      </c>
      <c r="H3088" s="19"/>
    </row>
    <row r="3089">
      <c r="A3089" s="9"/>
      <c r="B3089" s="15"/>
      <c r="C3089" s="9">
        <f>IFERROR(__xludf.DUMMYFUNCTION("""COMPUTED_VALUE"""),44573.32090625)</f>
        <v>44573.32091</v>
      </c>
      <c r="D3089" s="15">
        <f>IFERROR(__xludf.DUMMYFUNCTION("""COMPUTED_VALUE"""),1.008)</f>
        <v>1.008</v>
      </c>
      <c r="E3089" s="16">
        <f>IFERROR(__xludf.DUMMYFUNCTION("""COMPUTED_VALUE"""),64.0)</f>
        <v>64</v>
      </c>
      <c r="F3089" s="19" t="str">
        <f>IFERROR(__xludf.DUMMYFUNCTION("""COMPUTED_VALUE"""),"BLACK")</f>
        <v>BLACK</v>
      </c>
      <c r="G3089" s="20" t="str">
        <f>IFERROR(__xludf.DUMMYFUNCTION("""COMPUTED_VALUE"""),"Uncle Sams Cider (11/12/2021) 02")</f>
        <v>Uncle Sams Cider (11/12/2021) 02</v>
      </c>
      <c r="H3089" s="19"/>
    </row>
    <row r="3090">
      <c r="A3090" s="9"/>
      <c r="B3090" s="15"/>
      <c r="C3090" s="9">
        <f>IFERROR(__xludf.DUMMYFUNCTION("""COMPUTED_VALUE"""),44573.3104722685)</f>
        <v>44573.31047</v>
      </c>
      <c r="D3090" s="15">
        <f>IFERROR(__xludf.DUMMYFUNCTION("""COMPUTED_VALUE"""),1.008)</f>
        <v>1.008</v>
      </c>
      <c r="E3090" s="16">
        <f>IFERROR(__xludf.DUMMYFUNCTION("""COMPUTED_VALUE"""),64.0)</f>
        <v>64</v>
      </c>
      <c r="F3090" s="19" t="str">
        <f>IFERROR(__xludf.DUMMYFUNCTION("""COMPUTED_VALUE"""),"BLACK")</f>
        <v>BLACK</v>
      </c>
      <c r="G3090" s="20" t="str">
        <f>IFERROR(__xludf.DUMMYFUNCTION("""COMPUTED_VALUE"""),"Uncle Sams Cider (11/12/2021) 02")</f>
        <v>Uncle Sams Cider (11/12/2021) 02</v>
      </c>
      <c r="H3090" s="19"/>
    </row>
    <row r="3091">
      <c r="A3091" s="9"/>
      <c r="B3091" s="15"/>
      <c r="C3091" s="9">
        <f>IFERROR(__xludf.DUMMYFUNCTION("""COMPUTED_VALUE"""),44573.300051574)</f>
        <v>44573.30005</v>
      </c>
      <c r="D3091" s="15">
        <f>IFERROR(__xludf.DUMMYFUNCTION("""COMPUTED_VALUE"""),1.008)</f>
        <v>1.008</v>
      </c>
      <c r="E3091" s="16">
        <f>IFERROR(__xludf.DUMMYFUNCTION("""COMPUTED_VALUE"""),64.0)</f>
        <v>64</v>
      </c>
      <c r="F3091" s="19" t="str">
        <f>IFERROR(__xludf.DUMMYFUNCTION("""COMPUTED_VALUE"""),"BLACK")</f>
        <v>BLACK</v>
      </c>
      <c r="G3091" s="20" t="str">
        <f>IFERROR(__xludf.DUMMYFUNCTION("""COMPUTED_VALUE"""),"Uncle Sams Cider (11/12/2021) 02")</f>
        <v>Uncle Sams Cider (11/12/2021) 02</v>
      </c>
      <c r="H3091" s="19"/>
    </row>
    <row r="3092">
      <c r="A3092" s="9"/>
      <c r="B3092" s="15"/>
      <c r="C3092" s="9">
        <f>IFERROR(__xludf.DUMMYFUNCTION("""COMPUTED_VALUE"""),44573.2896185532)</f>
        <v>44573.28962</v>
      </c>
      <c r="D3092" s="15">
        <f>IFERROR(__xludf.DUMMYFUNCTION("""COMPUTED_VALUE"""),1.008)</f>
        <v>1.008</v>
      </c>
      <c r="E3092" s="16">
        <f>IFERROR(__xludf.DUMMYFUNCTION("""COMPUTED_VALUE"""),64.0)</f>
        <v>64</v>
      </c>
      <c r="F3092" s="19" t="str">
        <f>IFERROR(__xludf.DUMMYFUNCTION("""COMPUTED_VALUE"""),"BLACK")</f>
        <v>BLACK</v>
      </c>
      <c r="G3092" s="20" t="str">
        <f>IFERROR(__xludf.DUMMYFUNCTION("""COMPUTED_VALUE"""),"Uncle Sams Cider (11/12/2021) 02")</f>
        <v>Uncle Sams Cider (11/12/2021) 02</v>
      </c>
      <c r="H3092" s="19"/>
    </row>
    <row r="3093">
      <c r="A3093" s="9"/>
      <c r="B3093" s="15"/>
      <c r="C3093" s="9">
        <f>IFERROR(__xludf.DUMMYFUNCTION("""COMPUTED_VALUE"""),44573.2791860995)</f>
        <v>44573.27919</v>
      </c>
      <c r="D3093" s="15">
        <f>IFERROR(__xludf.DUMMYFUNCTION("""COMPUTED_VALUE"""),1.008)</f>
        <v>1.008</v>
      </c>
      <c r="E3093" s="16">
        <f>IFERROR(__xludf.DUMMYFUNCTION("""COMPUTED_VALUE"""),64.0)</f>
        <v>64</v>
      </c>
      <c r="F3093" s="19" t="str">
        <f>IFERROR(__xludf.DUMMYFUNCTION("""COMPUTED_VALUE"""),"BLACK")</f>
        <v>BLACK</v>
      </c>
      <c r="G3093" s="20" t="str">
        <f>IFERROR(__xludf.DUMMYFUNCTION("""COMPUTED_VALUE"""),"Uncle Sams Cider (11/12/2021) 02")</f>
        <v>Uncle Sams Cider (11/12/2021) 02</v>
      </c>
      <c r="H3093" s="19"/>
    </row>
    <row r="3094">
      <c r="A3094" s="9"/>
      <c r="B3094" s="15"/>
      <c r="C3094" s="9">
        <f>IFERROR(__xludf.DUMMYFUNCTION("""COMPUTED_VALUE"""),44573.2687403819)</f>
        <v>44573.26874</v>
      </c>
      <c r="D3094" s="15">
        <f>IFERROR(__xludf.DUMMYFUNCTION("""COMPUTED_VALUE"""),1.008)</f>
        <v>1.008</v>
      </c>
      <c r="E3094" s="16">
        <f>IFERROR(__xludf.DUMMYFUNCTION("""COMPUTED_VALUE"""),64.0)</f>
        <v>64</v>
      </c>
      <c r="F3094" s="19" t="str">
        <f>IFERROR(__xludf.DUMMYFUNCTION("""COMPUTED_VALUE"""),"BLACK")</f>
        <v>BLACK</v>
      </c>
      <c r="G3094" s="20" t="str">
        <f>IFERROR(__xludf.DUMMYFUNCTION("""COMPUTED_VALUE"""),"Uncle Sams Cider (11/12/2021) 02")</f>
        <v>Uncle Sams Cider (11/12/2021) 02</v>
      </c>
      <c r="H3094" s="19"/>
    </row>
    <row r="3095">
      <c r="A3095" s="9"/>
      <c r="B3095" s="15"/>
      <c r="C3095" s="9">
        <f>IFERROR(__xludf.DUMMYFUNCTION("""COMPUTED_VALUE"""),44573.2582963657)</f>
        <v>44573.2583</v>
      </c>
      <c r="D3095" s="15">
        <f>IFERROR(__xludf.DUMMYFUNCTION("""COMPUTED_VALUE"""),1.008)</f>
        <v>1.008</v>
      </c>
      <c r="E3095" s="16">
        <f>IFERROR(__xludf.DUMMYFUNCTION("""COMPUTED_VALUE"""),64.0)</f>
        <v>64</v>
      </c>
      <c r="F3095" s="19" t="str">
        <f>IFERROR(__xludf.DUMMYFUNCTION("""COMPUTED_VALUE"""),"BLACK")</f>
        <v>BLACK</v>
      </c>
      <c r="G3095" s="20" t="str">
        <f>IFERROR(__xludf.DUMMYFUNCTION("""COMPUTED_VALUE"""),"Uncle Sams Cider (11/12/2021) 02")</f>
        <v>Uncle Sams Cider (11/12/2021) 02</v>
      </c>
      <c r="H3095" s="19"/>
    </row>
    <row r="3096">
      <c r="A3096" s="9"/>
      <c r="B3096" s="15"/>
      <c r="C3096" s="9">
        <f>IFERROR(__xludf.DUMMYFUNCTION("""COMPUTED_VALUE"""),44573.2478757407)</f>
        <v>44573.24788</v>
      </c>
      <c r="D3096" s="15">
        <f>IFERROR(__xludf.DUMMYFUNCTION("""COMPUTED_VALUE"""),1.008)</f>
        <v>1.008</v>
      </c>
      <c r="E3096" s="16">
        <f>IFERROR(__xludf.DUMMYFUNCTION("""COMPUTED_VALUE"""),64.0)</f>
        <v>64</v>
      </c>
      <c r="F3096" s="19" t="str">
        <f>IFERROR(__xludf.DUMMYFUNCTION("""COMPUTED_VALUE"""),"BLACK")</f>
        <v>BLACK</v>
      </c>
      <c r="G3096" s="20" t="str">
        <f>IFERROR(__xludf.DUMMYFUNCTION("""COMPUTED_VALUE"""),"Uncle Sams Cider (11/12/2021) 02")</f>
        <v>Uncle Sams Cider (11/12/2021) 02</v>
      </c>
      <c r="H3096" s="19"/>
    </row>
    <row r="3097">
      <c r="A3097" s="9"/>
      <c r="B3097" s="15"/>
      <c r="C3097" s="9">
        <f>IFERROR(__xludf.DUMMYFUNCTION("""COMPUTED_VALUE"""),44573.2374525)</f>
        <v>44573.23745</v>
      </c>
      <c r="D3097" s="15">
        <f>IFERROR(__xludf.DUMMYFUNCTION("""COMPUTED_VALUE"""),1.008)</f>
        <v>1.008</v>
      </c>
      <c r="E3097" s="16">
        <f>IFERROR(__xludf.DUMMYFUNCTION("""COMPUTED_VALUE"""),64.0)</f>
        <v>64</v>
      </c>
      <c r="F3097" s="19" t="str">
        <f>IFERROR(__xludf.DUMMYFUNCTION("""COMPUTED_VALUE"""),"BLACK")</f>
        <v>BLACK</v>
      </c>
      <c r="G3097" s="20" t="str">
        <f>IFERROR(__xludf.DUMMYFUNCTION("""COMPUTED_VALUE"""),"Uncle Sams Cider (11/12/2021) 02")</f>
        <v>Uncle Sams Cider (11/12/2021) 02</v>
      </c>
      <c r="H3097" s="19"/>
    </row>
    <row r="3098">
      <c r="A3098" s="9"/>
      <c r="B3098" s="15"/>
      <c r="C3098" s="9">
        <f>IFERROR(__xludf.DUMMYFUNCTION("""COMPUTED_VALUE"""),44573.2270320601)</f>
        <v>44573.22703</v>
      </c>
      <c r="D3098" s="15">
        <f>IFERROR(__xludf.DUMMYFUNCTION("""COMPUTED_VALUE"""),1.008)</f>
        <v>1.008</v>
      </c>
      <c r="E3098" s="16">
        <f>IFERROR(__xludf.DUMMYFUNCTION("""COMPUTED_VALUE"""),64.0)</f>
        <v>64</v>
      </c>
      <c r="F3098" s="19" t="str">
        <f>IFERROR(__xludf.DUMMYFUNCTION("""COMPUTED_VALUE"""),"BLACK")</f>
        <v>BLACK</v>
      </c>
      <c r="G3098" s="20" t="str">
        <f>IFERROR(__xludf.DUMMYFUNCTION("""COMPUTED_VALUE"""),"Uncle Sams Cider (11/12/2021) 02")</f>
        <v>Uncle Sams Cider (11/12/2021) 02</v>
      </c>
      <c r="H3098" s="19"/>
    </row>
    <row r="3099">
      <c r="A3099" s="9"/>
      <c r="B3099" s="15"/>
      <c r="C3099" s="9">
        <f>IFERROR(__xludf.DUMMYFUNCTION("""COMPUTED_VALUE"""),44573.2166121643)</f>
        <v>44573.21661</v>
      </c>
      <c r="D3099" s="15">
        <f>IFERROR(__xludf.DUMMYFUNCTION("""COMPUTED_VALUE"""),1.008)</f>
        <v>1.008</v>
      </c>
      <c r="E3099" s="16">
        <f>IFERROR(__xludf.DUMMYFUNCTION("""COMPUTED_VALUE"""),64.0)</f>
        <v>64</v>
      </c>
      <c r="F3099" s="19" t="str">
        <f>IFERROR(__xludf.DUMMYFUNCTION("""COMPUTED_VALUE"""),"BLACK")</f>
        <v>BLACK</v>
      </c>
      <c r="G3099" s="20" t="str">
        <f>IFERROR(__xludf.DUMMYFUNCTION("""COMPUTED_VALUE"""),"Uncle Sams Cider (11/12/2021) 02")</f>
        <v>Uncle Sams Cider (11/12/2021) 02</v>
      </c>
      <c r="H3099" s="19"/>
    </row>
    <row r="3100">
      <c r="A3100" s="9"/>
      <c r="B3100" s="15"/>
      <c r="C3100" s="9">
        <f>IFERROR(__xludf.DUMMYFUNCTION("""COMPUTED_VALUE"""),44573.2061679861)</f>
        <v>44573.20617</v>
      </c>
      <c r="D3100" s="15">
        <f>IFERROR(__xludf.DUMMYFUNCTION("""COMPUTED_VALUE"""),1.008)</f>
        <v>1.008</v>
      </c>
      <c r="E3100" s="16">
        <f>IFERROR(__xludf.DUMMYFUNCTION("""COMPUTED_VALUE"""),64.0)</f>
        <v>64</v>
      </c>
      <c r="F3100" s="19" t="str">
        <f>IFERROR(__xludf.DUMMYFUNCTION("""COMPUTED_VALUE"""),"BLACK")</f>
        <v>BLACK</v>
      </c>
      <c r="G3100" s="20" t="str">
        <f>IFERROR(__xludf.DUMMYFUNCTION("""COMPUTED_VALUE"""),"Uncle Sams Cider (11/12/2021) 02")</f>
        <v>Uncle Sams Cider (11/12/2021) 02</v>
      </c>
      <c r="H3100" s="19"/>
    </row>
    <row r="3101">
      <c r="A3101" s="9"/>
      <c r="B3101" s="15"/>
      <c r="C3101" s="9">
        <f>IFERROR(__xludf.DUMMYFUNCTION("""COMPUTED_VALUE"""),44573.1957479629)</f>
        <v>44573.19575</v>
      </c>
      <c r="D3101" s="15">
        <f>IFERROR(__xludf.DUMMYFUNCTION("""COMPUTED_VALUE"""),1.008)</f>
        <v>1.008</v>
      </c>
      <c r="E3101" s="16">
        <f>IFERROR(__xludf.DUMMYFUNCTION("""COMPUTED_VALUE"""),64.0)</f>
        <v>64</v>
      </c>
      <c r="F3101" s="19" t="str">
        <f>IFERROR(__xludf.DUMMYFUNCTION("""COMPUTED_VALUE"""),"BLACK")</f>
        <v>BLACK</v>
      </c>
      <c r="G3101" s="20" t="str">
        <f>IFERROR(__xludf.DUMMYFUNCTION("""COMPUTED_VALUE"""),"Uncle Sams Cider (11/12/2021) 02")</f>
        <v>Uncle Sams Cider (11/12/2021) 02</v>
      </c>
      <c r="H3101" s="19"/>
    </row>
    <row r="3102">
      <c r="A3102" s="9"/>
      <c r="B3102" s="15"/>
      <c r="C3102" s="9">
        <f>IFERROR(__xludf.DUMMYFUNCTION("""COMPUTED_VALUE"""),44573.1853274999)</f>
        <v>44573.18533</v>
      </c>
      <c r="D3102" s="15">
        <f>IFERROR(__xludf.DUMMYFUNCTION("""COMPUTED_VALUE"""),1.008)</f>
        <v>1.008</v>
      </c>
      <c r="E3102" s="16">
        <f>IFERROR(__xludf.DUMMYFUNCTION("""COMPUTED_VALUE"""),64.0)</f>
        <v>64</v>
      </c>
      <c r="F3102" s="19" t="str">
        <f>IFERROR(__xludf.DUMMYFUNCTION("""COMPUTED_VALUE"""),"BLACK")</f>
        <v>BLACK</v>
      </c>
      <c r="G3102" s="20" t="str">
        <f>IFERROR(__xludf.DUMMYFUNCTION("""COMPUTED_VALUE"""),"Uncle Sams Cider (11/12/2021) 02")</f>
        <v>Uncle Sams Cider (11/12/2021) 02</v>
      </c>
      <c r="H3102" s="19"/>
    </row>
    <row r="3103">
      <c r="A3103" s="9"/>
      <c r="B3103" s="15"/>
      <c r="C3103" s="9">
        <f>IFERROR(__xludf.DUMMYFUNCTION("""COMPUTED_VALUE"""),44573.1748967592)</f>
        <v>44573.1749</v>
      </c>
      <c r="D3103" s="15">
        <f>IFERROR(__xludf.DUMMYFUNCTION("""COMPUTED_VALUE"""),1.008)</f>
        <v>1.008</v>
      </c>
      <c r="E3103" s="16">
        <f>IFERROR(__xludf.DUMMYFUNCTION("""COMPUTED_VALUE"""),64.0)</f>
        <v>64</v>
      </c>
      <c r="F3103" s="19" t="str">
        <f>IFERROR(__xludf.DUMMYFUNCTION("""COMPUTED_VALUE"""),"BLACK")</f>
        <v>BLACK</v>
      </c>
      <c r="G3103" s="20" t="str">
        <f>IFERROR(__xludf.DUMMYFUNCTION("""COMPUTED_VALUE"""),"Uncle Sams Cider (11/12/2021) 02")</f>
        <v>Uncle Sams Cider (11/12/2021) 02</v>
      </c>
      <c r="H3103" s="19"/>
    </row>
    <row r="3104">
      <c r="A3104" s="9"/>
      <c r="B3104" s="15"/>
      <c r="C3104" s="9">
        <f>IFERROR(__xludf.DUMMYFUNCTION("""COMPUTED_VALUE"""),44573.1644625925)</f>
        <v>44573.16446</v>
      </c>
      <c r="D3104" s="15">
        <f>IFERROR(__xludf.DUMMYFUNCTION("""COMPUTED_VALUE"""),1.008)</f>
        <v>1.008</v>
      </c>
      <c r="E3104" s="16">
        <f>IFERROR(__xludf.DUMMYFUNCTION("""COMPUTED_VALUE"""),65.0)</f>
        <v>65</v>
      </c>
      <c r="F3104" s="19" t="str">
        <f>IFERROR(__xludf.DUMMYFUNCTION("""COMPUTED_VALUE"""),"BLACK")</f>
        <v>BLACK</v>
      </c>
      <c r="G3104" s="20" t="str">
        <f>IFERROR(__xludf.DUMMYFUNCTION("""COMPUTED_VALUE"""),"Uncle Sams Cider (11/12/2021) 02")</f>
        <v>Uncle Sams Cider (11/12/2021) 02</v>
      </c>
      <c r="H3104" s="19"/>
    </row>
    <row r="3105">
      <c r="A3105" s="9"/>
      <c r="B3105" s="15"/>
      <c r="C3105" s="9">
        <f>IFERROR(__xludf.DUMMYFUNCTION("""COMPUTED_VALUE"""),44573.1540405208)</f>
        <v>44573.15404</v>
      </c>
      <c r="D3105" s="15">
        <f>IFERROR(__xludf.DUMMYFUNCTION("""COMPUTED_VALUE"""),1.008)</f>
        <v>1.008</v>
      </c>
      <c r="E3105" s="16">
        <f>IFERROR(__xludf.DUMMYFUNCTION("""COMPUTED_VALUE"""),65.0)</f>
        <v>65</v>
      </c>
      <c r="F3105" s="19" t="str">
        <f>IFERROR(__xludf.DUMMYFUNCTION("""COMPUTED_VALUE"""),"BLACK")</f>
        <v>BLACK</v>
      </c>
      <c r="G3105" s="20" t="str">
        <f>IFERROR(__xludf.DUMMYFUNCTION("""COMPUTED_VALUE"""),"Uncle Sams Cider (11/12/2021) 02")</f>
        <v>Uncle Sams Cider (11/12/2021) 02</v>
      </c>
      <c r="H3105" s="19"/>
    </row>
    <row r="3106">
      <c r="A3106" s="9"/>
      <c r="B3106" s="15"/>
      <c r="C3106" s="9">
        <f>IFERROR(__xludf.DUMMYFUNCTION("""COMPUTED_VALUE"""),44573.1436079513)</f>
        <v>44573.14361</v>
      </c>
      <c r="D3106" s="15">
        <f>IFERROR(__xludf.DUMMYFUNCTION("""COMPUTED_VALUE"""),1.008)</f>
        <v>1.008</v>
      </c>
      <c r="E3106" s="16">
        <f>IFERROR(__xludf.DUMMYFUNCTION("""COMPUTED_VALUE"""),65.0)</f>
        <v>65</v>
      </c>
      <c r="F3106" s="19" t="str">
        <f>IFERROR(__xludf.DUMMYFUNCTION("""COMPUTED_VALUE"""),"BLACK")</f>
        <v>BLACK</v>
      </c>
      <c r="G3106" s="20" t="str">
        <f>IFERROR(__xludf.DUMMYFUNCTION("""COMPUTED_VALUE"""),"Uncle Sams Cider (11/12/2021) 02")</f>
        <v>Uncle Sams Cider (11/12/2021) 02</v>
      </c>
      <c r="H3106" s="19"/>
    </row>
    <row r="3107">
      <c r="A3107" s="9"/>
      <c r="B3107" s="15"/>
      <c r="C3107" s="9">
        <f>IFERROR(__xludf.DUMMYFUNCTION("""COMPUTED_VALUE"""),44573.1331881828)</f>
        <v>44573.13319</v>
      </c>
      <c r="D3107" s="15">
        <f>IFERROR(__xludf.DUMMYFUNCTION("""COMPUTED_VALUE"""),1.008)</f>
        <v>1.008</v>
      </c>
      <c r="E3107" s="16">
        <f>IFERROR(__xludf.DUMMYFUNCTION("""COMPUTED_VALUE"""),65.0)</f>
        <v>65</v>
      </c>
      <c r="F3107" s="19" t="str">
        <f>IFERROR(__xludf.DUMMYFUNCTION("""COMPUTED_VALUE"""),"BLACK")</f>
        <v>BLACK</v>
      </c>
      <c r="G3107" s="20" t="str">
        <f>IFERROR(__xludf.DUMMYFUNCTION("""COMPUTED_VALUE"""),"Uncle Sams Cider (11/12/2021) 02")</f>
        <v>Uncle Sams Cider (11/12/2021) 02</v>
      </c>
      <c r="H3107" s="19"/>
    </row>
    <row r="3108">
      <c r="A3108" s="9"/>
      <c r="B3108" s="15"/>
      <c r="C3108" s="9">
        <f>IFERROR(__xludf.DUMMYFUNCTION("""COMPUTED_VALUE"""),44573.1227669097)</f>
        <v>44573.12277</v>
      </c>
      <c r="D3108" s="15">
        <f>IFERROR(__xludf.DUMMYFUNCTION("""COMPUTED_VALUE"""),1.008)</f>
        <v>1.008</v>
      </c>
      <c r="E3108" s="16">
        <f>IFERROR(__xludf.DUMMYFUNCTION("""COMPUTED_VALUE"""),65.0)</f>
        <v>65</v>
      </c>
      <c r="F3108" s="19" t="str">
        <f>IFERROR(__xludf.DUMMYFUNCTION("""COMPUTED_VALUE"""),"BLACK")</f>
        <v>BLACK</v>
      </c>
      <c r="G3108" s="20" t="str">
        <f>IFERROR(__xludf.DUMMYFUNCTION("""COMPUTED_VALUE"""),"Uncle Sams Cider (11/12/2021) 02")</f>
        <v>Uncle Sams Cider (11/12/2021) 02</v>
      </c>
      <c r="H3108" s="19"/>
    </row>
    <row r="3109">
      <c r="A3109" s="9"/>
      <c r="B3109" s="15"/>
      <c r="C3109" s="9">
        <f>IFERROR(__xludf.DUMMYFUNCTION("""COMPUTED_VALUE"""),44573.1123463194)</f>
        <v>44573.11235</v>
      </c>
      <c r="D3109" s="15">
        <f>IFERROR(__xludf.DUMMYFUNCTION("""COMPUTED_VALUE"""),1.008)</f>
        <v>1.008</v>
      </c>
      <c r="E3109" s="16">
        <f>IFERROR(__xludf.DUMMYFUNCTION("""COMPUTED_VALUE"""),65.0)</f>
        <v>65</v>
      </c>
      <c r="F3109" s="19" t="str">
        <f>IFERROR(__xludf.DUMMYFUNCTION("""COMPUTED_VALUE"""),"BLACK")</f>
        <v>BLACK</v>
      </c>
      <c r="G3109" s="20" t="str">
        <f>IFERROR(__xludf.DUMMYFUNCTION("""COMPUTED_VALUE"""),"Uncle Sams Cider (11/12/2021) 02")</f>
        <v>Uncle Sams Cider (11/12/2021) 02</v>
      </c>
      <c r="H3109" s="19"/>
    </row>
    <row r="3110">
      <c r="A3110" s="9"/>
      <c r="B3110" s="15"/>
      <c r="C3110" s="9">
        <f>IFERROR(__xludf.DUMMYFUNCTION("""COMPUTED_VALUE"""),44573.1019132175)</f>
        <v>44573.10191</v>
      </c>
      <c r="D3110" s="15">
        <f>IFERROR(__xludf.DUMMYFUNCTION("""COMPUTED_VALUE"""),1.008)</f>
        <v>1.008</v>
      </c>
      <c r="E3110" s="16">
        <f>IFERROR(__xludf.DUMMYFUNCTION("""COMPUTED_VALUE"""),65.0)</f>
        <v>65</v>
      </c>
      <c r="F3110" s="19" t="str">
        <f>IFERROR(__xludf.DUMMYFUNCTION("""COMPUTED_VALUE"""),"BLACK")</f>
        <v>BLACK</v>
      </c>
      <c r="G3110" s="20" t="str">
        <f>IFERROR(__xludf.DUMMYFUNCTION("""COMPUTED_VALUE"""),"Uncle Sams Cider (11/12/2021) 02")</f>
        <v>Uncle Sams Cider (11/12/2021) 02</v>
      </c>
      <c r="H3110" s="19"/>
    </row>
    <row r="3111">
      <c r="A3111" s="9"/>
      <c r="B3111" s="15"/>
      <c r="C3111" s="9">
        <f>IFERROR(__xludf.DUMMYFUNCTION("""COMPUTED_VALUE"""),44573.0914930208)</f>
        <v>44573.09149</v>
      </c>
      <c r="D3111" s="15">
        <f>IFERROR(__xludf.DUMMYFUNCTION("""COMPUTED_VALUE"""),1.008)</f>
        <v>1.008</v>
      </c>
      <c r="E3111" s="16">
        <f>IFERROR(__xludf.DUMMYFUNCTION("""COMPUTED_VALUE"""),65.0)</f>
        <v>65</v>
      </c>
      <c r="F3111" s="19" t="str">
        <f>IFERROR(__xludf.DUMMYFUNCTION("""COMPUTED_VALUE"""),"BLACK")</f>
        <v>BLACK</v>
      </c>
      <c r="G3111" s="20" t="str">
        <f>IFERROR(__xludf.DUMMYFUNCTION("""COMPUTED_VALUE"""),"Uncle Sams Cider (11/12/2021) 02")</f>
        <v>Uncle Sams Cider (11/12/2021) 02</v>
      </c>
      <c r="H3111" s="19"/>
    </row>
    <row r="3112">
      <c r="A3112" s="9"/>
      <c r="B3112" s="15"/>
      <c r="C3112" s="9">
        <f>IFERROR(__xludf.DUMMYFUNCTION("""COMPUTED_VALUE"""),44573.0810705208)</f>
        <v>44573.08107</v>
      </c>
      <c r="D3112" s="15">
        <f>IFERROR(__xludf.DUMMYFUNCTION("""COMPUTED_VALUE"""),1.008)</f>
        <v>1.008</v>
      </c>
      <c r="E3112" s="16">
        <f>IFERROR(__xludf.DUMMYFUNCTION("""COMPUTED_VALUE"""),65.0)</f>
        <v>65</v>
      </c>
      <c r="F3112" s="19" t="str">
        <f>IFERROR(__xludf.DUMMYFUNCTION("""COMPUTED_VALUE"""),"BLACK")</f>
        <v>BLACK</v>
      </c>
      <c r="G3112" s="20" t="str">
        <f>IFERROR(__xludf.DUMMYFUNCTION("""COMPUTED_VALUE"""),"Uncle Sams Cider (11/12/2021) 02")</f>
        <v>Uncle Sams Cider (11/12/2021) 02</v>
      </c>
      <c r="H3112" s="19"/>
    </row>
    <row r="3113">
      <c r="A3113" s="9"/>
      <c r="B3113" s="15"/>
      <c r="C3113" s="9">
        <f>IFERROR(__xludf.DUMMYFUNCTION("""COMPUTED_VALUE"""),44573.0706363425)</f>
        <v>44573.07064</v>
      </c>
      <c r="D3113" s="15">
        <f>IFERROR(__xludf.DUMMYFUNCTION("""COMPUTED_VALUE"""),1.008)</f>
        <v>1.008</v>
      </c>
      <c r="E3113" s="16">
        <f>IFERROR(__xludf.DUMMYFUNCTION("""COMPUTED_VALUE"""),65.0)</f>
        <v>65</v>
      </c>
      <c r="F3113" s="19" t="str">
        <f>IFERROR(__xludf.DUMMYFUNCTION("""COMPUTED_VALUE"""),"BLACK")</f>
        <v>BLACK</v>
      </c>
      <c r="G3113" s="20" t="str">
        <f>IFERROR(__xludf.DUMMYFUNCTION("""COMPUTED_VALUE"""),"Uncle Sams Cider (11/12/2021) 02")</f>
        <v>Uncle Sams Cider (11/12/2021) 02</v>
      </c>
      <c r="H3113" s="19"/>
    </row>
    <row r="3114">
      <c r="A3114" s="9"/>
      <c r="B3114" s="15"/>
      <c r="C3114" s="9">
        <f>IFERROR(__xludf.DUMMYFUNCTION("""COMPUTED_VALUE"""),44573.0602145254)</f>
        <v>44573.06021</v>
      </c>
      <c r="D3114" s="15">
        <f>IFERROR(__xludf.DUMMYFUNCTION("""COMPUTED_VALUE"""),1.008)</f>
        <v>1.008</v>
      </c>
      <c r="E3114" s="16">
        <f>IFERROR(__xludf.DUMMYFUNCTION("""COMPUTED_VALUE"""),65.0)</f>
        <v>65</v>
      </c>
      <c r="F3114" s="19" t="str">
        <f>IFERROR(__xludf.DUMMYFUNCTION("""COMPUTED_VALUE"""),"BLACK")</f>
        <v>BLACK</v>
      </c>
      <c r="G3114" s="20" t="str">
        <f>IFERROR(__xludf.DUMMYFUNCTION("""COMPUTED_VALUE"""),"Uncle Sams Cider (11/12/2021) 02")</f>
        <v>Uncle Sams Cider (11/12/2021) 02</v>
      </c>
      <c r="H3114" s="19"/>
    </row>
    <row r="3115">
      <c r="A3115" s="9"/>
      <c r="B3115" s="15"/>
      <c r="C3115" s="9">
        <f>IFERROR(__xludf.DUMMYFUNCTION("""COMPUTED_VALUE"""),44573.0497925578)</f>
        <v>44573.04979</v>
      </c>
      <c r="D3115" s="15">
        <f>IFERROR(__xludf.DUMMYFUNCTION("""COMPUTED_VALUE"""),1.008)</f>
        <v>1.008</v>
      </c>
      <c r="E3115" s="16">
        <f>IFERROR(__xludf.DUMMYFUNCTION("""COMPUTED_VALUE"""),65.0)</f>
        <v>65</v>
      </c>
      <c r="F3115" s="19" t="str">
        <f>IFERROR(__xludf.DUMMYFUNCTION("""COMPUTED_VALUE"""),"BLACK")</f>
        <v>BLACK</v>
      </c>
      <c r="G3115" s="20" t="str">
        <f>IFERROR(__xludf.DUMMYFUNCTION("""COMPUTED_VALUE"""),"Uncle Sams Cider (11/12/2021) 02")</f>
        <v>Uncle Sams Cider (11/12/2021) 02</v>
      </c>
      <c r="H3115" s="19"/>
    </row>
    <row r="3116">
      <c r="A3116" s="9"/>
      <c r="B3116" s="15"/>
      <c r="C3116" s="9">
        <f>IFERROR(__xludf.DUMMYFUNCTION("""COMPUTED_VALUE"""),44573.0393701736)</f>
        <v>44573.03937</v>
      </c>
      <c r="D3116" s="15">
        <f>IFERROR(__xludf.DUMMYFUNCTION("""COMPUTED_VALUE"""),1.008)</f>
        <v>1.008</v>
      </c>
      <c r="E3116" s="16">
        <f>IFERROR(__xludf.DUMMYFUNCTION("""COMPUTED_VALUE"""),65.0)</f>
        <v>65</v>
      </c>
      <c r="F3116" s="19" t="str">
        <f>IFERROR(__xludf.DUMMYFUNCTION("""COMPUTED_VALUE"""),"BLACK")</f>
        <v>BLACK</v>
      </c>
      <c r="G3116" s="20" t="str">
        <f>IFERROR(__xludf.DUMMYFUNCTION("""COMPUTED_VALUE"""),"Uncle Sams Cider (11/12/2021) 02")</f>
        <v>Uncle Sams Cider (11/12/2021) 02</v>
      </c>
      <c r="H3116" s="19"/>
    </row>
    <row r="3117">
      <c r="A3117" s="9"/>
      <c r="B3117" s="15"/>
      <c r="C3117" s="9">
        <f>IFERROR(__xludf.DUMMYFUNCTION("""COMPUTED_VALUE"""),44573.0289494444)</f>
        <v>44573.02895</v>
      </c>
      <c r="D3117" s="15">
        <f>IFERROR(__xludf.DUMMYFUNCTION("""COMPUTED_VALUE"""),1.008)</f>
        <v>1.008</v>
      </c>
      <c r="E3117" s="16">
        <f>IFERROR(__xludf.DUMMYFUNCTION("""COMPUTED_VALUE"""),65.0)</f>
        <v>65</v>
      </c>
      <c r="F3117" s="19" t="str">
        <f>IFERROR(__xludf.DUMMYFUNCTION("""COMPUTED_VALUE"""),"BLACK")</f>
        <v>BLACK</v>
      </c>
      <c r="G3117" s="20" t="str">
        <f>IFERROR(__xludf.DUMMYFUNCTION("""COMPUTED_VALUE"""),"Uncle Sams Cider (11/12/2021) 02")</f>
        <v>Uncle Sams Cider (11/12/2021) 02</v>
      </c>
      <c r="H3117" s="19"/>
    </row>
    <row r="3118">
      <c r="A3118" s="9"/>
      <c r="B3118" s="15"/>
      <c r="C3118" s="9">
        <f>IFERROR(__xludf.DUMMYFUNCTION("""COMPUTED_VALUE"""),44573.0185282291)</f>
        <v>44573.01853</v>
      </c>
      <c r="D3118" s="15">
        <f>IFERROR(__xludf.DUMMYFUNCTION("""COMPUTED_VALUE"""),1.008)</f>
        <v>1.008</v>
      </c>
      <c r="E3118" s="16">
        <f>IFERROR(__xludf.DUMMYFUNCTION("""COMPUTED_VALUE"""),65.0)</f>
        <v>65</v>
      </c>
      <c r="F3118" s="19" t="str">
        <f>IFERROR(__xludf.DUMMYFUNCTION("""COMPUTED_VALUE"""),"BLACK")</f>
        <v>BLACK</v>
      </c>
      <c r="G3118" s="20" t="str">
        <f>IFERROR(__xludf.DUMMYFUNCTION("""COMPUTED_VALUE"""),"Uncle Sams Cider (11/12/2021) 02")</f>
        <v>Uncle Sams Cider (11/12/2021) 02</v>
      </c>
      <c r="H3118" s="19"/>
    </row>
    <row r="3119">
      <c r="A3119" s="9"/>
      <c r="B3119" s="15"/>
      <c r="C3119" s="9">
        <f>IFERROR(__xludf.DUMMYFUNCTION("""COMPUTED_VALUE"""),44573.0081057523)</f>
        <v>44573.00811</v>
      </c>
      <c r="D3119" s="15">
        <f>IFERROR(__xludf.DUMMYFUNCTION("""COMPUTED_VALUE"""),1.008)</f>
        <v>1.008</v>
      </c>
      <c r="E3119" s="16">
        <f>IFERROR(__xludf.DUMMYFUNCTION("""COMPUTED_VALUE"""),65.0)</f>
        <v>65</v>
      </c>
      <c r="F3119" s="19" t="str">
        <f>IFERROR(__xludf.DUMMYFUNCTION("""COMPUTED_VALUE"""),"BLACK")</f>
        <v>BLACK</v>
      </c>
      <c r="G3119" s="20" t="str">
        <f>IFERROR(__xludf.DUMMYFUNCTION("""COMPUTED_VALUE"""),"Uncle Sams Cider (11/12/2021) 02")</f>
        <v>Uncle Sams Cider (11/12/2021) 02</v>
      </c>
      <c r="H3119" s="19"/>
    </row>
    <row r="3120">
      <c r="A3120" s="9"/>
      <c r="B3120" s="15"/>
      <c r="C3120" s="9">
        <f>IFERROR(__xludf.DUMMYFUNCTION("""COMPUTED_VALUE"""),44572.9976850115)</f>
        <v>44572.99769</v>
      </c>
      <c r="D3120" s="15">
        <f>IFERROR(__xludf.DUMMYFUNCTION("""COMPUTED_VALUE"""),1.008)</f>
        <v>1.008</v>
      </c>
      <c r="E3120" s="16">
        <f>IFERROR(__xludf.DUMMYFUNCTION("""COMPUTED_VALUE"""),65.0)</f>
        <v>65</v>
      </c>
      <c r="F3120" s="19" t="str">
        <f>IFERROR(__xludf.DUMMYFUNCTION("""COMPUTED_VALUE"""),"BLACK")</f>
        <v>BLACK</v>
      </c>
      <c r="G3120" s="20" t="str">
        <f>IFERROR(__xludf.DUMMYFUNCTION("""COMPUTED_VALUE"""),"Uncle Sams Cider (11/12/2021) 02")</f>
        <v>Uncle Sams Cider (11/12/2021) 02</v>
      </c>
      <c r="H3120" s="19"/>
    </row>
    <row r="3121">
      <c r="A3121" s="9"/>
      <c r="B3121" s="15"/>
      <c r="C3121" s="9">
        <f>IFERROR(__xludf.DUMMYFUNCTION("""COMPUTED_VALUE"""),44572.9872636226)</f>
        <v>44572.98726</v>
      </c>
      <c r="D3121" s="15">
        <f>IFERROR(__xludf.DUMMYFUNCTION("""COMPUTED_VALUE"""),1.008)</f>
        <v>1.008</v>
      </c>
      <c r="E3121" s="16">
        <f>IFERROR(__xludf.DUMMYFUNCTION("""COMPUTED_VALUE"""),65.0)</f>
        <v>65</v>
      </c>
      <c r="F3121" s="19" t="str">
        <f>IFERROR(__xludf.DUMMYFUNCTION("""COMPUTED_VALUE"""),"BLACK")</f>
        <v>BLACK</v>
      </c>
      <c r="G3121" s="20" t="str">
        <f>IFERROR(__xludf.DUMMYFUNCTION("""COMPUTED_VALUE"""),"Uncle Sams Cider (11/12/2021) 02")</f>
        <v>Uncle Sams Cider (11/12/2021) 02</v>
      </c>
      <c r="H3121" s="19"/>
    </row>
    <row r="3122">
      <c r="A3122" s="9"/>
      <c r="B3122" s="15"/>
      <c r="C3122" s="9">
        <f>IFERROR(__xludf.DUMMYFUNCTION("""COMPUTED_VALUE"""),44572.9768423611)</f>
        <v>44572.97684</v>
      </c>
      <c r="D3122" s="15">
        <f>IFERROR(__xludf.DUMMYFUNCTION("""COMPUTED_VALUE"""),1.008)</f>
        <v>1.008</v>
      </c>
      <c r="E3122" s="16">
        <f>IFERROR(__xludf.DUMMYFUNCTION("""COMPUTED_VALUE"""),65.0)</f>
        <v>65</v>
      </c>
      <c r="F3122" s="19" t="str">
        <f>IFERROR(__xludf.DUMMYFUNCTION("""COMPUTED_VALUE"""),"BLACK")</f>
        <v>BLACK</v>
      </c>
      <c r="G3122" s="20" t="str">
        <f>IFERROR(__xludf.DUMMYFUNCTION("""COMPUTED_VALUE"""),"Uncle Sams Cider (11/12/2021) 02")</f>
        <v>Uncle Sams Cider (11/12/2021) 02</v>
      </c>
      <c r="H3122" s="19"/>
    </row>
    <row r="3123">
      <c r="A3123" s="9"/>
      <c r="B3123" s="15"/>
      <c r="C3123" s="9">
        <f>IFERROR(__xludf.DUMMYFUNCTION("""COMPUTED_VALUE"""),44572.9664224305)</f>
        <v>44572.96642</v>
      </c>
      <c r="D3123" s="15">
        <f>IFERROR(__xludf.DUMMYFUNCTION("""COMPUTED_VALUE"""),1.008)</f>
        <v>1.008</v>
      </c>
      <c r="E3123" s="16">
        <f>IFERROR(__xludf.DUMMYFUNCTION("""COMPUTED_VALUE"""),65.0)</f>
        <v>65</v>
      </c>
      <c r="F3123" s="19" t="str">
        <f>IFERROR(__xludf.DUMMYFUNCTION("""COMPUTED_VALUE"""),"BLACK")</f>
        <v>BLACK</v>
      </c>
      <c r="G3123" s="20" t="str">
        <f>IFERROR(__xludf.DUMMYFUNCTION("""COMPUTED_VALUE"""),"Uncle Sams Cider (11/12/2021) 02")</f>
        <v>Uncle Sams Cider (11/12/2021) 02</v>
      </c>
      <c r="H3123" s="19"/>
    </row>
    <row r="3124">
      <c r="A3124" s="9"/>
      <c r="B3124" s="15"/>
      <c r="C3124" s="9">
        <f>IFERROR(__xludf.DUMMYFUNCTION("""COMPUTED_VALUE"""),44572.956002743)</f>
        <v>44572.956</v>
      </c>
      <c r="D3124" s="15">
        <f>IFERROR(__xludf.DUMMYFUNCTION("""COMPUTED_VALUE"""),1.008)</f>
        <v>1.008</v>
      </c>
      <c r="E3124" s="16">
        <f>IFERROR(__xludf.DUMMYFUNCTION("""COMPUTED_VALUE"""),65.0)</f>
        <v>65</v>
      </c>
      <c r="F3124" s="19" t="str">
        <f>IFERROR(__xludf.DUMMYFUNCTION("""COMPUTED_VALUE"""),"BLACK")</f>
        <v>BLACK</v>
      </c>
      <c r="G3124" s="20" t="str">
        <f>IFERROR(__xludf.DUMMYFUNCTION("""COMPUTED_VALUE"""),"Uncle Sams Cider (11/12/2021) 02")</f>
        <v>Uncle Sams Cider (11/12/2021) 02</v>
      </c>
      <c r="H3124" s="19"/>
    </row>
    <row r="3125">
      <c r="A3125" s="9"/>
      <c r="B3125" s="15"/>
      <c r="C3125" s="9">
        <f>IFERROR(__xludf.DUMMYFUNCTION("""COMPUTED_VALUE"""),44572.9455820949)</f>
        <v>44572.94558</v>
      </c>
      <c r="D3125" s="15">
        <f>IFERROR(__xludf.DUMMYFUNCTION("""COMPUTED_VALUE"""),1.008)</f>
        <v>1.008</v>
      </c>
      <c r="E3125" s="16">
        <f>IFERROR(__xludf.DUMMYFUNCTION("""COMPUTED_VALUE"""),65.0)</f>
        <v>65</v>
      </c>
      <c r="F3125" s="19" t="str">
        <f>IFERROR(__xludf.DUMMYFUNCTION("""COMPUTED_VALUE"""),"BLACK")</f>
        <v>BLACK</v>
      </c>
      <c r="G3125" s="20" t="str">
        <f>IFERROR(__xludf.DUMMYFUNCTION("""COMPUTED_VALUE"""),"Uncle Sams Cider (11/12/2021) 02")</f>
        <v>Uncle Sams Cider (11/12/2021) 02</v>
      </c>
      <c r="H3125" s="19"/>
    </row>
    <row r="3126">
      <c r="A3126" s="9"/>
      <c r="B3126" s="15"/>
      <c r="C3126" s="9">
        <f>IFERROR(__xludf.DUMMYFUNCTION("""COMPUTED_VALUE"""),44572.9351489236)</f>
        <v>44572.93515</v>
      </c>
      <c r="D3126" s="15">
        <f>IFERROR(__xludf.DUMMYFUNCTION("""COMPUTED_VALUE"""),1.008)</f>
        <v>1.008</v>
      </c>
      <c r="E3126" s="16">
        <f>IFERROR(__xludf.DUMMYFUNCTION("""COMPUTED_VALUE"""),65.0)</f>
        <v>65</v>
      </c>
      <c r="F3126" s="19" t="str">
        <f>IFERROR(__xludf.DUMMYFUNCTION("""COMPUTED_VALUE"""),"BLACK")</f>
        <v>BLACK</v>
      </c>
      <c r="G3126" s="20" t="str">
        <f>IFERROR(__xludf.DUMMYFUNCTION("""COMPUTED_VALUE"""),"Uncle Sams Cider (11/12/2021) 02")</f>
        <v>Uncle Sams Cider (11/12/2021) 02</v>
      </c>
      <c r="H3126" s="19"/>
    </row>
    <row r="3127">
      <c r="A3127" s="9"/>
      <c r="B3127" s="15"/>
      <c r="C3127" s="9">
        <f>IFERROR(__xludf.DUMMYFUNCTION("""COMPUTED_VALUE"""),44572.9247273379)</f>
        <v>44572.92473</v>
      </c>
      <c r="D3127" s="15">
        <f>IFERROR(__xludf.DUMMYFUNCTION("""COMPUTED_VALUE"""),1.008)</f>
        <v>1.008</v>
      </c>
      <c r="E3127" s="16">
        <f>IFERROR(__xludf.DUMMYFUNCTION("""COMPUTED_VALUE"""),65.0)</f>
        <v>65</v>
      </c>
      <c r="F3127" s="19" t="str">
        <f>IFERROR(__xludf.DUMMYFUNCTION("""COMPUTED_VALUE"""),"BLACK")</f>
        <v>BLACK</v>
      </c>
      <c r="G3127" s="20" t="str">
        <f>IFERROR(__xludf.DUMMYFUNCTION("""COMPUTED_VALUE"""),"Uncle Sams Cider (11/12/2021) 02")</f>
        <v>Uncle Sams Cider (11/12/2021) 02</v>
      </c>
      <c r="H3127" s="19"/>
    </row>
    <row r="3128">
      <c r="A3128" s="9"/>
      <c r="B3128" s="15"/>
      <c r="C3128" s="9">
        <f>IFERROR(__xludf.DUMMYFUNCTION("""COMPUTED_VALUE"""),44572.9142824652)</f>
        <v>44572.91428</v>
      </c>
      <c r="D3128" s="15">
        <f>IFERROR(__xludf.DUMMYFUNCTION("""COMPUTED_VALUE"""),1.008)</f>
        <v>1.008</v>
      </c>
      <c r="E3128" s="16">
        <f>IFERROR(__xludf.DUMMYFUNCTION("""COMPUTED_VALUE"""),65.0)</f>
        <v>65</v>
      </c>
      <c r="F3128" s="19" t="str">
        <f>IFERROR(__xludf.DUMMYFUNCTION("""COMPUTED_VALUE"""),"BLACK")</f>
        <v>BLACK</v>
      </c>
      <c r="G3128" s="20" t="str">
        <f>IFERROR(__xludf.DUMMYFUNCTION("""COMPUTED_VALUE"""),"Uncle Sams Cider (11/12/2021) 02")</f>
        <v>Uncle Sams Cider (11/12/2021) 02</v>
      </c>
      <c r="H3128" s="19"/>
    </row>
    <row r="3129">
      <c r="A3129" s="9"/>
      <c r="B3129" s="15"/>
      <c r="C3129" s="9">
        <f>IFERROR(__xludf.DUMMYFUNCTION("""COMPUTED_VALUE"""),44572.9038613078)</f>
        <v>44572.90386</v>
      </c>
      <c r="D3129" s="15">
        <f>IFERROR(__xludf.DUMMYFUNCTION("""COMPUTED_VALUE"""),1.008)</f>
        <v>1.008</v>
      </c>
      <c r="E3129" s="16">
        <f>IFERROR(__xludf.DUMMYFUNCTION("""COMPUTED_VALUE"""),65.0)</f>
        <v>65</v>
      </c>
      <c r="F3129" s="19" t="str">
        <f>IFERROR(__xludf.DUMMYFUNCTION("""COMPUTED_VALUE"""),"BLACK")</f>
        <v>BLACK</v>
      </c>
      <c r="G3129" s="20" t="str">
        <f>IFERROR(__xludf.DUMMYFUNCTION("""COMPUTED_VALUE"""),"Uncle Sams Cider (11/12/2021) 02")</f>
        <v>Uncle Sams Cider (11/12/2021) 02</v>
      </c>
      <c r="H3129" s="19"/>
    </row>
    <row r="3130">
      <c r="A3130" s="9"/>
      <c r="B3130" s="15"/>
      <c r="C3130" s="9">
        <f>IFERROR(__xludf.DUMMYFUNCTION("""COMPUTED_VALUE"""),44572.8934404398)</f>
        <v>44572.89344</v>
      </c>
      <c r="D3130" s="15">
        <f>IFERROR(__xludf.DUMMYFUNCTION("""COMPUTED_VALUE"""),1.008)</f>
        <v>1.008</v>
      </c>
      <c r="E3130" s="16">
        <f>IFERROR(__xludf.DUMMYFUNCTION("""COMPUTED_VALUE"""),66.0)</f>
        <v>66</v>
      </c>
      <c r="F3130" s="19" t="str">
        <f>IFERROR(__xludf.DUMMYFUNCTION("""COMPUTED_VALUE"""),"BLACK")</f>
        <v>BLACK</v>
      </c>
      <c r="G3130" s="20" t="str">
        <f>IFERROR(__xludf.DUMMYFUNCTION("""COMPUTED_VALUE"""),"Uncle Sams Cider (11/12/2021) 02")</f>
        <v>Uncle Sams Cider (11/12/2021) 02</v>
      </c>
      <c r="H3130" s="19"/>
    </row>
    <row r="3131">
      <c r="A3131" s="9"/>
      <c r="B3131" s="15"/>
      <c r="C3131" s="9">
        <f>IFERROR(__xludf.DUMMYFUNCTION("""COMPUTED_VALUE"""),44572.8830060879)</f>
        <v>44572.88301</v>
      </c>
      <c r="D3131" s="15">
        <f>IFERROR(__xludf.DUMMYFUNCTION("""COMPUTED_VALUE"""),1.008)</f>
        <v>1.008</v>
      </c>
      <c r="E3131" s="16">
        <f>IFERROR(__xludf.DUMMYFUNCTION("""COMPUTED_VALUE"""),66.0)</f>
        <v>66</v>
      </c>
      <c r="F3131" s="19" t="str">
        <f>IFERROR(__xludf.DUMMYFUNCTION("""COMPUTED_VALUE"""),"BLACK")</f>
        <v>BLACK</v>
      </c>
      <c r="G3131" s="20" t="str">
        <f>IFERROR(__xludf.DUMMYFUNCTION("""COMPUTED_VALUE"""),"Uncle Sams Cider (11/12/2021) 02")</f>
        <v>Uncle Sams Cider (11/12/2021) 02</v>
      </c>
      <c r="H3131" s="19"/>
    </row>
    <row r="3132">
      <c r="A3132" s="9"/>
      <c r="B3132" s="15"/>
      <c r="C3132" s="9">
        <f>IFERROR(__xludf.DUMMYFUNCTION("""COMPUTED_VALUE"""),44572.8725606712)</f>
        <v>44572.87256</v>
      </c>
      <c r="D3132" s="15">
        <f>IFERROR(__xludf.DUMMYFUNCTION("""COMPUTED_VALUE"""),1.008)</f>
        <v>1.008</v>
      </c>
      <c r="E3132" s="16">
        <f>IFERROR(__xludf.DUMMYFUNCTION("""COMPUTED_VALUE"""),66.0)</f>
        <v>66</v>
      </c>
      <c r="F3132" s="19" t="str">
        <f>IFERROR(__xludf.DUMMYFUNCTION("""COMPUTED_VALUE"""),"BLACK")</f>
        <v>BLACK</v>
      </c>
      <c r="G3132" s="20" t="str">
        <f>IFERROR(__xludf.DUMMYFUNCTION("""COMPUTED_VALUE"""),"Uncle Sams Cider (11/12/2021) 02")</f>
        <v>Uncle Sams Cider (11/12/2021) 02</v>
      </c>
      <c r="H3132" s="19"/>
    </row>
    <row r="3133">
      <c r="A3133" s="9"/>
      <c r="B3133" s="15"/>
      <c r="C3133" s="9">
        <f>IFERROR(__xludf.DUMMYFUNCTION("""COMPUTED_VALUE"""),44572.8621401851)</f>
        <v>44572.86214</v>
      </c>
      <c r="D3133" s="15">
        <f>IFERROR(__xludf.DUMMYFUNCTION("""COMPUTED_VALUE"""),1.008)</f>
        <v>1.008</v>
      </c>
      <c r="E3133" s="16">
        <f>IFERROR(__xludf.DUMMYFUNCTION("""COMPUTED_VALUE"""),66.0)</f>
        <v>66</v>
      </c>
      <c r="F3133" s="19" t="str">
        <f>IFERROR(__xludf.DUMMYFUNCTION("""COMPUTED_VALUE"""),"BLACK")</f>
        <v>BLACK</v>
      </c>
      <c r="G3133" s="20" t="str">
        <f>IFERROR(__xludf.DUMMYFUNCTION("""COMPUTED_VALUE"""),"Uncle Sams Cider (11/12/2021) 02")</f>
        <v>Uncle Sams Cider (11/12/2021) 02</v>
      </c>
      <c r="H3133" s="19"/>
    </row>
    <row r="3134">
      <c r="A3134" s="9"/>
      <c r="B3134" s="15"/>
      <c r="C3134" s="9">
        <f>IFERROR(__xludf.DUMMYFUNCTION("""COMPUTED_VALUE"""),44572.8517184259)</f>
        <v>44572.85172</v>
      </c>
      <c r="D3134" s="15">
        <f>IFERROR(__xludf.DUMMYFUNCTION("""COMPUTED_VALUE"""),1.008)</f>
        <v>1.008</v>
      </c>
      <c r="E3134" s="16">
        <f>IFERROR(__xludf.DUMMYFUNCTION("""COMPUTED_VALUE"""),66.0)</f>
        <v>66</v>
      </c>
      <c r="F3134" s="19" t="str">
        <f>IFERROR(__xludf.DUMMYFUNCTION("""COMPUTED_VALUE"""),"BLACK")</f>
        <v>BLACK</v>
      </c>
      <c r="G3134" s="20" t="str">
        <f>IFERROR(__xludf.DUMMYFUNCTION("""COMPUTED_VALUE"""),"Uncle Sams Cider (11/12/2021) 02")</f>
        <v>Uncle Sams Cider (11/12/2021) 02</v>
      </c>
      <c r="H3134" s="19"/>
    </row>
    <row r="3135">
      <c r="A3135" s="9"/>
      <c r="B3135" s="15"/>
      <c r="C3135" s="9">
        <f>IFERROR(__xludf.DUMMYFUNCTION("""COMPUTED_VALUE"""),44572.8412961458)</f>
        <v>44572.8413</v>
      </c>
      <c r="D3135" s="15">
        <f>IFERROR(__xludf.DUMMYFUNCTION("""COMPUTED_VALUE"""),1.008)</f>
        <v>1.008</v>
      </c>
      <c r="E3135" s="16">
        <f>IFERROR(__xludf.DUMMYFUNCTION("""COMPUTED_VALUE"""),66.0)</f>
        <v>66</v>
      </c>
      <c r="F3135" s="19" t="str">
        <f>IFERROR(__xludf.DUMMYFUNCTION("""COMPUTED_VALUE"""),"BLACK")</f>
        <v>BLACK</v>
      </c>
      <c r="G3135" s="20" t="str">
        <f>IFERROR(__xludf.DUMMYFUNCTION("""COMPUTED_VALUE"""),"Uncle Sams Cider (11/12/2021) 02")</f>
        <v>Uncle Sams Cider (11/12/2021) 02</v>
      </c>
      <c r="H3135" s="19"/>
    </row>
    <row r="3136">
      <c r="A3136" s="9"/>
      <c r="B3136" s="15"/>
      <c r="C3136" s="9">
        <f>IFERROR(__xludf.DUMMYFUNCTION("""COMPUTED_VALUE"""),44572.8308756481)</f>
        <v>44572.83088</v>
      </c>
      <c r="D3136" s="15">
        <f>IFERROR(__xludf.DUMMYFUNCTION("""COMPUTED_VALUE"""),1.008)</f>
        <v>1.008</v>
      </c>
      <c r="E3136" s="16">
        <f>IFERROR(__xludf.DUMMYFUNCTION("""COMPUTED_VALUE"""),66.0)</f>
        <v>66</v>
      </c>
      <c r="F3136" s="19" t="str">
        <f>IFERROR(__xludf.DUMMYFUNCTION("""COMPUTED_VALUE"""),"BLACK")</f>
        <v>BLACK</v>
      </c>
      <c r="G3136" s="20" t="str">
        <f>IFERROR(__xludf.DUMMYFUNCTION("""COMPUTED_VALUE"""),"Uncle Sams Cider (11/12/2021) 02")</f>
        <v>Uncle Sams Cider (11/12/2021) 02</v>
      </c>
      <c r="H3136" s="19"/>
    </row>
    <row r="3137">
      <c r="A3137" s="9"/>
      <c r="B3137" s="15"/>
      <c r="C3137" s="9">
        <f>IFERROR(__xludf.DUMMYFUNCTION("""COMPUTED_VALUE"""),44572.8204427314)</f>
        <v>44572.82044</v>
      </c>
      <c r="D3137" s="15">
        <f>IFERROR(__xludf.DUMMYFUNCTION("""COMPUTED_VALUE"""),1.008)</f>
        <v>1.008</v>
      </c>
      <c r="E3137" s="16">
        <f>IFERROR(__xludf.DUMMYFUNCTION("""COMPUTED_VALUE"""),66.0)</f>
        <v>66</v>
      </c>
      <c r="F3137" s="19" t="str">
        <f>IFERROR(__xludf.DUMMYFUNCTION("""COMPUTED_VALUE"""),"BLACK")</f>
        <v>BLACK</v>
      </c>
      <c r="G3137" s="20" t="str">
        <f>IFERROR(__xludf.DUMMYFUNCTION("""COMPUTED_VALUE"""),"Uncle Sams Cider (11/12/2021) 02")</f>
        <v>Uncle Sams Cider (11/12/2021) 02</v>
      </c>
      <c r="H3137" s="19"/>
    </row>
    <row r="3138">
      <c r="A3138" s="9"/>
      <c r="B3138" s="15"/>
      <c r="C3138" s="9">
        <f>IFERROR(__xludf.DUMMYFUNCTION("""COMPUTED_VALUE"""),44572.810021875)</f>
        <v>44572.81002</v>
      </c>
      <c r="D3138" s="15">
        <f>IFERROR(__xludf.DUMMYFUNCTION("""COMPUTED_VALUE"""),1.008)</f>
        <v>1.008</v>
      </c>
      <c r="E3138" s="16">
        <f>IFERROR(__xludf.DUMMYFUNCTION("""COMPUTED_VALUE"""),66.0)</f>
        <v>66</v>
      </c>
      <c r="F3138" s="19" t="str">
        <f>IFERROR(__xludf.DUMMYFUNCTION("""COMPUTED_VALUE"""),"BLACK")</f>
        <v>BLACK</v>
      </c>
      <c r="G3138" s="20" t="str">
        <f>IFERROR(__xludf.DUMMYFUNCTION("""COMPUTED_VALUE"""),"Uncle Sams Cider (11/12/2021) 02")</f>
        <v>Uncle Sams Cider (11/12/2021) 02</v>
      </c>
      <c r="H3138" s="19"/>
    </row>
    <row r="3139">
      <c r="A3139" s="9"/>
      <c r="B3139" s="15"/>
      <c r="C3139" s="9">
        <f>IFERROR(__xludf.DUMMYFUNCTION("""COMPUTED_VALUE"""),44572.7996010648)</f>
        <v>44572.7996</v>
      </c>
      <c r="D3139" s="15">
        <f>IFERROR(__xludf.DUMMYFUNCTION("""COMPUTED_VALUE"""),1.008)</f>
        <v>1.008</v>
      </c>
      <c r="E3139" s="16">
        <f>IFERROR(__xludf.DUMMYFUNCTION("""COMPUTED_VALUE"""),66.0)</f>
        <v>66</v>
      </c>
      <c r="F3139" s="19" t="str">
        <f>IFERROR(__xludf.DUMMYFUNCTION("""COMPUTED_VALUE"""),"BLACK")</f>
        <v>BLACK</v>
      </c>
      <c r="G3139" s="20" t="str">
        <f>IFERROR(__xludf.DUMMYFUNCTION("""COMPUTED_VALUE"""),"Uncle Sams Cider (11/12/2021) 02")</f>
        <v>Uncle Sams Cider (11/12/2021) 02</v>
      </c>
      <c r="H3139" s="19"/>
    </row>
    <row r="3140">
      <c r="A3140" s="9"/>
      <c r="B3140" s="15"/>
      <c r="C3140" s="9">
        <f>IFERROR(__xludf.DUMMYFUNCTION("""COMPUTED_VALUE"""),44572.7891681713)</f>
        <v>44572.78917</v>
      </c>
      <c r="D3140" s="15">
        <f>IFERROR(__xludf.DUMMYFUNCTION("""COMPUTED_VALUE"""),1.008)</f>
        <v>1.008</v>
      </c>
      <c r="E3140" s="16">
        <f>IFERROR(__xludf.DUMMYFUNCTION("""COMPUTED_VALUE"""),66.0)</f>
        <v>66</v>
      </c>
      <c r="F3140" s="19" t="str">
        <f>IFERROR(__xludf.DUMMYFUNCTION("""COMPUTED_VALUE"""),"BLACK")</f>
        <v>BLACK</v>
      </c>
      <c r="G3140" s="20" t="str">
        <f>IFERROR(__xludf.DUMMYFUNCTION("""COMPUTED_VALUE"""),"Uncle Sams Cider (11/12/2021) 02")</f>
        <v>Uncle Sams Cider (11/12/2021) 02</v>
      </c>
      <c r="H3140" s="19"/>
    </row>
    <row r="3141">
      <c r="A3141" s="9"/>
      <c r="B3141" s="15"/>
      <c r="C3141" s="9">
        <f>IFERROR(__xludf.DUMMYFUNCTION("""COMPUTED_VALUE"""),44572.7787460069)</f>
        <v>44572.77875</v>
      </c>
      <c r="D3141" s="15">
        <f>IFERROR(__xludf.DUMMYFUNCTION("""COMPUTED_VALUE"""),1.008)</f>
        <v>1.008</v>
      </c>
      <c r="E3141" s="16">
        <f>IFERROR(__xludf.DUMMYFUNCTION("""COMPUTED_VALUE"""),66.0)</f>
        <v>66</v>
      </c>
      <c r="F3141" s="19" t="str">
        <f>IFERROR(__xludf.DUMMYFUNCTION("""COMPUTED_VALUE"""),"BLACK")</f>
        <v>BLACK</v>
      </c>
      <c r="G3141" s="20" t="str">
        <f>IFERROR(__xludf.DUMMYFUNCTION("""COMPUTED_VALUE"""),"Uncle Sams Cider (11/12/2021) 02")</f>
        <v>Uncle Sams Cider (11/12/2021) 02</v>
      </c>
      <c r="H3141" s="19"/>
    </row>
    <row r="3142">
      <c r="A3142" s="9"/>
      <c r="B3142" s="15"/>
      <c r="C3142" s="9">
        <f>IFERROR(__xludf.DUMMYFUNCTION("""COMPUTED_VALUE"""),44572.7683231365)</f>
        <v>44572.76832</v>
      </c>
      <c r="D3142" s="15">
        <f>IFERROR(__xludf.DUMMYFUNCTION("""COMPUTED_VALUE"""),1.008)</f>
        <v>1.008</v>
      </c>
      <c r="E3142" s="16">
        <f>IFERROR(__xludf.DUMMYFUNCTION("""COMPUTED_VALUE"""),66.0)</f>
        <v>66</v>
      </c>
      <c r="F3142" s="19" t="str">
        <f>IFERROR(__xludf.DUMMYFUNCTION("""COMPUTED_VALUE"""),"BLACK")</f>
        <v>BLACK</v>
      </c>
      <c r="G3142" s="20" t="str">
        <f>IFERROR(__xludf.DUMMYFUNCTION("""COMPUTED_VALUE"""),"Uncle Sams Cider (11/12/2021) 02")</f>
        <v>Uncle Sams Cider (11/12/2021) 02</v>
      </c>
      <c r="H3142" s="19"/>
    </row>
    <row r="3143">
      <c r="A3143" s="9"/>
      <c r="B3143" s="15"/>
      <c r="C3143" s="9">
        <f>IFERROR(__xludf.DUMMYFUNCTION("""COMPUTED_VALUE"""),44572.7579001041)</f>
        <v>44572.7579</v>
      </c>
      <c r="D3143" s="15">
        <f>IFERROR(__xludf.DUMMYFUNCTION("""COMPUTED_VALUE"""),1.008)</f>
        <v>1.008</v>
      </c>
      <c r="E3143" s="16">
        <f>IFERROR(__xludf.DUMMYFUNCTION("""COMPUTED_VALUE"""),66.0)</f>
        <v>66</v>
      </c>
      <c r="F3143" s="19" t="str">
        <f>IFERROR(__xludf.DUMMYFUNCTION("""COMPUTED_VALUE"""),"BLACK")</f>
        <v>BLACK</v>
      </c>
      <c r="G3143" s="20" t="str">
        <f>IFERROR(__xludf.DUMMYFUNCTION("""COMPUTED_VALUE"""),"Uncle Sams Cider (11/12/2021) 02")</f>
        <v>Uncle Sams Cider (11/12/2021) 02</v>
      </c>
      <c r="H3143" s="19"/>
    </row>
    <row r="3144">
      <c r="A3144" s="9"/>
      <c r="B3144" s="15"/>
      <c r="C3144" s="9">
        <f>IFERROR(__xludf.DUMMYFUNCTION("""COMPUTED_VALUE"""),44572.747479618)</f>
        <v>44572.74748</v>
      </c>
      <c r="D3144" s="15">
        <f>IFERROR(__xludf.DUMMYFUNCTION("""COMPUTED_VALUE"""),1.008)</f>
        <v>1.008</v>
      </c>
      <c r="E3144" s="16">
        <f>IFERROR(__xludf.DUMMYFUNCTION("""COMPUTED_VALUE"""),66.0)</f>
        <v>66</v>
      </c>
      <c r="F3144" s="19" t="str">
        <f>IFERROR(__xludf.DUMMYFUNCTION("""COMPUTED_VALUE"""),"BLACK")</f>
        <v>BLACK</v>
      </c>
      <c r="G3144" s="20" t="str">
        <f>IFERROR(__xludf.DUMMYFUNCTION("""COMPUTED_VALUE"""),"Uncle Sams Cider (11/12/2021) 02")</f>
        <v>Uncle Sams Cider (11/12/2021) 02</v>
      </c>
      <c r="H3144" s="19"/>
    </row>
    <row r="3145">
      <c r="A3145" s="9"/>
      <c r="B3145" s="15"/>
      <c r="C3145" s="9">
        <f>IFERROR(__xludf.DUMMYFUNCTION("""COMPUTED_VALUE"""),44572.7370355439)</f>
        <v>44572.73704</v>
      </c>
      <c r="D3145" s="15">
        <f>IFERROR(__xludf.DUMMYFUNCTION("""COMPUTED_VALUE"""),1.008)</f>
        <v>1.008</v>
      </c>
      <c r="E3145" s="16">
        <f>IFERROR(__xludf.DUMMYFUNCTION("""COMPUTED_VALUE"""),66.0)</f>
        <v>66</v>
      </c>
      <c r="F3145" s="19" t="str">
        <f>IFERROR(__xludf.DUMMYFUNCTION("""COMPUTED_VALUE"""),"BLACK")</f>
        <v>BLACK</v>
      </c>
      <c r="G3145" s="20" t="str">
        <f>IFERROR(__xludf.DUMMYFUNCTION("""COMPUTED_VALUE"""),"Uncle Sams Cider (11/12/2021) 02")</f>
        <v>Uncle Sams Cider (11/12/2021) 02</v>
      </c>
      <c r="H3145" s="19"/>
    </row>
    <row r="3146">
      <c r="A3146" s="9"/>
      <c r="B3146" s="15"/>
      <c r="C3146" s="9">
        <f>IFERROR(__xludf.DUMMYFUNCTION("""COMPUTED_VALUE"""),44572.7266151504)</f>
        <v>44572.72662</v>
      </c>
      <c r="D3146" s="15">
        <f>IFERROR(__xludf.DUMMYFUNCTION("""COMPUTED_VALUE"""),1.008)</f>
        <v>1.008</v>
      </c>
      <c r="E3146" s="16">
        <f>IFERROR(__xludf.DUMMYFUNCTION("""COMPUTED_VALUE"""),66.0)</f>
        <v>66</v>
      </c>
      <c r="F3146" s="19" t="str">
        <f>IFERROR(__xludf.DUMMYFUNCTION("""COMPUTED_VALUE"""),"BLACK")</f>
        <v>BLACK</v>
      </c>
      <c r="G3146" s="20" t="str">
        <f>IFERROR(__xludf.DUMMYFUNCTION("""COMPUTED_VALUE"""),"Uncle Sams Cider (11/12/2021) 02")</f>
        <v>Uncle Sams Cider (11/12/2021) 02</v>
      </c>
      <c r="H3146" s="19"/>
    </row>
    <row r="3147">
      <c r="A3147" s="9"/>
      <c r="B3147" s="15"/>
      <c r="C3147" s="9">
        <f>IFERROR(__xludf.DUMMYFUNCTION("""COMPUTED_VALUE"""),44572.7161937962)</f>
        <v>44572.71619</v>
      </c>
      <c r="D3147" s="15">
        <f>IFERROR(__xludf.DUMMYFUNCTION("""COMPUTED_VALUE"""),1.008)</f>
        <v>1.008</v>
      </c>
      <c r="E3147" s="16">
        <f>IFERROR(__xludf.DUMMYFUNCTION("""COMPUTED_VALUE"""),66.0)</f>
        <v>66</v>
      </c>
      <c r="F3147" s="19" t="str">
        <f>IFERROR(__xludf.DUMMYFUNCTION("""COMPUTED_VALUE"""),"BLACK")</f>
        <v>BLACK</v>
      </c>
      <c r="G3147" s="20" t="str">
        <f>IFERROR(__xludf.DUMMYFUNCTION("""COMPUTED_VALUE"""),"Uncle Sams Cider (11/12/2021) 02")</f>
        <v>Uncle Sams Cider (11/12/2021) 02</v>
      </c>
      <c r="H3147" s="19"/>
    </row>
    <row r="3148">
      <c r="A3148" s="9"/>
      <c r="B3148" s="15"/>
      <c r="C3148" s="9">
        <f>IFERROR(__xludf.DUMMYFUNCTION("""COMPUTED_VALUE"""),44572.7057603819)</f>
        <v>44572.70576</v>
      </c>
      <c r="D3148" s="15">
        <f>IFERROR(__xludf.DUMMYFUNCTION("""COMPUTED_VALUE"""),1.008)</f>
        <v>1.008</v>
      </c>
      <c r="E3148" s="16">
        <f>IFERROR(__xludf.DUMMYFUNCTION("""COMPUTED_VALUE"""),66.0)</f>
        <v>66</v>
      </c>
      <c r="F3148" s="19" t="str">
        <f>IFERROR(__xludf.DUMMYFUNCTION("""COMPUTED_VALUE"""),"BLACK")</f>
        <v>BLACK</v>
      </c>
      <c r="G3148" s="20" t="str">
        <f>IFERROR(__xludf.DUMMYFUNCTION("""COMPUTED_VALUE"""),"Uncle Sams Cider (11/12/2021) 02")</f>
        <v>Uncle Sams Cider (11/12/2021) 02</v>
      </c>
      <c r="H3148" s="19"/>
    </row>
    <row r="3149">
      <c r="A3149" s="9"/>
      <c r="B3149" s="15"/>
      <c r="C3149" s="9">
        <f>IFERROR(__xludf.DUMMYFUNCTION("""COMPUTED_VALUE"""),44572.6953289583)</f>
        <v>44572.69533</v>
      </c>
      <c r="D3149" s="15">
        <f>IFERROR(__xludf.DUMMYFUNCTION("""COMPUTED_VALUE"""),1.008)</f>
        <v>1.008</v>
      </c>
      <c r="E3149" s="16">
        <f>IFERROR(__xludf.DUMMYFUNCTION("""COMPUTED_VALUE"""),66.0)</f>
        <v>66</v>
      </c>
      <c r="F3149" s="19" t="str">
        <f>IFERROR(__xludf.DUMMYFUNCTION("""COMPUTED_VALUE"""),"BLACK")</f>
        <v>BLACK</v>
      </c>
      <c r="G3149" s="20" t="str">
        <f>IFERROR(__xludf.DUMMYFUNCTION("""COMPUTED_VALUE"""),"Uncle Sams Cider (11/12/2021) 02")</f>
        <v>Uncle Sams Cider (11/12/2021) 02</v>
      </c>
      <c r="H3149" s="19"/>
    </row>
    <row r="3150">
      <c r="A3150" s="9"/>
      <c r="B3150" s="15"/>
      <c r="C3150" s="9">
        <f>IFERROR(__xludf.DUMMYFUNCTION("""COMPUTED_VALUE"""),44572.6849080324)</f>
        <v>44572.68491</v>
      </c>
      <c r="D3150" s="15">
        <f>IFERROR(__xludf.DUMMYFUNCTION("""COMPUTED_VALUE"""),1.008)</f>
        <v>1.008</v>
      </c>
      <c r="E3150" s="16">
        <f>IFERROR(__xludf.DUMMYFUNCTION("""COMPUTED_VALUE"""),66.0)</f>
        <v>66</v>
      </c>
      <c r="F3150" s="19" t="str">
        <f>IFERROR(__xludf.DUMMYFUNCTION("""COMPUTED_VALUE"""),"BLACK")</f>
        <v>BLACK</v>
      </c>
      <c r="G3150" s="20" t="str">
        <f>IFERROR(__xludf.DUMMYFUNCTION("""COMPUTED_VALUE"""),"Uncle Sams Cider (11/12/2021) 02")</f>
        <v>Uncle Sams Cider (11/12/2021) 02</v>
      </c>
      <c r="H3150" s="19"/>
    </row>
    <row r="3151">
      <c r="A3151" s="9"/>
      <c r="B3151" s="15"/>
      <c r="C3151" s="9">
        <f>IFERROR(__xludf.DUMMYFUNCTION("""COMPUTED_VALUE"""),44572.6744867476)</f>
        <v>44572.67449</v>
      </c>
      <c r="D3151" s="15">
        <f>IFERROR(__xludf.DUMMYFUNCTION("""COMPUTED_VALUE"""),1.008)</f>
        <v>1.008</v>
      </c>
      <c r="E3151" s="16">
        <f>IFERROR(__xludf.DUMMYFUNCTION("""COMPUTED_VALUE"""),66.0)</f>
        <v>66</v>
      </c>
      <c r="F3151" s="19" t="str">
        <f>IFERROR(__xludf.DUMMYFUNCTION("""COMPUTED_VALUE"""),"BLACK")</f>
        <v>BLACK</v>
      </c>
      <c r="G3151" s="20" t="str">
        <f>IFERROR(__xludf.DUMMYFUNCTION("""COMPUTED_VALUE"""),"Uncle Sams Cider (11/12/2021) 02")</f>
        <v>Uncle Sams Cider (11/12/2021) 02</v>
      </c>
      <c r="H3151" s="19"/>
    </row>
    <row r="3152">
      <c r="A3152" s="9"/>
      <c r="B3152" s="15"/>
      <c r="C3152" s="9">
        <f>IFERROR(__xludf.DUMMYFUNCTION("""COMPUTED_VALUE"""),44572.664065706)</f>
        <v>44572.66407</v>
      </c>
      <c r="D3152" s="15">
        <f>IFERROR(__xludf.DUMMYFUNCTION("""COMPUTED_VALUE"""),1.008)</f>
        <v>1.008</v>
      </c>
      <c r="E3152" s="16">
        <f>IFERROR(__xludf.DUMMYFUNCTION("""COMPUTED_VALUE"""),66.0)</f>
        <v>66</v>
      </c>
      <c r="F3152" s="19" t="str">
        <f>IFERROR(__xludf.DUMMYFUNCTION("""COMPUTED_VALUE"""),"BLACK")</f>
        <v>BLACK</v>
      </c>
      <c r="G3152" s="20" t="str">
        <f>IFERROR(__xludf.DUMMYFUNCTION("""COMPUTED_VALUE"""),"Uncle Sams Cider (11/12/2021) 02")</f>
        <v>Uncle Sams Cider (11/12/2021) 02</v>
      </c>
      <c r="H3152" s="19"/>
    </row>
    <row r="3153">
      <c r="A3153" s="9"/>
      <c r="B3153" s="15"/>
      <c r="C3153" s="9">
        <f>IFERROR(__xludf.DUMMYFUNCTION("""COMPUTED_VALUE"""),44572.6536439351)</f>
        <v>44572.65364</v>
      </c>
      <c r="D3153" s="15">
        <f>IFERROR(__xludf.DUMMYFUNCTION("""COMPUTED_VALUE"""),1.008)</f>
        <v>1.008</v>
      </c>
      <c r="E3153" s="16">
        <f>IFERROR(__xludf.DUMMYFUNCTION("""COMPUTED_VALUE"""),66.0)</f>
        <v>66</v>
      </c>
      <c r="F3153" s="19" t="str">
        <f>IFERROR(__xludf.DUMMYFUNCTION("""COMPUTED_VALUE"""),"BLACK")</f>
        <v>BLACK</v>
      </c>
      <c r="G3153" s="20" t="str">
        <f>IFERROR(__xludf.DUMMYFUNCTION("""COMPUTED_VALUE"""),"Uncle Sams Cider (11/12/2021) 02")</f>
        <v>Uncle Sams Cider (11/12/2021) 02</v>
      </c>
      <c r="H3153" s="19"/>
    </row>
    <row r="3154">
      <c r="A3154" s="9"/>
      <c r="B3154" s="15"/>
      <c r="C3154" s="9">
        <f>IFERROR(__xludf.DUMMYFUNCTION("""COMPUTED_VALUE"""),44572.6432112615)</f>
        <v>44572.64321</v>
      </c>
      <c r="D3154" s="15">
        <f>IFERROR(__xludf.DUMMYFUNCTION("""COMPUTED_VALUE"""),1.008)</f>
        <v>1.008</v>
      </c>
      <c r="E3154" s="16">
        <f>IFERROR(__xludf.DUMMYFUNCTION("""COMPUTED_VALUE"""),66.0)</f>
        <v>66</v>
      </c>
      <c r="F3154" s="19" t="str">
        <f>IFERROR(__xludf.DUMMYFUNCTION("""COMPUTED_VALUE"""),"BLACK")</f>
        <v>BLACK</v>
      </c>
      <c r="G3154" s="20" t="str">
        <f>IFERROR(__xludf.DUMMYFUNCTION("""COMPUTED_VALUE"""),"Uncle Sams Cider (11/12/2021) 02")</f>
        <v>Uncle Sams Cider (11/12/2021) 02</v>
      </c>
      <c r="H3154" s="19"/>
    </row>
    <row r="3155">
      <c r="A3155" s="9"/>
      <c r="B3155" s="15"/>
      <c r="C3155" s="9">
        <f>IFERROR(__xludf.DUMMYFUNCTION("""COMPUTED_VALUE"""),44572.6327901157)</f>
        <v>44572.63279</v>
      </c>
      <c r="D3155" s="15">
        <f>IFERROR(__xludf.DUMMYFUNCTION("""COMPUTED_VALUE"""),1.008)</f>
        <v>1.008</v>
      </c>
      <c r="E3155" s="16">
        <f>IFERROR(__xludf.DUMMYFUNCTION("""COMPUTED_VALUE"""),66.0)</f>
        <v>66</v>
      </c>
      <c r="F3155" s="19" t="str">
        <f>IFERROR(__xludf.DUMMYFUNCTION("""COMPUTED_VALUE"""),"BLACK")</f>
        <v>BLACK</v>
      </c>
      <c r="G3155" s="20" t="str">
        <f>IFERROR(__xludf.DUMMYFUNCTION("""COMPUTED_VALUE"""),"Uncle Sams Cider (11/12/2021) 02")</f>
        <v>Uncle Sams Cider (11/12/2021) 02</v>
      </c>
      <c r="H3155" s="19"/>
    </row>
    <row r="3156">
      <c r="A3156" s="9"/>
      <c r="B3156" s="15"/>
      <c r="C3156" s="9">
        <f>IFERROR(__xludf.DUMMYFUNCTION("""COMPUTED_VALUE"""),44572.6223694675)</f>
        <v>44572.62237</v>
      </c>
      <c r="D3156" s="15">
        <f>IFERROR(__xludf.DUMMYFUNCTION("""COMPUTED_VALUE"""),1.008)</f>
        <v>1.008</v>
      </c>
      <c r="E3156" s="16">
        <f>IFERROR(__xludf.DUMMYFUNCTION("""COMPUTED_VALUE"""),66.0)</f>
        <v>66</v>
      </c>
      <c r="F3156" s="19" t="str">
        <f>IFERROR(__xludf.DUMMYFUNCTION("""COMPUTED_VALUE"""),"BLACK")</f>
        <v>BLACK</v>
      </c>
      <c r="G3156" s="20" t="str">
        <f>IFERROR(__xludf.DUMMYFUNCTION("""COMPUTED_VALUE"""),"Uncle Sams Cider (11/12/2021) 02")</f>
        <v>Uncle Sams Cider (11/12/2021) 02</v>
      </c>
      <c r="H3156" s="19"/>
    </row>
    <row r="3157">
      <c r="A3157" s="9"/>
      <c r="B3157" s="15"/>
      <c r="C3157" s="9">
        <f>IFERROR(__xludf.DUMMYFUNCTION("""COMPUTED_VALUE"""),44572.6119233333)</f>
        <v>44572.61192</v>
      </c>
      <c r="D3157" s="15">
        <f>IFERROR(__xludf.DUMMYFUNCTION("""COMPUTED_VALUE"""),1.008)</f>
        <v>1.008</v>
      </c>
      <c r="E3157" s="16">
        <f>IFERROR(__xludf.DUMMYFUNCTION("""COMPUTED_VALUE"""),67.0)</f>
        <v>67</v>
      </c>
      <c r="F3157" s="19" t="str">
        <f>IFERROR(__xludf.DUMMYFUNCTION("""COMPUTED_VALUE"""),"BLACK")</f>
        <v>BLACK</v>
      </c>
      <c r="G3157" s="20" t="str">
        <f>IFERROR(__xludf.DUMMYFUNCTION("""COMPUTED_VALUE"""),"Uncle Sams Cider (11/12/2021) 02")</f>
        <v>Uncle Sams Cider (11/12/2021) 02</v>
      </c>
      <c r="H3157" s="19"/>
    </row>
    <row r="3158">
      <c r="A3158" s="9"/>
      <c r="B3158" s="15"/>
      <c r="C3158" s="9">
        <f>IFERROR(__xludf.DUMMYFUNCTION("""COMPUTED_VALUE"""),44572.6014897685)</f>
        <v>44572.60149</v>
      </c>
      <c r="D3158" s="15">
        <f>IFERROR(__xludf.DUMMYFUNCTION("""COMPUTED_VALUE"""),1.008)</f>
        <v>1.008</v>
      </c>
      <c r="E3158" s="16">
        <f>IFERROR(__xludf.DUMMYFUNCTION("""COMPUTED_VALUE"""),67.0)</f>
        <v>67</v>
      </c>
      <c r="F3158" s="19" t="str">
        <f>IFERROR(__xludf.DUMMYFUNCTION("""COMPUTED_VALUE"""),"BLACK")</f>
        <v>BLACK</v>
      </c>
      <c r="G3158" s="20" t="str">
        <f>IFERROR(__xludf.DUMMYFUNCTION("""COMPUTED_VALUE"""),"Uncle Sams Cider (11/12/2021) 02")</f>
        <v>Uncle Sams Cider (11/12/2021) 02</v>
      </c>
      <c r="H3158" s="19"/>
    </row>
    <row r="3159">
      <c r="A3159" s="9"/>
      <c r="B3159" s="15"/>
      <c r="C3159" s="9">
        <f>IFERROR(__xludf.DUMMYFUNCTION("""COMPUTED_VALUE"""),44572.591068125)</f>
        <v>44572.59107</v>
      </c>
      <c r="D3159" s="15">
        <f>IFERROR(__xludf.DUMMYFUNCTION("""COMPUTED_VALUE"""),1.008)</f>
        <v>1.008</v>
      </c>
      <c r="E3159" s="16">
        <f>IFERROR(__xludf.DUMMYFUNCTION("""COMPUTED_VALUE"""),67.0)</f>
        <v>67</v>
      </c>
      <c r="F3159" s="19" t="str">
        <f>IFERROR(__xludf.DUMMYFUNCTION("""COMPUTED_VALUE"""),"BLACK")</f>
        <v>BLACK</v>
      </c>
      <c r="G3159" s="20" t="str">
        <f>IFERROR(__xludf.DUMMYFUNCTION("""COMPUTED_VALUE"""),"Uncle Sams Cider (11/12/2021) 02")</f>
        <v>Uncle Sams Cider (11/12/2021) 02</v>
      </c>
      <c r="H3159" s="19"/>
    </row>
    <row r="3160">
      <c r="A3160" s="9"/>
      <c r="B3160" s="15"/>
      <c r="C3160" s="9">
        <f>IFERROR(__xludf.DUMMYFUNCTION("""COMPUTED_VALUE"""),44572.5806466203)</f>
        <v>44572.58065</v>
      </c>
      <c r="D3160" s="15">
        <f>IFERROR(__xludf.DUMMYFUNCTION("""COMPUTED_VALUE"""),1.008)</f>
        <v>1.008</v>
      </c>
      <c r="E3160" s="16">
        <f>IFERROR(__xludf.DUMMYFUNCTION("""COMPUTED_VALUE"""),67.0)</f>
        <v>67</v>
      </c>
      <c r="F3160" s="19" t="str">
        <f>IFERROR(__xludf.DUMMYFUNCTION("""COMPUTED_VALUE"""),"BLACK")</f>
        <v>BLACK</v>
      </c>
      <c r="G3160" s="20" t="str">
        <f>IFERROR(__xludf.DUMMYFUNCTION("""COMPUTED_VALUE"""),"Uncle Sams Cider (11/12/2021) 02")</f>
        <v>Uncle Sams Cider (11/12/2021) 02</v>
      </c>
      <c r="H3160" s="19"/>
    </row>
    <row r="3161">
      <c r="A3161" s="9"/>
      <c r="B3161" s="15"/>
      <c r="C3161" s="9">
        <f>IFERROR(__xludf.DUMMYFUNCTION("""COMPUTED_VALUE"""),44572.5702230555)</f>
        <v>44572.57022</v>
      </c>
      <c r="D3161" s="15">
        <f>IFERROR(__xludf.DUMMYFUNCTION("""COMPUTED_VALUE"""),1.008)</f>
        <v>1.008</v>
      </c>
      <c r="E3161" s="16">
        <f>IFERROR(__xludf.DUMMYFUNCTION("""COMPUTED_VALUE"""),67.0)</f>
        <v>67</v>
      </c>
      <c r="F3161" s="19" t="str">
        <f>IFERROR(__xludf.DUMMYFUNCTION("""COMPUTED_VALUE"""),"BLACK")</f>
        <v>BLACK</v>
      </c>
      <c r="G3161" s="20" t="str">
        <f>IFERROR(__xludf.DUMMYFUNCTION("""COMPUTED_VALUE"""),"Uncle Sams Cider (11/12/2021) 02")</f>
        <v>Uncle Sams Cider (11/12/2021) 02</v>
      </c>
      <c r="H3161" s="19"/>
    </row>
    <row r="3162">
      <c r="A3162" s="9"/>
      <c r="B3162" s="15"/>
      <c r="C3162" s="9">
        <f>IFERROR(__xludf.DUMMYFUNCTION("""COMPUTED_VALUE"""),44572.5597903588)</f>
        <v>44572.55979</v>
      </c>
      <c r="D3162" s="15">
        <f>IFERROR(__xludf.DUMMYFUNCTION("""COMPUTED_VALUE"""),1.008)</f>
        <v>1.008</v>
      </c>
      <c r="E3162" s="16">
        <f>IFERROR(__xludf.DUMMYFUNCTION("""COMPUTED_VALUE"""),67.0)</f>
        <v>67</v>
      </c>
      <c r="F3162" s="19" t="str">
        <f>IFERROR(__xludf.DUMMYFUNCTION("""COMPUTED_VALUE"""),"BLACK")</f>
        <v>BLACK</v>
      </c>
      <c r="G3162" s="20" t="str">
        <f>IFERROR(__xludf.DUMMYFUNCTION("""COMPUTED_VALUE"""),"Uncle Sams Cider (11/12/2021) 02")</f>
        <v>Uncle Sams Cider (11/12/2021) 02</v>
      </c>
      <c r="H3162" s="19"/>
    </row>
    <row r="3163">
      <c r="A3163" s="9"/>
      <c r="B3163" s="15"/>
      <c r="C3163" s="9">
        <f>IFERROR(__xludf.DUMMYFUNCTION("""COMPUTED_VALUE"""),44572.5493450115)</f>
        <v>44572.54935</v>
      </c>
      <c r="D3163" s="15">
        <f>IFERROR(__xludf.DUMMYFUNCTION("""COMPUTED_VALUE"""),1.008)</f>
        <v>1.008</v>
      </c>
      <c r="E3163" s="16">
        <f>IFERROR(__xludf.DUMMYFUNCTION("""COMPUTED_VALUE"""),67.0)</f>
        <v>67</v>
      </c>
      <c r="F3163" s="19" t="str">
        <f>IFERROR(__xludf.DUMMYFUNCTION("""COMPUTED_VALUE"""),"BLACK")</f>
        <v>BLACK</v>
      </c>
      <c r="G3163" s="20" t="str">
        <f>IFERROR(__xludf.DUMMYFUNCTION("""COMPUTED_VALUE"""),"Uncle Sams Cider (11/12/2021) 02")</f>
        <v>Uncle Sams Cider (11/12/2021) 02</v>
      </c>
      <c r="H3163" s="19"/>
    </row>
    <row r="3164">
      <c r="A3164" s="9"/>
      <c r="B3164" s="15"/>
      <c r="C3164" s="9">
        <f>IFERROR(__xludf.DUMMYFUNCTION("""COMPUTED_VALUE"""),44572.5389242013)</f>
        <v>44572.53892</v>
      </c>
      <c r="D3164" s="15">
        <f>IFERROR(__xludf.DUMMYFUNCTION("""COMPUTED_VALUE"""),1.008)</f>
        <v>1.008</v>
      </c>
      <c r="E3164" s="16">
        <f>IFERROR(__xludf.DUMMYFUNCTION("""COMPUTED_VALUE"""),67.0)</f>
        <v>67</v>
      </c>
      <c r="F3164" s="19" t="str">
        <f>IFERROR(__xludf.DUMMYFUNCTION("""COMPUTED_VALUE"""),"BLACK")</f>
        <v>BLACK</v>
      </c>
      <c r="G3164" s="20" t="str">
        <f>IFERROR(__xludf.DUMMYFUNCTION("""COMPUTED_VALUE"""),"Uncle Sams Cider (11/12/2021) 02")</f>
        <v>Uncle Sams Cider (11/12/2021) 02</v>
      </c>
      <c r="H3164" s="19"/>
    </row>
    <row r="3165">
      <c r="A3165" s="9"/>
      <c r="B3165" s="15"/>
      <c r="C3165" s="9">
        <f>IFERROR(__xludf.DUMMYFUNCTION("""COMPUTED_VALUE"""),44572.5284934837)</f>
        <v>44572.52849</v>
      </c>
      <c r="D3165" s="15">
        <f>IFERROR(__xludf.DUMMYFUNCTION("""COMPUTED_VALUE"""),1.008)</f>
        <v>1.008</v>
      </c>
      <c r="E3165" s="16">
        <f>IFERROR(__xludf.DUMMYFUNCTION("""COMPUTED_VALUE"""),67.0)</f>
        <v>67</v>
      </c>
      <c r="F3165" s="19" t="str">
        <f>IFERROR(__xludf.DUMMYFUNCTION("""COMPUTED_VALUE"""),"BLACK")</f>
        <v>BLACK</v>
      </c>
      <c r="G3165" s="20" t="str">
        <f>IFERROR(__xludf.DUMMYFUNCTION("""COMPUTED_VALUE"""),"Uncle Sams Cider (11/12/2021) 02")</f>
        <v>Uncle Sams Cider (11/12/2021) 02</v>
      </c>
      <c r="H3165" s="19"/>
    </row>
    <row r="3166">
      <c r="A3166" s="9"/>
      <c r="B3166" s="15"/>
      <c r="C3166" s="9">
        <f>IFERROR(__xludf.DUMMYFUNCTION("""COMPUTED_VALUE"""),44572.5180730902)</f>
        <v>44572.51807</v>
      </c>
      <c r="D3166" s="15">
        <f>IFERROR(__xludf.DUMMYFUNCTION("""COMPUTED_VALUE"""),1.008)</f>
        <v>1.008</v>
      </c>
      <c r="E3166" s="16">
        <f>IFERROR(__xludf.DUMMYFUNCTION("""COMPUTED_VALUE"""),67.0)</f>
        <v>67</v>
      </c>
      <c r="F3166" s="19" t="str">
        <f>IFERROR(__xludf.DUMMYFUNCTION("""COMPUTED_VALUE"""),"BLACK")</f>
        <v>BLACK</v>
      </c>
      <c r="G3166" s="20" t="str">
        <f>IFERROR(__xludf.DUMMYFUNCTION("""COMPUTED_VALUE"""),"Uncle Sams Cider (11/12/2021) 02")</f>
        <v>Uncle Sams Cider (11/12/2021) 02</v>
      </c>
      <c r="H3166" s="19"/>
    </row>
    <row r="3167">
      <c r="A3167" s="9"/>
      <c r="B3167" s="15"/>
      <c r="C3167" s="9">
        <f>IFERROR(__xludf.DUMMYFUNCTION("""COMPUTED_VALUE"""),44572.5076386111)</f>
        <v>44572.50764</v>
      </c>
      <c r="D3167" s="15">
        <f>IFERROR(__xludf.DUMMYFUNCTION("""COMPUTED_VALUE"""),1.008)</f>
        <v>1.008</v>
      </c>
      <c r="E3167" s="16">
        <f>IFERROR(__xludf.DUMMYFUNCTION("""COMPUTED_VALUE"""),67.0)</f>
        <v>67</v>
      </c>
      <c r="F3167" s="19" t="str">
        <f>IFERROR(__xludf.DUMMYFUNCTION("""COMPUTED_VALUE"""),"BLACK")</f>
        <v>BLACK</v>
      </c>
      <c r="G3167" s="20" t="str">
        <f>IFERROR(__xludf.DUMMYFUNCTION("""COMPUTED_VALUE"""),"Uncle Sams Cider (11/12/2021) 02")</f>
        <v>Uncle Sams Cider (11/12/2021) 02</v>
      </c>
      <c r="H3167" s="19"/>
    </row>
    <row r="3168">
      <c r="A3168" s="9"/>
      <c r="B3168" s="15"/>
      <c r="C3168" s="9">
        <f>IFERROR(__xludf.DUMMYFUNCTION("""COMPUTED_VALUE"""),44572.4972058564)</f>
        <v>44572.49721</v>
      </c>
      <c r="D3168" s="15">
        <f>IFERROR(__xludf.DUMMYFUNCTION("""COMPUTED_VALUE"""),1.008)</f>
        <v>1.008</v>
      </c>
      <c r="E3168" s="16">
        <f>IFERROR(__xludf.DUMMYFUNCTION("""COMPUTED_VALUE"""),67.0)</f>
        <v>67</v>
      </c>
      <c r="F3168" s="19" t="str">
        <f>IFERROR(__xludf.DUMMYFUNCTION("""COMPUTED_VALUE"""),"BLACK")</f>
        <v>BLACK</v>
      </c>
      <c r="G3168" s="20" t="str">
        <f>IFERROR(__xludf.DUMMYFUNCTION("""COMPUTED_VALUE"""),"Uncle Sams Cider (11/12/2021) 02")</f>
        <v>Uncle Sams Cider (11/12/2021) 02</v>
      </c>
      <c r="H3168" s="19"/>
    </row>
    <row r="3169">
      <c r="A3169" s="9"/>
      <c r="B3169" s="15"/>
      <c r="C3169" s="9">
        <f>IFERROR(__xludf.DUMMYFUNCTION("""COMPUTED_VALUE"""),44572.4867842476)</f>
        <v>44572.48678</v>
      </c>
      <c r="D3169" s="15">
        <f>IFERROR(__xludf.DUMMYFUNCTION("""COMPUTED_VALUE"""),1.008)</f>
        <v>1.008</v>
      </c>
      <c r="E3169" s="16">
        <f>IFERROR(__xludf.DUMMYFUNCTION("""COMPUTED_VALUE"""),67.0)</f>
        <v>67</v>
      </c>
      <c r="F3169" s="19" t="str">
        <f>IFERROR(__xludf.DUMMYFUNCTION("""COMPUTED_VALUE"""),"BLACK")</f>
        <v>BLACK</v>
      </c>
      <c r="G3169" s="20" t="str">
        <f>IFERROR(__xludf.DUMMYFUNCTION("""COMPUTED_VALUE"""),"Uncle Sams Cider (11/12/2021) 02")</f>
        <v>Uncle Sams Cider (11/12/2021) 02</v>
      </c>
      <c r="H3169" s="19"/>
    </row>
    <row r="3170">
      <c r="A3170" s="9"/>
      <c r="B3170" s="15"/>
      <c r="C3170" s="9">
        <f>IFERROR(__xludf.DUMMYFUNCTION("""COMPUTED_VALUE"""),44572.4763632175)</f>
        <v>44572.47636</v>
      </c>
      <c r="D3170" s="15">
        <f>IFERROR(__xludf.DUMMYFUNCTION("""COMPUTED_VALUE"""),1.008)</f>
        <v>1.008</v>
      </c>
      <c r="E3170" s="16">
        <f>IFERROR(__xludf.DUMMYFUNCTION("""COMPUTED_VALUE"""),67.0)</f>
        <v>67</v>
      </c>
      <c r="F3170" s="19" t="str">
        <f>IFERROR(__xludf.DUMMYFUNCTION("""COMPUTED_VALUE"""),"BLACK")</f>
        <v>BLACK</v>
      </c>
      <c r="G3170" s="20" t="str">
        <f>IFERROR(__xludf.DUMMYFUNCTION("""COMPUTED_VALUE"""),"Uncle Sams Cider (11/12/2021) 02")</f>
        <v>Uncle Sams Cider (11/12/2021) 02</v>
      </c>
      <c r="H3170" s="19"/>
    </row>
    <row r="3171">
      <c r="A3171" s="9"/>
      <c r="B3171" s="15"/>
      <c r="C3171" s="9">
        <f>IFERROR(__xludf.DUMMYFUNCTION("""COMPUTED_VALUE"""),44572.4659439583)</f>
        <v>44572.46594</v>
      </c>
      <c r="D3171" s="15">
        <f>IFERROR(__xludf.DUMMYFUNCTION("""COMPUTED_VALUE"""),1.008)</f>
        <v>1.008</v>
      </c>
      <c r="E3171" s="16">
        <f>IFERROR(__xludf.DUMMYFUNCTION("""COMPUTED_VALUE"""),67.0)</f>
        <v>67</v>
      </c>
      <c r="F3171" s="19" t="str">
        <f>IFERROR(__xludf.DUMMYFUNCTION("""COMPUTED_VALUE"""),"BLACK")</f>
        <v>BLACK</v>
      </c>
      <c r="G3171" s="20" t="str">
        <f>IFERROR(__xludf.DUMMYFUNCTION("""COMPUTED_VALUE"""),"Uncle Sams Cider (11/12/2021) 02")</f>
        <v>Uncle Sams Cider (11/12/2021) 02</v>
      </c>
      <c r="H3171" s="19"/>
    </row>
    <row r="3172">
      <c r="A3172" s="9"/>
      <c r="B3172" s="15"/>
      <c r="C3172" s="9">
        <f>IFERROR(__xludf.DUMMYFUNCTION("""COMPUTED_VALUE"""),44572.4555126504)</f>
        <v>44572.45551</v>
      </c>
      <c r="D3172" s="15">
        <f>IFERROR(__xludf.DUMMYFUNCTION("""COMPUTED_VALUE"""),1.008)</f>
        <v>1.008</v>
      </c>
      <c r="E3172" s="16">
        <f>IFERROR(__xludf.DUMMYFUNCTION("""COMPUTED_VALUE"""),67.0)</f>
        <v>67</v>
      </c>
      <c r="F3172" s="19" t="str">
        <f>IFERROR(__xludf.DUMMYFUNCTION("""COMPUTED_VALUE"""),"BLACK")</f>
        <v>BLACK</v>
      </c>
      <c r="G3172" s="20" t="str">
        <f>IFERROR(__xludf.DUMMYFUNCTION("""COMPUTED_VALUE"""),"Uncle Sams Cider (11/12/2021) 02")</f>
        <v>Uncle Sams Cider (11/12/2021) 02</v>
      </c>
      <c r="H3172" s="19"/>
    </row>
    <row r="3173">
      <c r="A3173" s="9"/>
      <c r="B3173" s="15"/>
      <c r="C3173" s="9">
        <f>IFERROR(__xludf.DUMMYFUNCTION("""COMPUTED_VALUE"""),44572.445069155)</f>
        <v>44572.44507</v>
      </c>
      <c r="D3173" s="15">
        <f>IFERROR(__xludf.DUMMYFUNCTION("""COMPUTED_VALUE"""),1.008)</f>
        <v>1.008</v>
      </c>
      <c r="E3173" s="16">
        <f>IFERROR(__xludf.DUMMYFUNCTION("""COMPUTED_VALUE"""),67.0)</f>
        <v>67</v>
      </c>
      <c r="F3173" s="19" t="str">
        <f>IFERROR(__xludf.DUMMYFUNCTION("""COMPUTED_VALUE"""),"BLACK")</f>
        <v>BLACK</v>
      </c>
      <c r="G3173" s="20" t="str">
        <f>IFERROR(__xludf.DUMMYFUNCTION("""COMPUTED_VALUE"""),"Uncle Sams Cider (11/12/2021) 02")</f>
        <v>Uncle Sams Cider (11/12/2021) 02</v>
      </c>
      <c r="H3173" s="19"/>
    </row>
    <row r="3174">
      <c r="A3174" s="9"/>
      <c r="B3174" s="15"/>
      <c r="C3174" s="9">
        <f>IFERROR(__xludf.DUMMYFUNCTION("""COMPUTED_VALUE"""),44572.4346373726)</f>
        <v>44572.43464</v>
      </c>
      <c r="D3174" s="15">
        <f>IFERROR(__xludf.DUMMYFUNCTION("""COMPUTED_VALUE"""),1.008)</f>
        <v>1.008</v>
      </c>
      <c r="E3174" s="16">
        <f>IFERROR(__xludf.DUMMYFUNCTION("""COMPUTED_VALUE"""),67.0)</f>
        <v>67</v>
      </c>
      <c r="F3174" s="19" t="str">
        <f>IFERROR(__xludf.DUMMYFUNCTION("""COMPUTED_VALUE"""),"BLACK")</f>
        <v>BLACK</v>
      </c>
      <c r="G3174" s="20" t="str">
        <f>IFERROR(__xludf.DUMMYFUNCTION("""COMPUTED_VALUE"""),"Uncle Sams Cider (11/12/2021) 02")</f>
        <v>Uncle Sams Cider (11/12/2021) 02</v>
      </c>
      <c r="H3174" s="19"/>
    </row>
    <row r="3175">
      <c r="A3175" s="9"/>
      <c r="B3175" s="15"/>
      <c r="C3175" s="9">
        <f>IFERROR(__xludf.DUMMYFUNCTION("""COMPUTED_VALUE"""),44572.4242167476)</f>
        <v>44572.42422</v>
      </c>
      <c r="D3175" s="15">
        <f>IFERROR(__xludf.DUMMYFUNCTION("""COMPUTED_VALUE"""),1.008)</f>
        <v>1.008</v>
      </c>
      <c r="E3175" s="16">
        <f>IFERROR(__xludf.DUMMYFUNCTION("""COMPUTED_VALUE"""),67.0)</f>
        <v>67</v>
      </c>
      <c r="F3175" s="19" t="str">
        <f>IFERROR(__xludf.DUMMYFUNCTION("""COMPUTED_VALUE"""),"BLACK")</f>
        <v>BLACK</v>
      </c>
      <c r="G3175" s="20" t="str">
        <f>IFERROR(__xludf.DUMMYFUNCTION("""COMPUTED_VALUE"""),"Uncle Sams Cider (11/12/2021) 02")</f>
        <v>Uncle Sams Cider (11/12/2021) 02</v>
      </c>
      <c r="H3175" s="19"/>
    </row>
    <row r="3176">
      <c r="A3176" s="9"/>
      <c r="B3176" s="15"/>
      <c r="C3176" s="9">
        <f>IFERROR(__xludf.DUMMYFUNCTION("""COMPUTED_VALUE"""),44572.4137846412)</f>
        <v>44572.41378</v>
      </c>
      <c r="D3176" s="15">
        <f>IFERROR(__xludf.DUMMYFUNCTION("""COMPUTED_VALUE"""),1.008)</f>
        <v>1.008</v>
      </c>
      <c r="E3176" s="16">
        <f>IFERROR(__xludf.DUMMYFUNCTION("""COMPUTED_VALUE"""),67.0)</f>
        <v>67</v>
      </c>
      <c r="F3176" s="19" t="str">
        <f>IFERROR(__xludf.DUMMYFUNCTION("""COMPUTED_VALUE"""),"BLACK")</f>
        <v>BLACK</v>
      </c>
      <c r="G3176" s="20" t="str">
        <f>IFERROR(__xludf.DUMMYFUNCTION("""COMPUTED_VALUE"""),"Uncle Sams Cider (11/12/2021) 02")</f>
        <v>Uncle Sams Cider (11/12/2021) 02</v>
      </c>
      <c r="H3176" s="19"/>
    </row>
    <row r="3177">
      <c r="A3177" s="9"/>
      <c r="B3177" s="15"/>
      <c r="C3177" s="9">
        <f>IFERROR(__xludf.DUMMYFUNCTION("""COMPUTED_VALUE"""),44572.4033622106)</f>
        <v>44572.40336</v>
      </c>
      <c r="D3177" s="15">
        <f>IFERROR(__xludf.DUMMYFUNCTION("""COMPUTED_VALUE"""),1.008)</f>
        <v>1.008</v>
      </c>
      <c r="E3177" s="16">
        <f>IFERROR(__xludf.DUMMYFUNCTION("""COMPUTED_VALUE"""),67.0)</f>
        <v>67</v>
      </c>
      <c r="F3177" s="19" t="str">
        <f>IFERROR(__xludf.DUMMYFUNCTION("""COMPUTED_VALUE"""),"BLACK")</f>
        <v>BLACK</v>
      </c>
      <c r="G3177" s="20" t="str">
        <f>IFERROR(__xludf.DUMMYFUNCTION("""COMPUTED_VALUE"""),"Uncle Sams Cider (11/12/2021) 02")</f>
        <v>Uncle Sams Cider (11/12/2021) 02</v>
      </c>
      <c r="H3177" s="19"/>
    </row>
    <row r="3178">
      <c r="A3178" s="9"/>
      <c r="B3178" s="15"/>
      <c r="C3178" s="9">
        <f>IFERROR(__xludf.DUMMYFUNCTION("""COMPUTED_VALUE"""),44572.392893912)</f>
        <v>44572.39289</v>
      </c>
      <c r="D3178" s="15">
        <f>IFERROR(__xludf.DUMMYFUNCTION("""COMPUTED_VALUE"""),1.007)</f>
        <v>1.007</v>
      </c>
      <c r="E3178" s="16">
        <f>IFERROR(__xludf.DUMMYFUNCTION("""COMPUTED_VALUE"""),67.0)</f>
        <v>67</v>
      </c>
      <c r="F3178" s="19" t="str">
        <f>IFERROR(__xludf.DUMMYFUNCTION("""COMPUTED_VALUE"""),"BLACK")</f>
        <v>BLACK</v>
      </c>
      <c r="G3178" s="20" t="str">
        <f>IFERROR(__xludf.DUMMYFUNCTION("""COMPUTED_VALUE"""),"Uncle Sams Cider (11/12/2021) 02")</f>
        <v>Uncle Sams Cider (11/12/2021) 02</v>
      </c>
      <c r="H3178" s="19"/>
    </row>
    <row r="3179">
      <c r="A3179" s="9"/>
      <c r="B3179" s="15"/>
      <c r="C3179" s="9">
        <f>IFERROR(__xludf.DUMMYFUNCTION("""COMPUTED_VALUE"""),44572.3824742708)</f>
        <v>44572.38247</v>
      </c>
      <c r="D3179" s="15">
        <f>IFERROR(__xludf.DUMMYFUNCTION("""COMPUTED_VALUE"""),1.008)</f>
        <v>1.008</v>
      </c>
      <c r="E3179" s="16">
        <f>IFERROR(__xludf.DUMMYFUNCTION("""COMPUTED_VALUE"""),67.0)</f>
        <v>67</v>
      </c>
      <c r="F3179" s="19" t="str">
        <f>IFERROR(__xludf.DUMMYFUNCTION("""COMPUTED_VALUE"""),"BLACK")</f>
        <v>BLACK</v>
      </c>
      <c r="G3179" s="20" t="str">
        <f>IFERROR(__xludf.DUMMYFUNCTION("""COMPUTED_VALUE"""),"Uncle Sams Cider (11/12/2021) 02")</f>
        <v>Uncle Sams Cider (11/12/2021) 02</v>
      </c>
      <c r="H3179" s="19"/>
    </row>
    <row r="3180">
      <c r="A3180" s="9"/>
      <c r="B3180" s="15"/>
      <c r="C3180" s="9">
        <f>IFERROR(__xludf.DUMMYFUNCTION("""COMPUTED_VALUE"""),44572.3720533564)</f>
        <v>44572.37205</v>
      </c>
      <c r="D3180" s="15">
        <f>IFERROR(__xludf.DUMMYFUNCTION("""COMPUTED_VALUE"""),1.007)</f>
        <v>1.007</v>
      </c>
      <c r="E3180" s="16">
        <f>IFERROR(__xludf.DUMMYFUNCTION("""COMPUTED_VALUE"""),68.0)</f>
        <v>68</v>
      </c>
      <c r="F3180" s="19" t="str">
        <f>IFERROR(__xludf.DUMMYFUNCTION("""COMPUTED_VALUE"""),"BLACK")</f>
        <v>BLACK</v>
      </c>
      <c r="G3180" s="20" t="str">
        <f>IFERROR(__xludf.DUMMYFUNCTION("""COMPUTED_VALUE"""),"Uncle Sams Cider (11/12/2021) 02")</f>
        <v>Uncle Sams Cider (11/12/2021) 02</v>
      </c>
      <c r="H3180" s="19"/>
    </row>
    <row r="3181">
      <c r="A3181" s="9"/>
      <c r="B3181" s="15"/>
      <c r="C3181" s="9">
        <f>IFERROR(__xludf.DUMMYFUNCTION("""COMPUTED_VALUE"""),44572.361631655)</f>
        <v>44572.36163</v>
      </c>
      <c r="D3181" s="15">
        <f>IFERROR(__xludf.DUMMYFUNCTION("""COMPUTED_VALUE"""),1.007)</f>
        <v>1.007</v>
      </c>
      <c r="E3181" s="16">
        <f>IFERROR(__xludf.DUMMYFUNCTION("""COMPUTED_VALUE"""),68.0)</f>
        <v>68</v>
      </c>
      <c r="F3181" s="19" t="str">
        <f>IFERROR(__xludf.DUMMYFUNCTION("""COMPUTED_VALUE"""),"BLACK")</f>
        <v>BLACK</v>
      </c>
      <c r="G3181" s="20" t="str">
        <f>IFERROR(__xludf.DUMMYFUNCTION("""COMPUTED_VALUE"""),"Uncle Sams Cider (11/12/2021) 02")</f>
        <v>Uncle Sams Cider (11/12/2021) 02</v>
      </c>
      <c r="H3181" s="19"/>
    </row>
    <row r="3182">
      <c r="A3182" s="9"/>
      <c r="B3182" s="15"/>
      <c r="C3182" s="9">
        <f>IFERROR(__xludf.DUMMYFUNCTION("""COMPUTED_VALUE"""),44572.3512079745)</f>
        <v>44572.35121</v>
      </c>
      <c r="D3182" s="15">
        <f>IFERROR(__xludf.DUMMYFUNCTION("""COMPUTED_VALUE"""),1.008)</f>
        <v>1.008</v>
      </c>
      <c r="E3182" s="16">
        <f>IFERROR(__xludf.DUMMYFUNCTION("""COMPUTED_VALUE"""),68.0)</f>
        <v>68</v>
      </c>
      <c r="F3182" s="19" t="str">
        <f>IFERROR(__xludf.DUMMYFUNCTION("""COMPUTED_VALUE"""),"BLACK")</f>
        <v>BLACK</v>
      </c>
      <c r="G3182" s="20" t="str">
        <f>IFERROR(__xludf.DUMMYFUNCTION("""COMPUTED_VALUE"""),"Uncle Sams Cider (11/12/2021) 02")</f>
        <v>Uncle Sams Cider (11/12/2021) 02</v>
      </c>
      <c r="H3182" s="19"/>
    </row>
    <row r="3183">
      <c r="A3183" s="9"/>
      <c r="B3183" s="15"/>
      <c r="C3183" s="9">
        <f>IFERROR(__xludf.DUMMYFUNCTION("""COMPUTED_VALUE"""),44572.340785625)</f>
        <v>44572.34079</v>
      </c>
      <c r="D3183" s="15">
        <f>IFERROR(__xludf.DUMMYFUNCTION("""COMPUTED_VALUE"""),1.008)</f>
        <v>1.008</v>
      </c>
      <c r="E3183" s="16">
        <f>IFERROR(__xludf.DUMMYFUNCTION("""COMPUTED_VALUE"""),68.0)</f>
        <v>68</v>
      </c>
      <c r="F3183" s="19" t="str">
        <f>IFERROR(__xludf.DUMMYFUNCTION("""COMPUTED_VALUE"""),"BLACK")</f>
        <v>BLACK</v>
      </c>
      <c r="G3183" s="20" t="str">
        <f>IFERROR(__xludf.DUMMYFUNCTION("""COMPUTED_VALUE"""),"Uncle Sams Cider (11/12/2021) 02")</f>
        <v>Uncle Sams Cider (11/12/2021) 02</v>
      </c>
      <c r="H3183" s="19"/>
    </row>
    <row r="3184">
      <c r="A3184" s="9"/>
      <c r="B3184" s="15"/>
      <c r="C3184" s="9">
        <f>IFERROR(__xludf.DUMMYFUNCTION("""COMPUTED_VALUE"""),44572.330363831)</f>
        <v>44572.33036</v>
      </c>
      <c r="D3184" s="15">
        <f>IFERROR(__xludf.DUMMYFUNCTION("""COMPUTED_VALUE"""),1.008)</f>
        <v>1.008</v>
      </c>
      <c r="E3184" s="16">
        <f>IFERROR(__xludf.DUMMYFUNCTION("""COMPUTED_VALUE"""),68.0)</f>
        <v>68</v>
      </c>
      <c r="F3184" s="19" t="str">
        <f>IFERROR(__xludf.DUMMYFUNCTION("""COMPUTED_VALUE"""),"BLACK")</f>
        <v>BLACK</v>
      </c>
      <c r="G3184" s="20" t="str">
        <f>IFERROR(__xludf.DUMMYFUNCTION("""COMPUTED_VALUE"""),"Uncle Sams Cider (11/12/2021) 02")</f>
        <v>Uncle Sams Cider (11/12/2021) 02</v>
      </c>
      <c r="H3184" s="19"/>
    </row>
    <row r="3185">
      <c r="A3185" s="9"/>
      <c r="B3185" s="15"/>
      <c r="C3185" s="9">
        <f>IFERROR(__xludf.DUMMYFUNCTION("""COMPUTED_VALUE"""),44572.3199414351)</f>
        <v>44572.31994</v>
      </c>
      <c r="D3185" s="15">
        <f>IFERROR(__xludf.DUMMYFUNCTION("""COMPUTED_VALUE"""),1.008)</f>
        <v>1.008</v>
      </c>
      <c r="E3185" s="16">
        <f>IFERROR(__xludf.DUMMYFUNCTION("""COMPUTED_VALUE"""),68.0)</f>
        <v>68</v>
      </c>
      <c r="F3185" s="19" t="str">
        <f>IFERROR(__xludf.DUMMYFUNCTION("""COMPUTED_VALUE"""),"BLACK")</f>
        <v>BLACK</v>
      </c>
      <c r="G3185" s="20" t="str">
        <f>IFERROR(__xludf.DUMMYFUNCTION("""COMPUTED_VALUE"""),"Uncle Sams Cider (11/12/2021) 02")</f>
        <v>Uncle Sams Cider (11/12/2021) 02</v>
      </c>
      <c r="H3185" s="19"/>
    </row>
    <row r="3186">
      <c r="A3186" s="9"/>
      <c r="B3186" s="15"/>
      <c r="C3186" s="9">
        <f>IFERROR(__xludf.DUMMYFUNCTION("""COMPUTED_VALUE"""),44572.3095200231)</f>
        <v>44572.30952</v>
      </c>
      <c r="D3186" s="15">
        <f>IFERROR(__xludf.DUMMYFUNCTION("""COMPUTED_VALUE"""),1.008)</f>
        <v>1.008</v>
      </c>
      <c r="E3186" s="16">
        <f>IFERROR(__xludf.DUMMYFUNCTION("""COMPUTED_VALUE"""),68.0)</f>
        <v>68</v>
      </c>
      <c r="F3186" s="19" t="str">
        <f>IFERROR(__xludf.DUMMYFUNCTION("""COMPUTED_VALUE"""),"BLACK")</f>
        <v>BLACK</v>
      </c>
      <c r="G3186" s="20" t="str">
        <f>IFERROR(__xludf.DUMMYFUNCTION("""COMPUTED_VALUE"""),"Uncle Sams Cider (11/12/2021) 02")</f>
        <v>Uncle Sams Cider (11/12/2021) 02</v>
      </c>
      <c r="H3186" s="19"/>
    </row>
    <row r="3187">
      <c r="A3187" s="9"/>
      <c r="B3187" s="15"/>
      <c r="C3187" s="9">
        <f>IFERROR(__xludf.DUMMYFUNCTION("""COMPUTED_VALUE"""),44572.299086331)</f>
        <v>44572.29909</v>
      </c>
      <c r="D3187" s="15">
        <f>IFERROR(__xludf.DUMMYFUNCTION("""COMPUTED_VALUE"""),1.007)</f>
        <v>1.007</v>
      </c>
      <c r="E3187" s="16">
        <f>IFERROR(__xludf.DUMMYFUNCTION("""COMPUTED_VALUE"""),68.0)</f>
        <v>68</v>
      </c>
      <c r="F3187" s="19" t="str">
        <f>IFERROR(__xludf.DUMMYFUNCTION("""COMPUTED_VALUE"""),"BLACK")</f>
        <v>BLACK</v>
      </c>
      <c r="G3187" s="20" t="str">
        <f>IFERROR(__xludf.DUMMYFUNCTION("""COMPUTED_VALUE"""),"Uncle Sams Cider (11/12/2021) 02")</f>
        <v>Uncle Sams Cider (11/12/2021) 02</v>
      </c>
      <c r="H3187" s="19"/>
    </row>
    <row r="3188">
      <c r="A3188" s="9"/>
      <c r="B3188" s="15"/>
      <c r="C3188" s="9">
        <f>IFERROR(__xludf.DUMMYFUNCTION("""COMPUTED_VALUE"""),44572.2886526388)</f>
        <v>44572.28865</v>
      </c>
      <c r="D3188" s="15">
        <f>IFERROR(__xludf.DUMMYFUNCTION("""COMPUTED_VALUE"""),1.008)</f>
        <v>1.008</v>
      </c>
      <c r="E3188" s="16">
        <f>IFERROR(__xludf.DUMMYFUNCTION("""COMPUTED_VALUE"""),68.0)</f>
        <v>68</v>
      </c>
      <c r="F3188" s="19" t="str">
        <f>IFERROR(__xludf.DUMMYFUNCTION("""COMPUTED_VALUE"""),"BLACK")</f>
        <v>BLACK</v>
      </c>
      <c r="G3188" s="20" t="str">
        <f>IFERROR(__xludf.DUMMYFUNCTION("""COMPUTED_VALUE"""),"Uncle Sams Cider (11/12/2021) 02")</f>
        <v>Uncle Sams Cider (11/12/2021) 02</v>
      </c>
      <c r="H3188" s="19"/>
    </row>
    <row r="3189">
      <c r="A3189" s="9"/>
      <c r="B3189" s="15"/>
      <c r="C3189" s="9">
        <f>IFERROR(__xludf.DUMMYFUNCTION("""COMPUTED_VALUE"""),44572.2782075115)</f>
        <v>44572.27821</v>
      </c>
      <c r="D3189" s="15">
        <f>IFERROR(__xludf.DUMMYFUNCTION("""COMPUTED_VALUE"""),1.008)</f>
        <v>1.008</v>
      </c>
      <c r="E3189" s="16">
        <f>IFERROR(__xludf.DUMMYFUNCTION("""COMPUTED_VALUE"""),68.0)</f>
        <v>68</v>
      </c>
      <c r="F3189" s="19" t="str">
        <f>IFERROR(__xludf.DUMMYFUNCTION("""COMPUTED_VALUE"""),"BLACK")</f>
        <v>BLACK</v>
      </c>
      <c r="G3189" s="20" t="str">
        <f>IFERROR(__xludf.DUMMYFUNCTION("""COMPUTED_VALUE"""),"Uncle Sams Cider (11/12/2021) 02")</f>
        <v>Uncle Sams Cider (11/12/2021) 02</v>
      </c>
      <c r="H3189" s="19"/>
    </row>
    <row r="3190">
      <c r="A3190" s="9"/>
      <c r="B3190" s="15"/>
      <c r="C3190" s="9">
        <f>IFERROR(__xludf.DUMMYFUNCTION("""COMPUTED_VALUE"""),44572.2677856597)</f>
        <v>44572.26779</v>
      </c>
      <c r="D3190" s="15">
        <f>IFERROR(__xludf.DUMMYFUNCTION("""COMPUTED_VALUE"""),1.008)</f>
        <v>1.008</v>
      </c>
      <c r="E3190" s="16">
        <f>IFERROR(__xludf.DUMMYFUNCTION("""COMPUTED_VALUE"""),68.0)</f>
        <v>68</v>
      </c>
      <c r="F3190" s="19" t="str">
        <f>IFERROR(__xludf.DUMMYFUNCTION("""COMPUTED_VALUE"""),"BLACK")</f>
        <v>BLACK</v>
      </c>
      <c r="G3190" s="20" t="str">
        <f>IFERROR(__xludf.DUMMYFUNCTION("""COMPUTED_VALUE"""),"Uncle Sams Cider (11/12/2021) 02")</f>
        <v>Uncle Sams Cider (11/12/2021) 02</v>
      </c>
      <c r="H3190" s="19"/>
    </row>
    <row r="3191">
      <c r="A3191" s="9"/>
      <c r="B3191" s="15"/>
      <c r="C3191" s="9">
        <f>IFERROR(__xludf.DUMMYFUNCTION("""COMPUTED_VALUE"""),44572.2573647453)</f>
        <v>44572.25736</v>
      </c>
      <c r="D3191" s="15">
        <f>IFERROR(__xludf.DUMMYFUNCTION("""COMPUTED_VALUE"""),1.007)</f>
        <v>1.007</v>
      </c>
      <c r="E3191" s="16">
        <f>IFERROR(__xludf.DUMMYFUNCTION("""COMPUTED_VALUE"""),68.0)</f>
        <v>68</v>
      </c>
      <c r="F3191" s="19" t="str">
        <f>IFERROR(__xludf.DUMMYFUNCTION("""COMPUTED_VALUE"""),"BLACK")</f>
        <v>BLACK</v>
      </c>
      <c r="G3191" s="20" t="str">
        <f>IFERROR(__xludf.DUMMYFUNCTION("""COMPUTED_VALUE"""),"Uncle Sams Cider (11/12/2021) 02")</f>
        <v>Uncle Sams Cider (11/12/2021) 02</v>
      </c>
      <c r="H3191" s="19"/>
    </row>
    <row r="3192">
      <c r="A3192" s="9"/>
      <c r="B3192" s="15"/>
      <c r="C3192" s="9">
        <f>IFERROR(__xludf.DUMMYFUNCTION("""COMPUTED_VALUE"""),44572.2469323379)</f>
        <v>44572.24693</v>
      </c>
      <c r="D3192" s="15">
        <f>IFERROR(__xludf.DUMMYFUNCTION("""COMPUTED_VALUE"""),1.008)</f>
        <v>1.008</v>
      </c>
      <c r="E3192" s="16">
        <f>IFERROR(__xludf.DUMMYFUNCTION("""COMPUTED_VALUE"""),68.0)</f>
        <v>68</v>
      </c>
      <c r="F3192" s="19" t="str">
        <f>IFERROR(__xludf.DUMMYFUNCTION("""COMPUTED_VALUE"""),"BLACK")</f>
        <v>BLACK</v>
      </c>
      <c r="G3192" s="20" t="str">
        <f>IFERROR(__xludf.DUMMYFUNCTION("""COMPUTED_VALUE"""),"Uncle Sams Cider (11/12/2021) 02")</f>
        <v>Uncle Sams Cider (11/12/2021) 02</v>
      </c>
      <c r="H3192" s="19"/>
    </row>
    <row r="3193">
      <c r="A3193" s="9"/>
      <c r="B3193" s="15"/>
      <c r="C3193" s="9">
        <f>IFERROR(__xludf.DUMMYFUNCTION("""COMPUTED_VALUE"""),44572.2365096759)</f>
        <v>44572.23651</v>
      </c>
      <c r="D3193" s="15">
        <f>IFERROR(__xludf.DUMMYFUNCTION("""COMPUTED_VALUE"""),1.008)</f>
        <v>1.008</v>
      </c>
      <c r="E3193" s="16">
        <f>IFERROR(__xludf.DUMMYFUNCTION("""COMPUTED_VALUE"""),68.0)</f>
        <v>68</v>
      </c>
      <c r="F3193" s="19" t="str">
        <f>IFERROR(__xludf.DUMMYFUNCTION("""COMPUTED_VALUE"""),"BLACK")</f>
        <v>BLACK</v>
      </c>
      <c r="G3193" s="20" t="str">
        <f>IFERROR(__xludf.DUMMYFUNCTION("""COMPUTED_VALUE"""),"Uncle Sams Cider (11/12/2021) 02")</f>
        <v>Uncle Sams Cider (11/12/2021) 02</v>
      </c>
      <c r="H3193" s="19"/>
    </row>
    <row r="3194">
      <c r="A3194" s="9"/>
      <c r="B3194" s="15"/>
      <c r="C3194" s="9">
        <f>IFERROR(__xludf.DUMMYFUNCTION("""COMPUTED_VALUE"""),44572.2260885532)</f>
        <v>44572.22609</v>
      </c>
      <c r="D3194" s="15">
        <f>IFERROR(__xludf.DUMMYFUNCTION("""COMPUTED_VALUE"""),1.008)</f>
        <v>1.008</v>
      </c>
      <c r="E3194" s="16">
        <f>IFERROR(__xludf.DUMMYFUNCTION("""COMPUTED_VALUE"""),67.0)</f>
        <v>67</v>
      </c>
      <c r="F3194" s="19" t="str">
        <f>IFERROR(__xludf.DUMMYFUNCTION("""COMPUTED_VALUE"""),"BLACK")</f>
        <v>BLACK</v>
      </c>
      <c r="G3194" s="20" t="str">
        <f>IFERROR(__xludf.DUMMYFUNCTION("""COMPUTED_VALUE"""),"Uncle Sams Cider (11/12/2021) 02")</f>
        <v>Uncle Sams Cider (11/12/2021) 02</v>
      </c>
      <c r="H3194" s="19"/>
    </row>
    <row r="3195">
      <c r="A3195" s="9"/>
      <c r="B3195" s="15"/>
      <c r="C3195" s="9">
        <f>IFERROR(__xludf.DUMMYFUNCTION("""COMPUTED_VALUE"""),44572.2156543287)</f>
        <v>44572.21565</v>
      </c>
      <c r="D3195" s="15">
        <f>IFERROR(__xludf.DUMMYFUNCTION("""COMPUTED_VALUE"""),1.008)</f>
        <v>1.008</v>
      </c>
      <c r="E3195" s="16">
        <f>IFERROR(__xludf.DUMMYFUNCTION("""COMPUTED_VALUE"""),67.0)</f>
        <v>67</v>
      </c>
      <c r="F3195" s="19" t="str">
        <f>IFERROR(__xludf.DUMMYFUNCTION("""COMPUTED_VALUE"""),"BLACK")</f>
        <v>BLACK</v>
      </c>
      <c r="G3195" s="20" t="str">
        <f>IFERROR(__xludf.DUMMYFUNCTION("""COMPUTED_VALUE"""),"Uncle Sams Cider (11/12/2021) 02")</f>
        <v>Uncle Sams Cider (11/12/2021) 02</v>
      </c>
      <c r="H3195" s="19"/>
    </row>
    <row r="3196">
      <c r="A3196" s="9"/>
      <c r="B3196" s="15"/>
      <c r="C3196" s="9">
        <f>IFERROR(__xludf.DUMMYFUNCTION("""COMPUTED_VALUE"""),44572.2052221759)</f>
        <v>44572.20522</v>
      </c>
      <c r="D3196" s="15">
        <f>IFERROR(__xludf.DUMMYFUNCTION("""COMPUTED_VALUE"""),1.008)</f>
        <v>1.008</v>
      </c>
      <c r="E3196" s="16">
        <f>IFERROR(__xludf.DUMMYFUNCTION("""COMPUTED_VALUE"""),66.0)</f>
        <v>66</v>
      </c>
      <c r="F3196" s="19" t="str">
        <f>IFERROR(__xludf.DUMMYFUNCTION("""COMPUTED_VALUE"""),"BLACK")</f>
        <v>BLACK</v>
      </c>
      <c r="G3196" s="20" t="str">
        <f>IFERROR(__xludf.DUMMYFUNCTION("""COMPUTED_VALUE"""),"Uncle Sams Cider (11/12/2021) 02")</f>
        <v>Uncle Sams Cider (11/12/2021) 02</v>
      </c>
      <c r="H3196" s="19"/>
    </row>
    <row r="3197">
      <c r="A3197" s="9"/>
      <c r="B3197" s="15"/>
      <c r="C3197" s="9">
        <f>IFERROR(__xludf.DUMMYFUNCTION("""COMPUTED_VALUE"""),44572.1947993171)</f>
        <v>44572.1948</v>
      </c>
      <c r="D3197" s="15">
        <f>IFERROR(__xludf.DUMMYFUNCTION("""COMPUTED_VALUE"""),1.008)</f>
        <v>1.008</v>
      </c>
      <c r="E3197" s="16">
        <f>IFERROR(__xludf.DUMMYFUNCTION("""COMPUTED_VALUE"""),66.0)</f>
        <v>66</v>
      </c>
      <c r="F3197" s="19" t="str">
        <f>IFERROR(__xludf.DUMMYFUNCTION("""COMPUTED_VALUE"""),"BLACK")</f>
        <v>BLACK</v>
      </c>
      <c r="G3197" s="20" t="str">
        <f>IFERROR(__xludf.DUMMYFUNCTION("""COMPUTED_VALUE"""),"Uncle Sams Cider (11/12/2021) 02")</f>
        <v>Uncle Sams Cider (11/12/2021) 02</v>
      </c>
      <c r="H3197" s="19"/>
    </row>
    <row r="3198">
      <c r="A3198" s="9"/>
      <c r="B3198" s="15"/>
      <c r="C3198" s="9">
        <f>IFERROR(__xludf.DUMMYFUNCTION("""COMPUTED_VALUE"""),44572.1843771874)</f>
        <v>44572.18438</v>
      </c>
      <c r="D3198" s="15">
        <f>IFERROR(__xludf.DUMMYFUNCTION("""COMPUTED_VALUE"""),1.008)</f>
        <v>1.008</v>
      </c>
      <c r="E3198" s="16">
        <f>IFERROR(__xludf.DUMMYFUNCTION("""COMPUTED_VALUE"""),66.0)</f>
        <v>66</v>
      </c>
      <c r="F3198" s="19" t="str">
        <f>IFERROR(__xludf.DUMMYFUNCTION("""COMPUTED_VALUE"""),"BLACK")</f>
        <v>BLACK</v>
      </c>
      <c r="G3198" s="20" t="str">
        <f>IFERROR(__xludf.DUMMYFUNCTION("""COMPUTED_VALUE"""),"Uncle Sams Cider (11/12/2021) 02")</f>
        <v>Uncle Sams Cider (11/12/2021) 02</v>
      </c>
      <c r="H3198" s="19"/>
    </row>
    <row r="3199">
      <c r="A3199" s="9"/>
      <c r="B3199" s="15"/>
      <c r="C3199" s="9">
        <f>IFERROR(__xludf.DUMMYFUNCTION("""COMPUTED_VALUE"""),44572.1739570023)</f>
        <v>44572.17396</v>
      </c>
      <c r="D3199" s="15">
        <f>IFERROR(__xludf.DUMMYFUNCTION("""COMPUTED_VALUE"""),1.008)</f>
        <v>1.008</v>
      </c>
      <c r="E3199" s="16">
        <f>IFERROR(__xludf.DUMMYFUNCTION("""COMPUTED_VALUE"""),65.0)</f>
        <v>65</v>
      </c>
      <c r="F3199" s="19" t="str">
        <f>IFERROR(__xludf.DUMMYFUNCTION("""COMPUTED_VALUE"""),"BLACK")</f>
        <v>BLACK</v>
      </c>
      <c r="G3199" s="20" t="str">
        <f>IFERROR(__xludf.DUMMYFUNCTION("""COMPUTED_VALUE"""),"Uncle Sams Cider (11/12/2021) 02")</f>
        <v>Uncle Sams Cider (11/12/2021) 02</v>
      </c>
      <c r="H3199" s="19"/>
    </row>
    <row r="3200">
      <c r="A3200" s="9"/>
      <c r="B3200" s="15"/>
      <c r="C3200" s="9">
        <f>IFERROR(__xludf.DUMMYFUNCTION("""COMPUTED_VALUE"""),44572.163535243)</f>
        <v>44572.16354</v>
      </c>
      <c r="D3200" s="15">
        <f>IFERROR(__xludf.DUMMYFUNCTION("""COMPUTED_VALUE"""),1.008)</f>
        <v>1.008</v>
      </c>
      <c r="E3200" s="16">
        <f>IFERROR(__xludf.DUMMYFUNCTION("""COMPUTED_VALUE"""),65.0)</f>
        <v>65</v>
      </c>
      <c r="F3200" s="19" t="str">
        <f>IFERROR(__xludf.DUMMYFUNCTION("""COMPUTED_VALUE"""),"BLACK")</f>
        <v>BLACK</v>
      </c>
      <c r="G3200" s="20" t="str">
        <f>IFERROR(__xludf.DUMMYFUNCTION("""COMPUTED_VALUE"""),"Uncle Sams Cider (11/12/2021) 02")</f>
        <v>Uncle Sams Cider (11/12/2021) 02</v>
      </c>
      <c r="H3200" s="19"/>
    </row>
    <row r="3201">
      <c r="A3201" s="9"/>
      <c r="B3201" s="15"/>
      <c r="C3201" s="9">
        <f>IFERROR(__xludf.DUMMYFUNCTION("""COMPUTED_VALUE"""),44572.1531151273)</f>
        <v>44572.15312</v>
      </c>
      <c r="D3201" s="15">
        <f>IFERROR(__xludf.DUMMYFUNCTION("""COMPUTED_VALUE"""),1.008)</f>
        <v>1.008</v>
      </c>
      <c r="E3201" s="16">
        <f>IFERROR(__xludf.DUMMYFUNCTION("""COMPUTED_VALUE"""),64.0)</f>
        <v>64</v>
      </c>
      <c r="F3201" s="19" t="str">
        <f>IFERROR(__xludf.DUMMYFUNCTION("""COMPUTED_VALUE"""),"BLACK")</f>
        <v>BLACK</v>
      </c>
      <c r="G3201" s="20" t="str">
        <f>IFERROR(__xludf.DUMMYFUNCTION("""COMPUTED_VALUE"""),"Uncle Sams Cider (11/12/2021) 02")</f>
        <v>Uncle Sams Cider (11/12/2021) 02</v>
      </c>
      <c r="H3201" s="19"/>
    </row>
    <row r="3202">
      <c r="A3202" s="9"/>
      <c r="B3202" s="15"/>
      <c r="C3202" s="9">
        <f>IFERROR(__xludf.DUMMYFUNCTION("""COMPUTED_VALUE"""),44572.1426948379)</f>
        <v>44572.14269</v>
      </c>
      <c r="D3202" s="15">
        <f>IFERROR(__xludf.DUMMYFUNCTION("""COMPUTED_VALUE"""),1.008)</f>
        <v>1.008</v>
      </c>
      <c r="E3202" s="16">
        <f>IFERROR(__xludf.DUMMYFUNCTION("""COMPUTED_VALUE"""),64.0)</f>
        <v>64</v>
      </c>
      <c r="F3202" s="19" t="str">
        <f>IFERROR(__xludf.DUMMYFUNCTION("""COMPUTED_VALUE"""),"BLACK")</f>
        <v>BLACK</v>
      </c>
      <c r="G3202" s="20" t="str">
        <f>IFERROR(__xludf.DUMMYFUNCTION("""COMPUTED_VALUE"""),"Uncle Sams Cider (11/12/2021) 02")</f>
        <v>Uncle Sams Cider (11/12/2021) 02</v>
      </c>
      <c r="H3202" s="19"/>
    </row>
    <row r="3203">
      <c r="A3203" s="9"/>
      <c r="B3203" s="15"/>
      <c r="C3203" s="9">
        <f>IFERROR(__xludf.DUMMYFUNCTION("""COMPUTED_VALUE"""),44572.1322728587)</f>
        <v>44572.13227</v>
      </c>
      <c r="D3203" s="15">
        <f>IFERROR(__xludf.DUMMYFUNCTION("""COMPUTED_VALUE"""),1.008)</f>
        <v>1.008</v>
      </c>
      <c r="E3203" s="16">
        <f>IFERROR(__xludf.DUMMYFUNCTION("""COMPUTED_VALUE"""),64.0)</f>
        <v>64</v>
      </c>
      <c r="F3203" s="19" t="str">
        <f>IFERROR(__xludf.DUMMYFUNCTION("""COMPUTED_VALUE"""),"BLACK")</f>
        <v>BLACK</v>
      </c>
      <c r="G3203" s="20" t="str">
        <f>IFERROR(__xludf.DUMMYFUNCTION("""COMPUTED_VALUE"""),"Uncle Sams Cider (11/12/2021) 02")</f>
        <v>Uncle Sams Cider (11/12/2021) 02</v>
      </c>
      <c r="H3203" s="19"/>
    </row>
    <row r="3204">
      <c r="A3204" s="9"/>
      <c r="B3204" s="15"/>
      <c r="C3204" s="9">
        <f>IFERROR(__xludf.DUMMYFUNCTION("""COMPUTED_VALUE"""),44572.1218372453)</f>
        <v>44572.12184</v>
      </c>
      <c r="D3204" s="15">
        <f>IFERROR(__xludf.DUMMYFUNCTION("""COMPUTED_VALUE"""),1.008)</f>
        <v>1.008</v>
      </c>
      <c r="E3204" s="16">
        <f>IFERROR(__xludf.DUMMYFUNCTION("""COMPUTED_VALUE"""),63.0)</f>
        <v>63</v>
      </c>
      <c r="F3204" s="19" t="str">
        <f>IFERROR(__xludf.DUMMYFUNCTION("""COMPUTED_VALUE"""),"BLACK")</f>
        <v>BLACK</v>
      </c>
      <c r="G3204" s="20" t="str">
        <f>IFERROR(__xludf.DUMMYFUNCTION("""COMPUTED_VALUE"""),"Uncle Sams Cider (11/12/2021) 02")</f>
        <v>Uncle Sams Cider (11/12/2021) 02</v>
      </c>
      <c r="H3204" s="19"/>
    </row>
    <row r="3205">
      <c r="A3205" s="9"/>
      <c r="B3205" s="15"/>
      <c r="C3205" s="9">
        <f>IFERROR(__xludf.DUMMYFUNCTION("""COMPUTED_VALUE"""),44572.1114175347)</f>
        <v>44572.11142</v>
      </c>
      <c r="D3205" s="15">
        <f>IFERROR(__xludf.DUMMYFUNCTION("""COMPUTED_VALUE"""),1.008)</f>
        <v>1.008</v>
      </c>
      <c r="E3205" s="16">
        <f>IFERROR(__xludf.DUMMYFUNCTION("""COMPUTED_VALUE"""),63.0)</f>
        <v>63</v>
      </c>
      <c r="F3205" s="19" t="str">
        <f>IFERROR(__xludf.DUMMYFUNCTION("""COMPUTED_VALUE"""),"BLACK")</f>
        <v>BLACK</v>
      </c>
      <c r="G3205" s="20" t="str">
        <f>IFERROR(__xludf.DUMMYFUNCTION("""COMPUTED_VALUE"""),"Uncle Sams Cider (11/12/2021) 02")</f>
        <v>Uncle Sams Cider (11/12/2021) 02</v>
      </c>
      <c r="H3205" s="19"/>
    </row>
    <row r="3206">
      <c r="A3206" s="9"/>
      <c r="B3206" s="15"/>
      <c r="C3206" s="9">
        <f>IFERROR(__xludf.DUMMYFUNCTION("""COMPUTED_VALUE"""),44572.1009363773)</f>
        <v>44572.10094</v>
      </c>
      <c r="D3206" s="15">
        <f>IFERROR(__xludf.DUMMYFUNCTION("""COMPUTED_VALUE"""),1.008)</f>
        <v>1.008</v>
      </c>
      <c r="E3206" s="16">
        <f>IFERROR(__xludf.DUMMYFUNCTION("""COMPUTED_VALUE"""),63.0)</f>
        <v>63</v>
      </c>
      <c r="F3206" s="19" t="str">
        <f>IFERROR(__xludf.DUMMYFUNCTION("""COMPUTED_VALUE"""),"BLACK")</f>
        <v>BLACK</v>
      </c>
      <c r="G3206" s="20" t="str">
        <f>IFERROR(__xludf.DUMMYFUNCTION("""COMPUTED_VALUE"""),"Uncle Sams Cider (11/12/2021) 02")</f>
        <v>Uncle Sams Cider (11/12/2021) 02</v>
      </c>
      <c r="H3206" s="19"/>
    </row>
    <row r="3207">
      <c r="A3207" s="9"/>
      <c r="B3207" s="15"/>
      <c r="C3207" s="9">
        <f>IFERROR(__xludf.DUMMYFUNCTION("""COMPUTED_VALUE"""),44572.0905168981)</f>
        <v>44572.09052</v>
      </c>
      <c r="D3207" s="15">
        <f>IFERROR(__xludf.DUMMYFUNCTION("""COMPUTED_VALUE"""),1.008)</f>
        <v>1.008</v>
      </c>
      <c r="E3207" s="16">
        <f>IFERROR(__xludf.DUMMYFUNCTION("""COMPUTED_VALUE"""),63.0)</f>
        <v>63</v>
      </c>
      <c r="F3207" s="19" t="str">
        <f>IFERROR(__xludf.DUMMYFUNCTION("""COMPUTED_VALUE"""),"BLACK")</f>
        <v>BLACK</v>
      </c>
      <c r="G3207" s="20" t="str">
        <f>IFERROR(__xludf.DUMMYFUNCTION("""COMPUTED_VALUE"""),"Uncle Sams Cider (11/12/2021) 02")</f>
        <v>Uncle Sams Cider (11/12/2021) 02</v>
      </c>
      <c r="H3207" s="19"/>
    </row>
    <row r="3208">
      <c r="A3208" s="9"/>
      <c r="B3208" s="15"/>
      <c r="C3208" s="9">
        <f>IFERROR(__xludf.DUMMYFUNCTION("""COMPUTED_VALUE"""),44572.0800845254)</f>
        <v>44572.08008</v>
      </c>
      <c r="D3208" s="15">
        <f>IFERROR(__xludf.DUMMYFUNCTION("""COMPUTED_VALUE"""),1.008)</f>
        <v>1.008</v>
      </c>
      <c r="E3208" s="16">
        <f>IFERROR(__xludf.DUMMYFUNCTION("""COMPUTED_VALUE"""),63.0)</f>
        <v>63</v>
      </c>
      <c r="F3208" s="19" t="str">
        <f>IFERROR(__xludf.DUMMYFUNCTION("""COMPUTED_VALUE"""),"BLACK")</f>
        <v>BLACK</v>
      </c>
      <c r="G3208" s="20" t="str">
        <f>IFERROR(__xludf.DUMMYFUNCTION("""COMPUTED_VALUE"""),"Uncle Sams Cider (11/12/2021) 02")</f>
        <v>Uncle Sams Cider (11/12/2021) 02</v>
      </c>
      <c r="H3208" s="19"/>
    </row>
    <row r="3209">
      <c r="A3209" s="9"/>
      <c r="B3209" s="15"/>
      <c r="C3209" s="9">
        <f>IFERROR(__xludf.DUMMYFUNCTION("""COMPUTED_VALUE"""),44572.0696404745)</f>
        <v>44572.06964</v>
      </c>
      <c r="D3209" s="15">
        <f>IFERROR(__xludf.DUMMYFUNCTION("""COMPUTED_VALUE"""),1.008)</f>
        <v>1.008</v>
      </c>
      <c r="E3209" s="16">
        <f>IFERROR(__xludf.DUMMYFUNCTION("""COMPUTED_VALUE"""),63.0)</f>
        <v>63</v>
      </c>
      <c r="F3209" s="19" t="str">
        <f>IFERROR(__xludf.DUMMYFUNCTION("""COMPUTED_VALUE"""),"BLACK")</f>
        <v>BLACK</v>
      </c>
      <c r="G3209" s="20" t="str">
        <f>IFERROR(__xludf.DUMMYFUNCTION("""COMPUTED_VALUE"""),"Uncle Sams Cider (11/12/2021) 02")</f>
        <v>Uncle Sams Cider (11/12/2021) 02</v>
      </c>
      <c r="H3209" s="19"/>
    </row>
    <row r="3210">
      <c r="A3210" s="9"/>
      <c r="B3210" s="15"/>
      <c r="C3210" s="9">
        <f>IFERROR(__xludf.DUMMYFUNCTION("""COMPUTED_VALUE"""),44572.0592085648)</f>
        <v>44572.05921</v>
      </c>
      <c r="D3210" s="15">
        <f>IFERROR(__xludf.DUMMYFUNCTION("""COMPUTED_VALUE"""),1.008)</f>
        <v>1.008</v>
      </c>
      <c r="E3210" s="16">
        <f>IFERROR(__xludf.DUMMYFUNCTION("""COMPUTED_VALUE"""),63.0)</f>
        <v>63</v>
      </c>
      <c r="F3210" s="19" t="str">
        <f>IFERROR(__xludf.DUMMYFUNCTION("""COMPUTED_VALUE"""),"BLACK")</f>
        <v>BLACK</v>
      </c>
      <c r="G3210" s="20" t="str">
        <f>IFERROR(__xludf.DUMMYFUNCTION("""COMPUTED_VALUE"""),"Uncle Sams Cider (11/12/2021) 02")</f>
        <v>Uncle Sams Cider (11/12/2021) 02</v>
      </c>
      <c r="H3210" s="19"/>
    </row>
    <row r="3211">
      <c r="A3211" s="9"/>
      <c r="B3211" s="15"/>
      <c r="C3211" s="9">
        <f>IFERROR(__xludf.DUMMYFUNCTION("""COMPUTED_VALUE"""),44572.0487875578)</f>
        <v>44572.04879</v>
      </c>
      <c r="D3211" s="15">
        <f>IFERROR(__xludf.DUMMYFUNCTION("""COMPUTED_VALUE"""),1.008)</f>
        <v>1.008</v>
      </c>
      <c r="E3211" s="16">
        <f>IFERROR(__xludf.DUMMYFUNCTION("""COMPUTED_VALUE"""),63.0)</f>
        <v>63</v>
      </c>
      <c r="F3211" s="19" t="str">
        <f>IFERROR(__xludf.DUMMYFUNCTION("""COMPUTED_VALUE"""),"BLACK")</f>
        <v>BLACK</v>
      </c>
      <c r="G3211" s="20" t="str">
        <f>IFERROR(__xludf.DUMMYFUNCTION("""COMPUTED_VALUE"""),"Uncle Sams Cider (11/12/2021) 02")</f>
        <v>Uncle Sams Cider (11/12/2021) 02</v>
      </c>
      <c r="H3211" s="19"/>
    </row>
    <row r="3212">
      <c r="A3212" s="9"/>
      <c r="B3212" s="15"/>
      <c r="C3212" s="9">
        <f>IFERROR(__xludf.DUMMYFUNCTION("""COMPUTED_VALUE"""),44572.0383649421)</f>
        <v>44572.03836</v>
      </c>
      <c r="D3212" s="15">
        <f>IFERROR(__xludf.DUMMYFUNCTION("""COMPUTED_VALUE"""),1.008)</f>
        <v>1.008</v>
      </c>
      <c r="E3212" s="16">
        <f>IFERROR(__xludf.DUMMYFUNCTION("""COMPUTED_VALUE"""),63.0)</f>
        <v>63</v>
      </c>
      <c r="F3212" s="19" t="str">
        <f>IFERROR(__xludf.DUMMYFUNCTION("""COMPUTED_VALUE"""),"BLACK")</f>
        <v>BLACK</v>
      </c>
      <c r="G3212" s="20" t="str">
        <f>IFERROR(__xludf.DUMMYFUNCTION("""COMPUTED_VALUE"""),"Uncle Sams Cider (11/12/2021) 02")</f>
        <v>Uncle Sams Cider (11/12/2021) 02</v>
      </c>
      <c r="H3212" s="19"/>
    </row>
    <row r="3213">
      <c r="A3213" s="9"/>
      <c r="B3213" s="15"/>
      <c r="C3213" s="9">
        <f>IFERROR(__xludf.DUMMYFUNCTION("""COMPUTED_VALUE"""),44572.0279409837)</f>
        <v>44572.02794</v>
      </c>
      <c r="D3213" s="15">
        <f>IFERROR(__xludf.DUMMYFUNCTION("""COMPUTED_VALUE"""),1.008)</f>
        <v>1.008</v>
      </c>
      <c r="E3213" s="16">
        <f>IFERROR(__xludf.DUMMYFUNCTION("""COMPUTED_VALUE"""),63.0)</f>
        <v>63</v>
      </c>
      <c r="F3213" s="19" t="str">
        <f>IFERROR(__xludf.DUMMYFUNCTION("""COMPUTED_VALUE"""),"BLACK")</f>
        <v>BLACK</v>
      </c>
      <c r="G3213" s="20" t="str">
        <f>IFERROR(__xludf.DUMMYFUNCTION("""COMPUTED_VALUE"""),"Uncle Sams Cider (11/12/2021) 02")</f>
        <v>Uncle Sams Cider (11/12/2021) 02</v>
      </c>
      <c r="H3213" s="19"/>
    </row>
    <row r="3214">
      <c r="A3214" s="9"/>
      <c r="B3214" s="15"/>
      <c r="C3214" s="9">
        <f>IFERROR(__xludf.DUMMYFUNCTION("""COMPUTED_VALUE"""),44572.0175201851)</f>
        <v>44572.01752</v>
      </c>
      <c r="D3214" s="15">
        <f>IFERROR(__xludf.DUMMYFUNCTION("""COMPUTED_VALUE"""),1.008)</f>
        <v>1.008</v>
      </c>
      <c r="E3214" s="16">
        <f>IFERROR(__xludf.DUMMYFUNCTION("""COMPUTED_VALUE"""),63.0)</f>
        <v>63</v>
      </c>
      <c r="F3214" s="19" t="str">
        <f>IFERROR(__xludf.DUMMYFUNCTION("""COMPUTED_VALUE"""),"BLACK")</f>
        <v>BLACK</v>
      </c>
      <c r="G3214" s="20" t="str">
        <f>IFERROR(__xludf.DUMMYFUNCTION("""COMPUTED_VALUE"""),"Uncle Sams Cider (11/12/2021) 02")</f>
        <v>Uncle Sams Cider (11/12/2021) 02</v>
      </c>
      <c r="H3214" s="19"/>
    </row>
    <row r="3215">
      <c r="A3215" s="9"/>
      <c r="B3215" s="15"/>
      <c r="C3215" s="9">
        <f>IFERROR(__xludf.DUMMYFUNCTION("""COMPUTED_VALUE"""),44572.0070881365)</f>
        <v>44572.00709</v>
      </c>
      <c r="D3215" s="15">
        <f>IFERROR(__xludf.DUMMYFUNCTION("""COMPUTED_VALUE"""),1.008)</f>
        <v>1.008</v>
      </c>
      <c r="E3215" s="16">
        <f>IFERROR(__xludf.DUMMYFUNCTION("""COMPUTED_VALUE"""),63.0)</f>
        <v>63</v>
      </c>
      <c r="F3215" s="19" t="str">
        <f>IFERROR(__xludf.DUMMYFUNCTION("""COMPUTED_VALUE"""),"BLACK")</f>
        <v>BLACK</v>
      </c>
      <c r="G3215" s="20" t="str">
        <f>IFERROR(__xludf.DUMMYFUNCTION("""COMPUTED_VALUE"""),"Uncle Sams Cider (11/12/2021) 02")</f>
        <v>Uncle Sams Cider (11/12/2021) 02</v>
      </c>
      <c r="H3215" s="19"/>
    </row>
    <row r="3216">
      <c r="A3216" s="9"/>
      <c r="B3216" s="15"/>
      <c r="C3216" s="9">
        <f>IFERROR(__xludf.DUMMYFUNCTION("""COMPUTED_VALUE"""),44571.9966666666)</f>
        <v>44571.99667</v>
      </c>
      <c r="D3216" s="15">
        <f>IFERROR(__xludf.DUMMYFUNCTION("""COMPUTED_VALUE"""),1.008)</f>
        <v>1.008</v>
      </c>
      <c r="E3216" s="16">
        <f>IFERROR(__xludf.DUMMYFUNCTION("""COMPUTED_VALUE"""),63.0)</f>
        <v>63</v>
      </c>
      <c r="F3216" s="19" t="str">
        <f>IFERROR(__xludf.DUMMYFUNCTION("""COMPUTED_VALUE"""),"BLACK")</f>
        <v>BLACK</v>
      </c>
      <c r="G3216" s="20" t="str">
        <f>IFERROR(__xludf.DUMMYFUNCTION("""COMPUTED_VALUE"""),"Uncle Sams Cider (11/12/2021) 02")</f>
        <v>Uncle Sams Cider (11/12/2021) 02</v>
      </c>
      <c r="H3216" s="19"/>
    </row>
    <row r="3217">
      <c r="A3217" s="9"/>
      <c r="B3217" s="15"/>
      <c r="C3217" s="9">
        <f>IFERROR(__xludf.DUMMYFUNCTION("""COMPUTED_VALUE"""),44571.9862319212)</f>
        <v>44571.98623</v>
      </c>
      <c r="D3217" s="15">
        <f>IFERROR(__xludf.DUMMYFUNCTION("""COMPUTED_VALUE"""),1.008)</f>
        <v>1.008</v>
      </c>
      <c r="E3217" s="16">
        <f>IFERROR(__xludf.DUMMYFUNCTION("""COMPUTED_VALUE"""),63.0)</f>
        <v>63</v>
      </c>
      <c r="F3217" s="19" t="str">
        <f>IFERROR(__xludf.DUMMYFUNCTION("""COMPUTED_VALUE"""),"BLACK")</f>
        <v>BLACK</v>
      </c>
      <c r="G3217" s="20" t="str">
        <f>IFERROR(__xludf.DUMMYFUNCTION("""COMPUTED_VALUE"""),"Uncle Sams Cider (11/12/2021) 02")</f>
        <v>Uncle Sams Cider (11/12/2021) 02</v>
      </c>
      <c r="H3217" s="19"/>
    </row>
    <row r="3218">
      <c r="A3218" s="9"/>
      <c r="B3218" s="15"/>
      <c r="C3218" s="9">
        <f>IFERROR(__xludf.DUMMYFUNCTION("""COMPUTED_VALUE"""),44571.9758116319)</f>
        <v>44571.97581</v>
      </c>
      <c r="D3218" s="15">
        <f>IFERROR(__xludf.DUMMYFUNCTION("""COMPUTED_VALUE"""),1.008)</f>
        <v>1.008</v>
      </c>
      <c r="E3218" s="16">
        <f>IFERROR(__xludf.DUMMYFUNCTION("""COMPUTED_VALUE"""),63.0)</f>
        <v>63</v>
      </c>
      <c r="F3218" s="19" t="str">
        <f>IFERROR(__xludf.DUMMYFUNCTION("""COMPUTED_VALUE"""),"BLACK")</f>
        <v>BLACK</v>
      </c>
      <c r="G3218" s="20" t="str">
        <f>IFERROR(__xludf.DUMMYFUNCTION("""COMPUTED_VALUE"""),"Uncle Sams Cider (11/12/2021) 02")</f>
        <v>Uncle Sams Cider (11/12/2021) 02</v>
      </c>
      <c r="H3218" s="19"/>
    </row>
    <row r="3219">
      <c r="A3219" s="9"/>
      <c r="B3219" s="15"/>
      <c r="C3219" s="9">
        <f>IFERROR(__xludf.DUMMYFUNCTION("""COMPUTED_VALUE"""),44571.9653890162)</f>
        <v>44571.96539</v>
      </c>
      <c r="D3219" s="15">
        <f>IFERROR(__xludf.DUMMYFUNCTION("""COMPUTED_VALUE"""),1.008)</f>
        <v>1.008</v>
      </c>
      <c r="E3219" s="16">
        <f>IFERROR(__xludf.DUMMYFUNCTION("""COMPUTED_VALUE"""),63.0)</f>
        <v>63</v>
      </c>
      <c r="F3219" s="19" t="str">
        <f>IFERROR(__xludf.DUMMYFUNCTION("""COMPUTED_VALUE"""),"BLACK")</f>
        <v>BLACK</v>
      </c>
      <c r="G3219" s="20" t="str">
        <f>IFERROR(__xludf.DUMMYFUNCTION("""COMPUTED_VALUE"""),"Uncle Sams Cider (11/12/2021) 02")</f>
        <v>Uncle Sams Cider (11/12/2021) 02</v>
      </c>
      <c r="H3219" s="19"/>
    </row>
    <row r="3220">
      <c r="A3220" s="9"/>
      <c r="B3220" s="15"/>
      <c r="C3220" s="9">
        <f>IFERROR(__xludf.DUMMYFUNCTION("""COMPUTED_VALUE"""),44571.954943206)</f>
        <v>44571.95494</v>
      </c>
      <c r="D3220" s="15">
        <f>IFERROR(__xludf.DUMMYFUNCTION("""COMPUTED_VALUE"""),1.008)</f>
        <v>1.008</v>
      </c>
      <c r="E3220" s="16">
        <f>IFERROR(__xludf.DUMMYFUNCTION("""COMPUTED_VALUE"""),63.0)</f>
        <v>63</v>
      </c>
      <c r="F3220" s="19" t="str">
        <f>IFERROR(__xludf.DUMMYFUNCTION("""COMPUTED_VALUE"""),"BLACK")</f>
        <v>BLACK</v>
      </c>
      <c r="G3220" s="20" t="str">
        <f>IFERROR(__xludf.DUMMYFUNCTION("""COMPUTED_VALUE"""),"Uncle Sams Cider (11/12/2021) 02")</f>
        <v>Uncle Sams Cider (11/12/2021) 02</v>
      </c>
      <c r="H3220" s="19"/>
    </row>
    <row r="3221">
      <c r="A3221" s="9"/>
      <c r="B3221" s="15"/>
      <c r="C3221" s="9">
        <f>IFERROR(__xludf.DUMMYFUNCTION("""COMPUTED_VALUE"""),44571.9445218402)</f>
        <v>44571.94452</v>
      </c>
      <c r="D3221" s="15">
        <f>IFERROR(__xludf.DUMMYFUNCTION("""COMPUTED_VALUE"""),1.008)</f>
        <v>1.008</v>
      </c>
      <c r="E3221" s="16">
        <f>IFERROR(__xludf.DUMMYFUNCTION("""COMPUTED_VALUE"""),63.0)</f>
        <v>63</v>
      </c>
      <c r="F3221" s="19" t="str">
        <f>IFERROR(__xludf.DUMMYFUNCTION("""COMPUTED_VALUE"""),"BLACK")</f>
        <v>BLACK</v>
      </c>
      <c r="G3221" s="20" t="str">
        <f>IFERROR(__xludf.DUMMYFUNCTION("""COMPUTED_VALUE"""),"Uncle Sams Cider (11/12/2021) 02")</f>
        <v>Uncle Sams Cider (11/12/2021) 02</v>
      </c>
      <c r="H3221" s="19"/>
    </row>
    <row r="3222">
      <c r="A3222" s="9"/>
      <c r="B3222" s="15"/>
      <c r="C3222" s="9">
        <f>IFERROR(__xludf.DUMMYFUNCTION("""COMPUTED_VALUE"""),44571.934100787)</f>
        <v>44571.9341</v>
      </c>
      <c r="D3222" s="15">
        <f>IFERROR(__xludf.DUMMYFUNCTION("""COMPUTED_VALUE"""),1.008)</f>
        <v>1.008</v>
      </c>
      <c r="E3222" s="16">
        <f>IFERROR(__xludf.DUMMYFUNCTION("""COMPUTED_VALUE"""),63.0)</f>
        <v>63</v>
      </c>
      <c r="F3222" s="19" t="str">
        <f>IFERROR(__xludf.DUMMYFUNCTION("""COMPUTED_VALUE"""),"BLACK")</f>
        <v>BLACK</v>
      </c>
      <c r="G3222" s="20" t="str">
        <f>IFERROR(__xludf.DUMMYFUNCTION("""COMPUTED_VALUE"""),"Uncle Sams Cider (11/12/2021) 02")</f>
        <v>Uncle Sams Cider (11/12/2021) 02</v>
      </c>
      <c r="H3222" s="19"/>
    </row>
    <row r="3223">
      <c r="A3223" s="9"/>
      <c r="B3223" s="15"/>
      <c r="C3223" s="9">
        <f>IFERROR(__xludf.DUMMYFUNCTION("""COMPUTED_VALUE"""),44571.9236789004)</f>
        <v>44571.92368</v>
      </c>
      <c r="D3223" s="15">
        <f>IFERROR(__xludf.DUMMYFUNCTION("""COMPUTED_VALUE"""),1.008)</f>
        <v>1.008</v>
      </c>
      <c r="E3223" s="16">
        <f>IFERROR(__xludf.DUMMYFUNCTION("""COMPUTED_VALUE"""),63.0)</f>
        <v>63</v>
      </c>
      <c r="F3223" s="19" t="str">
        <f>IFERROR(__xludf.DUMMYFUNCTION("""COMPUTED_VALUE"""),"BLACK")</f>
        <v>BLACK</v>
      </c>
      <c r="G3223" s="20" t="str">
        <f>IFERROR(__xludf.DUMMYFUNCTION("""COMPUTED_VALUE"""),"Uncle Sams Cider (11/12/2021) 02")</f>
        <v>Uncle Sams Cider (11/12/2021) 02</v>
      </c>
      <c r="H3223" s="19"/>
    </row>
    <row r="3224">
      <c r="A3224" s="9"/>
      <c r="B3224" s="15"/>
      <c r="C3224" s="9">
        <f>IFERROR(__xludf.DUMMYFUNCTION("""COMPUTED_VALUE"""),44571.9132460416)</f>
        <v>44571.91325</v>
      </c>
      <c r="D3224" s="15">
        <f>IFERROR(__xludf.DUMMYFUNCTION("""COMPUTED_VALUE"""),1.008)</f>
        <v>1.008</v>
      </c>
      <c r="E3224" s="16">
        <f>IFERROR(__xludf.DUMMYFUNCTION("""COMPUTED_VALUE"""),63.0)</f>
        <v>63</v>
      </c>
      <c r="F3224" s="19" t="str">
        <f>IFERROR(__xludf.DUMMYFUNCTION("""COMPUTED_VALUE"""),"BLACK")</f>
        <v>BLACK</v>
      </c>
      <c r="G3224" s="20" t="str">
        <f>IFERROR(__xludf.DUMMYFUNCTION("""COMPUTED_VALUE"""),"Uncle Sams Cider (11/12/2021) 02")</f>
        <v>Uncle Sams Cider (11/12/2021) 02</v>
      </c>
      <c r="H3224" s="19"/>
    </row>
    <row r="3225">
      <c r="A3225" s="9"/>
      <c r="B3225" s="15"/>
      <c r="C3225" s="9">
        <f>IFERROR(__xludf.DUMMYFUNCTION("""COMPUTED_VALUE"""),44571.9028121527)</f>
        <v>44571.90281</v>
      </c>
      <c r="D3225" s="15">
        <f>IFERROR(__xludf.DUMMYFUNCTION("""COMPUTED_VALUE"""),1.008)</f>
        <v>1.008</v>
      </c>
      <c r="E3225" s="16">
        <f>IFERROR(__xludf.DUMMYFUNCTION("""COMPUTED_VALUE"""),63.0)</f>
        <v>63</v>
      </c>
      <c r="F3225" s="19" t="str">
        <f>IFERROR(__xludf.DUMMYFUNCTION("""COMPUTED_VALUE"""),"BLACK")</f>
        <v>BLACK</v>
      </c>
      <c r="G3225" s="20" t="str">
        <f>IFERROR(__xludf.DUMMYFUNCTION("""COMPUTED_VALUE"""),"Uncle Sams Cider (11/12/2021) 02")</f>
        <v>Uncle Sams Cider (11/12/2021) 02</v>
      </c>
      <c r="H3225" s="19"/>
    </row>
    <row r="3226">
      <c r="A3226" s="9"/>
      <c r="B3226" s="15"/>
      <c r="C3226" s="9">
        <f>IFERROR(__xludf.DUMMYFUNCTION("""COMPUTED_VALUE"""),44571.892390868)</f>
        <v>44571.89239</v>
      </c>
      <c r="D3226" s="15">
        <f>IFERROR(__xludf.DUMMYFUNCTION("""COMPUTED_VALUE"""),1.008)</f>
        <v>1.008</v>
      </c>
      <c r="E3226" s="16">
        <f>IFERROR(__xludf.DUMMYFUNCTION("""COMPUTED_VALUE"""),63.0)</f>
        <v>63</v>
      </c>
      <c r="F3226" s="19" t="str">
        <f>IFERROR(__xludf.DUMMYFUNCTION("""COMPUTED_VALUE"""),"BLACK")</f>
        <v>BLACK</v>
      </c>
      <c r="G3226" s="20" t="str">
        <f>IFERROR(__xludf.DUMMYFUNCTION("""COMPUTED_VALUE"""),"Uncle Sams Cider (11/12/2021) 02")</f>
        <v>Uncle Sams Cider (11/12/2021) 02</v>
      </c>
      <c r="H3226" s="19"/>
    </row>
    <row r="3227">
      <c r="A3227" s="9"/>
      <c r="B3227" s="15"/>
      <c r="C3227" s="9">
        <f>IFERROR(__xludf.DUMMYFUNCTION("""COMPUTED_VALUE"""),44571.8819715624)</f>
        <v>44571.88197</v>
      </c>
      <c r="D3227" s="15">
        <f>IFERROR(__xludf.DUMMYFUNCTION("""COMPUTED_VALUE"""),1.008)</f>
        <v>1.008</v>
      </c>
      <c r="E3227" s="16">
        <f>IFERROR(__xludf.DUMMYFUNCTION("""COMPUTED_VALUE"""),63.0)</f>
        <v>63</v>
      </c>
      <c r="F3227" s="19" t="str">
        <f>IFERROR(__xludf.DUMMYFUNCTION("""COMPUTED_VALUE"""),"BLACK")</f>
        <v>BLACK</v>
      </c>
      <c r="G3227" s="20" t="str">
        <f>IFERROR(__xludf.DUMMYFUNCTION("""COMPUTED_VALUE"""),"Uncle Sams Cider (11/12/2021) 02")</f>
        <v>Uncle Sams Cider (11/12/2021) 02</v>
      </c>
      <c r="H3227" s="19"/>
    </row>
    <row r="3228">
      <c r="A3228" s="9"/>
      <c r="B3228" s="15"/>
      <c r="C3228" s="9">
        <f>IFERROR(__xludf.DUMMYFUNCTION("""COMPUTED_VALUE"""),44571.8715504629)</f>
        <v>44571.87155</v>
      </c>
      <c r="D3228" s="15">
        <f>IFERROR(__xludf.DUMMYFUNCTION("""COMPUTED_VALUE"""),1.008)</f>
        <v>1.008</v>
      </c>
      <c r="E3228" s="16">
        <f>IFERROR(__xludf.DUMMYFUNCTION("""COMPUTED_VALUE"""),63.0)</f>
        <v>63</v>
      </c>
      <c r="F3228" s="19" t="str">
        <f>IFERROR(__xludf.DUMMYFUNCTION("""COMPUTED_VALUE"""),"BLACK")</f>
        <v>BLACK</v>
      </c>
      <c r="G3228" s="20" t="str">
        <f>IFERROR(__xludf.DUMMYFUNCTION("""COMPUTED_VALUE"""),"Uncle Sams Cider (11/12/2021) 02")</f>
        <v>Uncle Sams Cider (11/12/2021) 02</v>
      </c>
      <c r="H3228" s="19"/>
    </row>
    <row r="3229">
      <c r="A3229" s="9"/>
      <c r="B3229" s="15"/>
      <c r="C3229" s="9">
        <f>IFERROR(__xludf.DUMMYFUNCTION("""COMPUTED_VALUE"""),44571.8611299768)</f>
        <v>44571.86113</v>
      </c>
      <c r="D3229" s="15">
        <f>IFERROR(__xludf.DUMMYFUNCTION("""COMPUTED_VALUE"""),1.008)</f>
        <v>1.008</v>
      </c>
      <c r="E3229" s="16">
        <f>IFERROR(__xludf.DUMMYFUNCTION("""COMPUTED_VALUE"""),63.0)</f>
        <v>63</v>
      </c>
      <c r="F3229" s="19" t="str">
        <f>IFERROR(__xludf.DUMMYFUNCTION("""COMPUTED_VALUE"""),"BLACK")</f>
        <v>BLACK</v>
      </c>
      <c r="G3229" s="20" t="str">
        <f>IFERROR(__xludf.DUMMYFUNCTION("""COMPUTED_VALUE"""),"Uncle Sams Cider (11/12/2021) 02")</f>
        <v>Uncle Sams Cider (11/12/2021) 02</v>
      </c>
      <c r="H3229" s="19"/>
    </row>
    <row r="3230">
      <c r="A3230" s="9"/>
      <c r="B3230" s="15"/>
      <c r="C3230" s="9">
        <f>IFERROR(__xludf.DUMMYFUNCTION("""COMPUTED_VALUE"""),44571.8507104513)</f>
        <v>44571.85071</v>
      </c>
      <c r="D3230" s="15">
        <f>IFERROR(__xludf.DUMMYFUNCTION("""COMPUTED_VALUE"""),1.008)</f>
        <v>1.008</v>
      </c>
      <c r="E3230" s="16">
        <f>IFERROR(__xludf.DUMMYFUNCTION("""COMPUTED_VALUE"""),63.0)</f>
        <v>63</v>
      </c>
      <c r="F3230" s="19" t="str">
        <f>IFERROR(__xludf.DUMMYFUNCTION("""COMPUTED_VALUE"""),"BLACK")</f>
        <v>BLACK</v>
      </c>
      <c r="G3230" s="20" t="str">
        <f>IFERROR(__xludf.DUMMYFUNCTION("""COMPUTED_VALUE"""),"Uncle Sams Cider (11/12/2021) 02")</f>
        <v>Uncle Sams Cider (11/12/2021) 02</v>
      </c>
      <c r="H3230" s="19"/>
    </row>
    <row r="3231">
      <c r="A3231" s="9"/>
      <c r="B3231" s="15"/>
      <c r="C3231" s="9">
        <f>IFERROR(__xludf.DUMMYFUNCTION("""COMPUTED_VALUE"""),44571.8402774999)</f>
        <v>44571.84028</v>
      </c>
      <c r="D3231" s="15">
        <f>IFERROR(__xludf.DUMMYFUNCTION("""COMPUTED_VALUE"""),1.008)</f>
        <v>1.008</v>
      </c>
      <c r="E3231" s="16">
        <f>IFERROR(__xludf.DUMMYFUNCTION("""COMPUTED_VALUE"""),63.0)</f>
        <v>63</v>
      </c>
      <c r="F3231" s="19" t="str">
        <f>IFERROR(__xludf.DUMMYFUNCTION("""COMPUTED_VALUE"""),"BLACK")</f>
        <v>BLACK</v>
      </c>
      <c r="G3231" s="20" t="str">
        <f>IFERROR(__xludf.DUMMYFUNCTION("""COMPUTED_VALUE"""),"Uncle Sams Cider (11/12/2021) 02")</f>
        <v>Uncle Sams Cider (11/12/2021) 02</v>
      </c>
      <c r="H3231" s="19"/>
    </row>
    <row r="3232">
      <c r="A3232" s="9"/>
      <c r="B3232" s="15"/>
      <c r="C3232" s="9">
        <f>IFERROR(__xludf.DUMMYFUNCTION("""COMPUTED_VALUE"""),44571.8298553935)</f>
        <v>44571.82986</v>
      </c>
      <c r="D3232" s="15">
        <f>IFERROR(__xludf.DUMMYFUNCTION("""COMPUTED_VALUE"""),1.008)</f>
        <v>1.008</v>
      </c>
      <c r="E3232" s="16">
        <f>IFERROR(__xludf.DUMMYFUNCTION("""COMPUTED_VALUE"""),63.0)</f>
        <v>63</v>
      </c>
      <c r="F3232" s="19" t="str">
        <f>IFERROR(__xludf.DUMMYFUNCTION("""COMPUTED_VALUE"""),"BLACK")</f>
        <v>BLACK</v>
      </c>
      <c r="G3232" s="20" t="str">
        <f>IFERROR(__xludf.DUMMYFUNCTION("""COMPUTED_VALUE"""),"Uncle Sams Cider (11/12/2021) 02")</f>
        <v>Uncle Sams Cider (11/12/2021) 02</v>
      </c>
      <c r="H3232" s="19"/>
    </row>
    <row r="3233">
      <c r="A3233" s="9"/>
      <c r="B3233" s="15"/>
      <c r="C3233" s="9">
        <f>IFERROR(__xludf.DUMMYFUNCTION("""COMPUTED_VALUE"""),44571.8194356134)</f>
        <v>44571.81944</v>
      </c>
      <c r="D3233" s="15">
        <f>IFERROR(__xludf.DUMMYFUNCTION("""COMPUTED_VALUE"""),1.008)</f>
        <v>1.008</v>
      </c>
      <c r="E3233" s="16">
        <f>IFERROR(__xludf.DUMMYFUNCTION("""COMPUTED_VALUE"""),63.0)</f>
        <v>63</v>
      </c>
      <c r="F3233" s="19" t="str">
        <f>IFERROR(__xludf.DUMMYFUNCTION("""COMPUTED_VALUE"""),"BLACK")</f>
        <v>BLACK</v>
      </c>
      <c r="G3233" s="20" t="str">
        <f>IFERROR(__xludf.DUMMYFUNCTION("""COMPUTED_VALUE"""),"Uncle Sams Cider (11/12/2021) 02")</f>
        <v>Uncle Sams Cider (11/12/2021) 02</v>
      </c>
      <c r="H3233" s="19"/>
    </row>
    <row r="3234">
      <c r="A3234" s="9"/>
      <c r="B3234" s="15"/>
      <c r="C3234" s="9">
        <f>IFERROR(__xludf.DUMMYFUNCTION("""COMPUTED_VALUE"""),44571.8090151388)</f>
        <v>44571.80902</v>
      </c>
      <c r="D3234" s="15">
        <f>IFERROR(__xludf.DUMMYFUNCTION("""COMPUTED_VALUE"""),1.008)</f>
        <v>1.008</v>
      </c>
      <c r="E3234" s="16">
        <f>IFERROR(__xludf.DUMMYFUNCTION("""COMPUTED_VALUE"""),63.0)</f>
        <v>63</v>
      </c>
      <c r="F3234" s="19" t="str">
        <f>IFERROR(__xludf.DUMMYFUNCTION("""COMPUTED_VALUE"""),"BLACK")</f>
        <v>BLACK</v>
      </c>
      <c r="G3234" s="20" t="str">
        <f>IFERROR(__xludf.DUMMYFUNCTION("""COMPUTED_VALUE"""),"Uncle Sams Cider (11/12/2021) 02")</f>
        <v>Uncle Sams Cider (11/12/2021) 02</v>
      </c>
      <c r="H3234" s="19"/>
    </row>
    <row r="3235">
      <c r="A3235" s="9"/>
      <c r="B3235" s="15"/>
      <c r="C3235" s="9">
        <f>IFERROR(__xludf.DUMMYFUNCTION("""COMPUTED_VALUE"""),44571.7985944791)</f>
        <v>44571.79859</v>
      </c>
      <c r="D3235" s="15">
        <f>IFERROR(__xludf.DUMMYFUNCTION("""COMPUTED_VALUE"""),1.008)</f>
        <v>1.008</v>
      </c>
      <c r="E3235" s="16">
        <f>IFERROR(__xludf.DUMMYFUNCTION("""COMPUTED_VALUE"""),63.0)</f>
        <v>63</v>
      </c>
      <c r="F3235" s="19" t="str">
        <f>IFERROR(__xludf.DUMMYFUNCTION("""COMPUTED_VALUE"""),"BLACK")</f>
        <v>BLACK</v>
      </c>
      <c r="G3235" s="20" t="str">
        <f>IFERROR(__xludf.DUMMYFUNCTION("""COMPUTED_VALUE"""),"Uncle Sams Cider (11/12/2021) 02")</f>
        <v>Uncle Sams Cider (11/12/2021) 02</v>
      </c>
      <c r="H3235" s="19"/>
    </row>
    <row r="3236">
      <c r="A3236" s="9"/>
      <c r="B3236" s="15"/>
      <c r="C3236" s="9">
        <f>IFERROR(__xludf.DUMMYFUNCTION("""COMPUTED_VALUE"""),44571.7881730208)</f>
        <v>44571.78817</v>
      </c>
      <c r="D3236" s="15">
        <f>IFERROR(__xludf.DUMMYFUNCTION("""COMPUTED_VALUE"""),1.008)</f>
        <v>1.008</v>
      </c>
      <c r="E3236" s="16">
        <f>IFERROR(__xludf.DUMMYFUNCTION("""COMPUTED_VALUE"""),63.0)</f>
        <v>63</v>
      </c>
      <c r="F3236" s="19" t="str">
        <f>IFERROR(__xludf.DUMMYFUNCTION("""COMPUTED_VALUE"""),"BLACK")</f>
        <v>BLACK</v>
      </c>
      <c r="G3236" s="20" t="str">
        <f>IFERROR(__xludf.DUMMYFUNCTION("""COMPUTED_VALUE"""),"Uncle Sams Cider (11/12/2021) 02")</f>
        <v>Uncle Sams Cider (11/12/2021) 02</v>
      </c>
      <c r="H3236" s="19"/>
    </row>
    <row r="3237">
      <c r="A3237" s="9"/>
      <c r="B3237" s="15"/>
      <c r="C3237" s="9">
        <f>IFERROR(__xludf.DUMMYFUNCTION("""COMPUTED_VALUE"""),44571.777730081)</f>
        <v>44571.77773</v>
      </c>
      <c r="D3237" s="15">
        <f>IFERROR(__xludf.DUMMYFUNCTION("""COMPUTED_VALUE"""),1.008)</f>
        <v>1.008</v>
      </c>
      <c r="E3237" s="16">
        <f>IFERROR(__xludf.DUMMYFUNCTION("""COMPUTED_VALUE"""),63.0)</f>
        <v>63</v>
      </c>
      <c r="F3237" s="19" t="str">
        <f>IFERROR(__xludf.DUMMYFUNCTION("""COMPUTED_VALUE"""),"BLACK")</f>
        <v>BLACK</v>
      </c>
      <c r="G3237" s="20" t="str">
        <f>IFERROR(__xludf.DUMMYFUNCTION("""COMPUTED_VALUE"""),"Uncle Sams Cider (11/12/2021) 02")</f>
        <v>Uncle Sams Cider (11/12/2021) 02</v>
      </c>
      <c r="H3237" s="19"/>
    </row>
    <row r="3238">
      <c r="A3238" s="9"/>
      <c r="B3238" s="15"/>
      <c r="C3238" s="9">
        <f>IFERROR(__xludf.DUMMYFUNCTION("""COMPUTED_VALUE"""),44571.7673088078)</f>
        <v>44571.76731</v>
      </c>
      <c r="D3238" s="15">
        <f>IFERROR(__xludf.DUMMYFUNCTION("""COMPUTED_VALUE"""),1.008)</f>
        <v>1.008</v>
      </c>
      <c r="E3238" s="16">
        <f>IFERROR(__xludf.DUMMYFUNCTION("""COMPUTED_VALUE"""),63.0)</f>
        <v>63</v>
      </c>
      <c r="F3238" s="19" t="str">
        <f>IFERROR(__xludf.DUMMYFUNCTION("""COMPUTED_VALUE"""),"BLACK")</f>
        <v>BLACK</v>
      </c>
      <c r="G3238" s="20" t="str">
        <f>IFERROR(__xludf.DUMMYFUNCTION("""COMPUTED_VALUE"""),"Uncle Sams Cider (11/12/2021) 02")</f>
        <v>Uncle Sams Cider (11/12/2021) 02</v>
      </c>
      <c r="H3238" s="19"/>
    </row>
    <row r="3239">
      <c r="A3239" s="9"/>
      <c r="B3239" s="15"/>
      <c r="C3239" s="9">
        <f>IFERROR(__xludf.DUMMYFUNCTION("""COMPUTED_VALUE"""),44571.7568891087)</f>
        <v>44571.75689</v>
      </c>
      <c r="D3239" s="15">
        <f>IFERROR(__xludf.DUMMYFUNCTION("""COMPUTED_VALUE"""),1.008)</f>
        <v>1.008</v>
      </c>
      <c r="E3239" s="16">
        <f>IFERROR(__xludf.DUMMYFUNCTION("""COMPUTED_VALUE"""),63.0)</f>
        <v>63</v>
      </c>
      <c r="F3239" s="19" t="str">
        <f>IFERROR(__xludf.DUMMYFUNCTION("""COMPUTED_VALUE"""),"BLACK")</f>
        <v>BLACK</v>
      </c>
      <c r="G3239" s="20" t="str">
        <f>IFERROR(__xludf.DUMMYFUNCTION("""COMPUTED_VALUE"""),"Uncle Sams Cider (11/12/2021) 02")</f>
        <v>Uncle Sams Cider (11/12/2021) 02</v>
      </c>
      <c r="H3239" s="19"/>
    </row>
    <row r="3240">
      <c r="A3240" s="9"/>
      <c r="B3240" s="15"/>
      <c r="C3240" s="9">
        <f>IFERROR(__xludf.DUMMYFUNCTION("""COMPUTED_VALUE"""),44571.7464682523)</f>
        <v>44571.74647</v>
      </c>
      <c r="D3240" s="15">
        <f>IFERROR(__xludf.DUMMYFUNCTION("""COMPUTED_VALUE"""),1.008)</f>
        <v>1.008</v>
      </c>
      <c r="E3240" s="16">
        <f>IFERROR(__xludf.DUMMYFUNCTION("""COMPUTED_VALUE"""),63.0)</f>
        <v>63</v>
      </c>
      <c r="F3240" s="19" t="str">
        <f>IFERROR(__xludf.DUMMYFUNCTION("""COMPUTED_VALUE"""),"BLACK")</f>
        <v>BLACK</v>
      </c>
      <c r="G3240" s="20" t="str">
        <f>IFERROR(__xludf.DUMMYFUNCTION("""COMPUTED_VALUE"""),"Uncle Sams Cider (11/12/2021) 02")</f>
        <v>Uncle Sams Cider (11/12/2021) 02</v>
      </c>
      <c r="H3240" s="19"/>
    </row>
    <row r="3241">
      <c r="A3241" s="9"/>
      <c r="B3241" s="15"/>
      <c r="C3241" s="9">
        <f>IFERROR(__xludf.DUMMYFUNCTION("""COMPUTED_VALUE"""),44571.7360465393)</f>
        <v>44571.73605</v>
      </c>
      <c r="D3241" s="15">
        <f>IFERROR(__xludf.DUMMYFUNCTION("""COMPUTED_VALUE"""),1.008)</f>
        <v>1.008</v>
      </c>
      <c r="E3241" s="16">
        <f>IFERROR(__xludf.DUMMYFUNCTION("""COMPUTED_VALUE"""),63.0)</f>
        <v>63</v>
      </c>
      <c r="F3241" s="19" t="str">
        <f>IFERROR(__xludf.DUMMYFUNCTION("""COMPUTED_VALUE"""),"BLACK")</f>
        <v>BLACK</v>
      </c>
      <c r="G3241" s="20" t="str">
        <f>IFERROR(__xludf.DUMMYFUNCTION("""COMPUTED_VALUE"""),"Uncle Sams Cider (11/12/2021) 02")</f>
        <v>Uncle Sams Cider (11/12/2021) 02</v>
      </c>
      <c r="H3241" s="19"/>
    </row>
    <row r="3242">
      <c r="A3242" s="9"/>
      <c r="B3242" s="15"/>
      <c r="C3242" s="9">
        <f>IFERROR(__xludf.DUMMYFUNCTION("""COMPUTED_VALUE"""),44571.7256285069)</f>
        <v>44571.72563</v>
      </c>
      <c r="D3242" s="15">
        <f>IFERROR(__xludf.DUMMYFUNCTION("""COMPUTED_VALUE"""),1.008)</f>
        <v>1.008</v>
      </c>
      <c r="E3242" s="16">
        <f>IFERROR(__xludf.DUMMYFUNCTION("""COMPUTED_VALUE"""),63.0)</f>
        <v>63</v>
      </c>
      <c r="F3242" s="19" t="str">
        <f>IFERROR(__xludf.DUMMYFUNCTION("""COMPUTED_VALUE"""),"BLACK")</f>
        <v>BLACK</v>
      </c>
      <c r="G3242" s="20" t="str">
        <f>IFERROR(__xludf.DUMMYFUNCTION("""COMPUTED_VALUE"""),"Uncle Sams Cider (11/12/2021) 02")</f>
        <v>Uncle Sams Cider (11/12/2021) 02</v>
      </c>
      <c r="H3242" s="19"/>
    </row>
    <row r="3243">
      <c r="A3243" s="9"/>
      <c r="B3243" s="15"/>
      <c r="C3243" s="9">
        <f>IFERROR(__xludf.DUMMYFUNCTION("""COMPUTED_VALUE"""),44571.7152078703)</f>
        <v>44571.71521</v>
      </c>
      <c r="D3243" s="15">
        <f>IFERROR(__xludf.DUMMYFUNCTION("""COMPUTED_VALUE"""),1.008)</f>
        <v>1.008</v>
      </c>
      <c r="E3243" s="16">
        <f>IFERROR(__xludf.DUMMYFUNCTION("""COMPUTED_VALUE"""),63.0)</f>
        <v>63</v>
      </c>
      <c r="F3243" s="19" t="str">
        <f>IFERROR(__xludf.DUMMYFUNCTION("""COMPUTED_VALUE"""),"BLACK")</f>
        <v>BLACK</v>
      </c>
      <c r="G3243" s="20" t="str">
        <f>IFERROR(__xludf.DUMMYFUNCTION("""COMPUTED_VALUE"""),"Uncle Sams Cider (11/12/2021) 02")</f>
        <v>Uncle Sams Cider (11/12/2021) 02</v>
      </c>
      <c r="H3243" s="19"/>
    </row>
    <row r="3244">
      <c r="A3244" s="9"/>
      <c r="B3244" s="15"/>
      <c r="C3244" s="9">
        <f>IFERROR(__xludf.DUMMYFUNCTION("""COMPUTED_VALUE"""),44571.7047861921)</f>
        <v>44571.70479</v>
      </c>
      <c r="D3244" s="15">
        <f>IFERROR(__xludf.DUMMYFUNCTION("""COMPUTED_VALUE"""),1.008)</f>
        <v>1.008</v>
      </c>
      <c r="E3244" s="16">
        <f>IFERROR(__xludf.DUMMYFUNCTION("""COMPUTED_VALUE"""),63.0)</f>
        <v>63</v>
      </c>
      <c r="F3244" s="19" t="str">
        <f>IFERROR(__xludf.DUMMYFUNCTION("""COMPUTED_VALUE"""),"BLACK")</f>
        <v>BLACK</v>
      </c>
      <c r="G3244" s="20" t="str">
        <f>IFERROR(__xludf.DUMMYFUNCTION("""COMPUTED_VALUE"""),"Uncle Sams Cider (11/12/2021) 02")</f>
        <v>Uncle Sams Cider (11/12/2021) 02</v>
      </c>
      <c r="H3244" s="19"/>
    </row>
    <row r="3245">
      <c r="A3245" s="9"/>
      <c r="B3245" s="15"/>
      <c r="C3245" s="9">
        <f>IFERROR(__xludf.DUMMYFUNCTION("""COMPUTED_VALUE"""),44571.6943640625)</f>
        <v>44571.69436</v>
      </c>
      <c r="D3245" s="15">
        <f>IFERROR(__xludf.DUMMYFUNCTION("""COMPUTED_VALUE"""),1.008)</f>
        <v>1.008</v>
      </c>
      <c r="E3245" s="16">
        <f>IFERROR(__xludf.DUMMYFUNCTION("""COMPUTED_VALUE"""),63.0)</f>
        <v>63</v>
      </c>
      <c r="F3245" s="19" t="str">
        <f>IFERROR(__xludf.DUMMYFUNCTION("""COMPUTED_VALUE"""),"BLACK")</f>
        <v>BLACK</v>
      </c>
      <c r="G3245" s="20" t="str">
        <f>IFERROR(__xludf.DUMMYFUNCTION("""COMPUTED_VALUE"""),"Uncle Sams Cider (11/12/2021) 02")</f>
        <v>Uncle Sams Cider (11/12/2021) 02</v>
      </c>
      <c r="H3245" s="19"/>
    </row>
    <row r="3246">
      <c r="A3246" s="9"/>
      <c r="B3246" s="15"/>
      <c r="C3246" s="9">
        <f>IFERROR(__xludf.DUMMYFUNCTION("""COMPUTED_VALUE"""),44571.6839305439)</f>
        <v>44571.68393</v>
      </c>
      <c r="D3246" s="15">
        <f>IFERROR(__xludf.DUMMYFUNCTION("""COMPUTED_VALUE"""),1.008)</f>
        <v>1.008</v>
      </c>
      <c r="E3246" s="16">
        <f>IFERROR(__xludf.DUMMYFUNCTION("""COMPUTED_VALUE"""),63.0)</f>
        <v>63</v>
      </c>
      <c r="F3246" s="19" t="str">
        <f>IFERROR(__xludf.DUMMYFUNCTION("""COMPUTED_VALUE"""),"BLACK")</f>
        <v>BLACK</v>
      </c>
      <c r="G3246" s="20" t="str">
        <f>IFERROR(__xludf.DUMMYFUNCTION("""COMPUTED_VALUE"""),"Uncle Sams Cider (11/12/2021) 02")</f>
        <v>Uncle Sams Cider (11/12/2021) 02</v>
      </c>
      <c r="H3246" s="19"/>
    </row>
    <row r="3247">
      <c r="A3247" s="9"/>
      <c r="B3247" s="15"/>
      <c r="C3247" s="9">
        <f>IFERROR(__xludf.DUMMYFUNCTION("""COMPUTED_VALUE"""),44571.673511493)</f>
        <v>44571.67351</v>
      </c>
      <c r="D3247" s="15">
        <f>IFERROR(__xludf.DUMMYFUNCTION("""COMPUTED_VALUE"""),1.008)</f>
        <v>1.008</v>
      </c>
      <c r="E3247" s="16">
        <f>IFERROR(__xludf.DUMMYFUNCTION("""COMPUTED_VALUE"""),63.0)</f>
        <v>63</v>
      </c>
      <c r="F3247" s="19" t="str">
        <f>IFERROR(__xludf.DUMMYFUNCTION("""COMPUTED_VALUE"""),"BLACK")</f>
        <v>BLACK</v>
      </c>
      <c r="G3247" s="20" t="str">
        <f>IFERROR(__xludf.DUMMYFUNCTION("""COMPUTED_VALUE"""),"Uncle Sams Cider (11/12/2021) 02")</f>
        <v>Uncle Sams Cider (11/12/2021) 02</v>
      </c>
      <c r="H3247" s="19"/>
    </row>
    <row r="3248">
      <c r="A3248" s="9"/>
      <c r="B3248" s="15"/>
      <c r="C3248" s="9">
        <f>IFERROR(__xludf.DUMMYFUNCTION("""COMPUTED_VALUE"""),44571.6630894791)</f>
        <v>44571.66309</v>
      </c>
      <c r="D3248" s="15">
        <f>IFERROR(__xludf.DUMMYFUNCTION("""COMPUTED_VALUE"""),1.008)</f>
        <v>1.008</v>
      </c>
      <c r="E3248" s="16">
        <f>IFERROR(__xludf.DUMMYFUNCTION("""COMPUTED_VALUE"""),63.0)</f>
        <v>63</v>
      </c>
      <c r="F3248" s="19" t="str">
        <f>IFERROR(__xludf.DUMMYFUNCTION("""COMPUTED_VALUE"""),"BLACK")</f>
        <v>BLACK</v>
      </c>
      <c r="G3248" s="20" t="str">
        <f>IFERROR(__xludf.DUMMYFUNCTION("""COMPUTED_VALUE"""),"Uncle Sams Cider (11/12/2021) 02")</f>
        <v>Uncle Sams Cider (11/12/2021) 02</v>
      </c>
      <c r="H3248" s="19"/>
    </row>
    <row r="3249">
      <c r="A3249" s="9"/>
      <c r="B3249" s="15"/>
      <c r="C3249" s="9">
        <f>IFERROR(__xludf.DUMMYFUNCTION("""COMPUTED_VALUE"""),44571.6526690046)</f>
        <v>44571.65267</v>
      </c>
      <c r="D3249" s="15">
        <f>IFERROR(__xludf.DUMMYFUNCTION("""COMPUTED_VALUE"""),1.008)</f>
        <v>1.008</v>
      </c>
      <c r="E3249" s="16">
        <f>IFERROR(__xludf.DUMMYFUNCTION("""COMPUTED_VALUE"""),64.0)</f>
        <v>64</v>
      </c>
      <c r="F3249" s="19" t="str">
        <f>IFERROR(__xludf.DUMMYFUNCTION("""COMPUTED_VALUE"""),"BLACK")</f>
        <v>BLACK</v>
      </c>
      <c r="G3249" s="20" t="str">
        <f>IFERROR(__xludf.DUMMYFUNCTION("""COMPUTED_VALUE"""),"Uncle Sams Cider (11/12/2021) 02")</f>
        <v>Uncle Sams Cider (11/12/2021) 02</v>
      </c>
      <c r="H3249" s="19"/>
    </row>
    <row r="3250">
      <c r="A3250" s="9"/>
      <c r="B3250" s="15"/>
      <c r="C3250" s="9">
        <f>IFERROR(__xludf.DUMMYFUNCTION("""COMPUTED_VALUE"""),44571.6422492013)</f>
        <v>44571.64225</v>
      </c>
      <c r="D3250" s="15">
        <f>IFERROR(__xludf.DUMMYFUNCTION("""COMPUTED_VALUE"""),1.008)</f>
        <v>1.008</v>
      </c>
      <c r="E3250" s="16">
        <f>IFERROR(__xludf.DUMMYFUNCTION("""COMPUTED_VALUE"""),63.0)</f>
        <v>63</v>
      </c>
      <c r="F3250" s="19" t="str">
        <f>IFERROR(__xludf.DUMMYFUNCTION("""COMPUTED_VALUE"""),"BLACK")</f>
        <v>BLACK</v>
      </c>
      <c r="G3250" s="20" t="str">
        <f>IFERROR(__xludf.DUMMYFUNCTION("""COMPUTED_VALUE"""),"Uncle Sams Cider (11/12/2021) 02")</f>
        <v>Uncle Sams Cider (11/12/2021) 02</v>
      </c>
      <c r="H3250" s="19"/>
    </row>
    <row r="3251">
      <c r="A3251" s="9"/>
      <c r="B3251" s="15"/>
      <c r="C3251" s="9">
        <f>IFERROR(__xludf.DUMMYFUNCTION("""COMPUTED_VALUE"""),44571.6318290972)</f>
        <v>44571.63183</v>
      </c>
      <c r="D3251" s="15">
        <f>IFERROR(__xludf.DUMMYFUNCTION("""COMPUTED_VALUE"""),1.008)</f>
        <v>1.008</v>
      </c>
      <c r="E3251" s="16">
        <f>IFERROR(__xludf.DUMMYFUNCTION("""COMPUTED_VALUE"""),63.0)</f>
        <v>63</v>
      </c>
      <c r="F3251" s="19" t="str">
        <f>IFERROR(__xludf.DUMMYFUNCTION("""COMPUTED_VALUE"""),"BLACK")</f>
        <v>BLACK</v>
      </c>
      <c r="G3251" s="20" t="str">
        <f>IFERROR(__xludf.DUMMYFUNCTION("""COMPUTED_VALUE"""),"Uncle Sams Cider (11/12/2021) 02")</f>
        <v>Uncle Sams Cider (11/12/2021) 02</v>
      </c>
      <c r="H3251" s="19"/>
    </row>
    <row r="3252">
      <c r="A3252" s="9"/>
      <c r="B3252" s="15"/>
      <c r="C3252" s="9">
        <f>IFERROR(__xludf.DUMMYFUNCTION("""COMPUTED_VALUE"""),44571.6214084953)</f>
        <v>44571.62141</v>
      </c>
      <c r="D3252" s="15">
        <f>IFERROR(__xludf.DUMMYFUNCTION("""COMPUTED_VALUE"""),1.008)</f>
        <v>1.008</v>
      </c>
      <c r="E3252" s="16">
        <f>IFERROR(__xludf.DUMMYFUNCTION("""COMPUTED_VALUE"""),64.0)</f>
        <v>64</v>
      </c>
      <c r="F3252" s="19" t="str">
        <f>IFERROR(__xludf.DUMMYFUNCTION("""COMPUTED_VALUE"""),"BLACK")</f>
        <v>BLACK</v>
      </c>
      <c r="G3252" s="20" t="str">
        <f>IFERROR(__xludf.DUMMYFUNCTION("""COMPUTED_VALUE"""),"Uncle Sams Cider (11/12/2021) 02")</f>
        <v>Uncle Sams Cider (11/12/2021) 02</v>
      </c>
      <c r="H3252" s="19"/>
    </row>
    <row r="3253">
      <c r="A3253" s="9"/>
      <c r="B3253" s="15"/>
      <c r="C3253" s="9">
        <f>IFERROR(__xludf.DUMMYFUNCTION("""COMPUTED_VALUE"""),44571.6109844907)</f>
        <v>44571.61098</v>
      </c>
      <c r="D3253" s="15">
        <f>IFERROR(__xludf.DUMMYFUNCTION("""COMPUTED_VALUE"""),1.008)</f>
        <v>1.008</v>
      </c>
      <c r="E3253" s="16">
        <f>IFERROR(__xludf.DUMMYFUNCTION("""COMPUTED_VALUE"""),63.0)</f>
        <v>63</v>
      </c>
      <c r="F3253" s="19" t="str">
        <f>IFERROR(__xludf.DUMMYFUNCTION("""COMPUTED_VALUE"""),"BLACK")</f>
        <v>BLACK</v>
      </c>
      <c r="G3253" s="20" t="str">
        <f>IFERROR(__xludf.DUMMYFUNCTION("""COMPUTED_VALUE"""),"Uncle Sams Cider (11/12/2021) 02")</f>
        <v>Uncle Sams Cider (11/12/2021) 02</v>
      </c>
      <c r="H3253" s="19"/>
    </row>
    <row r="3254">
      <c r="A3254" s="9"/>
      <c r="B3254" s="15"/>
      <c r="C3254" s="9">
        <f>IFERROR(__xludf.DUMMYFUNCTION("""COMPUTED_VALUE"""),44571.6005502777)</f>
        <v>44571.60055</v>
      </c>
      <c r="D3254" s="15">
        <f>IFERROR(__xludf.DUMMYFUNCTION("""COMPUTED_VALUE"""),1.008)</f>
        <v>1.008</v>
      </c>
      <c r="E3254" s="16">
        <f>IFERROR(__xludf.DUMMYFUNCTION("""COMPUTED_VALUE"""),64.0)</f>
        <v>64</v>
      </c>
      <c r="F3254" s="19" t="str">
        <f>IFERROR(__xludf.DUMMYFUNCTION("""COMPUTED_VALUE"""),"BLACK")</f>
        <v>BLACK</v>
      </c>
      <c r="G3254" s="20" t="str">
        <f>IFERROR(__xludf.DUMMYFUNCTION("""COMPUTED_VALUE"""),"Uncle Sams Cider (11/12/2021) 02")</f>
        <v>Uncle Sams Cider (11/12/2021) 02</v>
      </c>
      <c r="H3254" s="19"/>
    </row>
    <row r="3255">
      <c r="A3255" s="9"/>
      <c r="B3255" s="15"/>
      <c r="C3255" s="9">
        <f>IFERROR(__xludf.DUMMYFUNCTION("""COMPUTED_VALUE"""),44571.5901179745)</f>
        <v>44571.59012</v>
      </c>
      <c r="D3255" s="15">
        <f>IFERROR(__xludf.DUMMYFUNCTION("""COMPUTED_VALUE"""),1.008)</f>
        <v>1.008</v>
      </c>
      <c r="E3255" s="16">
        <f>IFERROR(__xludf.DUMMYFUNCTION("""COMPUTED_VALUE"""),64.0)</f>
        <v>64</v>
      </c>
      <c r="F3255" s="19" t="str">
        <f>IFERROR(__xludf.DUMMYFUNCTION("""COMPUTED_VALUE"""),"BLACK")</f>
        <v>BLACK</v>
      </c>
      <c r="G3255" s="20" t="str">
        <f>IFERROR(__xludf.DUMMYFUNCTION("""COMPUTED_VALUE"""),"Uncle Sams Cider (11/12/2021) 02")</f>
        <v>Uncle Sams Cider (11/12/2021) 02</v>
      </c>
      <c r="H3255" s="19"/>
    </row>
    <row r="3256">
      <c r="A3256" s="9"/>
      <c r="B3256" s="15"/>
      <c r="C3256" s="9">
        <f>IFERROR(__xludf.DUMMYFUNCTION("""COMPUTED_VALUE"""),44571.5796956481)</f>
        <v>44571.5797</v>
      </c>
      <c r="D3256" s="15">
        <f>IFERROR(__xludf.DUMMYFUNCTION("""COMPUTED_VALUE"""),1.008)</f>
        <v>1.008</v>
      </c>
      <c r="E3256" s="16">
        <f>IFERROR(__xludf.DUMMYFUNCTION("""COMPUTED_VALUE"""),64.0)</f>
        <v>64</v>
      </c>
      <c r="F3256" s="19" t="str">
        <f>IFERROR(__xludf.DUMMYFUNCTION("""COMPUTED_VALUE"""),"BLACK")</f>
        <v>BLACK</v>
      </c>
      <c r="G3256" s="20" t="str">
        <f>IFERROR(__xludf.DUMMYFUNCTION("""COMPUTED_VALUE"""),"Uncle Sams Cider (11/12/2021) 02")</f>
        <v>Uncle Sams Cider (11/12/2021) 02</v>
      </c>
      <c r="H3256" s="19"/>
    </row>
    <row r="3257">
      <c r="A3257" s="9"/>
      <c r="B3257" s="15"/>
      <c r="C3257" s="9">
        <f>IFERROR(__xludf.DUMMYFUNCTION("""COMPUTED_VALUE"""),44571.5692746296)</f>
        <v>44571.56927</v>
      </c>
      <c r="D3257" s="15">
        <f>IFERROR(__xludf.DUMMYFUNCTION("""COMPUTED_VALUE"""),1.008)</f>
        <v>1.008</v>
      </c>
      <c r="E3257" s="16">
        <f>IFERROR(__xludf.DUMMYFUNCTION("""COMPUTED_VALUE"""),64.0)</f>
        <v>64</v>
      </c>
      <c r="F3257" s="19" t="str">
        <f>IFERROR(__xludf.DUMMYFUNCTION("""COMPUTED_VALUE"""),"BLACK")</f>
        <v>BLACK</v>
      </c>
      <c r="G3257" s="20" t="str">
        <f>IFERROR(__xludf.DUMMYFUNCTION("""COMPUTED_VALUE"""),"Uncle Sams Cider (11/12/2021) 02")</f>
        <v>Uncle Sams Cider (11/12/2021) 02</v>
      </c>
      <c r="H3257" s="19"/>
    </row>
    <row r="3258">
      <c r="A3258" s="9"/>
      <c r="B3258" s="15"/>
      <c r="C3258" s="9">
        <f>IFERROR(__xludf.DUMMYFUNCTION("""COMPUTED_VALUE"""),44571.5588533912)</f>
        <v>44571.55885</v>
      </c>
      <c r="D3258" s="15">
        <f>IFERROR(__xludf.DUMMYFUNCTION("""COMPUTED_VALUE"""),1.008)</f>
        <v>1.008</v>
      </c>
      <c r="E3258" s="16">
        <f>IFERROR(__xludf.DUMMYFUNCTION("""COMPUTED_VALUE"""),64.0)</f>
        <v>64</v>
      </c>
      <c r="F3258" s="19" t="str">
        <f>IFERROR(__xludf.DUMMYFUNCTION("""COMPUTED_VALUE"""),"BLACK")</f>
        <v>BLACK</v>
      </c>
      <c r="G3258" s="20" t="str">
        <f>IFERROR(__xludf.DUMMYFUNCTION("""COMPUTED_VALUE"""),"Uncle Sams Cider (11/12/2021) 02")</f>
        <v>Uncle Sams Cider (11/12/2021) 02</v>
      </c>
      <c r="H3258" s="19"/>
    </row>
    <row r="3259">
      <c r="A3259" s="9"/>
      <c r="B3259" s="15"/>
      <c r="C3259" s="9">
        <f>IFERROR(__xludf.DUMMYFUNCTION("""COMPUTED_VALUE"""),44571.5484314467)</f>
        <v>44571.54843</v>
      </c>
      <c r="D3259" s="15">
        <f>IFERROR(__xludf.DUMMYFUNCTION("""COMPUTED_VALUE"""),1.008)</f>
        <v>1.008</v>
      </c>
      <c r="E3259" s="16">
        <f>IFERROR(__xludf.DUMMYFUNCTION("""COMPUTED_VALUE"""),64.0)</f>
        <v>64</v>
      </c>
      <c r="F3259" s="19" t="str">
        <f>IFERROR(__xludf.DUMMYFUNCTION("""COMPUTED_VALUE"""),"BLACK")</f>
        <v>BLACK</v>
      </c>
      <c r="G3259" s="20" t="str">
        <f>IFERROR(__xludf.DUMMYFUNCTION("""COMPUTED_VALUE"""),"Uncle Sams Cider (11/12/2021) 02")</f>
        <v>Uncle Sams Cider (11/12/2021) 02</v>
      </c>
      <c r="H3259" s="19"/>
    </row>
    <row r="3260">
      <c r="A3260" s="9"/>
      <c r="B3260" s="15"/>
      <c r="C3260" s="9">
        <f>IFERROR(__xludf.DUMMYFUNCTION("""COMPUTED_VALUE"""),44571.538008912)</f>
        <v>44571.53801</v>
      </c>
      <c r="D3260" s="15">
        <f>IFERROR(__xludf.DUMMYFUNCTION("""COMPUTED_VALUE"""),1.008)</f>
        <v>1.008</v>
      </c>
      <c r="E3260" s="16">
        <f>IFERROR(__xludf.DUMMYFUNCTION("""COMPUTED_VALUE"""),64.0)</f>
        <v>64</v>
      </c>
      <c r="F3260" s="19" t="str">
        <f>IFERROR(__xludf.DUMMYFUNCTION("""COMPUTED_VALUE"""),"BLACK")</f>
        <v>BLACK</v>
      </c>
      <c r="G3260" s="20" t="str">
        <f>IFERROR(__xludf.DUMMYFUNCTION("""COMPUTED_VALUE"""),"Uncle Sams Cider (11/12/2021) 02")</f>
        <v>Uncle Sams Cider (11/12/2021) 02</v>
      </c>
      <c r="H3260" s="19"/>
    </row>
    <row r="3261">
      <c r="A3261" s="9"/>
      <c r="B3261" s="15"/>
      <c r="C3261" s="9">
        <f>IFERROR(__xludf.DUMMYFUNCTION("""COMPUTED_VALUE"""),44571.5275890856)</f>
        <v>44571.52759</v>
      </c>
      <c r="D3261" s="15">
        <f>IFERROR(__xludf.DUMMYFUNCTION("""COMPUTED_VALUE"""),1.008)</f>
        <v>1.008</v>
      </c>
      <c r="E3261" s="16">
        <f>IFERROR(__xludf.DUMMYFUNCTION("""COMPUTED_VALUE"""),64.0)</f>
        <v>64</v>
      </c>
      <c r="F3261" s="19" t="str">
        <f>IFERROR(__xludf.DUMMYFUNCTION("""COMPUTED_VALUE"""),"BLACK")</f>
        <v>BLACK</v>
      </c>
      <c r="G3261" s="20" t="str">
        <f>IFERROR(__xludf.DUMMYFUNCTION("""COMPUTED_VALUE"""),"Uncle Sams Cider (11/12/2021) 02")</f>
        <v>Uncle Sams Cider (11/12/2021) 02</v>
      </c>
      <c r="H3261" s="19"/>
    </row>
    <row r="3262">
      <c r="A3262" s="9"/>
      <c r="B3262" s="15"/>
      <c r="C3262" s="9">
        <f>IFERROR(__xludf.DUMMYFUNCTION("""COMPUTED_VALUE"""),44571.517167581)</f>
        <v>44571.51717</v>
      </c>
      <c r="D3262" s="15">
        <f>IFERROR(__xludf.DUMMYFUNCTION("""COMPUTED_VALUE"""),1.008)</f>
        <v>1.008</v>
      </c>
      <c r="E3262" s="16">
        <f>IFERROR(__xludf.DUMMYFUNCTION("""COMPUTED_VALUE"""),64.0)</f>
        <v>64</v>
      </c>
      <c r="F3262" s="19" t="str">
        <f>IFERROR(__xludf.DUMMYFUNCTION("""COMPUTED_VALUE"""),"BLACK")</f>
        <v>BLACK</v>
      </c>
      <c r="G3262" s="20" t="str">
        <f>IFERROR(__xludf.DUMMYFUNCTION("""COMPUTED_VALUE"""),"Uncle Sams Cider (11/12/2021) 02")</f>
        <v>Uncle Sams Cider (11/12/2021) 02</v>
      </c>
      <c r="H3262" s="19"/>
    </row>
    <row r="3263">
      <c r="A3263" s="9"/>
      <c r="B3263" s="15"/>
      <c r="C3263" s="9">
        <f>IFERROR(__xludf.DUMMYFUNCTION("""COMPUTED_VALUE"""),44571.5067448842)</f>
        <v>44571.50674</v>
      </c>
      <c r="D3263" s="15">
        <f>IFERROR(__xludf.DUMMYFUNCTION("""COMPUTED_VALUE"""),1.008)</f>
        <v>1.008</v>
      </c>
      <c r="E3263" s="16">
        <f>IFERROR(__xludf.DUMMYFUNCTION("""COMPUTED_VALUE"""),64.0)</f>
        <v>64</v>
      </c>
      <c r="F3263" s="19" t="str">
        <f>IFERROR(__xludf.DUMMYFUNCTION("""COMPUTED_VALUE"""),"BLACK")</f>
        <v>BLACK</v>
      </c>
      <c r="G3263" s="20" t="str">
        <f>IFERROR(__xludf.DUMMYFUNCTION("""COMPUTED_VALUE"""),"Uncle Sams Cider (11/12/2021) 02")</f>
        <v>Uncle Sams Cider (11/12/2021) 02</v>
      </c>
      <c r="H3263" s="19"/>
    </row>
    <row r="3264">
      <c r="A3264" s="9"/>
      <c r="B3264" s="15"/>
      <c r="C3264" s="9">
        <f>IFERROR(__xludf.DUMMYFUNCTION("""COMPUTED_VALUE"""),44571.4963229976)</f>
        <v>44571.49632</v>
      </c>
      <c r="D3264" s="15">
        <f>IFERROR(__xludf.DUMMYFUNCTION("""COMPUTED_VALUE"""),1.008)</f>
        <v>1.008</v>
      </c>
      <c r="E3264" s="16">
        <f>IFERROR(__xludf.DUMMYFUNCTION("""COMPUTED_VALUE"""),64.0)</f>
        <v>64</v>
      </c>
      <c r="F3264" s="19" t="str">
        <f>IFERROR(__xludf.DUMMYFUNCTION("""COMPUTED_VALUE"""),"BLACK")</f>
        <v>BLACK</v>
      </c>
      <c r="G3264" s="20" t="str">
        <f>IFERROR(__xludf.DUMMYFUNCTION("""COMPUTED_VALUE"""),"Uncle Sams Cider (11/12/2021) 02")</f>
        <v>Uncle Sams Cider (11/12/2021) 02</v>
      </c>
      <c r="H3264" s="19"/>
    </row>
    <row r="3265">
      <c r="A3265" s="9"/>
      <c r="B3265" s="15"/>
      <c r="C3265" s="9">
        <f>IFERROR(__xludf.DUMMYFUNCTION("""COMPUTED_VALUE"""),44571.4859019212)</f>
        <v>44571.4859</v>
      </c>
      <c r="D3265" s="15">
        <f>IFERROR(__xludf.DUMMYFUNCTION("""COMPUTED_VALUE"""),1.008)</f>
        <v>1.008</v>
      </c>
      <c r="E3265" s="16">
        <f>IFERROR(__xludf.DUMMYFUNCTION("""COMPUTED_VALUE"""),64.0)</f>
        <v>64</v>
      </c>
      <c r="F3265" s="19" t="str">
        <f>IFERROR(__xludf.DUMMYFUNCTION("""COMPUTED_VALUE"""),"BLACK")</f>
        <v>BLACK</v>
      </c>
      <c r="G3265" s="20" t="str">
        <f>IFERROR(__xludf.DUMMYFUNCTION("""COMPUTED_VALUE"""),"Uncle Sams Cider (11/12/2021) 02")</f>
        <v>Uncle Sams Cider (11/12/2021) 02</v>
      </c>
      <c r="H3265" s="19"/>
    </row>
    <row r="3266">
      <c r="A3266" s="9"/>
      <c r="B3266" s="15"/>
      <c r="C3266" s="9">
        <f>IFERROR(__xludf.DUMMYFUNCTION("""COMPUTED_VALUE"""),44571.4754697222)</f>
        <v>44571.47547</v>
      </c>
      <c r="D3266" s="15">
        <f>IFERROR(__xludf.DUMMYFUNCTION("""COMPUTED_VALUE"""),1.008)</f>
        <v>1.008</v>
      </c>
      <c r="E3266" s="16">
        <f>IFERROR(__xludf.DUMMYFUNCTION("""COMPUTED_VALUE"""),64.0)</f>
        <v>64</v>
      </c>
      <c r="F3266" s="19" t="str">
        <f>IFERROR(__xludf.DUMMYFUNCTION("""COMPUTED_VALUE"""),"BLACK")</f>
        <v>BLACK</v>
      </c>
      <c r="G3266" s="20" t="str">
        <f>IFERROR(__xludf.DUMMYFUNCTION("""COMPUTED_VALUE"""),"Uncle Sams Cider (11/12/2021) 02")</f>
        <v>Uncle Sams Cider (11/12/2021) 02</v>
      </c>
      <c r="H3266" s="19"/>
    </row>
    <row r="3267">
      <c r="A3267" s="9"/>
      <c r="B3267" s="15"/>
      <c r="C3267" s="9">
        <f>IFERROR(__xludf.DUMMYFUNCTION("""COMPUTED_VALUE"""),44571.4650359027)</f>
        <v>44571.46504</v>
      </c>
      <c r="D3267" s="15">
        <f>IFERROR(__xludf.DUMMYFUNCTION("""COMPUTED_VALUE"""),1.008)</f>
        <v>1.008</v>
      </c>
      <c r="E3267" s="16">
        <f>IFERROR(__xludf.DUMMYFUNCTION("""COMPUTED_VALUE"""),64.0)</f>
        <v>64</v>
      </c>
      <c r="F3267" s="19" t="str">
        <f>IFERROR(__xludf.DUMMYFUNCTION("""COMPUTED_VALUE"""),"BLACK")</f>
        <v>BLACK</v>
      </c>
      <c r="G3267" s="20" t="str">
        <f>IFERROR(__xludf.DUMMYFUNCTION("""COMPUTED_VALUE"""),"Uncle Sams Cider (11/12/2021) 02")</f>
        <v>Uncle Sams Cider (11/12/2021) 02</v>
      </c>
      <c r="H3267" s="19"/>
    </row>
    <row r="3268">
      <c r="A3268" s="9"/>
      <c r="B3268" s="15"/>
      <c r="C3268" s="9">
        <f>IFERROR(__xludf.DUMMYFUNCTION("""COMPUTED_VALUE"""),44571.4546018634)</f>
        <v>44571.4546</v>
      </c>
      <c r="D3268" s="15">
        <f>IFERROR(__xludf.DUMMYFUNCTION("""COMPUTED_VALUE"""),1.008)</f>
        <v>1.008</v>
      </c>
      <c r="E3268" s="16">
        <f>IFERROR(__xludf.DUMMYFUNCTION("""COMPUTED_VALUE"""),64.0)</f>
        <v>64</v>
      </c>
      <c r="F3268" s="19" t="str">
        <f>IFERROR(__xludf.DUMMYFUNCTION("""COMPUTED_VALUE"""),"BLACK")</f>
        <v>BLACK</v>
      </c>
      <c r="G3268" s="20" t="str">
        <f>IFERROR(__xludf.DUMMYFUNCTION("""COMPUTED_VALUE"""),"Uncle Sams Cider (11/12/2021) 02")</f>
        <v>Uncle Sams Cider (11/12/2021) 02</v>
      </c>
      <c r="H3268" s="19"/>
    </row>
    <row r="3269">
      <c r="A3269" s="9"/>
      <c r="B3269" s="15"/>
      <c r="C3269" s="9">
        <f>IFERROR(__xludf.DUMMYFUNCTION("""COMPUTED_VALUE"""),44571.4441815624)</f>
        <v>44571.44418</v>
      </c>
      <c r="D3269" s="15">
        <f>IFERROR(__xludf.DUMMYFUNCTION("""COMPUTED_VALUE"""),1.008)</f>
        <v>1.008</v>
      </c>
      <c r="E3269" s="16">
        <f>IFERROR(__xludf.DUMMYFUNCTION("""COMPUTED_VALUE"""),64.0)</f>
        <v>64</v>
      </c>
      <c r="F3269" s="19" t="str">
        <f>IFERROR(__xludf.DUMMYFUNCTION("""COMPUTED_VALUE"""),"BLACK")</f>
        <v>BLACK</v>
      </c>
      <c r="G3269" s="20" t="str">
        <f>IFERROR(__xludf.DUMMYFUNCTION("""COMPUTED_VALUE"""),"Uncle Sams Cider (11/12/2021) 02")</f>
        <v>Uncle Sams Cider (11/12/2021) 02</v>
      </c>
      <c r="H3269" s="19"/>
    </row>
    <row r="3270">
      <c r="A3270" s="9"/>
      <c r="B3270" s="15"/>
      <c r="C3270" s="9">
        <f>IFERROR(__xludf.DUMMYFUNCTION("""COMPUTED_VALUE"""),44571.4337489004)</f>
        <v>44571.43375</v>
      </c>
      <c r="D3270" s="15">
        <f>IFERROR(__xludf.DUMMYFUNCTION("""COMPUTED_VALUE"""),1.008)</f>
        <v>1.008</v>
      </c>
      <c r="E3270" s="16">
        <f>IFERROR(__xludf.DUMMYFUNCTION("""COMPUTED_VALUE"""),64.0)</f>
        <v>64</v>
      </c>
      <c r="F3270" s="19" t="str">
        <f>IFERROR(__xludf.DUMMYFUNCTION("""COMPUTED_VALUE"""),"BLACK")</f>
        <v>BLACK</v>
      </c>
      <c r="G3270" s="20" t="str">
        <f>IFERROR(__xludf.DUMMYFUNCTION("""COMPUTED_VALUE"""),"Uncle Sams Cider (11/12/2021) 02")</f>
        <v>Uncle Sams Cider (11/12/2021) 02</v>
      </c>
      <c r="H3270" s="19"/>
    </row>
    <row r="3271">
      <c r="A3271" s="9"/>
      <c r="B3271" s="15"/>
      <c r="C3271" s="9">
        <f>IFERROR(__xludf.DUMMYFUNCTION("""COMPUTED_VALUE"""),44571.4233272106)</f>
        <v>44571.42333</v>
      </c>
      <c r="D3271" s="15">
        <f>IFERROR(__xludf.DUMMYFUNCTION("""COMPUTED_VALUE"""),1.008)</f>
        <v>1.008</v>
      </c>
      <c r="E3271" s="16">
        <f>IFERROR(__xludf.DUMMYFUNCTION("""COMPUTED_VALUE"""),64.0)</f>
        <v>64</v>
      </c>
      <c r="F3271" s="19" t="str">
        <f>IFERROR(__xludf.DUMMYFUNCTION("""COMPUTED_VALUE"""),"BLACK")</f>
        <v>BLACK</v>
      </c>
      <c r="G3271" s="20" t="str">
        <f>IFERROR(__xludf.DUMMYFUNCTION("""COMPUTED_VALUE"""),"Uncle Sams Cider (11/12/2021) 02")</f>
        <v>Uncle Sams Cider (11/12/2021) 02</v>
      </c>
      <c r="H3271" s="19"/>
    </row>
    <row r="3272">
      <c r="A3272" s="9"/>
      <c r="B3272" s="15"/>
      <c r="C3272" s="9">
        <f>IFERROR(__xludf.DUMMYFUNCTION("""COMPUTED_VALUE"""),44571.4129058912)</f>
        <v>44571.41291</v>
      </c>
      <c r="D3272" s="15">
        <f>IFERROR(__xludf.DUMMYFUNCTION("""COMPUTED_VALUE"""),1.008)</f>
        <v>1.008</v>
      </c>
      <c r="E3272" s="16">
        <f>IFERROR(__xludf.DUMMYFUNCTION("""COMPUTED_VALUE"""),64.0)</f>
        <v>64</v>
      </c>
      <c r="F3272" s="19" t="str">
        <f>IFERROR(__xludf.DUMMYFUNCTION("""COMPUTED_VALUE"""),"BLACK")</f>
        <v>BLACK</v>
      </c>
      <c r="G3272" s="20" t="str">
        <f>IFERROR(__xludf.DUMMYFUNCTION("""COMPUTED_VALUE"""),"Uncle Sams Cider (11/12/2021) 02")</f>
        <v>Uncle Sams Cider (11/12/2021) 02</v>
      </c>
      <c r="H3272" s="19"/>
    </row>
    <row r="3273">
      <c r="A3273" s="9"/>
      <c r="B3273" s="15"/>
      <c r="C3273" s="9">
        <f>IFERROR(__xludf.DUMMYFUNCTION("""COMPUTED_VALUE"""),44571.4024734259)</f>
        <v>44571.40247</v>
      </c>
      <c r="D3273" s="15">
        <f>IFERROR(__xludf.DUMMYFUNCTION("""COMPUTED_VALUE"""),1.008)</f>
        <v>1.008</v>
      </c>
      <c r="E3273" s="16">
        <f>IFERROR(__xludf.DUMMYFUNCTION("""COMPUTED_VALUE"""),64.0)</f>
        <v>64</v>
      </c>
      <c r="F3273" s="19" t="str">
        <f>IFERROR(__xludf.DUMMYFUNCTION("""COMPUTED_VALUE"""),"BLACK")</f>
        <v>BLACK</v>
      </c>
      <c r="G3273" s="20" t="str">
        <f>IFERROR(__xludf.DUMMYFUNCTION("""COMPUTED_VALUE"""),"Uncle Sams Cider (11/12/2021) 02")</f>
        <v>Uncle Sams Cider (11/12/2021) 02</v>
      </c>
      <c r="H3273" s="19"/>
    </row>
    <row r="3274">
      <c r="A3274" s="9"/>
      <c r="B3274" s="15"/>
      <c r="C3274" s="9">
        <f>IFERROR(__xludf.DUMMYFUNCTION("""COMPUTED_VALUE"""),44571.3920527662)</f>
        <v>44571.39205</v>
      </c>
      <c r="D3274" s="15">
        <f>IFERROR(__xludf.DUMMYFUNCTION("""COMPUTED_VALUE"""),1.008)</f>
        <v>1.008</v>
      </c>
      <c r="E3274" s="16">
        <f>IFERROR(__xludf.DUMMYFUNCTION("""COMPUTED_VALUE"""),64.0)</f>
        <v>64</v>
      </c>
      <c r="F3274" s="19" t="str">
        <f>IFERROR(__xludf.DUMMYFUNCTION("""COMPUTED_VALUE"""),"BLACK")</f>
        <v>BLACK</v>
      </c>
      <c r="G3274" s="20" t="str">
        <f>IFERROR(__xludf.DUMMYFUNCTION("""COMPUTED_VALUE"""),"Uncle Sams Cider (11/12/2021) 02")</f>
        <v>Uncle Sams Cider (11/12/2021) 02</v>
      </c>
      <c r="H3274" s="19"/>
    </row>
    <row r="3275">
      <c r="A3275" s="9"/>
      <c r="B3275" s="15"/>
      <c r="C3275" s="9">
        <f>IFERROR(__xludf.DUMMYFUNCTION("""COMPUTED_VALUE"""),44571.3816345254)</f>
        <v>44571.38163</v>
      </c>
      <c r="D3275" s="15">
        <f>IFERROR(__xludf.DUMMYFUNCTION("""COMPUTED_VALUE"""),1.008)</f>
        <v>1.008</v>
      </c>
      <c r="E3275" s="16">
        <f>IFERROR(__xludf.DUMMYFUNCTION("""COMPUTED_VALUE"""),64.0)</f>
        <v>64</v>
      </c>
      <c r="F3275" s="19" t="str">
        <f>IFERROR(__xludf.DUMMYFUNCTION("""COMPUTED_VALUE"""),"BLACK")</f>
        <v>BLACK</v>
      </c>
      <c r="G3275" s="20" t="str">
        <f>IFERROR(__xludf.DUMMYFUNCTION("""COMPUTED_VALUE"""),"Uncle Sams Cider (11/12/2021) 02")</f>
        <v>Uncle Sams Cider (11/12/2021) 02</v>
      </c>
      <c r="H3275" s="19"/>
    </row>
    <row r="3276">
      <c r="A3276" s="9"/>
      <c r="B3276" s="15"/>
      <c r="C3276" s="9">
        <f>IFERROR(__xludf.DUMMYFUNCTION("""COMPUTED_VALUE"""),44571.3712135416)</f>
        <v>44571.37121</v>
      </c>
      <c r="D3276" s="15">
        <f>IFERROR(__xludf.DUMMYFUNCTION("""COMPUTED_VALUE"""),1.008)</f>
        <v>1.008</v>
      </c>
      <c r="E3276" s="16">
        <f>IFERROR(__xludf.DUMMYFUNCTION("""COMPUTED_VALUE"""),64.0)</f>
        <v>64</v>
      </c>
      <c r="F3276" s="19" t="str">
        <f>IFERROR(__xludf.DUMMYFUNCTION("""COMPUTED_VALUE"""),"BLACK")</f>
        <v>BLACK</v>
      </c>
      <c r="G3276" s="20" t="str">
        <f>IFERROR(__xludf.DUMMYFUNCTION("""COMPUTED_VALUE"""),"Uncle Sams Cider (11/12/2021) 02")</f>
        <v>Uncle Sams Cider (11/12/2021) 02</v>
      </c>
      <c r="H3276" s="19"/>
    </row>
    <row r="3277">
      <c r="A3277" s="9"/>
      <c r="B3277" s="15"/>
      <c r="C3277" s="9">
        <f>IFERROR(__xludf.DUMMYFUNCTION("""COMPUTED_VALUE"""),44571.3607930902)</f>
        <v>44571.36079</v>
      </c>
      <c r="D3277" s="15">
        <f>IFERROR(__xludf.DUMMYFUNCTION("""COMPUTED_VALUE"""),1.008)</f>
        <v>1.008</v>
      </c>
      <c r="E3277" s="16">
        <f>IFERROR(__xludf.DUMMYFUNCTION("""COMPUTED_VALUE"""),64.0)</f>
        <v>64</v>
      </c>
      <c r="F3277" s="19" t="str">
        <f>IFERROR(__xludf.DUMMYFUNCTION("""COMPUTED_VALUE"""),"BLACK")</f>
        <v>BLACK</v>
      </c>
      <c r="G3277" s="20" t="str">
        <f>IFERROR(__xludf.DUMMYFUNCTION("""COMPUTED_VALUE"""),"Uncle Sams Cider (11/12/2021) 02")</f>
        <v>Uncle Sams Cider (11/12/2021) 02</v>
      </c>
      <c r="H3277" s="19"/>
    </row>
    <row r="3278">
      <c r="A3278" s="9"/>
      <c r="B3278" s="15"/>
      <c r="C3278" s="9">
        <f>IFERROR(__xludf.DUMMYFUNCTION("""COMPUTED_VALUE"""),44571.3503722337)</f>
        <v>44571.35037</v>
      </c>
      <c r="D3278" s="15">
        <f>IFERROR(__xludf.DUMMYFUNCTION("""COMPUTED_VALUE"""),1.009)</f>
        <v>1.009</v>
      </c>
      <c r="E3278" s="16">
        <f>IFERROR(__xludf.DUMMYFUNCTION("""COMPUTED_VALUE"""),64.0)</f>
        <v>64</v>
      </c>
      <c r="F3278" s="19" t="str">
        <f>IFERROR(__xludf.DUMMYFUNCTION("""COMPUTED_VALUE"""),"BLACK")</f>
        <v>BLACK</v>
      </c>
      <c r="G3278" s="20" t="str">
        <f>IFERROR(__xludf.DUMMYFUNCTION("""COMPUTED_VALUE"""),"Uncle Sams Cider (11/12/2021) 02")</f>
        <v>Uncle Sams Cider (11/12/2021) 02</v>
      </c>
      <c r="H3278" s="19"/>
    </row>
    <row r="3279">
      <c r="A3279" s="9"/>
      <c r="B3279" s="15"/>
      <c r="C3279" s="9">
        <f>IFERROR(__xludf.DUMMYFUNCTION("""COMPUTED_VALUE"""),44571.3399504166)</f>
        <v>44571.33995</v>
      </c>
      <c r="D3279" s="15">
        <f>IFERROR(__xludf.DUMMYFUNCTION("""COMPUTED_VALUE"""),1.008)</f>
        <v>1.008</v>
      </c>
      <c r="E3279" s="16">
        <f>IFERROR(__xludf.DUMMYFUNCTION("""COMPUTED_VALUE"""),64.0)</f>
        <v>64</v>
      </c>
      <c r="F3279" s="19" t="str">
        <f>IFERROR(__xludf.DUMMYFUNCTION("""COMPUTED_VALUE"""),"BLACK")</f>
        <v>BLACK</v>
      </c>
      <c r="G3279" s="20" t="str">
        <f>IFERROR(__xludf.DUMMYFUNCTION("""COMPUTED_VALUE"""),"Uncle Sams Cider (11/12/2021) 02")</f>
        <v>Uncle Sams Cider (11/12/2021) 02</v>
      </c>
      <c r="H3279" s="19"/>
    </row>
    <row r="3280">
      <c r="A3280" s="9"/>
      <c r="B3280" s="15"/>
      <c r="C3280" s="9">
        <f>IFERROR(__xludf.DUMMYFUNCTION("""COMPUTED_VALUE"""),44571.3295164699)</f>
        <v>44571.32952</v>
      </c>
      <c r="D3280" s="15">
        <f>IFERROR(__xludf.DUMMYFUNCTION("""COMPUTED_VALUE"""),1.009)</f>
        <v>1.009</v>
      </c>
      <c r="E3280" s="16">
        <f>IFERROR(__xludf.DUMMYFUNCTION("""COMPUTED_VALUE"""),64.0)</f>
        <v>64</v>
      </c>
      <c r="F3280" s="19" t="str">
        <f>IFERROR(__xludf.DUMMYFUNCTION("""COMPUTED_VALUE"""),"BLACK")</f>
        <v>BLACK</v>
      </c>
      <c r="G3280" s="20" t="str">
        <f>IFERROR(__xludf.DUMMYFUNCTION("""COMPUTED_VALUE"""),"Uncle Sams Cider (11/12/2021) 02")</f>
        <v>Uncle Sams Cider (11/12/2021) 02</v>
      </c>
      <c r="H3280" s="19"/>
    </row>
    <row r="3281">
      <c r="A3281" s="9"/>
      <c r="B3281" s="15"/>
      <c r="C3281" s="9">
        <f>IFERROR(__xludf.DUMMYFUNCTION("""COMPUTED_VALUE"""),44571.3190725347)</f>
        <v>44571.31907</v>
      </c>
      <c r="D3281" s="15">
        <f>IFERROR(__xludf.DUMMYFUNCTION("""COMPUTED_VALUE"""),1.008)</f>
        <v>1.008</v>
      </c>
      <c r="E3281" s="16">
        <f>IFERROR(__xludf.DUMMYFUNCTION("""COMPUTED_VALUE"""),64.0)</f>
        <v>64</v>
      </c>
      <c r="F3281" s="19" t="str">
        <f>IFERROR(__xludf.DUMMYFUNCTION("""COMPUTED_VALUE"""),"BLACK")</f>
        <v>BLACK</v>
      </c>
      <c r="G3281" s="20" t="str">
        <f>IFERROR(__xludf.DUMMYFUNCTION("""COMPUTED_VALUE"""),"Uncle Sams Cider (11/12/2021) 02")</f>
        <v>Uncle Sams Cider (11/12/2021) 02</v>
      </c>
      <c r="H3281" s="19"/>
    </row>
    <row r="3282">
      <c r="A3282" s="9"/>
      <c r="B3282" s="15"/>
      <c r="C3282" s="9">
        <f>IFERROR(__xludf.DUMMYFUNCTION("""COMPUTED_VALUE"""),44571.3086512731)</f>
        <v>44571.30865</v>
      </c>
      <c r="D3282" s="15">
        <f>IFERROR(__xludf.DUMMYFUNCTION("""COMPUTED_VALUE"""),1.008)</f>
        <v>1.008</v>
      </c>
      <c r="E3282" s="16">
        <f>IFERROR(__xludf.DUMMYFUNCTION("""COMPUTED_VALUE"""),64.0)</f>
        <v>64</v>
      </c>
      <c r="F3282" s="19" t="str">
        <f>IFERROR(__xludf.DUMMYFUNCTION("""COMPUTED_VALUE"""),"BLACK")</f>
        <v>BLACK</v>
      </c>
      <c r="G3282" s="20" t="str">
        <f>IFERROR(__xludf.DUMMYFUNCTION("""COMPUTED_VALUE"""),"Uncle Sams Cider (11/12/2021) 02")</f>
        <v>Uncle Sams Cider (11/12/2021) 02</v>
      </c>
      <c r="H3282" s="19"/>
    </row>
    <row r="3283">
      <c r="A3283" s="9"/>
      <c r="B3283" s="15"/>
      <c r="C3283" s="9">
        <f>IFERROR(__xludf.DUMMYFUNCTION("""COMPUTED_VALUE"""),44571.2982293981)</f>
        <v>44571.29823</v>
      </c>
      <c r="D3283" s="15">
        <f>IFERROR(__xludf.DUMMYFUNCTION("""COMPUTED_VALUE"""),1.008)</f>
        <v>1.008</v>
      </c>
      <c r="E3283" s="16">
        <f>IFERROR(__xludf.DUMMYFUNCTION("""COMPUTED_VALUE"""),64.0)</f>
        <v>64</v>
      </c>
      <c r="F3283" s="19" t="str">
        <f>IFERROR(__xludf.DUMMYFUNCTION("""COMPUTED_VALUE"""),"BLACK")</f>
        <v>BLACK</v>
      </c>
      <c r="G3283" s="20" t="str">
        <f>IFERROR(__xludf.DUMMYFUNCTION("""COMPUTED_VALUE"""),"Uncle Sams Cider (11/12/2021) 02")</f>
        <v>Uncle Sams Cider (11/12/2021) 02</v>
      </c>
      <c r="H3283" s="19"/>
    </row>
    <row r="3284">
      <c r="A3284" s="9"/>
      <c r="B3284" s="15"/>
      <c r="C3284" s="9">
        <f>IFERROR(__xludf.DUMMYFUNCTION("""COMPUTED_VALUE"""),44571.2878078009)</f>
        <v>44571.28781</v>
      </c>
      <c r="D3284" s="15">
        <f>IFERROR(__xludf.DUMMYFUNCTION("""COMPUTED_VALUE"""),1.008)</f>
        <v>1.008</v>
      </c>
      <c r="E3284" s="16">
        <f>IFERROR(__xludf.DUMMYFUNCTION("""COMPUTED_VALUE"""),64.0)</f>
        <v>64</v>
      </c>
      <c r="F3284" s="19" t="str">
        <f>IFERROR(__xludf.DUMMYFUNCTION("""COMPUTED_VALUE"""),"BLACK")</f>
        <v>BLACK</v>
      </c>
      <c r="G3284" s="20" t="str">
        <f>IFERROR(__xludf.DUMMYFUNCTION("""COMPUTED_VALUE"""),"Uncle Sams Cider (11/12/2021) 02")</f>
        <v>Uncle Sams Cider (11/12/2021) 02</v>
      </c>
      <c r="H3284" s="19"/>
    </row>
    <row r="3285">
      <c r="A3285" s="9"/>
      <c r="B3285" s="15"/>
      <c r="C3285" s="9">
        <f>IFERROR(__xludf.DUMMYFUNCTION("""COMPUTED_VALUE"""),44571.2773863541)</f>
        <v>44571.27739</v>
      </c>
      <c r="D3285" s="15">
        <f>IFERROR(__xludf.DUMMYFUNCTION("""COMPUTED_VALUE"""),1.009)</f>
        <v>1.009</v>
      </c>
      <c r="E3285" s="16">
        <f>IFERROR(__xludf.DUMMYFUNCTION("""COMPUTED_VALUE"""),64.0)</f>
        <v>64</v>
      </c>
      <c r="F3285" s="19" t="str">
        <f>IFERROR(__xludf.DUMMYFUNCTION("""COMPUTED_VALUE"""),"BLACK")</f>
        <v>BLACK</v>
      </c>
      <c r="G3285" s="20" t="str">
        <f>IFERROR(__xludf.DUMMYFUNCTION("""COMPUTED_VALUE"""),"Uncle Sams Cider (11/12/2021) 02")</f>
        <v>Uncle Sams Cider (11/12/2021) 02</v>
      </c>
      <c r="H3285" s="19"/>
    </row>
    <row r="3286">
      <c r="A3286" s="9"/>
      <c r="B3286" s="15"/>
      <c r="C3286" s="9">
        <f>IFERROR(__xludf.DUMMYFUNCTION("""COMPUTED_VALUE"""),44571.2669540625)</f>
        <v>44571.26695</v>
      </c>
      <c r="D3286" s="15">
        <f>IFERROR(__xludf.DUMMYFUNCTION("""COMPUTED_VALUE"""),1.008)</f>
        <v>1.008</v>
      </c>
      <c r="E3286" s="16">
        <f>IFERROR(__xludf.DUMMYFUNCTION("""COMPUTED_VALUE"""),64.0)</f>
        <v>64</v>
      </c>
      <c r="F3286" s="19" t="str">
        <f>IFERROR(__xludf.DUMMYFUNCTION("""COMPUTED_VALUE"""),"BLACK")</f>
        <v>BLACK</v>
      </c>
      <c r="G3286" s="20" t="str">
        <f>IFERROR(__xludf.DUMMYFUNCTION("""COMPUTED_VALUE"""),"Uncle Sams Cider (11/12/2021) 02")</f>
        <v>Uncle Sams Cider (11/12/2021) 02</v>
      </c>
      <c r="H3286" s="19"/>
    </row>
    <row r="3287">
      <c r="A3287" s="9"/>
      <c r="B3287" s="15"/>
      <c r="C3287" s="9">
        <f>IFERROR(__xludf.DUMMYFUNCTION("""COMPUTED_VALUE"""),44571.2565343865)</f>
        <v>44571.25653</v>
      </c>
      <c r="D3287" s="15">
        <f>IFERROR(__xludf.DUMMYFUNCTION("""COMPUTED_VALUE"""),1.008)</f>
        <v>1.008</v>
      </c>
      <c r="E3287" s="16">
        <f>IFERROR(__xludf.DUMMYFUNCTION("""COMPUTED_VALUE"""),64.0)</f>
        <v>64</v>
      </c>
      <c r="F3287" s="19" t="str">
        <f>IFERROR(__xludf.DUMMYFUNCTION("""COMPUTED_VALUE"""),"BLACK")</f>
        <v>BLACK</v>
      </c>
      <c r="G3287" s="20" t="str">
        <f>IFERROR(__xludf.DUMMYFUNCTION("""COMPUTED_VALUE"""),"Uncle Sams Cider (11/12/2021) 02")</f>
        <v>Uncle Sams Cider (11/12/2021) 02</v>
      </c>
      <c r="H3287" s="19"/>
    </row>
    <row r="3288">
      <c r="A3288" s="9"/>
      <c r="B3288" s="15"/>
      <c r="C3288" s="9">
        <f>IFERROR(__xludf.DUMMYFUNCTION("""COMPUTED_VALUE"""),44571.2461022916)</f>
        <v>44571.2461</v>
      </c>
      <c r="D3288" s="15">
        <f>IFERROR(__xludf.DUMMYFUNCTION("""COMPUTED_VALUE"""),1.008)</f>
        <v>1.008</v>
      </c>
      <c r="E3288" s="16">
        <f>IFERROR(__xludf.DUMMYFUNCTION("""COMPUTED_VALUE"""),64.0)</f>
        <v>64</v>
      </c>
      <c r="F3288" s="19" t="str">
        <f>IFERROR(__xludf.DUMMYFUNCTION("""COMPUTED_VALUE"""),"BLACK")</f>
        <v>BLACK</v>
      </c>
      <c r="G3288" s="20" t="str">
        <f>IFERROR(__xludf.DUMMYFUNCTION("""COMPUTED_VALUE"""),"Uncle Sams Cider (11/12/2021) 02")</f>
        <v>Uncle Sams Cider (11/12/2021) 02</v>
      </c>
      <c r="H3288" s="19"/>
    </row>
    <row r="3289">
      <c r="A3289" s="9"/>
      <c r="B3289" s="15"/>
      <c r="C3289" s="9">
        <f>IFERROR(__xludf.DUMMYFUNCTION("""COMPUTED_VALUE"""),44571.2356706481)</f>
        <v>44571.23567</v>
      </c>
      <c r="D3289" s="15">
        <f>IFERROR(__xludf.DUMMYFUNCTION("""COMPUTED_VALUE"""),1.008)</f>
        <v>1.008</v>
      </c>
      <c r="E3289" s="16">
        <f>IFERROR(__xludf.DUMMYFUNCTION("""COMPUTED_VALUE"""),64.0)</f>
        <v>64</v>
      </c>
      <c r="F3289" s="19" t="str">
        <f>IFERROR(__xludf.DUMMYFUNCTION("""COMPUTED_VALUE"""),"BLACK")</f>
        <v>BLACK</v>
      </c>
      <c r="G3289" s="20" t="str">
        <f>IFERROR(__xludf.DUMMYFUNCTION("""COMPUTED_VALUE"""),"Uncle Sams Cider (11/12/2021) 02")</f>
        <v>Uncle Sams Cider (11/12/2021) 02</v>
      </c>
      <c r="H3289" s="19"/>
    </row>
    <row r="3290">
      <c r="A3290" s="9"/>
      <c r="B3290" s="15"/>
      <c r="C3290" s="9">
        <f>IFERROR(__xludf.DUMMYFUNCTION("""COMPUTED_VALUE"""),44571.2252487037)</f>
        <v>44571.22525</v>
      </c>
      <c r="D3290" s="15">
        <f>IFERROR(__xludf.DUMMYFUNCTION("""COMPUTED_VALUE"""),1.008)</f>
        <v>1.008</v>
      </c>
      <c r="E3290" s="16">
        <f>IFERROR(__xludf.DUMMYFUNCTION("""COMPUTED_VALUE"""),64.0)</f>
        <v>64</v>
      </c>
      <c r="F3290" s="19" t="str">
        <f>IFERROR(__xludf.DUMMYFUNCTION("""COMPUTED_VALUE"""),"BLACK")</f>
        <v>BLACK</v>
      </c>
      <c r="G3290" s="20" t="str">
        <f>IFERROR(__xludf.DUMMYFUNCTION("""COMPUTED_VALUE"""),"Uncle Sams Cider (11/12/2021) 02")</f>
        <v>Uncle Sams Cider (11/12/2021) 02</v>
      </c>
      <c r="H3290" s="19"/>
    </row>
    <row r="3291">
      <c r="A3291" s="9"/>
      <c r="B3291" s="15"/>
      <c r="C3291" s="9">
        <f>IFERROR(__xludf.DUMMYFUNCTION("""COMPUTED_VALUE"""),44571.2148281712)</f>
        <v>44571.21483</v>
      </c>
      <c r="D3291" s="15">
        <f>IFERROR(__xludf.DUMMYFUNCTION("""COMPUTED_VALUE"""),1.008)</f>
        <v>1.008</v>
      </c>
      <c r="E3291" s="16">
        <f>IFERROR(__xludf.DUMMYFUNCTION("""COMPUTED_VALUE"""),64.0)</f>
        <v>64</v>
      </c>
      <c r="F3291" s="19" t="str">
        <f>IFERROR(__xludf.DUMMYFUNCTION("""COMPUTED_VALUE"""),"BLACK")</f>
        <v>BLACK</v>
      </c>
      <c r="G3291" s="20" t="str">
        <f>IFERROR(__xludf.DUMMYFUNCTION("""COMPUTED_VALUE"""),"Uncle Sams Cider (11/12/2021) 02")</f>
        <v>Uncle Sams Cider (11/12/2021) 02</v>
      </c>
      <c r="H3291" s="19"/>
    </row>
    <row r="3292">
      <c r="A3292" s="9"/>
      <c r="B3292" s="15"/>
      <c r="C3292" s="9">
        <f>IFERROR(__xludf.DUMMYFUNCTION("""COMPUTED_VALUE"""),44571.204408912)</f>
        <v>44571.20441</v>
      </c>
      <c r="D3292" s="15">
        <f>IFERROR(__xludf.DUMMYFUNCTION("""COMPUTED_VALUE"""),1.008)</f>
        <v>1.008</v>
      </c>
      <c r="E3292" s="16">
        <f>IFERROR(__xludf.DUMMYFUNCTION("""COMPUTED_VALUE"""),64.0)</f>
        <v>64</v>
      </c>
      <c r="F3292" s="19" t="str">
        <f>IFERROR(__xludf.DUMMYFUNCTION("""COMPUTED_VALUE"""),"BLACK")</f>
        <v>BLACK</v>
      </c>
      <c r="G3292" s="20" t="str">
        <f>IFERROR(__xludf.DUMMYFUNCTION("""COMPUTED_VALUE"""),"Uncle Sams Cider (11/12/2021) 02")</f>
        <v>Uncle Sams Cider (11/12/2021) 02</v>
      </c>
      <c r="H3292" s="19"/>
    </row>
    <row r="3293">
      <c r="A3293" s="9"/>
      <c r="B3293" s="15"/>
      <c r="C3293" s="9">
        <f>IFERROR(__xludf.DUMMYFUNCTION("""COMPUTED_VALUE"""),44571.1939860879)</f>
        <v>44571.19399</v>
      </c>
      <c r="D3293" s="15">
        <f>IFERROR(__xludf.DUMMYFUNCTION("""COMPUTED_VALUE"""),1.008)</f>
        <v>1.008</v>
      </c>
      <c r="E3293" s="16">
        <f>IFERROR(__xludf.DUMMYFUNCTION("""COMPUTED_VALUE"""),64.0)</f>
        <v>64</v>
      </c>
      <c r="F3293" s="19" t="str">
        <f>IFERROR(__xludf.DUMMYFUNCTION("""COMPUTED_VALUE"""),"BLACK")</f>
        <v>BLACK</v>
      </c>
      <c r="G3293" s="20" t="str">
        <f>IFERROR(__xludf.DUMMYFUNCTION("""COMPUTED_VALUE"""),"Uncle Sams Cider (11/12/2021) 02")</f>
        <v>Uncle Sams Cider (11/12/2021) 02</v>
      </c>
      <c r="H3293" s="19"/>
    </row>
    <row r="3294">
      <c r="A3294" s="9"/>
      <c r="B3294" s="15"/>
      <c r="C3294" s="9">
        <f>IFERROR(__xludf.DUMMYFUNCTION("""COMPUTED_VALUE"""),44571.1835644907)</f>
        <v>44571.18356</v>
      </c>
      <c r="D3294" s="15">
        <f>IFERROR(__xludf.DUMMYFUNCTION("""COMPUTED_VALUE"""),1.008)</f>
        <v>1.008</v>
      </c>
      <c r="E3294" s="16">
        <f>IFERROR(__xludf.DUMMYFUNCTION("""COMPUTED_VALUE"""),64.0)</f>
        <v>64</v>
      </c>
      <c r="F3294" s="19" t="str">
        <f>IFERROR(__xludf.DUMMYFUNCTION("""COMPUTED_VALUE"""),"BLACK")</f>
        <v>BLACK</v>
      </c>
      <c r="G3294" s="20" t="str">
        <f>IFERROR(__xludf.DUMMYFUNCTION("""COMPUTED_VALUE"""),"Uncle Sams Cider (11/12/2021) 02")</f>
        <v>Uncle Sams Cider (11/12/2021) 02</v>
      </c>
      <c r="H3294" s="19"/>
    </row>
    <row r="3295">
      <c r="A3295" s="9"/>
      <c r="B3295" s="15"/>
      <c r="C3295" s="9">
        <f>IFERROR(__xludf.DUMMYFUNCTION("""COMPUTED_VALUE"""),44571.1731438194)</f>
        <v>44571.17314</v>
      </c>
      <c r="D3295" s="15">
        <f>IFERROR(__xludf.DUMMYFUNCTION("""COMPUTED_VALUE"""),1.008)</f>
        <v>1.008</v>
      </c>
      <c r="E3295" s="16">
        <f>IFERROR(__xludf.DUMMYFUNCTION("""COMPUTED_VALUE"""),65.0)</f>
        <v>65</v>
      </c>
      <c r="F3295" s="19" t="str">
        <f>IFERROR(__xludf.DUMMYFUNCTION("""COMPUTED_VALUE"""),"BLACK")</f>
        <v>BLACK</v>
      </c>
      <c r="G3295" s="20" t="str">
        <f>IFERROR(__xludf.DUMMYFUNCTION("""COMPUTED_VALUE"""),"Uncle Sams Cider (11/12/2021) 02")</f>
        <v>Uncle Sams Cider (11/12/2021) 02</v>
      </c>
      <c r="H3295" s="19"/>
    </row>
    <row r="3296">
      <c r="A3296" s="9"/>
      <c r="B3296" s="15"/>
      <c r="C3296" s="9">
        <f>IFERROR(__xludf.DUMMYFUNCTION("""COMPUTED_VALUE"""),44571.1627206597)</f>
        <v>44571.16272</v>
      </c>
      <c r="D3296" s="15">
        <f>IFERROR(__xludf.DUMMYFUNCTION("""COMPUTED_VALUE"""),1.008)</f>
        <v>1.008</v>
      </c>
      <c r="E3296" s="16">
        <f>IFERROR(__xludf.DUMMYFUNCTION("""COMPUTED_VALUE"""),65.0)</f>
        <v>65</v>
      </c>
      <c r="F3296" s="19" t="str">
        <f>IFERROR(__xludf.DUMMYFUNCTION("""COMPUTED_VALUE"""),"BLACK")</f>
        <v>BLACK</v>
      </c>
      <c r="G3296" s="20" t="str">
        <f>IFERROR(__xludf.DUMMYFUNCTION("""COMPUTED_VALUE"""),"Uncle Sams Cider (11/12/2021) 02")</f>
        <v>Uncle Sams Cider (11/12/2021) 02</v>
      </c>
      <c r="H3296" s="19"/>
    </row>
    <row r="3297">
      <c r="A3297" s="9"/>
      <c r="B3297" s="15"/>
      <c r="C3297" s="9">
        <f>IFERROR(__xludf.DUMMYFUNCTION("""COMPUTED_VALUE"""),44571.1522751388)</f>
        <v>44571.15228</v>
      </c>
      <c r="D3297" s="15">
        <f>IFERROR(__xludf.DUMMYFUNCTION("""COMPUTED_VALUE"""),1.008)</f>
        <v>1.008</v>
      </c>
      <c r="E3297" s="16">
        <f>IFERROR(__xludf.DUMMYFUNCTION("""COMPUTED_VALUE"""),65.0)</f>
        <v>65</v>
      </c>
      <c r="F3297" s="19" t="str">
        <f>IFERROR(__xludf.DUMMYFUNCTION("""COMPUTED_VALUE"""),"BLACK")</f>
        <v>BLACK</v>
      </c>
      <c r="G3297" s="20" t="str">
        <f>IFERROR(__xludf.DUMMYFUNCTION("""COMPUTED_VALUE"""),"Uncle Sams Cider (11/12/2021) 02")</f>
        <v>Uncle Sams Cider (11/12/2021) 02</v>
      </c>
      <c r="H3297" s="19"/>
    </row>
    <row r="3298">
      <c r="A3298" s="9"/>
      <c r="B3298" s="15"/>
      <c r="C3298" s="9">
        <f>IFERROR(__xludf.DUMMYFUNCTION("""COMPUTED_VALUE"""),44571.1418538657)</f>
        <v>44571.14185</v>
      </c>
      <c r="D3298" s="15">
        <f>IFERROR(__xludf.DUMMYFUNCTION("""COMPUTED_VALUE"""),1.008)</f>
        <v>1.008</v>
      </c>
      <c r="E3298" s="16">
        <f>IFERROR(__xludf.DUMMYFUNCTION("""COMPUTED_VALUE"""),65.0)</f>
        <v>65</v>
      </c>
      <c r="F3298" s="19" t="str">
        <f>IFERROR(__xludf.DUMMYFUNCTION("""COMPUTED_VALUE"""),"BLACK")</f>
        <v>BLACK</v>
      </c>
      <c r="G3298" s="20" t="str">
        <f>IFERROR(__xludf.DUMMYFUNCTION("""COMPUTED_VALUE"""),"Uncle Sams Cider (11/12/2021) 02")</f>
        <v>Uncle Sams Cider (11/12/2021) 02</v>
      </c>
      <c r="H3298" s="19"/>
    </row>
    <row r="3299">
      <c r="A3299" s="9"/>
      <c r="B3299" s="15"/>
      <c r="C3299" s="9">
        <f>IFERROR(__xludf.DUMMYFUNCTION("""COMPUTED_VALUE"""),44571.1314202083)</f>
        <v>44571.13142</v>
      </c>
      <c r="D3299" s="15">
        <f>IFERROR(__xludf.DUMMYFUNCTION("""COMPUTED_VALUE"""),1.008)</f>
        <v>1.008</v>
      </c>
      <c r="E3299" s="16">
        <f>IFERROR(__xludf.DUMMYFUNCTION("""COMPUTED_VALUE"""),65.0)</f>
        <v>65</v>
      </c>
      <c r="F3299" s="19" t="str">
        <f>IFERROR(__xludf.DUMMYFUNCTION("""COMPUTED_VALUE"""),"BLACK")</f>
        <v>BLACK</v>
      </c>
      <c r="G3299" s="20" t="str">
        <f>IFERROR(__xludf.DUMMYFUNCTION("""COMPUTED_VALUE"""),"Uncle Sams Cider (11/12/2021) 02")</f>
        <v>Uncle Sams Cider (11/12/2021) 02</v>
      </c>
      <c r="H3299" s="19"/>
    </row>
    <row r="3300">
      <c r="A3300" s="9"/>
      <c r="B3300" s="15"/>
      <c r="C3300" s="9">
        <f>IFERROR(__xludf.DUMMYFUNCTION("""COMPUTED_VALUE"""),44571.12097625)</f>
        <v>44571.12098</v>
      </c>
      <c r="D3300" s="15">
        <f>IFERROR(__xludf.DUMMYFUNCTION("""COMPUTED_VALUE"""),1.008)</f>
        <v>1.008</v>
      </c>
      <c r="E3300" s="16">
        <f>IFERROR(__xludf.DUMMYFUNCTION("""COMPUTED_VALUE"""),65.0)</f>
        <v>65</v>
      </c>
      <c r="F3300" s="19" t="str">
        <f>IFERROR(__xludf.DUMMYFUNCTION("""COMPUTED_VALUE"""),"BLACK")</f>
        <v>BLACK</v>
      </c>
      <c r="G3300" s="20" t="str">
        <f>IFERROR(__xludf.DUMMYFUNCTION("""COMPUTED_VALUE"""),"Uncle Sams Cider (11/12/2021) 02")</f>
        <v>Uncle Sams Cider (11/12/2021) 02</v>
      </c>
      <c r="H3300" s="19"/>
    </row>
    <row r="3301">
      <c r="A3301" s="9"/>
      <c r="B3301" s="15"/>
      <c r="C3301" s="9">
        <f>IFERROR(__xludf.DUMMYFUNCTION("""COMPUTED_VALUE"""),44571.1105427662)</f>
        <v>44571.11054</v>
      </c>
      <c r="D3301" s="15">
        <f>IFERROR(__xludf.DUMMYFUNCTION("""COMPUTED_VALUE"""),1.008)</f>
        <v>1.008</v>
      </c>
      <c r="E3301" s="16">
        <f>IFERROR(__xludf.DUMMYFUNCTION("""COMPUTED_VALUE"""),65.0)</f>
        <v>65</v>
      </c>
      <c r="F3301" s="19" t="str">
        <f>IFERROR(__xludf.DUMMYFUNCTION("""COMPUTED_VALUE"""),"BLACK")</f>
        <v>BLACK</v>
      </c>
      <c r="G3301" s="20" t="str">
        <f>IFERROR(__xludf.DUMMYFUNCTION("""COMPUTED_VALUE"""),"Uncle Sams Cider (11/12/2021) 02")</f>
        <v>Uncle Sams Cider (11/12/2021) 02</v>
      </c>
      <c r="H3301" s="19"/>
    </row>
    <row r="3302">
      <c r="A3302" s="9"/>
      <c r="B3302" s="15"/>
      <c r="C3302" s="9">
        <f>IFERROR(__xludf.DUMMYFUNCTION("""COMPUTED_VALUE"""),44571.1001084838)</f>
        <v>44571.10011</v>
      </c>
      <c r="D3302" s="15">
        <f>IFERROR(__xludf.DUMMYFUNCTION("""COMPUTED_VALUE"""),1.008)</f>
        <v>1.008</v>
      </c>
      <c r="E3302" s="16">
        <f>IFERROR(__xludf.DUMMYFUNCTION("""COMPUTED_VALUE"""),65.0)</f>
        <v>65</v>
      </c>
      <c r="F3302" s="19" t="str">
        <f>IFERROR(__xludf.DUMMYFUNCTION("""COMPUTED_VALUE"""),"BLACK")</f>
        <v>BLACK</v>
      </c>
      <c r="G3302" s="20" t="str">
        <f>IFERROR(__xludf.DUMMYFUNCTION("""COMPUTED_VALUE"""),"Uncle Sams Cider (11/12/2021) 02")</f>
        <v>Uncle Sams Cider (11/12/2021) 02</v>
      </c>
      <c r="H3302" s="19"/>
    </row>
    <row r="3303">
      <c r="A3303" s="9"/>
      <c r="B3303" s="15"/>
      <c r="C3303" s="9">
        <f>IFERROR(__xludf.DUMMYFUNCTION("""COMPUTED_VALUE"""),44571.0896862731)</f>
        <v>44571.08969</v>
      </c>
      <c r="D3303" s="15">
        <f>IFERROR(__xludf.DUMMYFUNCTION("""COMPUTED_VALUE"""),1.008)</f>
        <v>1.008</v>
      </c>
      <c r="E3303" s="16">
        <f>IFERROR(__xludf.DUMMYFUNCTION("""COMPUTED_VALUE"""),65.0)</f>
        <v>65</v>
      </c>
      <c r="F3303" s="19" t="str">
        <f>IFERROR(__xludf.DUMMYFUNCTION("""COMPUTED_VALUE"""),"BLACK")</f>
        <v>BLACK</v>
      </c>
      <c r="G3303" s="20" t="str">
        <f>IFERROR(__xludf.DUMMYFUNCTION("""COMPUTED_VALUE"""),"Uncle Sams Cider (11/12/2021) 02")</f>
        <v>Uncle Sams Cider (11/12/2021) 02</v>
      </c>
      <c r="H3303" s="19"/>
    </row>
    <row r="3304">
      <c r="A3304" s="9"/>
      <c r="B3304" s="15"/>
      <c r="C3304" s="9">
        <f>IFERROR(__xludf.DUMMYFUNCTION("""COMPUTED_VALUE"""),44571.0792649189)</f>
        <v>44571.07926</v>
      </c>
      <c r="D3304" s="15">
        <f>IFERROR(__xludf.DUMMYFUNCTION("""COMPUTED_VALUE"""),1.008)</f>
        <v>1.008</v>
      </c>
      <c r="E3304" s="16">
        <f>IFERROR(__xludf.DUMMYFUNCTION("""COMPUTED_VALUE"""),65.0)</f>
        <v>65</v>
      </c>
      <c r="F3304" s="19" t="str">
        <f>IFERROR(__xludf.DUMMYFUNCTION("""COMPUTED_VALUE"""),"BLACK")</f>
        <v>BLACK</v>
      </c>
      <c r="G3304" s="20" t="str">
        <f>IFERROR(__xludf.DUMMYFUNCTION("""COMPUTED_VALUE"""),"Uncle Sams Cider (11/12/2021) 02")</f>
        <v>Uncle Sams Cider (11/12/2021) 02</v>
      </c>
      <c r="H3304" s="19"/>
    </row>
    <row r="3305">
      <c r="A3305" s="9"/>
      <c r="B3305" s="15"/>
      <c r="C3305" s="9">
        <f>IFERROR(__xludf.DUMMYFUNCTION("""COMPUTED_VALUE"""),44571.0688439236)</f>
        <v>44571.06884</v>
      </c>
      <c r="D3305" s="15">
        <f>IFERROR(__xludf.DUMMYFUNCTION("""COMPUTED_VALUE"""),1.008)</f>
        <v>1.008</v>
      </c>
      <c r="E3305" s="16">
        <f>IFERROR(__xludf.DUMMYFUNCTION("""COMPUTED_VALUE"""),65.0)</f>
        <v>65</v>
      </c>
      <c r="F3305" s="19" t="str">
        <f>IFERROR(__xludf.DUMMYFUNCTION("""COMPUTED_VALUE"""),"BLACK")</f>
        <v>BLACK</v>
      </c>
      <c r="G3305" s="20" t="str">
        <f>IFERROR(__xludf.DUMMYFUNCTION("""COMPUTED_VALUE"""),"Uncle Sams Cider (11/12/2021) 02")</f>
        <v>Uncle Sams Cider (11/12/2021) 02</v>
      </c>
      <c r="H3305" s="19"/>
    </row>
    <row r="3306">
      <c r="A3306" s="9"/>
      <c r="B3306" s="15"/>
      <c r="C3306" s="9">
        <f>IFERROR(__xludf.DUMMYFUNCTION("""COMPUTED_VALUE"""),44571.0584219097)</f>
        <v>44571.05842</v>
      </c>
      <c r="D3306" s="15">
        <f>IFERROR(__xludf.DUMMYFUNCTION("""COMPUTED_VALUE"""),1.008)</f>
        <v>1.008</v>
      </c>
      <c r="E3306" s="16">
        <f>IFERROR(__xludf.DUMMYFUNCTION("""COMPUTED_VALUE"""),65.0)</f>
        <v>65</v>
      </c>
      <c r="F3306" s="19" t="str">
        <f>IFERROR(__xludf.DUMMYFUNCTION("""COMPUTED_VALUE"""),"BLACK")</f>
        <v>BLACK</v>
      </c>
      <c r="G3306" s="20" t="str">
        <f>IFERROR(__xludf.DUMMYFUNCTION("""COMPUTED_VALUE"""),"Uncle Sams Cider (11/12/2021) 02")</f>
        <v>Uncle Sams Cider (11/12/2021) 02</v>
      </c>
      <c r="H3306" s="19"/>
    </row>
    <row r="3307">
      <c r="A3307" s="9"/>
      <c r="B3307" s="15"/>
      <c r="C3307" s="9">
        <f>IFERROR(__xludf.DUMMYFUNCTION("""COMPUTED_VALUE"""),44571.0480003819)</f>
        <v>44571.048</v>
      </c>
      <c r="D3307" s="15">
        <f>IFERROR(__xludf.DUMMYFUNCTION("""COMPUTED_VALUE"""),1.008)</f>
        <v>1.008</v>
      </c>
      <c r="E3307" s="16">
        <f>IFERROR(__xludf.DUMMYFUNCTION("""COMPUTED_VALUE"""),65.0)</f>
        <v>65</v>
      </c>
      <c r="F3307" s="19" t="str">
        <f>IFERROR(__xludf.DUMMYFUNCTION("""COMPUTED_VALUE"""),"BLACK")</f>
        <v>BLACK</v>
      </c>
      <c r="G3307" s="20" t="str">
        <f>IFERROR(__xludf.DUMMYFUNCTION("""COMPUTED_VALUE"""),"Uncle Sams Cider (11/12/2021) 02")</f>
        <v>Uncle Sams Cider (11/12/2021) 02</v>
      </c>
      <c r="H3307" s="19"/>
    </row>
    <row r="3308">
      <c r="A3308" s="9"/>
      <c r="B3308" s="15"/>
      <c r="C3308" s="9">
        <f>IFERROR(__xludf.DUMMYFUNCTION("""COMPUTED_VALUE"""),44571.037576493)</f>
        <v>44571.03758</v>
      </c>
      <c r="D3308" s="15">
        <f>IFERROR(__xludf.DUMMYFUNCTION("""COMPUTED_VALUE"""),1.008)</f>
        <v>1.008</v>
      </c>
      <c r="E3308" s="16">
        <f>IFERROR(__xludf.DUMMYFUNCTION("""COMPUTED_VALUE"""),65.0)</f>
        <v>65</v>
      </c>
      <c r="F3308" s="19" t="str">
        <f>IFERROR(__xludf.DUMMYFUNCTION("""COMPUTED_VALUE"""),"BLACK")</f>
        <v>BLACK</v>
      </c>
      <c r="G3308" s="20" t="str">
        <f>IFERROR(__xludf.DUMMYFUNCTION("""COMPUTED_VALUE"""),"Uncle Sams Cider (11/12/2021) 02")</f>
        <v>Uncle Sams Cider (11/12/2021) 02</v>
      </c>
      <c r="H3308" s="19"/>
    </row>
    <row r="3309">
      <c r="A3309" s="9"/>
      <c r="B3309" s="15"/>
      <c r="C3309" s="9">
        <f>IFERROR(__xludf.DUMMYFUNCTION("""COMPUTED_VALUE"""),44571.0271339236)</f>
        <v>44571.02713</v>
      </c>
      <c r="D3309" s="15">
        <f>IFERROR(__xludf.DUMMYFUNCTION("""COMPUTED_VALUE"""),1.008)</f>
        <v>1.008</v>
      </c>
      <c r="E3309" s="16">
        <f>IFERROR(__xludf.DUMMYFUNCTION("""COMPUTED_VALUE"""),65.0)</f>
        <v>65</v>
      </c>
      <c r="F3309" s="19" t="str">
        <f>IFERROR(__xludf.DUMMYFUNCTION("""COMPUTED_VALUE"""),"BLACK")</f>
        <v>BLACK</v>
      </c>
      <c r="G3309" s="20" t="str">
        <f>IFERROR(__xludf.DUMMYFUNCTION("""COMPUTED_VALUE"""),"Uncle Sams Cider (11/12/2021) 02")</f>
        <v>Uncle Sams Cider (11/12/2021) 02</v>
      </c>
      <c r="H3309" s="19"/>
    </row>
    <row r="3310">
      <c r="A3310" s="9"/>
      <c r="B3310" s="15"/>
      <c r="C3310" s="9">
        <f>IFERROR(__xludf.DUMMYFUNCTION("""COMPUTED_VALUE"""),44571.0167128703)</f>
        <v>44571.01671</v>
      </c>
      <c r="D3310" s="15">
        <f>IFERROR(__xludf.DUMMYFUNCTION("""COMPUTED_VALUE"""),1.008)</f>
        <v>1.008</v>
      </c>
      <c r="E3310" s="16">
        <f>IFERROR(__xludf.DUMMYFUNCTION("""COMPUTED_VALUE"""),65.0)</f>
        <v>65</v>
      </c>
      <c r="F3310" s="19" t="str">
        <f>IFERROR(__xludf.DUMMYFUNCTION("""COMPUTED_VALUE"""),"BLACK")</f>
        <v>BLACK</v>
      </c>
      <c r="G3310" s="20" t="str">
        <f>IFERROR(__xludf.DUMMYFUNCTION("""COMPUTED_VALUE"""),"Uncle Sams Cider (11/12/2021) 02")</f>
        <v>Uncle Sams Cider (11/12/2021) 02</v>
      </c>
      <c r="H3310" s="19"/>
    </row>
    <row r="3311">
      <c r="A3311" s="9"/>
      <c r="B3311" s="15"/>
      <c r="C3311" s="9">
        <f>IFERROR(__xludf.DUMMYFUNCTION("""COMPUTED_VALUE"""),44571.0062903587)</f>
        <v>44571.00629</v>
      </c>
      <c r="D3311" s="15">
        <f>IFERROR(__xludf.DUMMYFUNCTION("""COMPUTED_VALUE"""),1.008)</f>
        <v>1.008</v>
      </c>
      <c r="E3311" s="16">
        <f>IFERROR(__xludf.DUMMYFUNCTION("""COMPUTED_VALUE"""),65.0)</f>
        <v>65</v>
      </c>
      <c r="F3311" s="19" t="str">
        <f>IFERROR(__xludf.DUMMYFUNCTION("""COMPUTED_VALUE"""),"BLACK")</f>
        <v>BLACK</v>
      </c>
      <c r="G3311" s="20" t="str">
        <f>IFERROR(__xludf.DUMMYFUNCTION("""COMPUTED_VALUE"""),"Uncle Sams Cider (11/12/2021) 02")</f>
        <v>Uncle Sams Cider (11/12/2021) 02</v>
      </c>
      <c r="H3311" s="19"/>
    </row>
    <row r="3312">
      <c r="A3312" s="9"/>
      <c r="B3312" s="15"/>
      <c r="C3312" s="9">
        <f>IFERROR(__xludf.DUMMYFUNCTION("""COMPUTED_VALUE"""),44570.9958676157)</f>
        <v>44570.99587</v>
      </c>
      <c r="D3312" s="15">
        <f>IFERROR(__xludf.DUMMYFUNCTION("""COMPUTED_VALUE"""),1.008)</f>
        <v>1.008</v>
      </c>
      <c r="E3312" s="16">
        <f>IFERROR(__xludf.DUMMYFUNCTION("""COMPUTED_VALUE"""),65.0)</f>
        <v>65</v>
      </c>
      <c r="F3312" s="19" t="str">
        <f>IFERROR(__xludf.DUMMYFUNCTION("""COMPUTED_VALUE"""),"BLACK")</f>
        <v>BLACK</v>
      </c>
      <c r="G3312" s="20" t="str">
        <f>IFERROR(__xludf.DUMMYFUNCTION("""COMPUTED_VALUE"""),"Uncle Sams Cider (11/12/2021) 02")</f>
        <v>Uncle Sams Cider (11/12/2021) 02</v>
      </c>
      <c r="H3312" s="19"/>
    </row>
    <row r="3313">
      <c r="A3313" s="9"/>
      <c r="B3313" s="15"/>
      <c r="C3313" s="9">
        <f>IFERROR(__xludf.DUMMYFUNCTION("""COMPUTED_VALUE"""),44570.9854453935)</f>
        <v>44570.98545</v>
      </c>
      <c r="D3313" s="15">
        <f>IFERROR(__xludf.DUMMYFUNCTION("""COMPUTED_VALUE"""),1.008)</f>
        <v>1.008</v>
      </c>
      <c r="E3313" s="16">
        <f>IFERROR(__xludf.DUMMYFUNCTION("""COMPUTED_VALUE"""),65.0)</f>
        <v>65</v>
      </c>
      <c r="F3313" s="19" t="str">
        <f>IFERROR(__xludf.DUMMYFUNCTION("""COMPUTED_VALUE"""),"BLACK")</f>
        <v>BLACK</v>
      </c>
      <c r="G3313" s="20" t="str">
        <f>IFERROR(__xludf.DUMMYFUNCTION("""COMPUTED_VALUE"""),"Uncle Sams Cider (11/12/2021) 02")</f>
        <v>Uncle Sams Cider (11/12/2021) 02</v>
      </c>
      <c r="H3313" s="19"/>
    </row>
    <row r="3314">
      <c r="A3314" s="9"/>
      <c r="B3314" s="15"/>
      <c r="C3314" s="9">
        <f>IFERROR(__xludf.DUMMYFUNCTION("""COMPUTED_VALUE"""),44570.9750262615)</f>
        <v>44570.97503</v>
      </c>
      <c r="D3314" s="15">
        <f>IFERROR(__xludf.DUMMYFUNCTION("""COMPUTED_VALUE"""),1.008)</f>
        <v>1.008</v>
      </c>
      <c r="E3314" s="16">
        <f>IFERROR(__xludf.DUMMYFUNCTION("""COMPUTED_VALUE"""),65.0)</f>
        <v>65</v>
      </c>
      <c r="F3314" s="19" t="str">
        <f>IFERROR(__xludf.DUMMYFUNCTION("""COMPUTED_VALUE"""),"BLACK")</f>
        <v>BLACK</v>
      </c>
      <c r="G3314" s="20" t="str">
        <f>IFERROR(__xludf.DUMMYFUNCTION("""COMPUTED_VALUE"""),"Uncle Sams Cider (11/12/2021) 02")</f>
        <v>Uncle Sams Cider (11/12/2021) 02</v>
      </c>
      <c r="H3314" s="19"/>
    </row>
    <row r="3315">
      <c r="A3315" s="9"/>
      <c r="B3315" s="15"/>
      <c r="C3315" s="9">
        <f>IFERROR(__xludf.DUMMYFUNCTION("""COMPUTED_VALUE"""),44570.9646056828)</f>
        <v>44570.96461</v>
      </c>
      <c r="D3315" s="15">
        <f>IFERROR(__xludf.DUMMYFUNCTION("""COMPUTED_VALUE"""),1.008)</f>
        <v>1.008</v>
      </c>
      <c r="E3315" s="16">
        <f>IFERROR(__xludf.DUMMYFUNCTION("""COMPUTED_VALUE"""),65.0)</f>
        <v>65</v>
      </c>
      <c r="F3315" s="19" t="str">
        <f>IFERROR(__xludf.DUMMYFUNCTION("""COMPUTED_VALUE"""),"BLACK")</f>
        <v>BLACK</v>
      </c>
      <c r="G3315" s="20" t="str">
        <f>IFERROR(__xludf.DUMMYFUNCTION("""COMPUTED_VALUE"""),"Uncle Sams Cider (11/12/2021) 02")</f>
        <v>Uncle Sams Cider (11/12/2021) 02</v>
      </c>
      <c r="H3315" s="19"/>
    </row>
    <row r="3316">
      <c r="A3316" s="9"/>
      <c r="B3316" s="15"/>
      <c r="C3316" s="9">
        <f>IFERROR(__xludf.DUMMYFUNCTION("""COMPUTED_VALUE"""),44570.9541846643)</f>
        <v>44570.95418</v>
      </c>
      <c r="D3316" s="15">
        <f>IFERROR(__xludf.DUMMYFUNCTION("""COMPUTED_VALUE"""),1.008)</f>
        <v>1.008</v>
      </c>
      <c r="E3316" s="16">
        <f>IFERROR(__xludf.DUMMYFUNCTION("""COMPUTED_VALUE"""),65.0)</f>
        <v>65</v>
      </c>
      <c r="F3316" s="19" t="str">
        <f>IFERROR(__xludf.DUMMYFUNCTION("""COMPUTED_VALUE"""),"BLACK")</f>
        <v>BLACK</v>
      </c>
      <c r="G3316" s="20" t="str">
        <f>IFERROR(__xludf.DUMMYFUNCTION("""COMPUTED_VALUE"""),"Uncle Sams Cider (11/12/2021) 02")</f>
        <v>Uncle Sams Cider (11/12/2021) 02</v>
      </c>
      <c r="H3316" s="19"/>
    </row>
    <row r="3317">
      <c r="A3317" s="9"/>
      <c r="B3317" s="15"/>
      <c r="C3317" s="9">
        <f>IFERROR(__xludf.DUMMYFUNCTION("""COMPUTED_VALUE"""),44570.9437637268)</f>
        <v>44570.94376</v>
      </c>
      <c r="D3317" s="15">
        <f>IFERROR(__xludf.DUMMYFUNCTION("""COMPUTED_VALUE"""),1.008)</f>
        <v>1.008</v>
      </c>
      <c r="E3317" s="16">
        <f>IFERROR(__xludf.DUMMYFUNCTION("""COMPUTED_VALUE"""),65.0)</f>
        <v>65</v>
      </c>
      <c r="F3317" s="19" t="str">
        <f>IFERROR(__xludf.DUMMYFUNCTION("""COMPUTED_VALUE"""),"BLACK")</f>
        <v>BLACK</v>
      </c>
      <c r="G3317" s="20" t="str">
        <f>IFERROR(__xludf.DUMMYFUNCTION("""COMPUTED_VALUE"""),"Uncle Sams Cider (11/12/2021) 02")</f>
        <v>Uncle Sams Cider (11/12/2021) 02</v>
      </c>
      <c r="H3317" s="19"/>
    </row>
    <row r="3318">
      <c r="A3318" s="9"/>
      <c r="B3318" s="15"/>
      <c r="C3318" s="9">
        <f>IFERROR(__xludf.DUMMYFUNCTION("""COMPUTED_VALUE"""),44570.9333409953)</f>
        <v>44570.93334</v>
      </c>
      <c r="D3318" s="15">
        <f>IFERROR(__xludf.DUMMYFUNCTION("""COMPUTED_VALUE"""),1.008)</f>
        <v>1.008</v>
      </c>
      <c r="E3318" s="16">
        <f>IFERROR(__xludf.DUMMYFUNCTION("""COMPUTED_VALUE"""),65.0)</f>
        <v>65</v>
      </c>
      <c r="F3318" s="19" t="str">
        <f>IFERROR(__xludf.DUMMYFUNCTION("""COMPUTED_VALUE"""),"BLACK")</f>
        <v>BLACK</v>
      </c>
      <c r="G3318" s="20" t="str">
        <f>IFERROR(__xludf.DUMMYFUNCTION("""COMPUTED_VALUE"""),"Uncle Sams Cider (11/12/2021) 02")</f>
        <v>Uncle Sams Cider (11/12/2021) 02</v>
      </c>
      <c r="H3318" s="19"/>
    </row>
    <row r="3319">
      <c r="A3319" s="9"/>
      <c r="B3319" s="15"/>
      <c r="C3319" s="9">
        <f>IFERROR(__xludf.DUMMYFUNCTION("""COMPUTED_VALUE"""),44570.9229191087)</f>
        <v>44570.92292</v>
      </c>
      <c r="D3319" s="15">
        <f>IFERROR(__xludf.DUMMYFUNCTION("""COMPUTED_VALUE"""),1.008)</f>
        <v>1.008</v>
      </c>
      <c r="E3319" s="16">
        <f>IFERROR(__xludf.DUMMYFUNCTION("""COMPUTED_VALUE"""),65.0)</f>
        <v>65</v>
      </c>
      <c r="F3319" s="19" t="str">
        <f>IFERROR(__xludf.DUMMYFUNCTION("""COMPUTED_VALUE"""),"BLACK")</f>
        <v>BLACK</v>
      </c>
      <c r="G3319" s="20" t="str">
        <f>IFERROR(__xludf.DUMMYFUNCTION("""COMPUTED_VALUE"""),"Uncle Sams Cider (11/12/2021) 02")</f>
        <v>Uncle Sams Cider (11/12/2021) 02</v>
      </c>
      <c r="H3319" s="19"/>
    </row>
    <row r="3320">
      <c r="A3320" s="9"/>
      <c r="B3320" s="15"/>
      <c r="C3320" s="9">
        <f>IFERROR(__xludf.DUMMYFUNCTION("""COMPUTED_VALUE"""),44570.9124988657)</f>
        <v>44570.9125</v>
      </c>
      <c r="D3320" s="15">
        <f>IFERROR(__xludf.DUMMYFUNCTION("""COMPUTED_VALUE"""),1.008)</f>
        <v>1.008</v>
      </c>
      <c r="E3320" s="16">
        <f>IFERROR(__xludf.DUMMYFUNCTION("""COMPUTED_VALUE"""),65.0)</f>
        <v>65</v>
      </c>
      <c r="F3320" s="19" t="str">
        <f>IFERROR(__xludf.DUMMYFUNCTION("""COMPUTED_VALUE"""),"BLACK")</f>
        <v>BLACK</v>
      </c>
      <c r="G3320" s="20" t="str">
        <f>IFERROR(__xludf.DUMMYFUNCTION("""COMPUTED_VALUE"""),"Uncle Sams Cider (11/12/2021) 02")</f>
        <v>Uncle Sams Cider (11/12/2021) 02</v>
      </c>
      <c r="H3320" s="19"/>
    </row>
    <row r="3321">
      <c r="A3321" s="9"/>
      <c r="B3321" s="15"/>
      <c r="C3321" s="9">
        <f>IFERROR(__xludf.DUMMYFUNCTION("""COMPUTED_VALUE"""),44570.9020656597)</f>
        <v>44570.90207</v>
      </c>
      <c r="D3321" s="15">
        <f>IFERROR(__xludf.DUMMYFUNCTION("""COMPUTED_VALUE"""),1.008)</f>
        <v>1.008</v>
      </c>
      <c r="E3321" s="16">
        <f>IFERROR(__xludf.DUMMYFUNCTION("""COMPUTED_VALUE"""),65.0)</f>
        <v>65</v>
      </c>
      <c r="F3321" s="19" t="str">
        <f>IFERROR(__xludf.DUMMYFUNCTION("""COMPUTED_VALUE"""),"BLACK")</f>
        <v>BLACK</v>
      </c>
      <c r="G3321" s="20" t="str">
        <f>IFERROR(__xludf.DUMMYFUNCTION("""COMPUTED_VALUE"""),"Uncle Sams Cider (11/12/2021) 02")</f>
        <v>Uncle Sams Cider (11/12/2021) 02</v>
      </c>
      <c r="H3321" s="19"/>
    </row>
    <row r="3322">
      <c r="A3322" s="9"/>
      <c r="B3322" s="15"/>
      <c r="C3322" s="9">
        <f>IFERROR(__xludf.DUMMYFUNCTION("""COMPUTED_VALUE"""),44570.8916203356)</f>
        <v>44570.89162</v>
      </c>
      <c r="D3322" s="15">
        <f>IFERROR(__xludf.DUMMYFUNCTION("""COMPUTED_VALUE"""),1.008)</f>
        <v>1.008</v>
      </c>
      <c r="E3322" s="16">
        <f>IFERROR(__xludf.DUMMYFUNCTION("""COMPUTED_VALUE"""),65.0)</f>
        <v>65</v>
      </c>
      <c r="F3322" s="19" t="str">
        <f>IFERROR(__xludf.DUMMYFUNCTION("""COMPUTED_VALUE"""),"BLACK")</f>
        <v>BLACK</v>
      </c>
      <c r="G3322" s="20" t="str">
        <f>IFERROR(__xludf.DUMMYFUNCTION("""COMPUTED_VALUE"""),"Uncle Sams Cider (11/12/2021) 02")</f>
        <v>Uncle Sams Cider (11/12/2021) 02</v>
      </c>
      <c r="H3322" s="19"/>
    </row>
    <row r="3323">
      <c r="A3323" s="9"/>
      <c r="B3323" s="15"/>
      <c r="C3323" s="9">
        <f>IFERROR(__xludf.DUMMYFUNCTION("""COMPUTED_VALUE"""),44570.881187199)</f>
        <v>44570.88119</v>
      </c>
      <c r="D3323" s="15">
        <f>IFERROR(__xludf.DUMMYFUNCTION("""COMPUTED_VALUE"""),1.008)</f>
        <v>1.008</v>
      </c>
      <c r="E3323" s="16">
        <f>IFERROR(__xludf.DUMMYFUNCTION("""COMPUTED_VALUE"""),65.0)</f>
        <v>65</v>
      </c>
      <c r="F3323" s="19" t="str">
        <f>IFERROR(__xludf.DUMMYFUNCTION("""COMPUTED_VALUE"""),"BLACK")</f>
        <v>BLACK</v>
      </c>
      <c r="G3323" s="20" t="str">
        <f>IFERROR(__xludf.DUMMYFUNCTION("""COMPUTED_VALUE"""),"Uncle Sams Cider (11/12/2021) 02")</f>
        <v>Uncle Sams Cider (11/12/2021) 02</v>
      </c>
      <c r="H3323" s="19"/>
    </row>
    <row r="3324">
      <c r="A3324" s="9"/>
      <c r="B3324" s="15"/>
      <c r="C3324" s="9">
        <f>IFERROR(__xludf.DUMMYFUNCTION("""COMPUTED_VALUE"""),44570.8707641666)</f>
        <v>44570.87076</v>
      </c>
      <c r="D3324" s="15">
        <f>IFERROR(__xludf.DUMMYFUNCTION("""COMPUTED_VALUE"""),1.008)</f>
        <v>1.008</v>
      </c>
      <c r="E3324" s="16">
        <f>IFERROR(__xludf.DUMMYFUNCTION("""COMPUTED_VALUE"""),65.0)</f>
        <v>65</v>
      </c>
      <c r="F3324" s="19" t="str">
        <f>IFERROR(__xludf.DUMMYFUNCTION("""COMPUTED_VALUE"""),"BLACK")</f>
        <v>BLACK</v>
      </c>
      <c r="G3324" s="20" t="str">
        <f>IFERROR(__xludf.DUMMYFUNCTION("""COMPUTED_VALUE"""),"Uncle Sams Cider (11/12/2021) 02")</f>
        <v>Uncle Sams Cider (11/12/2021) 02</v>
      </c>
      <c r="H3324" s="19"/>
    </row>
    <row r="3325">
      <c r="A3325" s="9"/>
      <c r="B3325" s="15"/>
      <c r="C3325" s="9">
        <f>IFERROR(__xludf.DUMMYFUNCTION("""COMPUTED_VALUE"""),44570.8603184143)</f>
        <v>44570.86032</v>
      </c>
      <c r="D3325" s="15">
        <f>IFERROR(__xludf.DUMMYFUNCTION("""COMPUTED_VALUE"""),1.008)</f>
        <v>1.008</v>
      </c>
      <c r="E3325" s="16">
        <f>IFERROR(__xludf.DUMMYFUNCTION("""COMPUTED_VALUE"""),65.0)</f>
        <v>65</v>
      </c>
      <c r="F3325" s="19" t="str">
        <f>IFERROR(__xludf.DUMMYFUNCTION("""COMPUTED_VALUE"""),"BLACK")</f>
        <v>BLACK</v>
      </c>
      <c r="G3325" s="20" t="str">
        <f>IFERROR(__xludf.DUMMYFUNCTION("""COMPUTED_VALUE"""),"Uncle Sams Cider (11/12/2021) 02")</f>
        <v>Uncle Sams Cider (11/12/2021) 02</v>
      </c>
      <c r="H3325" s="19"/>
    </row>
    <row r="3326">
      <c r="A3326" s="9"/>
      <c r="B3326" s="15"/>
      <c r="C3326" s="9">
        <f>IFERROR(__xludf.DUMMYFUNCTION("""COMPUTED_VALUE"""),44570.8498859837)</f>
        <v>44570.84989</v>
      </c>
      <c r="D3326" s="15">
        <f>IFERROR(__xludf.DUMMYFUNCTION("""COMPUTED_VALUE"""),1.008)</f>
        <v>1.008</v>
      </c>
      <c r="E3326" s="16">
        <f>IFERROR(__xludf.DUMMYFUNCTION("""COMPUTED_VALUE"""),65.0)</f>
        <v>65</v>
      </c>
      <c r="F3326" s="19" t="str">
        <f>IFERROR(__xludf.DUMMYFUNCTION("""COMPUTED_VALUE"""),"BLACK")</f>
        <v>BLACK</v>
      </c>
      <c r="G3326" s="20" t="str">
        <f>IFERROR(__xludf.DUMMYFUNCTION("""COMPUTED_VALUE"""),"Uncle Sams Cider (11/12/2021) 02")</f>
        <v>Uncle Sams Cider (11/12/2021) 02</v>
      </c>
      <c r="H3326" s="19"/>
    </row>
    <row r="3327">
      <c r="A3327" s="9"/>
      <c r="B3327" s="15"/>
      <c r="C3327" s="9">
        <f>IFERROR(__xludf.DUMMYFUNCTION("""COMPUTED_VALUE"""),44570.8394546064)</f>
        <v>44570.83945</v>
      </c>
      <c r="D3327" s="15">
        <f>IFERROR(__xludf.DUMMYFUNCTION("""COMPUTED_VALUE"""),1.008)</f>
        <v>1.008</v>
      </c>
      <c r="E3327" s="16">
        <f>IFERROR(__xludf.DUMMYFUNCTION("""COMPUTED_VALUE"""),65.0)</f>
        <v>65</v>
      </c>
      <c r="F3327" s="19" t="str">
        <f>IFERROR(__xludf.DUMMYFUNCTION("""COMPUTED_VALUE"""),"BLACK")</f>
        <v>BLACK</v>
      </c>
      <c r="G3327" s="20" t="str">
        <f>IFERROR(__xludf.DUMMYFUNCTION("""COMPUTED_VALUE"""),"Uncle Sams Cider (11/12/2021) 02")</f>
        <v>Uncle Sams Cider (11/12/2021) 02</v>
      </c>
      <c r="H3327" s="19"/>
    </row>
    <row r="3328">
      <c r="A3328" s="9"/>
      <c r="B3328" s="15"/>
      <c r="C3328" s="9">
        <f>IFERROR(__xludf.DUMMYFUNCTION("""COMPUTED_VALUE"""),44570.8290330671)</f>
        <v>44570.82903</v>
      </c>
      <c r="D3328" s="15">
        <f>IFERROR(__xludf.DUMMYFUNCTION("""COMPUTED_VALUE"""),1.008)</f>
        <v>1.008</v>
      </c>
      <c r="E3328" s="16">
        <f>IFERROR(__xludf.DUMMYFUNCTION("""COMPUTED_VALUE"""),65.0)</f>
        <v>65</v>
      </c>
      <c r="F3328" s="19" t="str">
        <f>IFERROR(__xludf.DUMMYFUNCTION("""COMPUTED_VALUE"""),"BLACK")</f>
        <v>BLACK</v>
      </c>
      <c r="G3328" s="20" t="str">
        <f>IFERROR(__xludf.DUMMYFUNCTION("""COMPUTED_VALUE"""),"Uncle Sams Cider (11/12/2021) 02")</f>
        <v>Uncle Sams Cider (11/12/2021) 02</v>
      </c>
      <c r="H3328" s="19"/>
    </row>
    <row r="3329">
      <c r="A3329" s="9"/>
      <c r="B3329" s="15"/>
      <c r="C3329" s="9">
        <f>IFERROR(__xludf.DUMMYFUNCTION("""COMPUTED_VALUE"""),44570.8185880324)</f>
        <v>44570.81859</v>
      </c>
      <c r="D3329" s="15">
        <f>IFERROR(__xludf.DUMMYFUNCTION("""COMPUTED_VALUE"""),1.008)</f>
        <v>1.008</v>
      </c>
      <c r="E3329" s="16">
        <f>IFERROR(__xludf.DUMMYFUNCTION("""COMPUTED_VALUE"""),65.0)</f>
        <v>65</v>
      </c>
      <c r="F3329" s="19" t="str">
        <f>IFERROR(__xludf.DUMMYFUNCTION("""COMPUTED_VALUE"""),"BLACK")</f>
        <v>BLACK</v>
      </c>
      <c r="G3329" s="20" t="str">
        <f>IFERROR(__xludf.DUMMYFUNCTION("""COMPUTED_VALUE"""),"Uncle Sams Cider (11/12/2021) 02")</f>
        <v>Uncle Sams Cider (11/12/2021) 02</v>
      </c>
      <c r="H3329" s="19"/>
    </row>
    <row r="3330">
      <c r="A3330" s="9"/>
      <c r="B3330" s="15"/>
      <c r="C3330" s="9">
        <f>IFERROR(__xludf.DUMMYFUNCTION("""COMPUTED_VALUE"""),44570.8081666203)</f>
        <v>44570.80817</v>
      </c>
      <c r="D3330" s="15">
        <f>IFERROR(__xludf.DUMMYFUNCTION("""COMPUTED_VALUE"""),1.008)</f>
        <v>1.008</v>
      </c>
      <c r="E3330" s="16">
        <f>IFERROR(__xludf.DUMMYFUNCTION("""COMPUTED_VALUE"""),65.0)</f>
        <v>65</v>
      </c>
      <c r="F3330" s="19" t="str">
        <f>IFERROR(__xludf.DUMMYFUNCTION("""COMPUTED_VALUE"""),"BLACK")</f>
        <v>BLACK</v>
      </c>
      <c r="G3330" s="20" t="str">
        <f>IFERROR(__xludf.DUMMYFUNCTION("""COMPUTED_VALUE"""),"Uncle Sams Cider (11/12/2021) 02")</f>
        <v>Uncle Sams Cider (11/12/2021) 02</v>
      </c>
      <c r="H3330" s="19"/>
    </row>
    <row r="3331">
      <c r="A3331" s="9"/>
      <c r="B3331" s="15"/>
      <c r="C3331" s="9">
        <f>IFERROR(__xludf.DUMMYFUNCTION("""COMPUTED_VALUE"""),44570.7977332291)</f>
        <v>44570.79773</v>
      </c>
      <c r="D3331" s="15">
        <f>IFERROR(__xludf.DUMMYFUNCTION("""COMPUTED_VALUE"""),1.008)</f>
        <v>1.008</v>
      </c>
      <c r="E3331" s="16">
        <f>IFERROR(__xludf.DUMMYFUNCTION("""COMPUTED_VALUE"""),66.0)</f>
        <v>66</v>
      </c>
      <c r="F3331" s="19" t="str">
        <f>IFERROR(__xludf.DUMMYFUNCTION("""COMPUTED_VALUE"""),"BLACK")</f>
        <v>BLACK</v>
      </c>
      <c r="G3331" s="20" t="str">
        <f>IFERROR(__xludf.DUMMYFUNCTION("""COMPUTED_VALUE"""),"Uncle Sams Cider (11/12/2021) 02")</f>
        <v>Uncle Sams Cider (11/12/2021) 02</v>
      </c>
      <c r="H3331" s="19"/>
    </row>
    <row r="3332">
      <c r="A3332" s="9"/>
      <c r="B3332" s="15"/>
      <c r="C3332" s="9">
        <f>IFERROR(__xludf.DUMMYFUNCTION("""COMPUTED_VALUE"""),44570.787313125)</f>
        <v>44570.78731</v>
      </c>
      <c r="D3332" s="15">
        <f>IFERROR(__xludf.DUMMYFUNCTION("""COMPUTED_VALUE"""),1.008)</f>
        <v>1.008</v>
      </c>
      <c r="E3332" s="16">
        <f>IFERROR(__xludf.DUMMYFUNCTION("""COMPUTED_VALUE"""),66.0)</f>
        <v>66</v>
      </c>
      <c r="F3332" s="19" t="str">
        <f>IFERROR(__xludf.DUMMYFUNCTION("""COMPUTED_VALUE"""),"BLACK")</f>
        <v>BLACK</v>
      </c>
      <c r="G3332" s="20" t="str">
        <f>IFERROR(__xludf.DUMMYFUNCTION("""COMPUTED_VALUE"""),"Uncle Sams Cider (11/12/2021) 02")</f>
        <v>Uncle Sams Cider (11/12/2021) 02</v>
      </c>
      <c r="H3332" s="19"/>
    </row>
    <row r="3333">
      <c r="A3333" s="9"/>
      <c r="B3333" s="15"/>
      <c r="C3333" s="9">
        <f>IFERROR(__xludf.DUMMYFUNCTION("""COMPUTED_VALUE"""),44570.7768928009)</f>
        <v>44570.77689</v>
      </c>
      <c r="D3333" s="15">
        <f>IFERROR(__xludf.DUMMYFUNCTION("""COMPUTED_VALUE"""),1.008)</f>
        <v>1.008</v>
      </c>
      <c r="E3333" s="16">
        <f>IFERROR(__xludf.DUMMYFUNCTION("""COMPUTED_VALUE"""),66.0)</f>
        <v>66</v>
      </c>
      <c r="F3333" s="19" t="str">
        <f>IFERROR(__xludf.DUMMYFUNCTION("""COMPUTED_VALUE"""),"BLACK")</f>
        <v>BLACK</v>
      </c>
      <c r="G3333" s="20" t="str">
        <f>IFERROR(__xludf.DUMMYFUNCTION("""COMPUTED_VALUE"""),"Uncle Sams Cider (11/12/2021) 02")</f>
        <v>Uncle Sams Cider (11/12/2021) 02</v>
      </c>
      <c r="H3333" s="19"/>
    </row>
    <row r="3334">
      <c r="A3334" s="9"/>
      <c r="B3334" s="15"/>
      <c r="C3334" s="9">
        <f>IFERROR(__xludf.DUMMYFUNCTION("""COMPUTED_VALUE"""),44570.7664705671)</f>
        <v>44570.76647</v>
      </c>
      <c r="D3334" s="15">
        <f>IFERROR(__xludf.DUMMYFUNCTION("""COMPUTED_VALUE"""),1.008)</f>
        <v>1.008</v>
      </c>
      <c r="E3334" s="16">
        <f>IFERROR(__xludf.DUMMYFUNCTION("""COMPUTED_VALUE"""),66.0)</f>
        <v>66</v>
      </c>
      <c r="F3334" s="19" t="str">
        <f>IFERROR(__xludf.DUMMYFUNCTION("""COMPUTED_VALUE"""),"BLACK")</f>
        <v>BLACK</v>
      </c>
      <c r="G3334" s="20" t="str">
        <f>IFERROR(__xludf.DUMMYFUNCTION("""COMPUTED_VALUE"""),"Uncle Sams Cider (11/12/2021) 02")</f>
        <v>Uncle Sams Cider (11/12/2021) 02</v>
      </c>
      <c r="H3334" s="19"/>
    </row>
    <row r="3335">
      <c r="A3335" s="9"/>
      <c r="B3335" s="15"/>
      <c r="C3335" s="9">
        <f>IFERROR(__xludf.DUMMYFUNCTION("""COMPUTED_VALUE"""),44570.7560351736)</f>
        <v>44570.75604</v>
      </c>
      <c r="D3335" s="15">
        <f>IFERROR(__xludf.DUMMYFUNCTION("""COMPUTED_VALUE"""),1.008)</f>
        <v>1.008</v>
      </c>
      <c r="E3335" s="16">
        <f>IFERROR(__xludf.DUMMYFUNCTION("""COMPUTED_VALUE"""),66.0)</f>
        <v>66</v>
      </c>
      <c r="F3335" s="19" t="str">
        <f>IFERROR(__xludf.DUMMYFUNCTION("""COMPUTED_VALUE"""),"BLACK")</f>
        <v>BLACK</v>
      </c>
      <c r="G3335" s="20" t="str">
        <f>IFERROR(__xludf.DUMMYFUNCTION("""COMPUTED_VALUE"""),"Uncle Sams Cider (11/12/2021) 02")</f>
        <v>Uncle Sams Cider (11/12/2021) 02</v>
      </c>
      <c r="H3335" s="19"/>
    </row>
    <row r="3336">
      <c r="A3336" s="9"/>
      <c r="B3336" s="15"/>
      <c r="C3336" s="9">
        <f>IFERROR(__xludf.DUMMYFUNCTION("""COMPUTED_VALUE"""),44570.7456044907)</f>
        <v>44570.7456</v>
      </c>
      <c r="D3336" s="15">
        <f>IFERROR(__xludf.DUMMYFUNCTION("""COMPUTED_VALUE"""),1.008)</f>
        <v>1.008</v>
      </c>
      <c r="E3336" s="16">
        <f>IFERROR(__xludf.DUMMYFUNCTION("""COMPUTED_VALUE"""),66.0)</f>
        <v>66</v>
      </c>
      <c r="F3336" s="19" t="str">
        <f>IFERROR(__xludf.DUMMYFUNCTION("""COMPUTED_VALUE"""),"BLACK")</f>
        <v>BLACK</v>
      </c>
      <c r="G3336" s="20" t="str">
        <f>IFERROR(__xludf.DUMMYFUNCTION("""COMPUTED_VALUE"""),"Uncle Sams Cider (11/12/2021) 02")</f>
        <v>Uncle Sams Cider (11/12/2021) 02</v>
      </c>
      <c r="H3336" s="19"/>
    </row>
    <row r="3337">
      <c r="A3337" s="9"/>
      <c r="B3337" s="15"/>
      <c r="C3337" s="9">
        <f>IFERROR(__xludf.DUMMYFUNCTION("""COMPUTED_VALUE"""),44570.7351707523)</f>
        <v>44570.73517</v>
      </c>
      <c r="D3337" s="15">
        <f>IFERROR(__xludf.DUMMYFUNCTION("""COMPUTED_VALUE"""),1.008)</f>
        <v>1.008</v>
      </c>
      <c r="E3337" s="16">
        <f>IFERROR(__xludf.DUMMYFUNCTION("""COMPUTED_VALUE"""),66.0)</f>
        <v>66</v>
      </c>
      <c r="F3337" s="19" t="str">
        <f>IFERROR(__xludf.DUMMYFUNCTION("""COMPUTED_VALUE"""),"BLACK")</f>
        <v>BLACK</v>
      </c>
      <c r="G3337" s="20" t="str">
        <f>IFERROR(__xludf.DUMMYFUNCTION("""COMPUTED_VALUE"""),"Uncle Sams Cider (11/12/2021) 02")</f>
        <v>Uncle Sams Cider (11/12/2021) 02</v>
      </c>
      <c r="H3337" s="19"/>
    </row>
    <row r="3338">
      <c r="A3338" s="9"/>
      <c r="B3338" s="15"/>
      <c r="C3338" s="9">
        <f>IFERROR(__xludf.DUMMYFUNCTION("""COMPUTED_VALUE"""),44570.7247479976)</f>
        <v>44570.72475</v>
      </c>
      <c r="D3338" s="15">
        <f>IFERROR(__xludf.DUMMYFUNCTION("""COMPUTED_VALUE"""),1.008)</f>
        <v>1.008</v>
      </c>
      <c r="E3338" s="16">
        <f>IFERROR(__xludf.DUMMYFUNCTION("""COMPUTED_VALUE"""),66.0)</f>
        <v>66</v>
      </c>
      <c r="F3338" s="19" t="str">
        <f>IFERROR(__xludf.DUMMYFUNCTION("""COMPUTED_VALUE"""),"BLACK")</f>
        <v>BLACK</v>
      </c>
      <c r="G3338" s="20" t="str">
        <f>IFERROR(__xludf.DUMMYFUNCTION("""COMPUTED_VALUE"""),"Uncle Sams Cider (11/12/2021) 02")</f>
        <v>Uncle Sams Cider (11/12/2021) 02</v>
      </c>
      <c r="H3338" s="19"/>
    </row>
    <row r="3339">
      <c r="A3339" s="9"/>
      <c r="B3339" s="15"/>
      <c r="C3339" s="9">
        <f>IFERROR(__xludf.DUMMYFUNCTION("""COMPUTED_VALUE"""),44570.7143284837)</f>
        <v>44570.71433</v>
      </c>
      <c r="D3339" s="15">
        <f>IFERROR(__xludf.DUMMYFUNCTION("""COMPUTED_VALUE"""),1.008)</f>
        <v>1.008</v>
      </c>
      <c r="E3339" s="16">
        <f>IFERROR(__xludf.DUMMYFUNCTION("""COMPUTED_VALUE"""),66.0)</f>
        <v>66</v>
      </c>
      <c r="F3339" s="19" t="str">
        <f>IFERROR(__xludf.DUMMYFUNCTION("""COMPUTED_VALUE"""),"BLACK")</f>
        <v>BLACK</v>
      </c>
      <c r="G3339" s="20" t="str">
        <f>IFERROR(__xludf.DUMMYFUNCTION("""COMPUTED_VALUE"""),"Uncle Sams Cider (11/12/2021) 02")</f>
        <v>Uncle Sams Cider (11/12/2021) 02</v>
      </c>
      <c r="H3339" s="19"/>
    </row>
    <row r="3340">
      <c r="A3340" s="9"/>
      <c r="B3340" s="15"/>
      <c r="C3340" s="9">
        <f>IFERROR(__xludf.DUMMYFUNCTION("""COMPUTED_VALUE"""),44570.7039061921)</f>
        <v>44570.70391</v>
      </c>
      <c r="D3340" s="15">
        <f>IFERROR(__xludf.DUMMYFUNCTION("""COMPUTED_VALUE"""),1.008)</f>
        <v>1.008</v>
      </c>
      <c r="E3340" s="16">
        <f>IFERROR(__xludf.DUMMYFUNCTION("""COMPUTED_VALUE"""),66.0)</f>
        <v>66</v>
      </c>
      <c r="F3340" s="19" t="str">
        <f>IFERROR(__xludf.DUMMYFUNCTION("""COMPUTED_VALUE"""),"BLACK")</f>
        <v>BLACK</v>
      </c>
      <c r="G3340" s="20" t="str">
        <f>IFERROR(__xludf.DUMMYFUNCTION("""COMPUTED_VALUE"""),"Uncle Sams Cider (11/12/2021) 02")</f>
        <v>Uncle Sams Cider (11/12/2021) 02</v>
      </c>
      <c r="H3340" s="19"/>
    </row>
    <row r="3341">
      <c r="A3341" s="9"/>
      <c r="B3341" s="15"/>
      <c r="C3341" s="9">
        <f>IFERROR(__xludf.DUMMYFUNCTION("""COMPUTED_VALUE"""),44570.6934852314)</f>
        <v>44570.69349</v>
      </c>
      <c r="D3341" s="15">
        <f>IFERROR(__xludf.DUMMYFUNCTION("""COMPUTED_VALUE"""),1.008)</f>
        <v>1.008</v>
      </c>
      <c r="E3341" s="16">
        <f>IFERROR(__xludf.DUMMYFUNCTION("""COMPUTED_VALUE"""),66.0)</f>
        <v>66</v>
      </c>
      <c r="F3341" s="19" t="str">
        <f>IFERROR(__xludf.DUMMYFUNCTION("""COMPUTED_VALUE"""),"BLACK")</f>
        <v>BLACK</v>
      </c>
      <c r="G3341" s="20" t="str">
        <f>IFERROR(__xludf.DUMMYFUNCTION("""COMPUTED_VALUE"""),"Uncle Sams Cider (11/12/2021) 02")</f>
        <v>Uncle Sams Cider (11/12/2021) 02</v>
      </c>
      <c r="H3341" s="19"/>
    </row>
    <row r="3342">
      <c r="A3342" s="9"/>
      <c r="B3342" s="15"/>
      <c r="C3342" s="9">
        <f>IFERROR(__xludf.DUMMYFUNCTION("""COMPUTED_VALUE"""),44570.6830653472)</f>
        <v>44570.68307</v>
      </c>
      <c r="D3342" s="15">
        <f>IFERROR(__xludf.DUMMYFUNCTION("""COMPUTED_VALUE"""),1.008)</f>
        <v>1.008</v>
      </c>
      <c r="E3342" s="16">
        <f>IFERROR(__xludf.DUMMYFUNCTION("""COMPUTED_VALUE"""),66.0)</f>
        <v>66</v>
      </c>
      <c r="F3342" s="19" t="str">
        <f>IFERROR(__xludf.DUMMYFUNCTION("""COMPUTED_VALUE"""),"BLACK")</f>
        <v>BLACK</v>
      </c>
      <c r="G3342" s="20" t="str">
        <f>IFERROR(__xludf.DUMMYFUNCTION("""COMPUTED_VALUE"""),"Uncle Sams Cider (11/12/2021) 02")</f>
        <v>Uncle Sams Cider (11/12/2021) 02</v>
      </c>
      <c r="H3342" s="19"/>
    </row>
    <row r="3343">
      <c r="A3343" s="9"/>
      <c r="B3343" s="15"/>
      <c r="C3343" s="9">
        <f>IFERROR(__xludf.DUMMYFUNCTION("""COMPUTED_VALUE"""),44570.6726420254)</f>
        <v>44570.67264</v>
      </c>
      <c r="D3343" s="15">
        <f>IFERROR(__xludf.DUMMYFUNCTION("""COMPUTED_VALUE"""),1.009)</f>
        <v>1.009</v>
      </c>
      <c r="E3343" s="16">
        <f>IFERROR(__xludf.DUMMYFUNCTION("""COMPUTED_VALUE"""),66.0)</f>
        <v>66</v>
      </c>
      <c r="F3343" s="19" t="str">
        <f>IFERROR(__xludf.DUMMYFUNCTION("""COMPUTED_VALUE"""),"BLACK")</f>
        <v>BLACK</v>
      </c>
      <c r="G3343" s="20" t="str">
        <f>IFERROR(__xludf.DUMMYFUNCTION("""COMPUTED_VALUE"""),"Uncle Sams Cider (11/12/2021) 02")</f>
        <v>Uncle Sams Cider (11/12/2021) 02</v>
      </c>
      <c r="H3343" s="19"/>
    </row>
    <row r="3344">
      <c r="A3344" s="9"/>
      <c r="B3344" s="15"/>
      <c r="C3344" s="9">
        <f>IFERROR(__xludf.DUMMYFUNCTION("""COMPUTED_VALUE"""),44570.6621960069)</f>
        <v>44570.6622</v>
      </c>
      <c r="D3344" s="15">
        <f>IFERROR(__xludf.DUMMYFUNCTION("""COMPUTED_VALUE"""),1.008)</f>
        <v>1.008</v>
      </c>
      <c r="E3344" s="16">
        <f>IFERROR(__xludf.DUMMYFUNCTION("""COMPUTED_VALUE"""),66.0)</f>
        <v>66</v>
      </c>
      <c r="F3344" s="19" t="str">
        <f>IFERROR(__xludf.DUMMYFUNCTION("""COMPUTED_VALUE"""),"BLACK")</f>
        <v>BLACK</v>
      </c>
      <c r="G3344" s="20" t="str">
        <f>IFERROR(__xludf.DUMMYFUNCTION("""COMPUTED_VALUE"""),"Uncle Sams Cider (11/12/2021) 02")</f>
        <v>Uncle Sams Cider (11/12/2021) 02</v>
      </c>
      <c r="H3344" s="19"/>
    </row>
    <row r="3345">
      <c r="A3345" s="9"/>
      <c r="B3345" s="15"/>
      <c r="C3345" s="9">
        <f>IFERROR(__xludf.DUMMYFUNCTION("""COMPUTED_VALUE"""),44570.6517761226)</f>
        <v>44570.65178</v>
      </c>
      <c r="D3345" s="15">
        <f>IFERROR(__xludf.DUMMYFUNCTION("""COMPUTED_VALUE"""),1.008)</f>
        <v>1.008</v>
      </c>
      <c r="E3345" s="16">
        <f>IFERROR(__xludf.DUMMYFUNCTION("""COMPUTED_VALUE"""),66.0)</f>
        <v>66</v>
      </c>
      <c r="F3345" s="19" t="str">
        <f>IFERROR(__xludf.DUMMYFUNCTION("""COMPUTED_VALUE"""),"BLACK")</f>
        <v>BLACK</v>
      </c>
      <c r="G3345" s="20" t="str">
        <f>IFERROR(__xludf.DUMMYFUNCTION("""COMPUTED_VALUE"""),"Uncle Sams Cider (11/12/2021) 02")</f>
        <v>Uncle Sams Cider (11/12/2021) 02</v>
      </c>
      <c r="H3345" s="19"/>
    </row>
    <row r="3346">
      <c r="A3346" s="9"/>
      <c r="B3346" s="15"/>
      <c r="C3346" s="9">
        <f>IFERROR(__xludf.DUMMYFUNCTION("""COMPUTED_VALUE"""),44570.6413552546)</f>
        <v>44570.64136</v>
      </c>
      <c r="D3346" s="15">
        <f>IFERROR(__xludf.DUMMYFUNCTION("""COMPUTED_VALUE"""),1.008)</f>
        <v>1.008</v>
      </c>
      <c r="E3346" s="16">
        <f>IFERROR(__xludf.DUMMYFUNCTION("""COMPUTED_VALUE"""),66.0)</f>
        <v>66</v>
      </c>
      <c r="F3346" s="19" t="str">
        <f>IFERROR(__xludf.DUMMYFUNCTION("""COMPUTED_VALUE"""),"BLACK")</f>
        <v>BLACK</v>
      </c>
      <c r="G3346" s="20" t="str">
        <f>IFERROR(__xludf.DUMMYFUNCTION("""COMPUTED_VALUE"""),"Uncle Sams Cider (11/12/2021) 02")</f>
        <v>Uncle Sams Cider (11/12/2021) 02</v>
      </c>
      <c r="H3346" s="19"/>
    </row>
    <row r="3347">
      <c r="A3347" s="9"/>
      <c r="B3347" s="15"/>
      <c r="C3347" s="9">
        <f>IFERROR(__xludf.DUMMYFUNCTION("""COMPUTED_VALUE"""),44570.6309329976)</f>
        <v>44570.63093</v>
      </c>
      <c r="D3347" s="15">
        <f>IFERROR(__xludf.DUMMYFUNCTION("""COMPUTED_VALUE"""),1.009)</f>
        <v>1.009</v>
      </c>
      <c r="E3347" s="16">
        <f>IFERROR(__xludf.DUMMYFUNCTION("""COMPUTED_VALUE"""),66.0)</f>
        <v>66</v>
      </c>
      <c r="F3347" s="19" t="str">
        <f>IFERROR(__xludf.DUMMYFUNCTION("""COMPUTED_VALUE"""),"BLACK")</f>
        <v>BLACK</v>
      </c>
      <c r="G3347" s="20" t="str">
        <f>IFERROR(__xludf.DUMMYFUNCTION("""COMPUTED_VALUE"""),"Uncle Sams Cider (11/12/2021) 02")</f>
        <v>Uncle Sams Cider (11/12/2021) 02</v>
      </c>
      <c r="H3347" s="19"/>
    </row>
    <row r="3348">
      <c r="A3348" s="9"/>
      <c r="B3348" s="15"/>
      <c r="C3348" s="9">
        <f>IFERROR(__xludf.DUMMYFUNCTION("""COMPUTED_VALUE"""),44570.620510324)</f>
        <v>44570.62051</v>
      </c>
      <c r="D3348" s="15">
        <f>IFERROR(__xludf.DUMMYFUNCTION("""COMPUTED_VALUE"""),1.008)</f>
        <v>1.008</v>
      </c>
      <c r="E3348" s="16">
        <f>IFERROR(__xludf.DUMMYFUNCTION("""COMPUTED_VALUE"""),66.0)</f>
        <v>66</v>
      </c>
      <c r="F3348" s="19" t="str">
        <f>IFERROR(__xludf.DUMMYFUNCTION("""COMPUTED_VALUE"""),"BLACK")</f>
        <v>BLACK</v>
      </c>
      <c r="G3348" s="20" t="str">
        <f>IFERROR(__xludf.DUMMYFUNCTION("""COMPUTED_VALUE"""),"Uncle Sams Cider (11/12/2021) 02")</f>
        <v>Uncle Sams Cider (11/12/2021) 02</v>
      </c>
      <c r="H3348" s="19"/>
    </row>
    <row r="3349">
      <c r="A3349" s="9"/>
      <c r="B3349" s="15"/>
      <c r="C3349" s="9">
        <f>IFERROR(__xludf.DUMMYFUNCTION("""COMPUTED_VALUE"""),44570.610076875)</f>
        <v>44570.61008</v>
      </c>
      <c r="D3349" s="15">
        <f>IFERROR(__xludf.DUMMYFUNCTION("""COMPUTED_VALUE"""),1.008)</f>
        <v>1.008</v>
      </c>
      <c r="E3349" s="16">
        <f>IFERROR(__xludf.DUMMYFUNCTION("""COMPUTED_VALUE"""),66.0)</f>
        <v>66</v>
      </c>
      <c r="F3349" s="19" t="str">
        <f>IFERROR(__xludf.DUMMYFUNCTION("""COMPUTED_VALUE"""),"BLACK")</f>
        <v>BLACK</v>
      </c>
      <c r="G3349" s="20" t="str">
        <f>IFERROR(__xludf.DUMMYFUNCTION("""COMPUTED_VALUE"""),"Uncle Sams Cider (11/12/2021) 02")</f>
        <v>Uncle Sams Cider (11/12/2021) 02</v>
      </c>
      <c r="H3349" s="19"/>
    </row>
    <row r="3350">
      <c r="A3350" s="9"/>
      <c r="B3350" s="15"/>
      <c r="C3350" s="9">
        <f>IFERROR(__xludf.DUMMYFUNCTION("""COMPUTED_VALUE"""),44570.5996541319)</f>
        <v>44570.59965</v>
      </c>
      <c r="D3350" s="15">
        <f>IFERROR(__xludf.DUMMYFUNCTION("""COMPUTED_VALUE"""),1.008)</f>
        <v>1.008</v>
      </c>
      <c r="E3350" s="16">
        <f>IFERROR(__xludf.DUMMYFUNCTION("""COMPUTED_VALUE"""),66.0)</f>
        <v>66</v>
      </c>
      <c r="F3350" s="19" t="str">
        <f>IFERROR(__xludf.DUMMYFUNCTION("""COMPUTED_VALUE"""),"BLACK")</f>
        <v>BLACK</v>
      </c>
      <c r="G3350" s="20" t="str">
        <f>IFERROR(__xludf.DUMMYFUNCTION("""COMPUTED_VALUE"""),"Uncle Sams Cider (11/12/2021) 02")</f>
        <v>Uncle Sams Cider (11/12/2021) 02</v>
      </c>
      <c r="H3350" s="19"/>
    </row>
    <row r="3351">
      <c r="A3351" s="9"/>
      <c r="B3351" s="15"/>
      <c r="C3351" s="9">
        <f>IFERROR(__xludf.DUMMYFUNCTION("""COMPUTED_VALUE"""),44570.5892218402)</f>
        <v>44570.58922</v>
      </c>
      <c r="D3351" s="15">
        <f>IFERROR(__xludf.DUMMYFUNCTION("""COMPUTED_VALUE"""),1.008)</f>
        <v>1.008</v>
      </c>
      <c r="E3351" s="16">
        <f>IFERROR(__xludf.DUMMYFUNCTION("""COMPUTED_VALUE"""),66.0)</f>
        <v>66</v>
      </c>
      <c r="F3351" s="19" t="str">
        <f>IFERROR(__xludf.DUMMYFUNCTION("""COMPUTED_VALUE"""),"BLACK")</f>
        <v>BLACK</v>
      </c>
      <c r="G3351" s="20" t="str">
        <f>IFERROR(__xludf.DUMMYFUNCTION("""COMPUTED_VALUE"""),"Uncle Sams Cider (11/12/2021) 02")</f>
        <v>Uncle Sams Cider (11/12/2021) 02</v>
      </c>
      <c r="H3351" s="19"/>
    </row>
    <row r="3352">
      <c r="A3352" s="9"/>
      <c r="B3352" s="15"/>
      <c r="C3352" s="9">
        <f>IFERROR(__xludf.DUMMYFUNCTION("""COMPUTED_VALUE"""),44570.5788003587)</f>
        <v>44570.5788</v>
      </c>
      <c r="D3352" s="15">
        <f>IFERROR(__xludf.DUMMYFUNCTION("""COMPUTED_VALUE"""),1.008)</f>
        <v>1.008</v>
      </c>
      <c r="E3352" s="16">
        <f>IFERROR(__xludf.DUMMYFUNCTION("""COMPUTED_VALUE"""),66.0)</f>
        <v>66</v>
      </c>
      <c r="F3352" s="19" t="str">
        <f>IFERROR(__xludf.DUMMYFUNCTION("""COMPUTED_VALUE"""),"BLACK")</f>
        <v>BLACK</v>
      </c>
      <c r="G3352" s="20" t="str">
        <f>IFERROR(__xludf.DUMMYFUNCTION("""COMPUTED_VALUE"""),"Uncle Sams Cider (11/12/2021) 02")</f>
        <v>Uncle Sams Cider (11/12/2021) 02</v>
      </c>
      <c r="H3352" s="19"/>
    </row>
    <row r="3353">
      <c r="A3353" s="9"/>
      <c r="B3353" s="15"/>
      <c r="C3353" s="9">
        <f>IFERROR(__xludf.DUMMYFUNCTION("""COMPUTED_VALUE"""),44570.5683557754)</f>
        <v>44570.56836</v>
      </c>
      <c r="D3353" s="15">
        <f>IFERROR(__xludf.DUMMYFUNCTION("""COMPUTED_VALUE"""),1.008)</f>
        <v>1.008</v>
      </c>
      <c r="E3353" s="16">
        <f>IFERROR(__xludf.DUMMYFUNCTION("""COMPUTED_VALUE"""),66.0)</f>
        <v>66</v>
      </c>
      <c r="F3353" s="19" t="str">
        <f>IFERROR(__xludf.DUMMYFUNCTION("""COMPUTED_VALUE"""),"BLACK")</f>
        <v>BLACK</v>
      </c>
      <c r="G3353" s="20" t="str">
        <f>IFERROR(__xludf.DUMMYFUNCTION("""COMPUTED_VALUE"""),"Uncle Sams Cider (11/12/2021) 02")</f>
        <v>Uncle Sams Cider (11/12/2021) 02</v>
      </c>
      <c r="H3353" s="19"/>
    </row>
    <row r="3354">
      <c r="A3354" s="9"/>
      <c r="B3354" s="15"/>
      <c r="C3354" s="9">
        <f>IFERROR(__xludf.DUMMYFUNCTION("""COMPUTED_VALUE"""),44570.5579343865)</f>
        <v>44570.55793</v>
      </c>
      <c r="D3354" s="15">
        <f>IFERROR(__xludf.DUMMYFUNCTION("""COMPUTED_VALUE"""),1.008)</f>
        <v>1.008</v>
      </c>
      <c r="E3354" s="16">
        <f>IFERROR(__xludf.DUMMYFUNCTION("""COMPUTED_VALUE"""),66.0)</f>
        <v>66</v>
      </c>
      <c r="F3354" s="19" t="str">
        <f>IFERROR(__xludf.DUMMYFUNCTION("""COMPUTED_VALUE"""),"BLACK")</f>
        <v>BLACK</v>
      </c>
      <c r="G3354" s="20" t="str">
        <f>IFERROR(__xludf.DUMMYFUNCTION("""COMPUTED_VALUE"""),"Uncle Sams Cider (11/12/2021) 02")</f>
        <v>Uncle Sams Cider (11/12/2021) 02</v>
      </c>
      <c r="H3354" s="19"/>
    </row>
    <row r="3355">
      <c r="A3355" s="9"/>
      <c r="B3355" s="15"/>
      <c r="C3355" s="9">
        <f>IFERROR(__xludf.DUMMYFUNCTION("""COMPUTED_VALUE"""),44570.5475137384)</f>
        <v>44570.54751</v>
      </c>
      <c r="D3355" s="15">
        <f>IFERROR(__xludf.DUMMYFUNCTION("""COMPUTED_VALUE"""),1.008)</f>
        <v>1.008</v>
      </c>
      <c r="E3355" s="16">
        <f>IFERROR(__xludf.DUMMYFUNCTION("""COMPUTED_VALUE"""),66.0)</f>
        <v>66</v>
      </c>
      <c r="F3355" s="19" t="str">
        <f>IFERROR(__xludf.DUMMYFUNCTION("""COMPUTED_VALUE"""),"BLACK")</f>
        <v>BLACK</v>
      </c>
      <c r="G3355" s="20" t="str">
        <f>IFERROR(__xludf.DUMMYFUNCTION("""COMPUTED_VALUE"""),"Uncle Sams Cider (11/12/2021) 02")</f>
        <v>Uncle Sams Cider (11/12/2021) 02</v>
      </c>
      <c r="H3355" s="19"/>
    </row>
    <row r="3356">
      <c r="A3356" s="9"/>
      <c r="B3356" s="15"/>
      <c r="C3356" s="9">
        <f>IFERROR(__xludf.DUMMYFUNCTION("""COMPUTED_VALUE"""),44570.5370813078)</f>
        <v>44570.53708</v>
      </c>
      <c r="D3356" s="15">
        <f>IFERROR(__xludf.DUMMYFUNCTION("""COMPUTED_VALUE"""),1.008)</f>
        <v>1.008</v>
      </c>
      <c r="E3356" s="16">
        <f>IFERROR(__xludf.DUMMYFUNCTION("""COMPUTED_VALUE"""),66.0)</f>
        <v>66</v>
      </c>
      <c r="F3356" s="19" t="str">
        <f>IFERROR(__xludf.DUMMYFUNCTION("""COMPUTED_VALUE"""),"BLACK")</f>
        <v>BLACK</v>
      </c>
      <c r="G3356" s="20" t="str">
        <f>IFERROR(__xludf.DUMMYFUNCTION("""COMPUTED_VALUE"""),"Uncle Sams Cider (11/12/2021) 02")</f>
        <v>Uncle Sams Cider (11/12/2021) 02</v>
      </c>
      <c r="H3356" s="19"/>
    </row>
    <row r="3357">
      <c r="A3357" s="9"/>
      <c r="B3357" s="15"/>
      <c r="C3357" s="9">
        <f>IFERROR(__xludf.DUMMYFUNCTION("""COMPUTED_VALUE"""),44570.5266262962)</f>
        <v>44570.52663</v>
      </c>
      <c r="D3357" s="15">
        <f>IFERROR(__xludf.DUMMYFUNCTION("""COMPUTED_VALUE"""),1.008)</f>
        <v>1.008</v>
      </c>
      <c r="E3357" s="16">
        <f>IFERROR(__xludf.DUMMYFUNCTION("""COMPUTED_VALUE"""),66.0)</f>
        <v>66</v>
      </c>
      <c r="F3357" s="19" t="str">
        <f>IFERROR(__xludf.DUMMYFUNCTION("""COMPUTED_VALUE"""),"BLACK")</f>
        <v>BLACK</v>
      </c>
      <c r="G3357" s="20" t="str">
        <f>IFERROR(__xludf.DUMMYFUNCTION("""COMPUTED_VALUE"""),"Uncle Sams Cider (11/12/2021) 02")</f>
        <v>Uncle Sams Cider (11/12/2021) 02</v>
      </c>
      <c r="H3357" s="19"/>
    </row>
    <row r="3358">
      <c r="A3358" s="9"/>
      <c r="B3358" s="15"/>
      <c r="C3358" s="9">
        <f>IFERROR(__xludf.DUMMYFUNCTION("""COMPUTED_VALUE"""),44570.5162060763)</f>
        <v>44570.51621</v>
      </c>
      <c r="D3358" s="15">
        <f>IFERROR(__xludf.DUMMYFUNCTION("""COMPUTED_VALUE"""),1.008)</f>
        <v>1.008</v>
      </c>
      <c r="E3358" s="16">
        <f>IFERROR(__xludf.DUMMYFUNCTION("""COMPUTED_VALUE"""),66.0)</f>
        <v>66</v>
      </c>
      <c r="F3358" s="19" t="str">
        <f>IFERROR(__xludf.DUMMYFUNCTION("""COMPUTED_VALUE"""),"BLACK")</f>
        <v>BLACK</v>
      </c>
      <c r="G3358" s="20" t="str">
        <f>IFERROR(__xludf.DUMMYFUNCTION("""COMPUTED_VALUE"""),"Uncle Sams Cider (11/12/2021) 02")</f>
        <v>Uncle Sams Cider (11/12/2021) 02</v>
      </c>
      <c r="H3358" s="19"/>
    </row>
    <row r="3359">
      <c r="A3359" s="9"/>
      <c r="B3359" s="15"/>
      <c r="C3359" s="9">
        <f>IFERROR(__xludf.DUMMYFUNCTION("""COMPUTED_VALUE"""),44570.505770949)</f>
        <v>44570.50577</v>
      </c>
      <c r="D3359" s="15">
        <f>IFERROR(__xludf.DUMMYFUNCTION("""COMPUTED_VALUE"""),1.008)</f>
        <v>1.008</v>
      </c>
      <c r="E3359" s="16">
        <f>IFERROR(__xludf.DUMMYFUNCTION("""COMPUTED_VALUE"""),66.0)</f>
        <v>66</v>
      </c>
      <c r="F3359" s="19" t="str">
        <f>IFERROR(__xludf.DUMMYFUNCTION("""COMPUTED_VALUE"""),"BLACK")</f>
        <v>BLACK</v>
      </c>
      <c r="G3359" s="20" t="str">
        <f>IFERROR(__xludf.DUMMYFUNCTION("""COMPUTED_VALUE"""),"Uncle Sams Cider (11/12/2021) 02")</f>
        <v>Uncle Sams Cider (11/12/2021) 02</v>
      </c>
      <c r="H3359" s="19"/>
    </row>
    <row r="3360">
      <c r="A3360" s="9"/>
      <c r="B3360" s="15"/>
      <c r="C3360" s="9">
        <f>IFERROR(__xludf.DUMMYFUNCTION("""COMPUTED_VALUE"""),44570.4953518171)</f>
        <v>44570.49535</v>
      </c>
      <c r="D3360" s="15">
        <f>IFERROR(__xludf.DUMMYFUNCTION("""COMPUTED_VALUE"""),1.008)</f>
        <v>1.008</v>
      </c>
      <c r="E3360" s="16">
        <f>IFERROR(__xludf.DUMMYFUNCTION("""COMPUTED_VALUE"""),66.0)</f>
        <v>66</v>
      </c>
      <c r="F3360" s="19" t="str">
        <f>IFERROR(__xludf.DUMMYFUNCTION("""COMPUTED_VALUE"""),"BLACK")</f>
        <v>BLACK</v>
      </c>
      <c r="G3360" s="20" t="str">
        <f>IFERROR(__xludf.DUMMYFUNCTION("""COMPUTED_VALUE"""),"Uncle Sams Cider (11/12/2021) 02")</f>
        <v>Uncle Sams Cider (11/12/2021) 02</v>
      </c>
      <c r="H3360" s="19"/>
    </row>
    <row r="3361">
      <c r="A3361" s="9"/>
      <c r="B3361" s="15"/>
      <c r="C3361" s="9">
        <f>IFERROR(__xludf.DUMMYFUNCTION("""COMPUTED_VALUE"""),44570.4849305671)</f>
        <v>44570.48493</v>
      </c>
      <c r="D3361" s="15">
        <f>IFERROR(__xludf.DUMMYFUNCTION("""COMPUTED_VALUE"""),1.008)</f>
        <v>1.008</v>
      </c>
      <c r="E3361" s="16">
        <f>IFERROR(__xludf.DUMMYFUNCTION("""COMPUTED_VALUE"""),66.0)</f>
        <v>66</v>
      </c>
      <c r="F3361" s="19" t="str">
        <f>IFERROR(__xludf.DUMMYFUNCTION("""COMPUTED_VALUE"""),"BLACK")</f>
        <v>BLACK</v>
      </c>
      <c r="G3361" s="20" t="str">
        <f>IFERROR(__xludf.DUMMYFUNCTION("""COMPUTED_VALUE"""),"Uncle Sams Cider (11/12/2021) 02")</f>
        <v>Uncle Sams Cider (11/12/2021) 02</v>
      </c>
      <c r="H3361" s="19"/>
    </row>
    <row r="3362">
      <c r="A3362" s="9"/>
      <c r="B3362" s="15"/>
      <c r="C3362" s="9">
        <f>IFERROR(__xludf.DUMMYFUNCTION("""COMPUTED_VALUE"""),44570.4744863657)</f>
        <v>44570.47449</v>
      </c>
      <c r="D3362" s="15">
        <f>IFERROR(__xludf.DUMMYFUNCTION("""COMPUTED_VALUE"""),1.008)</f>
        <v>1.008</v>
      </c>
      <c r="E3362" s="16">
        <f>IFERROR(__xludf.DUMMYFUNCTION("""COMPUTED_VALUE"""),66.0)</f>
        <v>66</v>
      </c>
      <c r="F3362" s="19" t="str">
        <f>IFERROR(__xludf.DUMMYFUNCTION("""COMPUTED_VALUE"""),"BLACK")</f>
        <v>BLACK</v>
      </c>
      <c r="G3362" s="20" t="str">
        <f>IFERROR(__xludf.DUMMYFUNCTION("""COMPUTED_VALUE"""),"Uncle Sams Cider (11/12/2021) 02")</f>
        <v>Uncle Sams Cider (11/12/2021) 02</v>
      </c>
      <c r="H3362" s="19"/>
    </row>
    <row r="3363">
      <c r="A3363" s="9"/>
      <c r="B3363" s="15"/>
      <c r="C3363" s="9">
        <f>IFERROR(__xludf.DUMMYFUNCTION("""COMPUTED_VALUE"""),44570.4640528472)</f>
        <v>44570.46405</v>
      </c>
      <c r="D3363" s="15">
        <f>IFERROR(__xludf.DUMMYFUNCTION("""COMPUTED_VALUE"""),1.008)</f>
        <v>1.008</v>
      </c>
      <c r="E3363" s="16">
        <f>IFERROR(__xludf.DUMMYFUNCTION("""COMPUTED_VALUE"""),66.0)</f>
        <v>66</v>
      </c>
      <c r="F3363" s="19" t="str">
        <f>IFERROR(__xludf.DUMMYFUNCTION("""COMPUTED_VALUE"""),"BLACK")</f>
        <v>BLACK</v>
      </c>
      <c r="G3363" s="20" t="str">
        <f>IFERROR(__xludf.DUMMYFUNCTION("""COMPUTED_VALUE"""),"Uncle Sams Cider (11/12/2021) 02")</f>
        <v>Uncle Sams Cider (11/12/2021) 02</v>
      </c>
      <c r="H3363" s="19"/>
    </row>
    <row r="3364">
      <c r="A3364" s="9"/>
      <c r="B3364" s="15"/>
      <c r="C3364" s="9">
        <f>IFERROR(__xludf.DUMMYFUNCTION("""COMPUTED_VALUE"""),44570.4536333912)</f>
        <v>44570.45363</v>
      </c>
      <c r="D3364" s="15">
        <f>IFERROR(__xludf.DUMMYFUNCTION("""COMPUTED_VALUE"""),1.008)</f>
        <v>1.008</v>
      </c>
      <c r="E3364" s="16">
        <f>IFERROR(__xludf.DUMMYFUNCTION("""COMPUTED_VALUE"""),67.0)</f>
        <v>67</v>
      </c>
      <c r="F3364" s="19" t="str">
        <f>IFERROR(__xludf.DUMMYFUNCTION("""COMPUTED_VALUE"""),"BLACK")</f>
        <v>BLACK</v>
      </c>
      <c r="G3364" s="20" t="str">
        <f>IFERROR(__xludf.DUMMYFUNCTION("""COMPUTED_VALUE"""),"Uncle Sams Cider (11/12/2021) 02")</f>
        <v>Uncle Sams Cider (11/12/2021) 02</v>
      </c>
      <c r="H3364" s="19"/>
    </row>
    <row r="3365">
      <c r="A3365" s="9"/>
      <c r="B3365" s="15"/>
      <c r="C3365" s="9">
        <f>IFERROR(__xludf.DUMMYFUNCTION("""COMPUTED_VALUE"""),44570.4432123495)</f>
        <v>44570.44321</v>
      </c>
      <c r="D3365" s="15">
        <f>IFERROR(__xludf.DUMMYFUNCTION("""COMPUTED_VALUE"""),1.008)</f>
        <v>1.008</v>
      </c>
      <c r="E3365" s="16">
        <f>IFERROR(__xludf.DUMMYFUNCTION("""COMPUTED_VALUE"""),67.0)</f>
        <v>67</v>
      </c>
      <c r="F3365" s="19" t="str">
        <f>IFERROR(__xludf.DUMMYFUNCTION("""COMPUTED_VALUE"""),"BLACK")</f>
        <v>BLACK</v>
      </c>
      <c r="G3365" s="20" t="str">
        <f>IFERROR(__xludf.DUMMYFUNCTION("""COMPUTED_VALUE"""),"Uncle Sams Cider (11/12/2021) 02")</f>
        <v>Uncle Sams Cider (11/12/2021) 02</v>
      </c>
      <c r="H3365" s="19"/>
    </row>
    <row r="3366">
      <c r="A3366" s="9"/>
      <c r="B3366" s="15"/>
      <c r="C3366" s="9">
        <f>IFERROR(__xludf.DUMMYFUNCTION("""COMPUTED_VALUE"""),44570.4327909374)</f>
        <v>44570.43279</v>
      </c>
      <c r="D3366" s="15">
        <f>IFERROR(__xludf.DUMMYFUNCTION("""COMPUTED_VALUE"""),1.008)</f>
        <v>1.008</v>
      </c>
      <c r="E3366" s="16">
        <f>IFERROR(__xludf.DUMMYFUNCTION("""COMPUTED_VALUE"""),67.0)</f>
        <v>67</v>
      </c>
      <c r="F3366" s="19" t="str">
        <f>IFERROR(__xludf.DUMMYFUNCTION("""COMPUTED_VALUE"""),"BLACK")</f>
        <v>BLACK</v>
      </c>
      <c r="G3366" s="20" t="str">
        <f>IFERROR(__xludf.DUMMYFUNCTION("""COMPUTED_VALUE"""),"Uncle Sams Cider (11/12/2021) 02")</f>
        <v>Uncle Sams Cider (11/12/2021) 02</v>
      </c>
      <c r="H3366" s="19"/>
    </row>
    <row r="3367">
      <c r="A3367" s="9"/>
      <c r="B3367" s="15"/>
      <c r="C3367" s="9">
        <f>IFERROR(__xludf.DUMMYFUNCTION("""COMPUTED_VALUE"""),44570.4223682986)</f>
        <v>44570.42237</v>
      </c>
      <c r="D3367" s="15">
        <f>IFERROR(__xludf.DUMMYFUNCTION("""COMPUTED_VALUE"""),1.008)</f>
        <v>1.008</v>
      </c>
      <c r="E3367" s="16">
        <f>IFERROR(__xludf.DUMMYFUNCTION("""COMPUTED_VALUE"""),67.0)</f>
        <v>67</v>
      </c>
      <c r="F3367" s="19" t="str">
        <f>IFERROR(__xludf.DUMMYFUNCTION("""COMPUTED_VALUE"""),"BLACK")</f>
        <v>BLACK</v>
      </c>
      <c r="G3367" s="20" t="str">
        <f>IFERROR(__xludf.DUMMYFUNCTION("""COMPUTED_VALUE"""),"Uncle Sams Cider (11/12/2021) 02")</f>
        <v>Uncle Sams Cider (11/12/2021) 02</v>
      </c>
      <c r="H3367" s="19"/>
    </row>
    <row r="3368">
      <c r="A3368" s="9"/>
      <c r="B3368" s="15"/>
      <c r="C3368" s="9">
        <f>IFERROR(__xludf.DUMMYFUNCTION("""COMPUTED_VALUE"""),44570.4119475115)</f>
        <v>44570.41195</v>
      </c>
      <c r="D3368" s="15">
        <f>IFERROR(__xludf.DUMMYFUNCTION("""COMPUTED_VALUE"""),1.008)</f>
        <v>1.008</v>
      </c>
      <c r="E3368" s="16">
        <f>IFERROR(__xludf.DUMMYFUNCTION("""COMPUTED_VALUE"""),67.0)</f>
        <v>67</v>
      </c>
      <c r="F3368" s="19" t="str">
        <f>IFERROR(__xludf.DUMMYFUNCTION("""COMPUTED_VALUE"""),"BLACK")</f>
        <v>BLACK</v>
      </c>
      <c r="G3368" s="20" t="str">
        <f>IFERROR(__xludf.DUMMYFUNCTION("""COMPUTED_VALUE"""),"Uncle Sams Cider (11/12/2021) 02")</f>
        <v>Uncle Sams Cider (11/12/2021) 02</v>
      </c>
      <c r="H3368" s="19"/>
    </row>
    <row r="3369">
      <c r="A3369" s="9"/>
      <c r="B3369" s="15"/>
      <c r="C3369" s="9">
        <f>IFERROR(__xludf.DUMMYFUNCTION("""COMPUTED_VALUE"""),44570.4015279745)</f>
        <v>44570.40153</v>
      </c>
      <c r="D3369" s="15">
        <f>IFERROR(__xludf.DUMMYFUNCTION("""COMPUTED_VALUE"""),1.008)</f>
        <v>1.008</v>
      </c>
      <c r="E3369" s="16">
        <f>IFERROR(__xludf.DUMMYFUNCTION("""COMPUTED_VALUE"""),67.0)</f>
        <v>67</v>
      </c>
      <c r="F3369" s="19" t="str">
        <f>IFERROR(__xludf.DUMMYFUNCTION("""COMPUTED_VALUE"""),"BLACK")</f>
        <v>BLACK</v>
      </c>
      <c r="G3369" s="20" t="str">
        <f>IFERROR(__xludf.DUMMYFUNCTION("""COMPUTED_VALUE"""),"Uncle Sams Cider (11/12/2021) 02")</f>
        <v>Uncle Sams Cider (11/12/2021) 02</v>
      </c>
      <c r="H3369" s="19"/>
    </row>
    <row r="3370">
      <c r="A3370" s="9"/>
      <c r="B3370" s="15"/>
      <c r="C3370" s="9">
        <f>IFERROR(__xludf.DUMMYFUNCTION("""COMPUTED_VALUE"""),44570.3911063194)</f>
        <v>44570.39111</v>
      </c>
      <c r="D3370" s="15">
        <f>IFERROR(__xludf.DUMMYFUNCTION("""COMPUTED_VALUE"""),1.008)</f>
        <v>1.008</v>
      </c>
      <c r="E3370" s="16">
        <f>IFERROR(__xludf.DUMMYFUNCTION("""COMPUTED_VALUE"""),67.0)</f>
        <v>67</v>
      </c>
      <c r="F3370" s="19" t="str">
        <f>IFERROR(__xludf.DUMMYFUNCTION("""COMPUTED_VALUE"""),"BLACK")</f>
        <v>BLACK</v>
      </c>
      <c r="G3370" s="20" t="str">
        <f>IFERROR(__xludf.DUMMYFUNCTION("""COMPUTED_VALUE"""),"Uncle Sams Cider (11/12/2021) 02")</f>
        <v>Uncle Sams Cider (11/12/2021) 02</v>
      </c>
      <c r="H3370" s="19"/>
    </row>
    <row r="3371">
      <c r="A3371" s="9"/>
      <c r="B3371" s="15"/>
      <c r="C3371" s="9">
        <f>IFERROR(__xludf.DUMMYFUNCTION("""COMPUTED_VALUE"""),44570.3806498842)</f>
        <v>44570.38065</v>
      </c>
      <c r="D3371" s="15">
        <f>IFERROR(__xludf.DUMMYFUNCTION("""COMPUTED_VALUE"""),1.008)</f>
        <v>1.008</v>
      </c>
      <c r="E3371" s="16">
        <f>IFERROR(__xludf.DUMMYFUNCTION("""COMPUTED_VALUE"""),67.0)</f>
        <v>67</v>
      </c>
      <c r="F3371" s="19" t="str">
        <f>IFERROR(__xludf.DUMMYFUNCTION("""COMPUTED_VALUE"""),"BLACK")</f>
        <v>BLACK</v>
      </c>
      <c r="G3371" s="20" t="str">
        <f>IFERROR(__xludf.DUMMYFUNCTION("""COMPUTED_VALUE"""),"Uncle Sams Cider (11/12/2021) 02")</f>
        <v>Uncle Sams Cider (11/12/2021) 02</v>
      </c>
      <c r="H3371" s="19"/>
    </row>
    <row r="3372">
      <c r="A3372" s="9"/>
      <c r="B3372" s="15"/>
      <c r="C3372" s="9">
        <f>IFERROR(__xludf.DUMMYFUNCTION("""COMPUTED_VALUE"""),44570.3702045023)</f>
        <v>44570.3702</v>
      </c>
      <c r="D3372" s="15">
        <f>IFERROR(__xludf.DUMMYFUNCTION("""COMPUTED_VALUE"""),1.008)</f>
        <v>1.008</v>
      </c>
      <c r="E3372" s="16">
        <f>IFERROR(__xludf.DUMMYFUNCTION("""COMPUTED_VALUE"""),67.0)</f>
        <v>67</v>
      </c>
      <c r="F3372" s="19" t="str">
        <f>IFERROR(__xludf.DUMMYFUNCTION("""COMPUTED_VALUE"""),"BLACK")</f>
        <v>BLACK</v>
      </c>
      <c r="G3372" s="20" t="str">
        <f>IFERROR(__xludf.DUMMYFUNCTION("""COMPUTED_VALUE"""),"Uncle Sams Cider (11/12/2021) 02")</f>
        <v>Uncle Sams Cider (11/12/2021) 02</v>
      </c>
      <c r="H3372" s="19"/>
    </row>
    <row r="3373">
      <c r="A3373" s="9"/>
      <c r="B3373" s="15"/>
      <c r="C3373" s="9">
        <f>IFERROR(__xludf.DUMMYFUNCTION("""COMPUTED_VALUE"""),44570.3597715509)</f>
        <v>44570.35977</v>
      </c>
      <c r="D3373" s="15">
        <f>IFERROR(__xludf.DUMMYFUNCTION("""COMPUTED_VALUE"""),1.008)</f>
        <v>1.008</v>
      </c>
      <c r="E3373" s="16">
        <f>IFERROR(__xludf.DUMMYFUNCTION("""COMPUTED_VALUE"""),67.0)</f>
        <v>67</v>
      </c>
      <c r="F3373" s="19" t="str">
        <f>IFERROR(__xludf.DUMMYFUNCTION("""COMPUTED_VALUE"""),"BLACK")</f>
        <v>BLACK</v>
      </c>
      <c r="G3373" s="20" t="str">
        <f>IFERROR(__xludf.DUMMYFUNCTION("""COMPUTED_VALUE"""),"Uncle Sams Cider (11/12/2021) 02")</f>
        <v>Uncle Sams Cider (11/12/2021) 02</v>
      </c>
      <c r="H3373" s="19"/>
    </row>
    <row r="3374">
      <c r="A3374" s="9"/>
      <c r="B3374" s="15"/>
      <c r="C3374" s="9">
        <f>IFERROR(__xludf.DUMMYFUNCTION("""COMPUTED_VALUE"""),44570.3493499884)</f>
        <v>44570.34935</v>
      </c>
      <c r="D3374" s="15">
        <f>IFERROR(__xludf.DUMMYFUNCTION("""COMPUTED_VALUE"""),1.008)</f>
        <v>1.008</v>
      </c>
      <c r="E3374" s="16">
        <f>IFERROR(__xludf.DUMMYFUNCTION("""COMPUTED_VALUE"""),67.0)</f>
        <v>67</v>
      </c>
      <c r="F3374" s="19" t="str">
        <f>IFERROR(__xludf.DUMMYFUNCTION("""COMPUTED_VALUE"""),"BLACK")</f>
        <v>BLACK</v>
      </c>
      <c r="G3374" s="20" t="str">
        <f>IFERROR(__xludf.DUMMYFUNCTION("""COMPUTED_VALUE"""),"Uncle Sams Cider (11/12/2021) 02")</f>
        <v>Uncle Sams Cider (11/12/2021) 02</v>
      </c>
      <c r="H3374" s="19"/>
    </row>
    <row r="3375">
      <c r="A3375" s="9"/>
      <c r="B3375" s="15"/>
      <c r="C3375" s="9">
        <f>IFERROR(__xludf.DUMMYFUNCTION("""COMPUTED_VALUE"""),44570.3389277546)</f>
        <v>44570.33893</v>
      </c>
      <c r="D3375" s="15">
        <f>IFERROR(__xludf.DUMMYFUNCTION("""COMPUTED_VALUE"""),1.008)</f>
        <v>1.008</v>
      </c>
      <c r="E3375" s="16">
        <f>IFERROR(__xludf.DUMMYFUNCTION("""COMPUTED_VALUE"""),67.0)</f>
        <v>67</v>
      </c>
      <c r="F3375" s="19" t="str">
        <f>IFERROR(__xludf.DUMMYFUNCTION("""COMPUTED_VALUE"""),"BLACK")</f>
        <v>BLACK</v>
      </c>
      <c r="G3375" s="20" t="str">
        <f>IFERROR(__xludf.DUMMYFUNCTION("""COMPUTED_VALUE"""),"Uncle Sams Cider (11/12/2021) 02")</f>
        <v>Uncle Sams Cider (11/12/2021) 02</v>
      </c>
      <c r="H3375" s="19"/>
    </row>
    <row r="3376">
      <c r="A3376" s="9"/>
      <c r="B3376" s="15"/>
      <c r="C3376" s="9">
        <f>IFERROR(__xludf.DUMMYFUNCTION("""COMPUTED_VALUE"""),44570.3285067592)</f>
        <v>44570.32851</v>
      </c>
      <c r="D3376" s="15">
        <f>IFERROR(__xludf.DUMMYFUNCTION("""COMPUTED_VALUE"""),1.008)</f>
        <v>1.008</v>
      </c>
      <c r="E3376" s="16">
        <f>IFERROR(__xludf.DUMMYFUNCTION("""COMPUTED_VALUE"""),67.0)</f>
        <v>67</v>
      </c>
      <c r="F3376" s="19" t="str">
        <f>IFERROR(__xludf.DUMMYFUNCTION("""COMPUTED_VALUE"""),"BLACK")</f>
        <v>BLACK</v>
      </c>
      <c r="G3376" s="20" t="str">
        <f>IFERROR(__xludf.DUMMYFUNCTION("""COMPUTED_VALUE"""),"Uncle Sams Cider (11/12/2021) 02")</f>
        <v>Uncle Sams Cider (11/12/2021) 02</v>
      </c>
      <c r="H3376" s="19"/>
    </row>
    <row r="3377">
      <c r="A3377" s="9"/>
      <c r="B3377" s="15"/>
      <c r="C3377" s="9">
        <f>IFERROR(__xludf.DUMMYFUNCTION("""COMPUTED_VALUE"""),44570.3180389004)</f>
        <v>44570.31804</v>
      </c>
      <c r="D3377" s="15">
        <f>IFERROR(__xludf.DUMMYFUNCTION("""COMPUTED_VALUE"""),1.008)</f>
        <v>1.008</v>
      </c>
      <c r="E3377" s="16">
        <f>IFERROR(__xludf.DUMMYFUNCTION("""COMPUTED_VALUE"""),67.0)</f>
        <v>67</v>
      </c>
      <c r="F3377" s="19" t="str">
        <f>IFERROR(__xludf.DUMMYFUNCTION("""COMPUTED_VALUE"""),"BLACK")</f>
        <v>BLACK</v>
      </c>
      <c r="G3377" s="20" t="str">
        <f>IFERROR(__xludf.DUMMYFUNCTION("""COMPUTED_VALUE"""),"Uncle Sams Cider (11/12/2021) 02")</f>
        <v>Uncle Sams Cider (11/12/2021) 02</v>
      </c>
      <c r="H3377" s="19"/>
    </row>
    <row r="3378">
      <c r="A3378" s="9"/>
      <c r="B3378" s="15"/>
      <c r="C3378" s="9">
        <f>IFERROR(__xludf.DUMMYFUNCTION("""COMPUTED_VALUE"""),44570.3075591782)</f>
        <v>44570.30756</v>
      </c>
      <c r="D3378" s="15">
        <f>IFERROR(__xludf.DUMMYFUNCTION("""COMPUTED_VALUE"""),1.008)</f>
        <v>1.008</v>
      </c>
      <c r="E3378" s="16">
        <f>IFERROR(__xludf.DUMMYFUNCTION("""COMPUTED_VALUE"""),67.0)</f>
        <v>67</v>
      </c>
      <c r="F3378" s="19" t="str">
        <f>IFERROR(__xludf.DUMMYFUNCTION("""COMPUTED_VALUE"""),"BLACK")</f>
        <v>BLACK</v>
      </c>
      <c r="G3378" s="20" t="str">
        <f>IFERROR(__xludf.DUMMYFUNCTION("""COMPUTED_VALUE"""),"Uncle Sams Cider (11/12/2021) 02")</f>
        <v>Uncle Sams Cider (11/12/2021) 02</v>
      </c>
      <c r="H3378" s="19"/>
    </row>
    <row r="3379">
      <c r="A3379" s="9"/>
      <c r="B3379" s="15"/>
      <c r="C3379" s="9">
        <f>IFERROR(__xludf.DUMMYFUNCTION("""COMPUTED_VALUE"""),44570.2971360185)</f>
        <v>44570.29714</v>
      </c>
      <c r="D3379" s="15">
        <f>IFERROR(__xludf.DUMMYFUNCTION("""COMPUTED_VALUE"""),1.008)</f>
        <v>1.008</v>
      </c>
      <c r="E3379" s="16">
        <f>IFERROR(__xludf.DUMMYFUNCTION("""COMPUTED_VALUE"""),67.0)</f>
        <v>67</v>
      </c>
      <c r="F3379" s="19" t="str">
        <f>IFERROR(__xludf.DUMMYFUNCTION("""COMPUTED_VALUE"""),"BLACK")</f>
        <v>BLACK</v>
      </c>
      <c r="G3379" s="20" t="str">
        <f>IFERROR(__xludf.DUMMYFUNCTION("""COMPUTED_VALUE"""),"Uncle Sams Cider (11/12/2021) 02")</f>
        <v>Uncle Sams Cider (11/12/2021) 02</v>
      </c>
      <c r="H3379" s="19"/>
    </row>
    <row r="3380">
      <c r="A3380" s="9"/>
      <c r="B3380" s="15"/>
      <c r="C3380" s="9">
        <f>IFERROR(__xludf.DUMMYFUNCTION("""COMPUTED_VALUE"""),44570.2867042708)</f>
        <v>44570.2867</v>
      </c>
      <c r="D3380" s="15">
        <f>IFERROR(__xludf.DUMMYFUNCTION("""COMPUTED_VALUE"""),1.008)</f>
        <v>1.008</v>
      </c>
      <c r="E3380" s="16">
        <f>IFERROR(__xludf.DUMMYFUNCTION("""COMPUTED_VALUE"""),67.0)</f>
        <v>67</v>
      </c>
      <c r="F3380" s="19" t="str">
        <f>IFERROR(__xludf.DUMMYFUNCTION("""COMPUTED_VALUE"""),"BLACK")</f>
        <v>BLACK</v>
      </c>
      <c r="G3380" s="20" t="str">
        <f>IFERROR(__xludf.DUMMYFUNCTION("""COMPUTED_VALUE"""),"Uncle Sams Cider (11/12/2021) 02")</f>
        <v>Uncle Sams Cider (11/12/2021) 02</v>
      </c>
      <c r="H3380" s="19"/>
    </row>
    <row r="3381">
      <c r="A3381" s="9"/>
      <c r="B3381" s="15"/>
      <c r="C3381" s="9">
        <f>IFERROR(__xludf.DUMMYFUNCTION("""COMPUTED_VALUE"""),44570.2762829976)</f>
        <v>44570.27628</v>
      </c>
      <c r="D3381" s="15">
        <f>IFERROR(__xludf.DUMMYFUNCTION("""COMPUTED_VALUE"""),1.008)</f>
        <v>1.008</v>
      </c>
      <c r="E3381" s="16">
        <f>IFERROR(__xludf.DUMMYFUNCTION("""COMPUTED_VALUE"""),67.0)</f>
        <v>67</v>
      </c>
      <c r="F3381" s="19" t="str">
        <f>IFERROR(__xludf.DUMMYFUNCTION("""COMPUTED_VALUE"""),"BLACK")</f>
        <v>BLACK</v>
      </c>
      <c r="G3381" s="20" t="str">
        <f>IFERROR(__xludf.DUMMYFUNCTION("""COMPUTED_VALUE"""),"Uncle Sams Cider (11/12/2021) 02")</f>
        <v>Uncle Sams Cider (11/12/2021) 02</v>
      </c>
      <c r="H3381" s="19"/>
    </row>
    <row r="3382">
      <c r="A3382" s="9"/>
      <c r="B3382" s="15"/>
      <c r="C3382" s="9">
        <f>IFERROR(__xludf.DUMMYFUNCTION("""COMPUTED_VALUE"""),44570.2658634722)</f>
        <v>44570.26586</v>
      </c>
      <c r="D3382" s="15">
        <f>IFERROR(__xludf.DUMMYFUNCTION("""COMPUTED_VALUE"""),1.008)</f>
        <v>1.008</v>
      </c>
      <c r="E3382" s="16">
        <f>IFERROR(__xludf.DUMMYFUNCTION("""COMPUTED_VALUE"""),67.0)</f>
        <v>67</v>
      </c>
      <c r="F3382" s="19" t="str">
        <f>IFERROR(__xludf.DUMMYFUNCTION("""COMPUTED_VALUE"""),"BLACK")</f>
        <v>BLACK</v>
      </c>
      <c r="G3382" s="20" t="str">
        <f>IFERROR(__xludf.DUMMYFUNCTION("""COMPUTED_VALUE"""),"Uncle Sams Cider (11/12/2021) 02")</f>
        <v>Uncle Sams Cider (11/12/2021) 02</v>
      </c>
      <c r="H3382" s="19"/>
    </row>
    <row r="3383">
      <c r="A3383" s="9"/>
      <c r="B3383" s="15"/>
      <c r="C3383" s="9">
        <f>IFERROR(__xludf.DUMMYFUNCTION("""COMPUTED_VALUE"""),44570.2554414351)</f>
        <v>44570.25544</v>
      </c>
      <c r="D3383" s="15">
        <f>IFERROR(__xludf.DUMMYFUNCTION("""COMPUTED_VALUE"""),1.008)</f>
        <v>1.008</v>
      </c>
      <c r="E3383" s="16">
        <f>IFERROR(__xludf.DUMMYFUNCTION("""COMPUTED_VALUE"""),67.0)</f>
        <v>67</v>
      </c>
      <c r="F3383" s="19" t="str">
        <f>IFERROR(__xludf.DUMMYFUNCTION("""COMPUTED_VALUE"""),"BLACK")</f>
        <v>BLACK</v>
      </c>
      <c r="G3383" s="20" t="str">
        <f>IFERROR(__xludf.DUMMYFUNCTION("""COMPUTED_VALUE"""),"Uncle Sams Cider (11/12/2021) 02")</f>
        <v>Uncle Sams Cider (11/12/2021) 02</v>
      </c>
      <c r="H3383" s="19"/>
    </row>
    <row r="3384">
      <c r="A3384" s="9"/>
      <c r="B3384" s="15"/>
      <c r="C3384" s="9">
        <f>IFERROR(__xludf.DUMMYFUNCTION("""COMPUTED_VALUE"""),44570.2450193287)</f>
        <v>44570.24502</v>
      </c>
      <c r="D3384" s="15">
        <f>IFERROR(__xludf.DUMMYFUNCTION("""COMPUTED_VALUE"""),1.008)</f>
        <v>1.008</v>
      </c>
      <c r="E3384" s="16">
        <f>IFERROR(__xludf.DUMMYFUNCTION("""COMPUTED_VALUE"""),67.0)</f>
        <v>67</v>
      </c>
      <c r="F3384" s="19" t="str">
        <f>IFERROR(__xludf.DUMMYFUNCTION("""COMPUTED_VALUE"""),"BLACK")</f>
        <v>BLACK</v>
      </c>
      <c r="G3384" s="20" t="str">
        <f>IFERROR(__xludf.DUMMYFUNCTION("""COMPUTED_VALUE"""),"Uncle Sams Cider (11/12/2021) 02")</f>
        <v>Uncle Sams Cider (11/12/2021) 02</v>
      </c>
      <c r="H3384" s="19"/>
    </row>
    <row r="3385">
      <c r="A3385" s="9"/>
      <c r="B3385" s="15"/>
      <c r="C3385" s="9">
        <f>IFERROR(__xludf.DUMMYFUNCTION("""COMPUTED_VALUE"""),44570.2346008101)</f>
        <v>44570.2346</v>
      </c>
      <c r="D3385" s="15">
        <f>IFERROR(__xludf.DUMMYFUNCTION("""COMPUTED_VALUE"""),1.008)</f>
        <v>1.008</v>
      </c>
      <c r="E3385" s="16">
        <f>IFERROR(__xludf.DUMMYFUNCTION("""COMPUTED_VALUE"""),67.0)</f>
        <v>67</v>
      </c>
      <c r="F3385" s="19" t="str">
        <f>IFERROR(__xludf.DUMMYFUNCTION("""COMPUTED_VALUE"""),"BLACK")</f>
        <v>BLACK</v>
      </c>
      <c r="G3385" s="20" t="str">
        <f>IFERROR(__xludf.DUMMYFUNCTION("""COMPUTED_VALUE"""),"Uncle Sams Cider (11/12/2021) 02")</f>
        <v>Uncle Sams Cider (11/12/2021) 02</v>
      </c>
      <c r="H3385" s="19"/>
    </row>
    <row r="3386">
      <c r="A3386" s="9"/>
      <c r="B3386" s="15"/>
      <c r="C3386" s="9">
        <f>IFERROR(__xludf.DUMMYFUNCTION("""COMPUTED_VALUE"""),44570.2241803819)</f>
        <v>44570.22418</v>
      </c>
      <c r="D3386" s="15">
        <f>IFERROR(__xludf.DUMMYFUNCTION("""COMPUTED_VALUE"""),1.008)</f>
        <v>1.008</v>
      </c>
      <c r="E3386" s="16">
        <f>IFERROR(__xludf.DUMMYFUNCTION("""COMPUTED_VALUE"""),67.0)</f>
        <v>67</v>
      </c>
      <c r="F3386" s="19" t="str">
        <f>IFERROR(__xludf.DUMMYFUNCTION("""COMPUTED_VALUE"""),"BLACK")</f>
        <v>BLACK</v>
      </c>
      <c r="G3386" s="20" t="str">
        <f>IFERROR(__xludf.DUMMYFUNCTION("""COMPUTED_VALUE"""),"Uncle Sams Cider (11/12/2021) 02")</f>
        <v>Uncle Sams Cider (11/12/2021) 02</v>
      </c>
      <c r="H3386" s="19"/>
    </row>
    <row r="3387">
      <c r="A3387" s="9"/>
      <c r="B3387" s="15"/>
      <c r="C3387" s="9">
        <f>IFERROR(__xludf.DUMMYFUNCTION("""COMPUTED_VALUE"""),44570.2137596759)</f>
        <v>44570.21376</v>
      </c>
      <c r="D3387" s="15">
        <f>IFERROR(__xludf.DUMMYFUNCTION("""COMPUTED_VALUE"""),1.008)</f>
        <v>1.008</v>
      </c>
      <c r="E3387" s="16">
        <f>IFERROR(__xludf.DUMMYFUNCTION("""COMPUTED_VALUE"""),67.0)</f>
        <v>67</v>
      </c>
      <c r="F3387" s="19" t="str">
        <f>IFERROR(__xludf.DUMMYFUNCTION("""COMPUTED_VALUE"""),"BLACK")</f>
        <v>BLACK</v>
      </c>
      <c r="G3387" s="20" t="str">
        <f>IFERROR(__xludf.DUMMYFUNCTION("""COMPUTED_VALUE"""),"Uncle Sams Cider (11/12/2021) 02")</f>
        <v>Uncle Sams Cider (11/12/2021) 02</v>
      </c>
      <c r="H3387" s="19"/>
    </row>
    <row r="3388">
      <c r="A3388" s="9"/>
      <c r="B3388" s="15"/>
      <c r="C3388" s="9">
        <f>IFERROR(__xludf.DUMMYFUNCTION("""COMPUTED_VALUE"""),44570.203340081)</f>
        <v>44570.20334</v>
      </c>
      <c r="D3388" s="15">
        <f>IFERROR(__xludf.DUMMYFUNCTION("""COMPUTED_VALUE"""),1.008)</f>
        <v>1.008</v>
      </c>
      <c r="E3388" s="16">
        <f>IFERROR(__xludf.DUMMYFUNCTION("""COMPUTED_VALUE"""),68.0)</f>
        <v>68</v>
      </c>
      <c r="F3388" s="19" t="str">
        <f>IFERROR(__xludf.DUMMYFUNCTION("""COMPUTED_VALUE"""),"BLACK")</f>
        <v>BLACK</v>
      </c>
      <c r="G3388" s="20" t="str">
        <f>IFERROR(__xludf.DUMMYFUNCTION("""COMPUTED_VALUE"""),"Uncle Sams Cider (11/12/2021) 02")</f>
        <v>Uncle Sams Cider (11/12/2021) 02</v>
      </c>
      <c r="H3388" s="19"/>
    </row>
    <row r="3389">
      <c r="A3389" s="9"/>
      <c r="B3389" s="15"/>
      <c r="C3389" s="9">
        <f>IFERROR(__xludf.DUMMYFUNCTION("""COMPUTED_VALUE"""),44570.1929085069)</f>
        <v>44570.19291</v>
      </c>
      <c r="D3389" s="15">
        <f>IFERROR(__xludf.DUMMYFUNCTION("""COMPUTED_VALUE"""),1.008)</f>
        <v>1.008</v>
      </c>
      <c r="E3389" s="16">
        <f>IFERROR(__xludf.DUMMYFUNCTION("""COMPUTED_VALUE"""),67.0)</f>
        <v>67</v>
      </c>
      <c r="F3389" s="19" t="str">
        <f>IFERROR(__xludf.DUMMYFUNCTION("""COMPUTED_VALUE"""),"BLACK")</f>
        <v>BLACK</v>
      </c>
      <c r="G3389" s="20" t="str">
        <f>IFERROR(__xludf.DUMMYFUNCTION("""COMPUTED_VALUE"""),"Uncle Sams Cider (11/12/2021) 02")</f>
        <v>Uncle Sams Cider (11/12/2021) 02</v>
      </c>
      <c r="H3389" s="19"/>
    </row>
    <row r="3390">
      <c r="A3390" s="9"/>
      <c r="B3390" s="15"/>
      <c r="C3390" s="9">
        <f>IFERROR(__xludf.DUMMYFUNCTION("""COMPUTED_VALUE"""),44570.1824869212)</f>
        <v>44570.18249</v>
      </c>
      <c r="D3390" s="15">
        <f>IFERROR(__xludf.DUMMYFUNCTION("""COMPUTED_VALUE"""),1.008)</f>
        <v>1.008</v>
      </c>
      <c r="E3390" s="16">
        <f>IFERROR(__xludf.DUMMYFUNCTION("""COMPUTED_VALUE"""),67.0)</f>
        <v>67</v>
      </c>
      <c r="F3390" s="19" t="str">
        <f>IFERROR(__xludf.DUMMYFUNCTION("""COMPUTED_VALUE"""),"BLACK")</f>
        <v>BLACK</v>
      </c>
      <c r="G3390" s="20" t="str">
        <f>IFERROR(__xludf.DUMMYFUNCTION("""COMPUTED_VALUE"""),"Uncle Sams Cider (11/12/2021) 02")</f>
        <v>Uncle Sams Cider (11/12/2021) 02</v>
      </c>
      <c r="H3390" s="19"/>
    </row>
    <row r="3391">
      <c r="A3391" s="9"/>
      <c r="B3391" s="15"/>
      <c r="C3391" s="9">
        <f>IFERROR(__xludf.DUMMYFUNCTION("""COMPUTED_VALUE"""),44570.1720666782)</f>
        <v>44570.17207</v>
      </c>
      <c r="D3391" s="15">
        <f>IFERROR(__xludf.DUMMYFUNCTION("""COMPUTED_VALUE"""),1.008)</f>
        <v>1.008</v>
      </c>
      <c r="E3391" s="16">
        <f>IFERROR(__xludf.DUMMYFUNCTION("""COMPUTED_VALUE"""),68.0)</f>
        <v>68</v>
      </c>
      <c r="F3391" s="19" t="str">
        <f>IFERROR(__xludf.DUMMYFUNCTION("""COMPUTED_VALUE"""),"BLACK")</f>
        <v>BLACK</v>
      </c>
      <c r="G3391" s="20" t="str">
        <f>IFERROR(__xludf.DUMMYFUNCTION("""COMPUTED_VALUE"""),"Uncle Sams Cider (11/12/2021) 02")</f>
        <v>Uncle Sams Cider (11/12/2021) 02</v>
      </c>
      <c r="H3391" s="19"/>
    </row>
    <row r="3392">
      <c r="A3392" s="9"/>
      <c r="B3392" s="15"/>
      <c r="C3392" s="9">
        <f>IFERROR(__xludf.DUMMYFUNCTION("""COMPUTED_VALUE"""),44570.1616460995)</f>
        <v>44570.16165</v>
      </c>
      <c r="D3392" s="15">
        <f>IFERROR(__xludf.DUMMYFUNCTION("""COMPUTED_VALUE"""),1.008)</f>
        <v>1.008</v>
      </c>
      <c r="E3392" s="16">
        <f>IFERROR(__xludf.DUMMYFUNCTION("""COMPUTED_VALUE"""),68.0)</f>
        <v>68</v>
      </c>
      <c r="F3392" s="19" t="str">
        <f>IFERROR(__xludf.DUMMYFUNCTION("""COMPUTED_VALUE"""),"BLACK")</f>
        <v>BLACK</v>
      </c>
      <c r="G3392" s="20" t="str">
        <f>IFERROR(__xludf.DUMMYFUNCTION("""COMPUTED_VALUE"""),"Uncle Sams Cider (11/12/2021) 02")</f>
        <v>Uncle Sams Cider (11/12/2021) 02</v>
      </c>
      <c r="H3392" s="19"/>
    </row>
    <row r="3393">
      <c r="A3393" s="9"/>
      <c r="B3393" s="15"/>
      <c r="C3393" s="9">
        <f>IFERROR(__xludf.DUMMYFUNCTION("""COMPUTED_VALUE"""),44570.1512254398)</f>
        <v>44570.15123</v>
      </c>
      <c r="D3393" s="15">
        <f>IFERROR(__xludf.DUMMYFUNCTION("""COMPUTED_VALUE"""),1.008)</f>
        <v>1.008</v>
      </c>
      <c r="E3393" s="16">
        <f>IFERROR(__xludf.DUMMYFUNCTION("""COMPUTED_VALUE"""),68.0)</f>
        <v>68</v>
      </c>
      <c r="F3393" s="19" t="str">
        <f>IFERROR(__xludf.DUMMYFUNCTION("""COMPUTED_VALUE"""),"BLACK")</f>
        <v>BLACK</v>
      </c>
      <c r="G3393" s="20" t="str">
        <f>IFERROR(__xludf.DUMMYFUNCTION("""COMPUTED_VALUE"""),"Uncle Sams Cider (11/12/2021) 02")</f>
        <v>Uncle Sams Cider (11/12/2021) 02</v>
      </c>
      <c r="H3393" s="19"/>
    </row>
    <row r="3394">
      <c r="A3394" s="9"/>
      <c r="B3394" s="15"/>
      <c r="C3394" s="9">
        <f>IFERROR(__xludf.DUMMYFUNCTION("""COMPUTED_VALUE"""),44570.1408053703)</f>
        <v>44570.14081</v>
      </c>
      <c r="D3394" s="15">
        <f>IFERROR(__xludf.DUMMYFUNCTION("""COMPUTED_VALUE"""),1.008)</f>
        <v>1.008</v>
      </c>
      <c r="E3394" s="16">
        <f>IFERROR(__xludf.DUMMYFUNCTION("""COMPUTED_VALUE"""),68.0)</f>
        <v>68</v>
      </c>
      <c r="F3394" s="19" t="str">
        <f>IFERROR(__xludf.DUMMYFUNCTION("""COMPUTED_VALUE"""),"BLACK")</f>
        <v>BLACK</v>
      </c>
      <c r="G3394" s="20" t="str">
        <f>IFERROR(__xludf.DUMMYFUNCTION("""COMPUTED_VALUE"""),"Uncle Sams Cider (11/12/2021) 02")</f>
        <v>Uncle Sams Cider (11/12/2021) 02</v>
      </c>
      <c r="H3394" s="19"/>
    </row>
    <row r="3395">
      <c r="A3395" s="9"/>
      <c r="B3395" s="15"/>
      <c r="C3395" s="9">
        <f>IFERROR(__xludf.DUMMYFUNCTION("""COMPUTED_VALUE"""),44570.1303826273)</f>
        <v>44570.13038</v>
      </c>
      <c r="D3395" s="15">
        <f>IFERROR(__xludf.DUMMYFUNCTION("""COMPUTED_VALUE"""),1.008)</f>
        <v>1.008</v>
      </c>
      <c r="E3395" s="16">
        <f>IFERROR(__xludf.DUMMYFUNCTION("""COMPUTED_VALUE"""),68.0)</f>
        <v>68</v>
      </c>
      <c r="F3395" s="19" t="str">
        <f>IFERROR(__xludf.DUMMYFUNCTION("""COMPUTED_VALUE"""),"BLACK")</f>
        <v>BLACK</v>
      </c>
      <c r="G3395" s="20" t="str">
        <f>IFERROR(__xludf.DUMMYFUNCTION("""COMPUTED_VALUE"""),"Uncle Sams Cider (11/12/2021) 02")</f>
        <v>Uncle Sams Cider (11/12/2021) 02</v>
      </c>
      <c r="H3395" s="19"/>
    </row>
    <row r="3396">
      <c r="A3396" s="9"/>
      <c r="B3396" s="15"/>
      <c r="C3396" s="9">
        <f>IFERROR(__xludf.DUMMYFUNCTION("""COMPUTED_VALUE"""),44570.1199273148)</f>
        <v>44570.11993</v>
      </c>
      <c r="D3396" s="15">
        <f>IFERROR(__xludf.DUMMYFUNCTION("""COMPUTED_VALUE"""),1.008)</f>
        <v>1.008</v>
      </c>
      <c r="E3396" s="16">
        <f>IFERROR(__xludf.DUMMYFUNCTION("""COMPUTED_VALUE"""),68.0)</f>
        <v>68</v>
      </c>
      <c r="F3396" s="19" t="str">
        <f>IFERROR(__xludf.DUMMYFUNCTION("""COMPUTED_VALUE"""),"BLACK")</f>
        <v>BLACK</v>
      </c>
      <c r="G3396" s="20" t="str">
        <f>IFERROR(__xludf.DUMMYFUNCTION("""COMPUTED_VALUE"""),"Uncle Sams Cider (11/12/2021) 02")</f>
        <v>Uncle Sams Cider (11/12/2021) 02</v>
      </c>
      <c r="H3396" s="19"/>
    </row>
    <row r="3397">
      <c r="A3397" s="9"/>
      <c r="B3397" s="15"/>
      <c r="C3397" s="9">
        <f>IFERROR(__xludf.DUMMYFUNCTION("""COMPUTED_VALUE"""),44570.1095064236)</f>
        <v>44570.10951</v>
      </c>
      <c r="D3397" s="15">
        <f>IFERROR(__xludf.DUMMYFUNCTION("""COMPUTED_VALUE"""),1.008)</f>
        <v>1.008</v>
      </c>
      <c r="E3397" s="16">
        <f>IFERROR(__xludf.DUMMYFUNCTION("""COMPUTED_VALUE"""),68.0)</f>
        <v>68</v>
      </c>
      <c r="F3397" s="19" t="str">
        <f>IFERROR(__xludf.DUMMYFUNCTION("""COMPUTED_VALUE"""),"BLACK")</f>
        <v>BLACK</v>
      </c>
      <c r="G3397" s="20" t="str">
        <f>IFERROR(__xludf.DUMMYFUNCTION("""COMPUTED_VALUE"""),"Uncle Sams Cider (11/12/2021) 02")</f>
        <v>Uncle Sams Cider (11/12/2021) 02</v>
      </c>
      <c r="H3397" s="19"/>
    </row>
    <row r="3398">
      <c r="A3398" s="9"/>
      <c r="B3398" s="15"/>
      <c r="C3398" s="9">
        <f>IFERROR(__xludf.DUMMYFUNCTION("""COMPUTED_VALUE"""),44570.0990389814)</f>
        <v>44570.09904</v>
      </c>
      <c r="D3398" s="15">
        <f>IFERROR(__xludf.DUMMYFUNCTION("""COMPUTED_VALUE"""),1.008)</f>
        <v>1.008</v>
      </c>
      <c r="E3398" s="16">
        <f>IFERROR(__xludf.DUMMYFUNCTION("""COMPUTED_VALUE"""),68.0)</f>
        <v>68</v>
      </c>
      <c r="F3398" s="19" t="str">
        <f>IFERROR(__xludf.DUMMYFUNCTION("""COMPUTED_VALUE"""),"BLACK")</f>
        <v>BLACK</v>
      </c>
      <c r="G3398" s="20" t="str">
        <f>IFERROR(__xludf.DUMMYFUNCTION("""COMPUTED_VALUE"""),"Uncle Sams Cider (11/12/2021) 02")</f>
        <v>Uncle Sams Cider (11/12/2021) 02</v>
      </c>
      <c r="H3398" s="19"/>
    </row>
    <row r="3399">
      <c r="A3399" s="9"/>
      <c r="B3399" s="15"/>
      <c r="C3399" s="9">
        <f>IFERROR(__xludf.DUMMYFUNCTION("""COMPUTED_VALUE"""),44570.088607662)</f>
        <v>44570.08861</v>
      </c>
      <c r="D3399" s="15">
        <f>IFERROR(__xludf.DUMMYFUNCTION("""COMPUTED_VALUE"""),1.008)</f>
        <v>1.008</v>
      </c>
      <c r="E3399" s="16">
        <f>IFERROR(__xludf.DUMMYFUNCTION("""COMPUTED_VALUE"""),67.0)</f>
        <v>67</v>
      </c>
      <c r="F3399" s="19" t="str">
        <f>IFERROR(__xludf.DUMMYFUNCTION("""COMPUTED_VALUE"""),"BLACK")</f>
        <v>BLACK</v>
      </c>
      <c r="G3399" s="20" t="str">
        <f>IFERROR(__xludf.DUMMYFUNCTION("""COMPUTED_VALUE"""),"Uncle Sams Cider (11/12/2021) 02")</f>
        <v>Uncle Sams Cider (11/12/2021) 02</v>
      </c>
      <c r="H3399" s="19"/>
    </row>
    <row r="3400">
      <c r="A3400" s="9"/>
      <c r="B3400" s="15"/>
      <c r="C3400" s="9">
        <f>IFERROR(__xludf.DUMMYFUNCTION("""COMPUTED_VALUE"""),44570.0781643865)</f>
        <v>44570.07816</v>
      </c>
      <c r="D3400" s="15">
        <f>IFERROR(__xludf.DUMMYFUNCTION("""COMPUTED_VALUE"""),1.008)</f>
        <v>1.008</v>
      </c>
      <c r="E3400" s="16">
        <f>IFERROR(__xludf.DUMMYFUNCTION("""COMPUTED_VALUE"""),67.0)</f>
        <v>67</v>
      </c>
      <c r="F3400" s="19" t="str">
        <f>IFERROR(__xludf.DUMMYFUNCTION("""COMPUTED_VALUE"""),"BLACK")</f>
        <v>BLACK</v>
      </c>
      <c r="G3400" s="20" t="str">
        <f>IFERROR(__xludf.DUMMYFUNCTION("""COMPUTED_VALUE"""),"Uncle Sams Cider (11/12/2021) 02")</f>
        <v>Uncle Sams Cider (11/12/2021) 02</v>
      </c>
      <c r="H3400" s="19"/>
    </row>
    <row r="3401">
      <c r="A3401" s="9"/>
      <c r="B3401" s="15"/>
      <c r="C3401" s="9">
        <f>IFERROR(__xludf.DUMMYFUNCTION("""COMPUTED_VALUE"""),44570.0677433912)</f>
        <v>44570.06774</v>
      </c>
      <c r="D3401" s="15">
        <f>IFERROR(__xludf.DUMMYFUNCTION("""COMPUTED_VALUE"""),1.008)</f>
        <v>1.008</v>
      </c>
      <c r="E3401" s="16">
        <f>IFERROR(__xludf.DUMMYFUNCTION("""COMPUTED_VALUE"""),66.0)</f>
        <v>66</v>
      </c>
      <c r="F3401" s="19" t="str">
        <f>IFERROR(__xludf.DUMMYFUNCTION("""COMPUTED_VALUE"""),"BLACK")</f>
        <v>BLACK</v>
      </c>
      <c r="G3401" s="20" t="str">
        <f>IFERROR(__xludf.DUMMYFUNCTION("""COMPUTED_VALUE"""),"Uncle Sams Cider (11/12/2021) 02")</f>
        <v>Uncle Sams Cider (11/12/2021) 02</v>
      </c>
      <c r="H3401" s="19"/>
    </row>
    <row r="3402">
      <c r="A3402" s="9"/>
      <c r="B3402" s="15"/>
      <c r="C3402" s="9">
        <f>IFERROR(__xludf.DUMMYFUNCTION("""COMPUTED_VALUE"""),44570.0573103009)</f>
        <v>44570.05731</v>
      </c>
      <c r="D3402" s="15">
        <f>IFERROR(__xludf.DUMMYFUNCTION("""COMPUTED_VALUE"""),1.009)</f>
        <v>1.009</v>
      </c>
      <c r="E3402" s="16">
        <f>IFERROR(__xludf.DUMMYFUNCTION("""COMPUTED_VALUE"""),66.0)</f>
        <v>66</v>
      </c>
      <c r="F3402" s="19" t="str">
        <f>IFERROR(__xludf.DUMMYFUNCTION("""COMPUTED_VALUE"""),"BLACK")</f>
        <v>BLACK</v>
      </c>
      <c r="G3402" s="20" t="str">
        <f>IFERROR(__xludf.DUMMYFUNCTION("""COMPUTED_VALUE"""),"Uncle Sams Cider (11/12/2021) 02")</f>
        <v>Uncle Sams Cider (11/12/2021) 02</v>
      </c>
      <c r="H3402" s="19"/>
    </row>
    <row r="3403">
      <c r="A3403" s="9"/>
      <c r="B3403" s="15"/>
      <c r="C3403" s="9">
        <f>IFERROR(__xludf.DUMMYFUNCTION("""COMPUTED_VALUE"""),44570.0468886111)</f>
        <v>44570.04689</v>
      </c>
      <c r="D3403" s="15">
        <f>IFERROR(__xludf.DUMMYFUNCTION("""COMPUTED_VALUE"""),1.009)</f>
        <v>1.009</v>
      </c>
      <c r="E3403" s="16">
        <f>IFERROR(__xludf.DUMMYFUNCTION("""COMPUTED_VALUE"""),66.0)</f>
        <v>66</v>
      </c>
      <c r="F3403" s="19" t="str">
        <f>IFERROR(__xludf.DUMMYFUNCTION("""COMPUTED_VALUE"""),"BLACK")</f>
        <v>BLACK</v>
      </c>
      <c r="G3403" s="20" t="str">
        <f>IFERROR(__xludf.DUMMYFUNCTION("""COMPUTED_VALUE"""),"Uncle Sams Cider (11/12/2021) 02")</f>
        <v>Uncle Sams Cider (11/12/2021) 02</v>
      </c>
      <c r="H3403" s="19"/>
    </row>
    <row r="3404">
      <c r="A3404" s="9"/>
      <c r="B3404" s="15"/>
      <c r="C3404" s="9">
        <f>IFERROR(__xludf.DUMMYFUNCTION("""COMPUTED_VALUE"""),44570.036466956)</f>
        <v>44570.03647</v>
      </c>
      <c r="D3404" s="15">
        <f>IFERROR(__xludf.DUMMYFUNCTION("""COMPUTED_VALUE"""),1.008)</f>
        <v>1.008</v>
      </c>
      <c r="E3404" s="16">
        <f>IFERROR(__xludf.DUMMYFUNCTION("""COMPUTED_VALUE"""),65.0)</f>
        <v>65</v>
      </c>
      <c r="F3404" s="19" t="str">
        <f>IFERROR(__xludf.DUMMYFUNCTION("""COMPUTED_VALUE"""),"BLACK")</f>
        <v>BLACK</v>
      </c>
      <c r="G3404" s="20" t="str">
        <f>IFERROR(__xludf.DUMMYFUNCTION("""COMPUTED_VALUE"""),"Uncle Sams Cider (11/12/2021) 02")</f>
        <v>Uncle Sams Cider (11/12/2021) 02</v>
      </c>
      <c r="H3404" s="19"/>
    </row>
    <row r="3405">
      <c r="A3405" s="9"/>
      <c r="B3405" s="15"/>
      <c r="C3405" s="9">
        <f>IFERROR(__xludf.DUMMYFUNCTION("""COMPUTED_VALUE"""),44570.0260448611)</f>
        <v>44570.02604</v>
      </c>
      <c r="D3405" s="15">
        <f>IFERROR(__xludf.DUMMYFUNCTION("""COMPUTED_VALUE"""),1.009)</f>
        <v>1.009</v>
      </c>
      <c r="E3405" s="16">
        <f>IFERROR(__xludf.DUMMYFUNCTION("""COMPUTED_VALUE"""),65.0)</f>
        <v>65</v>
      </c>
      <c r="F3405" s="19" t="str">
        <f>IFERROR(__xludf.DUMMYFUNCTION("""COMPUTED_VALUE"""),"BLACK")</f>
        <v>BLACK</v>
      </c>
      <c r="G3405" s="20" t="str">
        <f>IFERROR(__xludf.DUMMYFUNCTION("""COMPUTED_VALUE"""),"Uncle Sams Cider (11/12/2021) 02")</f>
        <v>Uncle Sams Cider (11/12/2021) 02</v>
      </c>
      <c r="H3405" s="19"/>
    </row>
    <row r="3406">
      <c r="A3406" s="9"/>
      <c r="B3406" s="15"/>
      <c r="C3406" s="9">
        <f>IFERROR(__xludf.DUMMYFUNCTION("""COMPUTED_VALUE"""),44570.0051779861)</f>
        <v>44570.00518</v>
      </c>
      <c r="D3406" s="15">
        <f>IFERROR(__xludf.DUMMYFUNCTION("""COMPUTED_VALUE"""),1.009)</f>
        <v>1.009</v>
      </c>
      <c r="E3406" s="16">
        <f>IFERROR(__xludf.DUMMYFUNCTION("""COMPUTED_VALUE"""),64.0)</f>
        <v>64</v>
      </c>
      <c r="F3406" s="19" t="str">
        <f>IFERROR(__xludf.DUMMYFUNCTION("""COMPUTED_VALUE"""),"BLACK")</f>
        <v>BLACK</v>
      </c>
      <c r="G3406" s="20" t="str">
        <f>IFERROR(__xludf.DUMMYFUNCTION("""COMPUTED_VALUE"""),"Uncle Sams Cider (11/12/2021) 02")</f>
        <v>Uncle Sams Cider (11/12/2021) 02</v>
      </c>
      <c r="H3406" s="19"/>
    </row>
    <row r="3407">
      <c r="A3407" s="9"/>
      <c r="B3407" s="15"/>
      <c r="C3407" s="9">
        <f>IFERROR(__xludf.DUMMYFUNCTION("""COMPUTED_VALUE"""),44569.9947573958)</f>
        <v>44569.99476</v>
      </c>
      <c r="D3407" s="15">
        <f>IFERROR(__xludf.DUMMYFUNCTION("""COMPUTED_VALUE"""),1.009)</f>
        <v>1.009</v>
      </c>
      <c r="E3407" s="16">
        <f>IFERROR(__xludf.DUMMYFUNCTION("""COMPUTED_VALUE"""),63.0)</f>
        <v>63</v>
      </c>
      <c r="F3407" s="19" t="str">
        <f>IFERROR(__xludf.DUMMYFUNCTION("""COMPUTED_VALUE"""),"BLACK")</f>
        <v>BLACK</v>
      </c>
      <c r="G3407" s="20" t="str">
        <f>IFERROR(__xludf.DUMMYFUNCTION("""COMPUTED_VALUE"""),"Uncle Sams Cider (11/12/2021) 02")</f>
        <v>Uncle Sams Cider (11/12/2021) 02</v>
      </c>
      <c r="H3407" s="19"/>
    </row>
    <row r="3408">
      <c r="A3408" s="9"/>
      <c r="B3408" s="15"/>
      <c r="C3408" s="9">
        <f>IFERROR(__xludf.DUMMYFUNCTION("""COMPUTED_VALUE"""),44569.9843371527)</f>
        <v>44569.98434</v>
      </c>
      <c r="D3408" s="15">
        <f>IFERROR(__xludf.DUMMYFUNCTION("""COMPUTED_VALUE"""),1.009)</f>
        <v>1.009</v>
      </c>
      <c r="E3408" s="16">
        <f>IFERROR(__xludf.DUMMYFUNCTION("""COMPUTED_VALUE"""),63.0)</f>
        <v>63</v>
      </c>
      <c r="F3408" s="19" t="str">
        <f>IFERROR(__xludf.DUMMYFUNCTION("""COMPUTED_VALUE"""),"BLACK")</f>
        <v>BLACK</v>
      </c>
      <c r="G3408" s="20" t="str">
        <f>IFERROR(__xludf.DUMMYFUNCTION("""COMPUTED_VALUE"""),"Uncle Sams Cider (11/12/2021) 02")</f>
        <v>Uncle Sams Cider (11/12/2021) 02</v>
      </c>
      <c r="H3408" s="19"/>
    </row>
    <row r="3409">
      <c r="A3409" s="9"/>
      <c r="B3409" s="15"/>
      <c r="C3409" s="9">
        <f>IFERROR(__xludf.DUMMYFUNCTION("""COMPUTED_VALUE"""),44569.9739156018)</f>
        <v>44569.97392</v>
      </c>
      <c r="D3409" s="15">
        <f>IFERROR(__xludf.DUMMYFUNCTION("""COMPUTED_VALUE"""),1.009)</f>
        <v>1.009</v>
      </c>
      <c r="E3409" s="16">
        <f>IFERROR(__xludf.DUMMYFUNCTION("""COMPUTED_VALUE"""),63.0)</f>
        <v>63</v>
      </c>
      <c r="F3409" s="19" t="str">
        <f>IFERROR(__xludf.DUMMYFUNCTION("""COMPUTED_VALUE"""),"BLACK")</f>
        <v>BLACK</v>
      </c>
      <c r="G3409" s="20" t="str">
        <f>IFERROR(__xludf.DUMMYFUNCTION("""COMPUTED_VALUE"""),"Uncle Sams Cider (11/12/2021) 02")</f>
        <v>Uncle Sams Cider (11/12/2021) 02</v>
      </c>
      <c r="H3409" s="19"/>
    </row>
    <row r="3410">
      <c r="A3410" s="9"/>
      <c r="B3410" s="15"/>
      <c r="C3410" s="9">
        <f>IFERROR(__xludf.DUMMYFUNCTION("""COMPUTED_VALUE"""),44569.9634829861)</f>
        <v>44569.96348</v>
      </c>
      <c r="D3410" s="15">
        <f>IFERROR(__xludf.DUMMYFUNCTION("""COMPUTED_VALUE"""),1.009)</f>
        <v>1.009</v>
      </c>
      <c r="E3410" s="16">
        <f>IFERROR(__xludf.DUMMYFUNCTION("""COMPUTED_VALUE"""),63.0)</f>
        <v>63</v>
      </c>
      <c r="F3410" s="19" t="str">
        <f>IFERROR(__xludf.DUMMYFUNCTION("""COMPUTED_VALUE"""),"BLACK")</f>
        <v>BLACK</v>
      </c>
      <c r="G3410" s="20" t="str">
        <f>IFERROR(__xludf.DUMMYFUNCTION("""COMPUTED_VALUE"""),"Uncle Sams Cider (11/12/2021) 02")</f>
        <v>Uncle Sams Cider (11/12/2021) 02</v>
      </c>
      <c r="H3410" s="19"/>
    </row>
    <row r="3411">
      <c r="A3411" s="9"/>
      <c r="B3411" s="15"/>
      <c r="C3411" s="9">
        <f>IFERROR(__xludf.DUMMYFUNCTION("""COMPUTED_VALUE"""),44569.9530605092)</f>
        <v>44569.95306</v>
      </c>
      <c r="D3411" s="15">
        <f>IFERROR(__xludf.DUMMYFUNCTION("""COMPUTED_VALUE"""),1.009)</f>
        <v>1.009</v>
      </c>
      <c r="E3411" s="16">
        <f>IFERROR(__xludf.DUMMYFUNCTION("""COMPUTED_VALUE"""),63.0)</f>
        <v>63</v>
      </c>
      <c r="F3411" s="19" t="str">
        <f>IFERROR(__xludf.DUMMYFUNCTION("""COMPUTED_VALUE"""),"BLACK")</f>
        <v>BLACK</v>
      </c>
      <c r="G3411" s="20" t="str">
        <f>IFERROR(__xludf.DUMMYFUNCTION("""COMPUTED_VALUE"""),"Uncle Sams Cider (11/12/2021) 02")</f>
        <v>Uncle Sams Cider (11/12/2021) 02</v>
      </c>
      <c r="H3411" s="19"/>
    </row>
    <row r="3412">
      <c r="A3412" s="9"/>
      <c r="B3412" s="15"/>
      <c r="C3412" s="9">
        <f>IFERROR(__xludf.DUMMYFUNCTION("""COMPUTED_VALUE"""),44569.9426420486)</f>
        <v>44569.94264</v>
      </c>
      <c r="D3412" s="15">
        <f>IFERROR(__xludf.DUMMYFUNCTION("""COMPUTED_VALUE"""),1.009)</f>
        <v>1.009</v>
      </c>
      <c r="E3412" s="16">
        <f>IFERROR(__xludf.DUMMYFUNCTION("""COMPUTED_VALUE"""),63.0)</f>
        <v>63</v>
      </c>
      <c r="F3412" s="19" t="str">
        <f>IFERROR(__xludf.DUMMYFUNCTION("""COMPUTED_VALUE"""),"BLACK")</f>
        <v>BLACK</v>
      </c>
      <c r="G3412" s="20" t="str">
        <f>IFERROR(__xludf.DUMMYFUNCTION("""COMPUTED_VALUE"""),"Uncle Sams Cider (11/12/2021) 02")</f>
        <v>Uncle Sams Cider (11/12/2021) 02</v>
      </c>
      <c r="H3412" s="19"/>
    </row>
    <row r="3413">
      <c r="A3413" s="9"/>
      <c r="B3413" s="15"/>
      <c r="C3413" s="9">
        <f>IFERROR(__xludf.DUMMYFUNCTION("""COMPUTED_VALUE"""),44569.9322222685)</f>
        <v>44569.93222</v>
      </c>
      <c r="D3413" s="15">
        <f>IFERROR(__xludf.DUMMYFUNCTION("""COMPUTED_VALUE"""),1.008)</f>
        <v>1.008</v>
      </c>
      <c r="E3413" s="16">
        <f>IFERROR(__xludf.DUMMYFUNCTION("""COMPUTED_VALUE"""),63.0)</f>
        <v>63</v>
      </c>
      <c r="F3413" s="19" t="str">
        <f>IFERROR(__xludf.DUMMYFUNCTION("""COMPUTED_VALUE"""),"BLACK")</f>
        <v>BLACK</v>
      </c>
      <c r="G3413" s="20" t="str">
        <f>IFERROR(__xludf.DUMMYFUNCTION("""COMPUTED_VALUE"""),"Uncle Sams Cider (11/12/2021) 02")</f>
        <v>Uncle Sams Cider (11/12/2021) 02</v>
      </c>
      <c r="H3413" s="19"/>
    </row>
    <row r="3414">
      <c r="A3414" s="9"/>
      <c r="B3414" s="15"/>
      <c r="C3414" s="9">
        <f>IFERROR(__xludf.DUMMYFUNCTION("""COMPUTED_VALUE"""),44569.9217891203)</f>
        <v>44569.92179</v>
      </c>
      <c r="D3414" s="15">
        <f>IFERROR(__xludf.DUMMYFUNCTION("""COMPUTED_VALUE"""),1.009)</f>
        <v>1.009</v>
      </c>
      <c r="E3414" s="16">
        <f>IFERROR(__xludf.DUMMYFUNCTION("""COMPUTED_VALUE"""),63.0)</f>
        <v>63</v>
      </c>
      <c r="F3414" s="19" t="str">
        <f>IFERROR(__xludf.DUMMYFUNCTION("""COMPUTED_VALUE"""),"BLACK")</f>
        <v>BLACK</v>
      </c>
      <c r="G3414" s="20" t="str">
        <f>IFERROR(__xludf.DUMMYFUNCTION("""COMPUTED_VALUE"""),"Uncle Sams Cider (11/12/2021) 02")</f>
        <v>Uncle Sams Cider (11/12/2021) 02</v>
      </c>
      <c r="H3414" s="19"/>
    </row>
    <row r="3415">
      <c r="A3415" s="9"/>
      <c r="B3415" s="15"/>
      <c r="C3415" s="9">
        <f>IFERROR(__xludf.DUMMYFUNCTION("""COMPUTED_VALUE"""),44569.9113672569)</f>
        <v>44569.91137</v>
      </c>
      <c r="D3415" s="15">
        <f>IFERROR(__xludf.DUMMYFUNCTION("""COMPUTED_VALUE"""),1.009)</f>
        <v>1.009</v>
      </c>
      <c r="E3415" s="16">
        <f>IFERROR(__xludf.DUMMYFUNCTION("""COMPUTED_VALUE"""),63.0)</f>
        <v>63</v>
      </c>
      <c r="F3415" s="19" t="str">
        <f>IFERROR(__xludf.DUMMYFUNCTION("""COMPUTED_VALUE"""),"BLACK")</f>
        <v>BLACK</v>
      </c>
      <c r="G3415" s="20" t="str">
        <f>IFERROR(__xludf.DUMMYFUNCTION("""COMPUTED_VALUE"""),"Uncle Sams Cider (11/12/2021) 02")</f>
        <v>Uncle Sams Cider (11/12/2021) 02</v>
      </c>
      <c r="H3415" s="19"/>
    </row>
    <row r="3416">
      <c r="A3416" s="9"/>
      <c r="B3416" s="15"/>
      <c r="C3416" s="9">
        <f>IFERROR(__xludf.DUMMYFUNCTION("""COMPUTED_VALUE"""),44569.9009340625)</f>
        <v>44569.90093</v>
      </c>
      <c r="D3416" s="15">
        <f>IFERROR(__xludf.DUMMYFUNCTION("""COMPUTED_VALUE"""),1.009)</f>
        <v>1.009</v>
      </c>
      <c r="E3416" s="16">
        <f>IFERROR(__xludf.DUMMYFUNCTION("""COMPUTED_VALUE"""),63.0)</f>
        <v>63</v>
      </c>
      <c r="F3416" s="19" t="str">
        <f>IFERROR(__xludf.DUMMYFUNCTION("""COMPUTED_VALUE"""),"BLACK")</f>
        <v>BLACK</v>
      </c>
      <c r="G3416" s="20" t="str">
        <f>IFERROR(__xludf.DUMMYFUNCTION("""COMPUTED_VALUE"""),"Uncle Sams Cider (11/12/2021) 02")</f>
        <v>Uncle Sams Cider (11/12/2021) 02</v>
      </c>
      <c r="H3416" s="19"/>
    </row>
    <row r="3417">
      <c r="A3417" s="9"/>
      <c r="B3417" s="15"/>
      <c r="C3417" s="9">
        <f>IFERROR(__xludf.DUMMYFUNCTION("""COMPUTED_VALUE"""),44569.8905146296)</f>
        <v>44569.89051</v>
      </c>
      <c r="D3417" s="15">
        <f>IFERROR(__xludf.DUMMYFUNCTION("""COMPUTED_VALUE"""),1.009)</f>
        <v>1.009</v>
      </c>
      <c r="E3417" s="16">
        <f>IFERROR(__xludf.DUMMYFUNCTION("""COMPUTED_VALUE"""),63.0)</f>
        <v>63</v>
      </c>
      <c r="F3417" s="19" t="str">
        <f>IFERROR(__xludf.DUMMYFUNCTION("""COMPUTED_VALUE"""),"BLACK")</f>
        <v>BLACK</v>
      </c>
      <c r="G3417" s="20" t="str">
        <f>IFERROR(__xludf.DUMMYFUNCTION("""COMPUTED_VALUE"""),"Uncle Sams Cider (11/12/2021) 02")</f>
        <v>Uncle Sams Cider (11/12/2021) 02</v>
      </c>
      <c r="H3417" s="19"/>
    </row>
    <row r="3418">
      <c r="A3418" s="9"/>
      <c r="B3418" s="15"/>
      <c r="C3418" s="9">
        <f>IFERROR(__xludf.DUMMYFUNCTION("""COMPUTED_VALUE"""),44569.8800924421)</f>
        <v>44569.88009</v>
      </c>
      <c r="D3418" s="15">
        <f>IFERROR(__xludf.DUMMYFUNCTION("""COMPUTED_VALUE"""),1.009)</f>
        <v>1.009</v>
      </c>
      <c r="E3418" s="16">
        <f>IFERROR(__xludf.DUMMYFUNCTION("""COMPUTED_VALUE"""),63.0)</f>
        <v>63</v>
      </c>
      <c r="F3418" s="19" t="str">
        <f>IFERROR(__xludf.DUMMYFUNCTION("""COMPUTED_VALUE"""),"BLACK")</f>
        <v>BLACK</v>
      </c>
      <c r="G3418" s="20" t="str">
        <f>IFERROR(__xludf.DUMMYFUNCTION("""COMPUTED_VALUE"""),"Uncle Sams Cider (11/12/2021) 02")</f>
        <v>Uncle Sams Cider (11/12/2021) 02</v>
      </c>
      <c r="H3418" s="19"/>
    </row>
    <row r="3419">
      <c r="A3419" s="9"/>
      <c r="B3419" s="15"/>
      <c r="C3419" s="9">
        <f>IFERROR(__xludf.DUMMYFUNCTION("""COMPUTED_VALUE"""),44569.8696709027)</f>
        <v>44569.86967</v>
      </c>
      <c r="D3419" s="15">
        <f>IFERROR(__xludf.DUMMYFUNCTION("""COMPUTED_VALUE"""),1.009)</f>
        <v>1.009</v>
      </c>
      <c r="E3419" s="16">
        <f>IFERROR(__xludf.DUMMYFUNCTION("""COMPUTED_VALUE"""),63.0)</f>
        <v>63</v>
      </c>
      <c r="F3419" s="19" t="str">
        <f>IFERROR(__xludf.DUMMYFUNCTION("""COMPUTED_VALUE"""),"BLACK")</f>
        <v>BLACK</v>
      </c>
      <c r="G3419" s="20" t="str">
        <f>IFERROR(__xludf.DUMMYFUNCTION("""COMPUTED_VALUE"""),"Uncle Sams Cider (11/12/2021) 02")</f>
        <v>Uncle Sams Cider (11/12/2021) 02</v>
      </c>
      <c r="H3419" s="19"/>
    </row>
    <row r="3420">
      <c r="A3420" s="9"/>
      <c r="B3420" s="15"/>
      <c r="C3420" s="9">
        <f>IFERROR(__xludf.DUMMYFUNCTION("""COMPUTED_VALUE"""),44569.8592138425)</f>
        <v>44569.85921</v>
      </c>
      <c r="D3420" s="15">
        <f>IFERROR(__xludf.DUMMYFUNCTION("""COMPUTED_VALUE"""),1.008)</f>
        <v>1.008</v>
      </c>
      <c r="E3420" s="16">
        <f>IFERROR(__xludf.DUMMYFUNCTION("""COMPUTED_VALUE"""),63.0)</f>
        <v>63</v>
      </c>
      <c r="F3420" s="19" t="str">
        <f>IFERROR(__xludf.DUMMYFUNCTION("""COMPUTED_VALUE"""),"BLACK")</f>
        <v>BLACK</v>
      </c>
      <c r="G3420" s="20" t="str">
        <f>IFERROR(__xludf.DUMMYFUNCTION("""COMPUTED_VALUE"""),"Uncle Sams Cider (11/12/2021) 02")</f>
        <v>Uncle Sams Cider (11/12/2021) 02</v>
      </c>
      <c r="H3420" s="19"/>
    </row>
    <row r="3421">
      <c r="A3421" s="9"/>
      <c r="B3421" s="15"/>
      <c r="C3421" s="9">
        <f>IFERROR(__xludf.DUMMYFUNCTION("""COMPUTED_VALUE"""),44569.848792824)</f>
        <v>44569.84879</v>
      </c>
      <c r="D3421" s="15">
        <f>IFERROR(__xludf.DUMMYFUNCTION("""COMPUTED_VALUE"""),1.009)</f>
        <v>1.009</v>
      </c>
      <c r="E3421" s="16">
        <f>IFERROR(__xludf.DUMMYFUNCTION("""COMPUTED_VALUE"""),63.0)</f>
        <v>63</v>
      </c>
      <c r="F3421" s="19" t="str">
        <f>IFERROR(__xludf.DUMMYFUNCTION("""COMPUTED_VALUE"""),"BLACK")</f>
        <v>BLACK</v>
      </c>
      <c r="G3421" s="20" t="str">
        <f>IFERROR(__xludf.DUMMYFUNCTION("""COMPUTED_VALUE"""),"Uncle Sams Cider (11/12/2021) 02")</f>
        <v>Uncle Sams Cider (11/12/2021) 02</v>
      </c>
      <c r="H3421" s="19"/>
    </row>
    <row r="3422">
      <c r="A3422" s="9"/>
      <c r="B3422" s="15"/>
      <c r="C3422" s="9">
        <f>IFERROR(__xludf.DUMMYFUNCTION("""COMPUTED_VALUE"""),44569.8383701273)</f>
        <v>44569.83837</v>
      </c>
      <c r="D3422" s="15">
        <f>IFERROR(__xludf.DUMMYFUNCTION("""COMPUTED_VALUE"""),1.009)</f>
        <v>1.009</v>
      </c>
      <c r="E3422" s="16">
        <f>IFERROR(__xludf.DUMMYFUNCTION("""COMPUTED_VALUE"""),63.0)</f>
        <v>63</v>
      </c>
      <c r="F3422" s="19" t="str">
        <f>IFERROR(__xludf.DUMMYFUNCTION("""COMPUTED_VALUE"""),"BLACK")</f>
        <v>BLACK</v>
      </c>
      <c r="G3422" s="20" t="str">
        <f>IFERROR(__xludf.DUMMYFUNCTION("""COMPUTED_VALUE"""),"Uncle Sams Cider (11/12/2021) 02")</f>
        <v>Uncle Sams Cider (11/12/2021) 02</v>
      </c>
      <c r="H3422" s="19"/>
    </row>
    <row r="3423">
      <c r="A3423" s="9"/>
      <c r="B3423" s="15"/>
      <c r="C3423" s="9">
        <f>IFERROR(__xludf.DUMMYFUNCTION("""COMPUTED_VALUE"""),44569.8279508912)</f>
        <v>44569.82795</v>
      </c>
      <c r="D3423" s="15">
        <f>IFERROR(__xludf.DUMMYFUNCTION("""COMPUTED_VALUE"""),1.008)</f>
        <v>1.008</v>
      </c>
      <c r="E3423" s="16">
        <f>IFERROR(__xludf.DUMMYFUNCTION("""COMPUTED_VALUE"""),63.0)</f>
        <v>63</v>
      </c>
      <c r="F3423" s="19" t="str">
        <f>IFERROR(__xludf.DUMMYFUNCTION("""COMPUTED_VALUE"""),"BLACK")</f>
        <v>BLACK</v>
      </c>
      <c r="G3423" s="20" t="str">
        <f>IFERROR(__xludf.DUMMYFUNCTION("""COMPUTED_VALUE"""),"Uncle Sams Cider (11/12/2021) 02")</f>
        <v>Uncle Sams Cider (11/12/2021) 02</v>
      </c>
      <c r="H3423" s="19"/>
    </row>
    <row r="3424">
      <c r="A3424" s="9"/>
      <c r="B3424" s="15"/>
      <c r="C3424" s="9">
        <f>IFERROR(__xludf.DUMMYFUNCTION("""COMPUTED_VALUE"""),44569.8175296064)</f>
        <v>44569.81753</v>
      </c>
      <c r="D3424" s="15">
        <f>IFERROR(__xludf.DUMMYFUNCTION("""COMPUTED_VALUE"""),1.009)</f>
        <v>1.009</v>
      </c>
      <c r="E3424" s="16">
        <f>IFERROR(__xludf.DUMMYFUNCTION("""COMPUTED_VALUE"""),63.0)</f>
        <v>63</v>
      </c>
      <c r="F3424" s="19" t="str">
        <f>IFERROR(__xludf.DUMMYFUNCTION("""COMPUTED_VALUE"""),"BLACK")</f>
        <v>BLACK</v>
      </c>
      <c r="G3424" s="20" t="str">
        <f>IFERROR(__xludf.DUMMYFUNCTION("""COMPUTED_VALUE"""),"Uncle Sams Cider (11/12/2021) 02")</f>
        <v>Uncle Sams Cider (11/12/2021) 02</v>
      </c>
      <c r="H3424" s="19"/>
    </row>
    <row r="3425">
      <c r="A3425" s="9"/>
      <c r="B3425" s="15"/>
      <c r="C3425" s="9">
        <f>IFERROR(__xludf.DUMMYFUNCTION("""COMPUTED_VALUE"""),44569.8071072685)</f>
        <v>44569.80711</v>
      </c>
      <c r="D3425" s="15">
        <f>IFERROR(__xludf.DUMMYFUNCTION("""COMPUTED_VALUE"""),1.009)</f>
        <v>1.009</v>
      </c>
      <c r="E3425" s="16">
        <f>IFERROR(__xludf.DUMMYFUNCTION("""COMPUTED_VALUE"""),63.0)</f>
        <v>63</v>
      </c>
      <c r="F3425" s="19" t="str">
        <f>IFERROR(__xludf.DUMMYFUNCTION("""COMPUTED_VALUE"""),"BLACK")</f>
        <v>BLACK</v>
      </c>
      <c r="G3425" s="20" t="str">
        <f>IFERROR(__xludf.DUMMYFUNCTION("""COMPUTED_VALUE"""),"Uncle Sams Cider (11/12/2021) 02")</f>
        <v>Uncle Sams Cider (11/12/2021) 02</v>
      </c>
      <c r="H3425" s="19"/>
    </row>
    <row r="3426">
      <c r="A3426" s="9"/>
      <c r="B3426" s="15"/>
      <c r="C3426" s="9">
        <f>IFERROR(__xludf.DUMMYFUNCTION("""COMPUTED_VALUE"""),44569.7966872222)</f>
        <v>44569.79669</v>
      </c>
      <c r="D3426" s="15">
        <f>IFERROR(__xludf.DUMMYFUNCTION("""COMPUTED_VALUE"""),1.009)</f>
        <v>1.009</v>
      </c>
      <c r="E3426" s="16">
        <f>IFERROR(__xludf.DUMMYFUNCTION("""COMPUTED_VALUE"""),63.0)</f>
        <v>63</v>
      </c>
      <c r="F3426" s="19" t="str">
        <f>IFERROR(__xludf.DUMMYFUNCTION("""COMPUTED_VALUE"""),"BLACK")</f>
        <v>BLACK</v>
      </c>
      <c r="G3426" s="20" t="str">
        <f>IFERROR(__xludf.DUMMYFUNCTION("""COMPUTED_VALUE"""),"Uncle Sams Cider (11/12/2021) 02")</f>
        <v>Uncle Sams Cider (11/12/2021) 02</v>
      </c>
      <c r="H3426" s="19"/>
    </row>
    <row r="3427">
      <c r="A3427" s="9"/>
      <c r="B3427" s="15"/>
      <c r="C3427" s="9">
        <f>IFERROR(__xludf.DUMMYFUNCTION("""COMPUTED_VALUE"""),44569.7862556712)</f>
        <v>44569.78626</v>
      </c>
      <c r="D3427" s="15">
        <f>IFERROR(__xludf.DUMMYFUNCTION("""COMPUTED_VALUE"""),1.009)</f>
        <v>1.009</v>
      </c>
      <c r="E3427" s="16">
        <f>IFERROR(__xludf.DUMMYFUNCTION("""COMPUTED_VALUE"""),63.0)</f>
        <v>63</v>
      </c>
      <c r="F3427" s="19" t="str">
        <f>IFERROR(__xludf.DUMMYFUNCTION("""COMPUTED_VALUE"""),"BLACK")</f>
        <v>BLACK</v>
      </c>
      <c r="G3427" s="20" t="str">
        <f>IFERROR(__xludf.DUMMYFUNCTION("""COMPUTED_VALUE"""),"Uncle Sams Cider (11/12/2021) 02")</f>
        <v>Uncle Sams Cider (11/12/2021) 02</v>
      </c>
      <c r="H3427" s="19"/>
    </row>
    <row r="3428">
      <c r="A3428" s="9"/>
      <c r="B3428" s="15"/>
      <c r="C3428" s="9">
        <f>IFERROR(__xludf.DUMMYFUNCTION("""COMPUTED_VALUE"""),44569.7758350462)</f>
        <v>44569.77584</v>
      </c>
      <c r="D3428" s="15">
        <f>IFERROR(__xludf.DUMMYFUNCTION("""COMPUTED_VALUE"""),1.009)</f>
        <v>1.009</v>
      </c>
      <c r="E3428" s="16">
        <f>IFERROR(__xludf.DUMMYFUNCTION("""COMPUTED_VALUE"""),63.0)</f>
        <v>63</v>
      </c>
      <c r="F3428" s="19" t="str">
        <f>IFERROR(__xludf.DUMMYFUNCTION("""COMPUTED_VALUE"""),"BLACK")</f>
        <v>BLACK</v>
      </c>
      <c r="G3428" s="20" t="str">
        <f>IFERROR(__xludf.DUMMYFUNCTION("""COMPUTED_VALUE"""),"Uncle Sams Cider (11/12/2021) 02")</f>
        <v>Uncle Sams Cider (11/12/2021) 02</v>
      </c>
      <c r="H3428" s="19"/>
    </row>
    <row r="3429">
      <c r="A3429" s="9"/>
      <c r="B3429" s="15"/>
      <c r="C3429" s="9">
        <f>IFERROR(__xludf.DUMMYFUNCTION("""COMPUTED_VALUE"""),44569.7653915856)</f>
        <v>44569.76539</v>
      </c>
      <c r="D3429" s="15">
        <f>IFERROR(__xludf.DUMMYFUNCTION("""COMPUTED_VALUE"""),1.009)</f>
        <v>1.009</v>
      </c>
      <c r="E3429" s="16">
        <f>IFERROR(__xludf.DUMMYFUNCTION("""COMPUTED_VALUE"""),63.0)</f>
        <v>63</v>
      </c>
      <c r="F3429" s="19" t="str">
        <f>IFERROR(__xludf.DUMMYFUNCTION("""COMPUTED_VALUE"""),"BLACK")</f>
        <v>BLACK</v>
      </c>
      <c r="G3429" s="20" t="str">
        <f>IFERROR(__xludf.DUMMYFUNCTION("""COMPUTED_VALUE"""),"Uncle Sams Cider (11/12/2021) 02")</f>
        <v>Uncle Sams Cider (11/12/2021) 02</v>
      </c>
      <c r="H3429" s="19"/>
    </row>
    <row r="3430">
      <c r="A3430" s="9"/>
      <c r="B3430" s="15"/>
      <c r="C3430" s="9">
        <f>IFERROR(__xludf.DUMMYFUNCTION("""COMPUTED_VALUE"""),44569.7549700347)</f>
        <v>44569.75497</v>
      </c>
      <c r="D3430" s="15">
        <f>IFERROR(__xludf.DUMMYFUNCTION("""COMPUTED_VALUE"""),1.009)</f>
        <v>1.009</v>
      </c>
      <c r="E3430" s="16">
        <f>IFERROR(__xludf.DUMMYFUNCTION("""COMPUTED_VALUE"""),63.0)</f>
        <v>63</v>
      </c>
      <c r="F3430" s="19" t="str">
        <f>IFERROR(__xludf.DUMMYFUNCTION("""COMPUTED_VALUE"""),"BLACK")</f>
        <v>BLACK</v>
      </c>
      <c r="G3430" s="20" t="str">
        <f>IFERROR(__xludf.DUMMYFUNCTION("""COMPUTED_VALUE"""),"Uncle Sams Cider (11/12/2021) 02")</f>
        <v>Uncle Sams Cider (11/12/2021) 02</v>
      </c>
      <c r="H3430" s="19"/>
    </row>
    <row r="3431">
      <c r="A3431" s="9"/>
      <c r="B3431" s="15"/>
      <c r="C3431" s="9">
        <f>IFERROR(__xludf.DUMMYFUNCTION("""COMPUTED_VALUE"""),44569.7445478588)</f>
        <v>44569.74455</v>
      </c>
      <c r="D3431" s="15">
        <f>IFERROR(__xludf.DUMMYFUNCTION("""COMPUTED_VALUE"""),1.009)</f>
        <v>1.009</v>
      </c>
      <c r="E3431" s="16">
        <f>IFERROR(__xludf.DUMMYFUNCTION("""COMPUTED_VALUE"""),63.0)</f>
        <v>63</v>
      </c>
      <c r="F3431" s="19" t="str">
        <f>IFERROR(__xludf.DUMMYFUNCTION("""COMPUTED_VALUE"""),"BLACK")</f>
        <v>BLACK</v>
      </c>
      <c r="G3431" s="20" t="str">
        <f>IFERROR(__xludf.DUMMYFUNCTION("""COMPUTED_VALUE"""),"Uncle Sams Cider (11/12/2021) 02")</f>
        <v>Uncle Sams Cider (11/12/2021) 02</v>
      </c>
      <c r="H3431" s="19"/>
    </row>
    <row r="3432">
      <c r="A3432" s="9"/>
      <c r="B3432" s="15"/>
      <c r="C3432" s="9">
        <f>IFERROR(__xludf.DUMMYFUNCTION("""COMPUTED_VALUE"""),44569.7341158911)</f>
        <v>44569.73412</v>
      </c>
      <c r="D3432" s="15">
        <f>IFERROR(__xludf.DUMMYFUNCTION("""COMPUTED_VALUE"""),1.009)</f>
        <v>1.009</v>
      </c>
      <c r="E3432" s="16">
        <f>IFERROR(__xludf.DUMMYFUNCTION("""COMPUTED_VALUE"""),63.0)</f>
        <v>63</v>
      </c>
      <c r="F3432" s="19" t="str">
        <f>IFERROR(__xludf.DUMMYFUNCTION("""COMPUTED_VALUE"""),"BLACK")</f>
        <v>BLACK</v>
      </c>
      <c r="G3432" s="20" t="str">
        <f>IFERROR(__xludf.DUMMYFUNCTION("""COMPUTED_VALUE"""),"Uncle Sams Cider (11/12/2021) 02")</f>
        <v>Uncle Sams Cider (11/12/2021) 02</v>
      </c>
      <c r="H3432" s="19"/>
    </row>
    <row r="3433">
      <c r="A3433" s="9"/>
      <c r="B3433" s="15"/>
      <c r="C3433" s="9">
        <f>IFERROR(__xludf.DUMMYFUNCTION("""COMPUTED_VALUE"""),44569.7236936226)</f>
        <v>44569.72369</v>
      </c>
      <c r="D3433" s="15">
        <f>IFERROR(__xludf.DUMMYFUNCTION("""COMPUTED_VALUE"""),1.009)</f>
        <v>1.009</v>
      </c>
      <c r="E3433" s="16">
        <f>IFERROR(__xludf.DUMMYFUNCTION("""COMPUTED_VALUE"""),63.0)</f>
        <v>63</v>
      </c>
      <c r="F3433" s="19" t="str">
        <f>IFERROR(__xludf.DUMMYFUNCTION("""COMPUTED_VALUE"""),"BLACK")</f>
        <v>BLACK</v>
      </c>
      <c r="G3433" s="20" t="str">
        <f>IFERROR(__xludf.DUMMYFUNCTION("""COMPUTED_VALUE"""),"Uncle Sams Cider (11/12/2021) 02")</f>
        <v>Uncle Sams Cider (11/12/2021) 02</v>
      </c>
      <c r="H3433" s="19"/>
    </row>
    <row r="3434">
      <c r="A3434" s="9"/>
      <c r="B3434" s="15"/>
      <c r="C3434" s="9">
        <f>IFERROR(__xludf.DUMMYFUNCTION("""COMPUTED_VALUE"""),44569.7132718287)</f>
        <v>44569.71327</v>
      </c>
      <c r="D3434" s="15">
        <f>IFERROR(__xludf.DUMMYFUNCTION("""COMPUTED_VALUE"""),1.009)</f>
        <v>1.009</v>
      </c>
      <c r="E3434" s="16">
        <f>IFERROR(__xludf.DUMMYFUNCTION("""COMPUTED_VALUE"""),63.0)</f>
        <v>63</v>
      </c>
      <c r="F3434" s="19" t="str">
        <f>IFERROR(__xludf.DUMMYFUNCTION("""COMPUTED_VALUE"""),"BLACK")</f>
        <v>BLACK</v>
      </c>
      <c r="G3434" s="20" t="str">
        <f>IFERROR(__xludf.DUMMYFUNCTION("""COMPUTED_VALUE"""),"Uncle Sams Cider (11/12/2021) 02")</f>
        <v>Uncle Sams Cider (11/12/2021) 02</v>
      </c>
      <c r="H3434" s="19"/>
    </row>
    <row r="3435">
      <c r="A3435" s="9"/>
      <c r="B3435" s="15"/>
      <c r="C3435" s="9">
        <f>IFERROR(__xludf.DUMMYFUNCTION("""COMPUTED_VALUE"""),44569.7028518981)</f>
        <v>44569.70285</v>
      </c>
      <c r="D3435" s="15">
        <f>IFERROR(__xludf.DUMMYFUNCTION("""COMPUTED_VALUE"""),1.009)</f>
        <v>1.009</v>
      </c>
      <c r="E3435" s="16">
        <f>IFERROR(__xludf.DUMMYFUNCTION("""COMPUTED_VALUE"""),63.0)</f>
        <v>63</v>
      </c>
      <c r="F3435" s="19" t="str">
        <f>IFERROR(__xludf.DUMMYFUNCTION("""COMPUTED_VALUE"""),"BLACK")</f>
        <v>BLACK</v>
      </c>
      <c r="G3435" s="20" t="str">
        <f>IFERROR(__xludf.DUMMYFUNCTION("""COMPUTED_VALUE"""),"Uncle Sams Cider (11/12/2021) 02")</f>
        <v>Uncle Sams Cider (11/12/2021) 02</v>
      </c>
      <c r="H3435" s="19"/>
    </row>
    <row r="3436">
      <c r="A3436" s="9"/>
      <c r="B3436" s="15"/>
      <c r="C3436" s="9">
        <f>IFERROR(__xludf.DUMMYFUNCTION("""COMPUTED_VALUE"""),44569.6924182523)</f>
        <v>44569.69242</v>
      </c>
      <c r="D3436" s="15">
        <f>IFERROR(__xludf.DUMMYFUNCTION("""COMPUTED_VALUE"""),1.009)</f>
        <v>1.009</v>
      </c>
      <c r="E3436" s="16">
        <f>IFERROR(__xludf.DUMMYFUNCTION("""COMPUTED_VALUE"""),63.0)</f>
        <v>63</v>
      </c>
      <c r="F3436" s="19" t="str">
        <f>IFERROR(__xludf.DUMMYFUNCTION("""COMPUTED_VALUE"""),"BLACK")</f>
        <v>BLACK</v>
      </c>
      <c r="G3436" s="20" t="str">
        <f>IFERROR(__xludf.DUMMYFUNCTION("""COMPUTED_VALUE"""),"Uncle Sams Cider (11/12/2021) 02")</f>
        <v>Uncle Sams Cider (11/12/2021) 02</v>
      </c>
      <c r="H3436" s="19"/>
    </row>
    <row r="3437">
      <c r="A3437" s="9"/>
      <c r="B3437" s="15"/>
      <c r="C3437" s="9">
        <f>IFERROR(__xludf.DUMMYFUNCTION("""COMPUTED_VALUE"""),44569.6819985995)</f>
        <v>44569.682</v>
      </c>
      <c r="D3437" s="15">
        <f>IFERROR(__xludf.DUMMYFUNCTION("""COMPUTED_VALUE"""),1.009)</f>
        <v>1.009</v>
      </c>
      <c r="E3437" s="16">
        <f>IFERROR(__xludf.DUMMYFUNCTION("""COMPUTED_VALUE"""),63.0)</f>
        <v>63</v>
      </c>
      <c r="F3437" s="19" t="str">
        <f>IFERROR(__xludf.DUMMYFUNCTION("""COMPUTED_VALUE"""),"BLACK")</f>
        <v>BLACK</v>
      </c>
      <c r="G3437" s="20" t="str">
        <f>IFERROR(__xludf.DUMMYFUNCTION("""COMPUTED_VALUE"""),"Uncle Sams Cider (11/12/2021) 02")</f>
        <v>Uncle Sams Cider (11/12/2021) 02</v>
      </c>
      <c r="H3437" s="19"/>
    </row>
    <row r="3438">
      <c r="A3438" s="9"/>
      <c r="B3438" s="15"/>
      <c r="C3438" s="9">
        <f>IFERROR(__xludf.DUMMYFUNCTION("""COMPUTED_VALUE"""),44569.6715784259)</f>
        <v>44569.67158</v>
      </c>
      <c r="D3438" s="15">
        <f>IFERROR(__xludf.DUMMYFUNCTION("""COMPUTED_VALUE"""),1.009)</f>
        <v>1.009</v>
      </c>
      <c r="E3438" s="16">
        <f>IFERROR(__xludf.DUMMYFUNCTION("""COMPUTED_VALUE"""),63.0)</f>
        <v>63</v>
      </c>
      <c r="F3438" s="19" t="str">
        <f>IFERROR(__xludf.DUMMYFUNCTION("""COMPUTED_VALUE"""),"BLACK")</f>
        <v>BLACK</v>
      </c>
      <c r="G3438" s="20" t="str">
        <f>IFERROR(__xludf.DUMMYFUNCTION("""COMPUTED_VALUE"""),"Uncle Sams Cider (11/12/2021) 02")</f>
        <v>Uncle Sams Cider (11/12/2021) 02</v>
      </c>
      <c r="H3438" s="19"/>
    </row>
    <row r="3439">
      <c r="A3439" s="9"/>
      <c r="B3439" s="15"/>
      <c r="C3439" s="9">
        <f>IFERROR(__xludf.DUMMYFUNCTION("""COMPUTED_VALUE"""),44569.6611573495)</f>
        <v>44569.66116</v>
      </c>
      <c r="D3439" s="15">
        <f>IFERROR(__xludf.DUMMYFUNCTION("""COMPUTED_VALUE"""),1.009)</f>
        <v>1.009</v>
      </c>
      <c r="E3439" s="16">
        <f>IFERROR(__xludf.DUMMYFUNCTION("""COMPUTED_VALUE"""),63.0)</f>
        <v>63</v>
      </c>
      <c r="F3439" s="19" t="str">
        <f>IFERROR(__xludf.DUMMYFUNCTION("""COMPUTED_VALUE"""),"BLACK")</f>
        <v>BLACK</v>
      </c>
      <c r="G3439" s="20" t="str">
        <f>IFERROR(__xludf.DUMMYFUNCTION("""COMPUTED_VALUE"""),"Uncle Sams Cider (11/12/2021) 02")</f>
        <v>Uncle Sams Cider (11/12/2021) 02</v>
      </c>
      <c r="H3439" s="19"/>
    </row>
    <row r="3440">
      <c r="A3440" s="9"/>
      <c r="B3440" s="15"/>
      <c r="C3440" s="9">
        <f>IFERROR(__xludf.DUMMYFUNCTION("""COMPUTED_VALUE"""),44569.6507361689)</f>
        <v>44569.65074</v>
      </c>
      <c r="D3440" s="15">
        <f>IFERROR(__xludf.DUMMYFUNCTION("""COMPUTED_VALUE"""),1.009)</f>
        <v>1.009</v>
      </c>
      <c r="E3440" s="16">
        <f>IFERROR(__xludf.DUMMYFUNCTION("""COMPUTED_VALUE"""),63.0)</f>
        <v>63</v>
      </c>
      <c r="F3440" s="19" t="str">
        <f>IFERROR(__xludf.DUMMYFUNCTION("""COMPUTED_VALUE"""),"BLACK")</f>
        <v>BLACK</v>
      </c>
      <c r="G3440" s="20" t="str">
        <f>IFERROR(__xludf.DUMMYFUNCTION("""COMPUTED_VALUE"""),"Uncle Sams Cider (11/12/2021) 02")</f>
        <v>Uncle Sams Cider (11/12/2021) 02</v>
      </c>
      <c r="H3440" s="19"/>
    </row>
    <row r="3441">
      <c r="A3441" s="9"/>
      <c r="B3441" s="15"/>
      <c r="C3441" s="9">
        <f>IFERROR(__xludf.DUMMYFUNCTION("""COMPUTED_VALUE"""),44569.6403155324)</f>
        <v>44569.64032</v>
      </c>
      <c r="D3441" s="15">
        <f>IFERROR(__xludf.DUMMYFUNCTION("""COMPUTED_VALUE"""),1.009)</f>
        <v>1.009</v>
      </c>
      <c r="E3441" s="16">
        <f>IFERROR(__xludf.DUMMYFUNCTION("""COMPUTED_VALUE"""),63.0)</f>
        <v>63</v>
      </c>
      <c r="F3441" s="19" t="str">
        <f>IFERROR(__xludf.DUMMYFUNCTION("""COMPUTED_VALUE"""),"BLACK")</f>
        <v>BLACK</v>
      </c>
      <c r="G3441" s="20" t="str">
        <f>IFERROR(__xludf.DUMMYFUNCTION("""COMPUTED_VALUE"""),"Uncle Sams Cider (11/12/2021) 02")</f>
        <v>Uncle Sams Cider (11/12/2021) 02</v>
      </c>
      <c r="H3441" s="19"/>
    </row>
    <row r="3442">
      <c r="A3442" s="9"/>
      <c r="B3442" s="15"/>
      <c r="C3442" s="9">
        <f>IFERROR(__xludf.DUMMYFUNCTION("""COMPUTED_VALUE"""),44569.6298803703)</f>
        <v>44569.62988</v>
      </c>
      <c r="D3442" s="15">
        <f>IFERROR(__xludf.DUMMYFUNCTION("""COMPUTED_VALUE"""),1.009)</f>
        <v>1.009</v>
      </c>
      <c r="E3442" s="16">
        <f>IFERROR(__xludf.DUMMYFUNCTION("""COMPUTED_VALUE"""),63.0)</f>
        <v>63</v>
      </c>
      <c r="F3442" s="19" t="str">
        <f>IFERROR(__xludf.DUMMYFUNCTION("""COMPUTED_VALUE"""),"BLACK")</f>
        <v>BLACK</v>
      </c>
      <c r="G3442" s="20" t="str">
        <f>IFERROR(__xludf.DUMMYFUNCTION("""COMPUTED_VALUE"""),"Uncle Sams Cider (11/12/2021) 02")</f>
        <v>Uncle Sams Cider (11/12/2021) 02</v>
      </c>
      <c r="H3442" s="19"/>
    </row>
    <row r="3443">
      <c r="A3443" s="9"/>
      <c r="B3443" s="15"/>
      <c r="C3443" s="9">
        <f>IFERROR(__xludf.DUMMYFUNCTION("""COMPUTED_VALUE"""),44569.6194578472)</f>
        <v>44569.61946</v>
      </c>
      <c r="D3443" s="15">
        <f>IFERROR(__xludf.DUMMYFUNCTION("""COMPUTED_VALUE"""),1.009)</f>
        <v>1.009</v>
      </c>
      <c r="E3443" s="16">
        <f>IFERROR(__xludf.DUMMYFUNCTION("""COMPUTED_VALUE"""),63.0)</f>
        <v>63</v>
      </c>
      <c r="F3443" s="19" t="str">
        <f>IFERROR(__xludf.DUMMYFUNCTION("""COMPUTED_VALUE"""),"BLACK")</f>
        <v>BLACK</v>
      </c>
      <c r="G3443" s="20" t="str">
        <f>IFERROR(__xludf.DUMMYFUNCTION("""COMPUTED_VALUE"""),"Uncle Sams Cider (11/12/2021) 02")</f>
        <v>Uncle Sams Cider (11/12/2021) 02</v>
      </c>
      <c r="H3443" s="19"/>
    </row>
    <row r="3444">
      <c r="A3444" s="9"/>
      <c r="B3444" s="15"/>
      <c r="C3444" s="9">
        <f>IFERROR(__xludf.DUMMYFUNCTION("""COMPUTED_VALUE"""),44569.609025162)</f>
        <v>44569.60903</v>
      </c>
      <c r="D3444" s="15">
        <f>IFERROR(__xludf.DUMMYFUNCTION("""COMPUTED_VALUE"""),1.009)</f>
        <v>1.009</v>
      </c>
      <c r="E3444" s="16">
        <f>IFERROR(__xludf.DUMMYFUNCTION("""COMPUTED_VALUE"""),63.0)</f>
        <v>63</v>
      </c>
      <c r="F3444" s="19" t="str">
        <f>IFERROR(__xludf.DUMMYFUNCTION("""COMPUTED_VALUE"""),"BLACK")</f>
        <v>BLACK</v>
      </c>
      <c r="G3444" s="20" t="str">
        <f>IFERROR(__xludf.DUMMYFUNCTION("""COMPUTED_VALUE"""),"Uncle Sams Cider (11/12/2021) 02")</f>
        <v>Uncle Sams Cider (11/12/2021) 02</v>
      </c>
      <c r="H3444" s="19"/>
    </row>
    <row r="3445">
      <c r="A3445" s="9"/>
      <c r="B3445" s="15"/>
      <c r="C3445" s="9">
        <f>IFERROR(__xludf.DUMMYFUNCTION("""COMPUTED_VALUE"""),44569.5985918981)</f>
        <v>44569.59859</v>
      </c>
      <c r="D3445" s="15">
        <f>IFERROR(__xludf.DUMMYFUNCTION("""COMPUTED_VALUE"""),1.009)</f>
        <v>1.009</v>
      </c>
      <c r="E3445" s="16">
        <f>IFERROR(__xludf.DUMMYFUNCTION("""COMPUTED_VALUE"""),63.0)</f>
        <v>63</v>
      </c>
      <c r="F3445" s="19" t="str">
        <f>IFERROR(__xludf.DUMMYFUNCTION("""COMPUTED_VALUE"""),"BLACK")</f>
        <v>BLACK</v>
      </c>
      <c r="G3445" s="20" t="str">
        <f>IFERROR(__xludf.DUMMYFUNCTION("""COMPUTED_VALUE"""),"Uncle Sams Cider (11/12/2021) 02")</f>
        <v>Uncle Sams Cider (11/12/2021) 02</v>
      </c>
      <c r="H3445" s="19"/>
    </row>
    <row r="3446">
      <c r="A3446" s="9"/>
      <c r="B3446" s="15"/>
      <c r="C3446" s="9">
        <f>IFERROR(__xludf.DUMMYFUNCTION("""COMPUTED_VALUE"""),44569.5881731597)</f>
        <v>44569.58817</v>
      </c>
      <c r="D3446" s="15">
        <f>IFERROR(__xludf.DUMMYFUNCTION("""COMPUTED_VALUE"""),1.009)</f>
        <v>1.009</v>
      </c>
      <c r="E3446" s="16">
        <f>IFERROR(__xludf.DUMMYFUNCTION("""COMPUTED_VALUE"""),63.0)</f>
        <v>63</v>
      </c>
      <c r="F3446" s="19" t="str">
        <f>IFERROR(__xludf.DUMMYFUNCTION("""COMPUTED_VALUE"""),"BLACK")</f>
        <v>BLACK</v>
      </c>
      <c r="G3446" s="20" t="str">
        <f>IFERROR(__xludf.DUMMYFUNCTION("""COMPUTED_VALUE"""),"Uncle Sams Cider (11/12/2021) 02")</f>
        <v>Uncle Sams Cider (11/12/2021) 02</v>
      </c>
      <c r="H3446" s="19"/>
    </row>
    <row r="3447">
      <c r="A3447" s="9"/>
      <c r="B3447" s="15"/>
      <c r="C3447" s="9">
        <f>IFERROR(__xludf.DUMMYFUNCTION("""COMPUTED_VALUE"""),44569.5777518518)</f>
        <v>44569.57775</v>
      </c>
      <c r="D3447" s="15">
        <f>IFERROR(__xludf.DUMMYFUNCTION("""COMPUTED_VALUE"""),1.009)</f>
        <v>1.009</v>
      </c>
      <c r="E3447" s="16">
        <f>IFERROR(__xludf.DUMMYFUNCTION("""COMPUTED_VALUE"""),63.0)</f>
        <v>63</v>
      </c>
      <c r="F3447" s="19" t="str">
        <f>IFERROR(__xludf.DUMMYFUNCTION("""COMPUTED_VALUE"""),"BLACK")</f>
        <v>BLACK</v>
      </c>
      <c r="G3447" s="20" t="str">
        <f>IFERROR(__xludf.DUMMYFUNCTION("""COMPUTED_VALUE"""),"Uncle Sams Cider (11/12/2021) 02")</f>
        <v>Uncle Sams Cider (11/12/2021) 02</v>
      </c>
      <c r="H3447" s="19"/>
    </row>
    <row r="3448">
      <c r="A3448" s="9"/>
      <c r="B3448" s="15"/>
      <c r="C3448" s="9">
        <f>IFERROR(__xludf.DUMMYFUNCTION("""COMPUTED_VALUE"""),44569.5673315509)</f>
        <v>44569.56733</v>
      </c>
      <c r="D3448" s="15">
        <f>IFERROR(__xludf.DUMMYFUNCTION("""COMPUTED_VALUE"""),1.009)</f>
        <v>1.009</v>
      </c>
      <c r="E3448" s="16">
        <f>IFERROR(__xludf.DUMMYFUNCTION("""COMPUTED_VALUE"""),63.0)</f>
        <v>63</v>
      </c>
      <c r="F3448" s="19" t="str">
        <f>IFERROR(__xludf.DUMMYFUNCTION("""COMPUTED_VALUE"""),"BLACK")</f>
        <v>BLACK</v>
      </c>
      <c r="G3448" s="20" t="str">
        <f>IFERROR(__xludf.DUMMYFUNCTION("""COMPUTED_VALUE"""),"Uncle Sams Cider (11/12/2021) 02")</f>
        <v>Uncle Sams Cider (11/12/2021) 02</v>
      </c>
      <c r="H3448" s="19"/>
    </row>
    <row r="3449">
      <c r="A3449" s="9"/>
      <c r="B3449" s="15"/>
      <c r="C3449" s="9">
        <f>IFERROR(__xludf.DUMMYFUNCTION("""COMPUTED_VALUE"""),44569.5568984259)</f>
        <v>44569.5569</v>
      </c>
      <c r="D3449" s="15">
        <f>IFERROR(__xludf.DUMMYFUNCTION("""COMPUTED_VALUE"""),1.009)</f>
        <v>1.009</v>
      </c>
      <c r="E3449" s="16">
        <f>IFERROR(__xludf.DUMMYFUNCTION("""COMPUTED_VALUE"""),63.0)</f>
        <v>63</v>
      </c>
      <c r="F3449" s="19" t="str">
        <f>IFERROR(__xludf.DUMMYFUNCTION("""COMPUTED_VALUE"""),"BLACK")</f>
        <v>BLACK</v>
      </c>
      <c r="G3449" s="20" t="str">
        <f>IFERROR(__xludf.DUMMYFUNCTION("""COMPUTED_VALUE"""),"Uncle Sams Cider (11/12/2021) 02")</f>
        <v>Uncle Sams Cider (11/12/2021) 02</v>
      </c>
      <c r="H3449" s="19"/>
    </row>
    <row r="3450">
      <c r="A3450" s="9"/>
      <c r="B3450" s="15"/>
      <c r="C3450" s="9">
        <f>IFERROR(__xludf.DUMMYFUNCTION("""COMPUTED_VALUE"""),44569.5464649305)</f>
        <v>44569.54646</v>
      </c>
      <c r="D3450" s="15">
        <f>IFERROR(__xludf.DUMMYFUNCTION("""COMPUTED_VALUE"""),1.009)</f>
        <v>1.009</v>
      </c>
      <c r="E3450" s="16">
        <f>IFERROR(__xludf.DUMMYFUNCTION("""COMPUTED_VALUE"""),63.0)</f>
        <v>63</v>
      </c>
      <c r="F3450" s="19" t="str">
        <f>IFERROR(__xludf.DUMMYFUNCTION("""COMPUTED_VALUE"""),"BLACK")</f>
        <v>BLACK</v>
      </c>
      <c r="G3450" s="20" t="str">
        <f>IFERROR(__xludf.DUMMYFUNCTION("""COMPUTED_VALUE"""),"Uncle Sams Cider (11/12/2021) 02")</f>
        <v>Uncle Sams Cider (11/12/2021) 02</v>
      </c>
      <c r="H3450" s="19"/>
    </row>
    <row r="3451">
      <c r="A3451" s="9"/>
      <c r="B3451" s="15"/>
      <c r="C3451" s="9">
        <f>IFERROR(__xludf.DUMMYFUNCTION("""COMPUTED_VALUE"""),44569.5360312731)</f>
        <v>44569.53603</v>
      </c>
      <c r="D3451" s="15">
        <f>IFERROR(__xludf.DUMMYFUNCTION("""COMPUTED_VALUE"""),1.009)</f>
        <v>1.009</v>
      </c>
      <c r="E3451" s="16">
        <f>IFERROR(__xludf.DUMMYFUNCTION("""COMPUTED_VALUE"""),63.0)</f>
        <v>63</v>
      </c>
      <c r="F3451" s="19" t="str">
        <f>IFERROR(__xludf.DUMMYFUNCTION("""COMPUTED_VALUE"""),"BLACK")</f>
        <v>BLACK</v>
      </c>
      <c r="G3451" s="20" t="str">
        <f>IFERROR(__xludf.DUMMYFUNCTION("""COMPUTED_VALUE"""),"Uncle Sams Cider (11/12/2021) 02")</f>
        <v>Uncle Sams Cider (11/12/2021) 02</v>
      </c>
      <c r="H3451" s="19"/>
    </row>
    <row r="3452">
      <c r="A3452" s="9"/>
      <c r="B3452" s="15"/>
      <c r="C3452" s="9">
        <f>IFERROR(__xludf.DUMMYFUNCTION("""COMPUTED_VALUE"""),44569.5256106481)</f>
        <v>44569.52561</v>
      </c>
      <c r="D3452" s="15">
        <f>IFERROR(__xludf.DUMMYFUNCTION("""COMPUTED_VALUE"""),1.009)</f>
        <v>1.009</v>
      </c>
      <c r="E3452" s="16">
        <f>IFERROR(__xludf.DUMMYFUNCTION("""COMPUTED_VALUE"""),63.0)</f>
        <v>63</v>
      </c>
      <c r="F3452" s="19" t="str">
        <f>IFERROR(__xludf.DUMMYFUNCTION("""COMPUTED_VALUE"""),"BLACK")</f>
        <v>BLACK</v>
      </c>
      <c r="G3452" s="20" t="str">
        <f>IFERROR(__xludf.DUMMYFUNCTION("""COMPUTED_VALUE"""),"Uncle Sams Cider (11/12/2021) 02")</f>
        <v>Uncle Sams Cider (11/12/2021) 02</v>
      </c>
      <c r="H3452" s="19"/>
    </row>
    <row r="3453">
      <c r="A3453" s="9"/>
      <c r="B3453" s="15"/>
      <c r="C3453" s="9">
        <f>IFERROR(__xludf.DUMMYFUNCTION("""COMPUTED_VALUE"""),44569.5047548148)</f>
        <v>44569.50475</v>
      </c>
      <c r="D3453" s="15">
        <f>IFERROR(__xludf.DUMMYFUNCTION("""COMPUTED_VALUE"""),1.009)</f>
        <v>1.009</v>
      </c>
      <c r="E3453" s="16">
        <f>IFERROR(__xludf.DUMMYFUNCTION("""COMPUTED_VALUE"""),63.0)</f>
        <v>63</v>
      </c>
      <c r="F3453" s="19" t="str">
        <f>IFERROR(__xludf.DUMMYFUNCTION("""COMPUTED_VALUE"""),"BLACK")</f>
        <v>BLACK</v>
      </c>
      <c r="G3453" s="20" t="str">
        <f>IFERROR(__xludf.DUMMYFUNCTION("""COMPUTED_VALUE"""),"Uncle Sams Cider (11/12/2021) 02")</f>
        <v>Uncle Sams Cider (11/12/2021) 02</v>
      </c>
      <c r="H3453" s="19"/>
    </row>
    <row r="3454">
      <c r="A3454" s="9"/>
      <c r="B3454" s="15"/>
      <c r="C3454" s="9">
        <f>IFERROR(__xludf.DUMMYFUNCTION("""COMPUTED_VALUE"""),44569.4942997453)</f>
        <v>44569.4943</v>
      </c>
      <c r="D3454" s="15">
        <f>IFERROR(__xludf.DUMMYFUNCTION("""COMPUTED_VALUE"""),1.009)</f>
        <v>1.009</v>
      </c>
      <c r="E3454" s="16">
        <f>IFERROR(__xludf.DUMMYFUNCTION("""COMPUTED_VALUE"""),63.0)</f>
        <v>63</v>
      </c>
      <c r="F3454" s="19" t="str">
        <f>IFERROR(__xludf.DUMMYFUNCTION("""COMPUTED_VALUE"""),"BLACK")</f>
        <v>BLACK</v>
      </c>
      <c r="G3454" s="20" t="str">
        <f>IFERROR(__xludf.DUMMYFUNCTION("""COMPUTED_VALUE"""),"Uncle Sams Cider (11/12/2021) 02")</f>
        <v>Uncle Sams Cider (11/12/2021) 02</v>
      </c>
      <c r="H3454" s="19"/>
    </row>
    <row r="3455">
      <c r="A3455" s="9"/>
      <c r="B3455" s="15"/>
      <c r="C3455" s="9">
        <f>IFERROR(__xludf.DUMMYFUNCTION("""COMPUTED_VALUE"""),44569.4838783912)</f>
        <v>44569.48388</v>
      </c>
      <c r="D3455" s="15">
        <f>IFERROR(__xludf.DUMMYFUNCTION("""COMPUTED_VALUE"""),1.009)</f>
        <v>1.009</v>
      </c>
      <c r="E3455" s="16">
        <f>IFERROR(__xludf.DUMMYFUNCTION("""COMPUTED_VALUE"""),63.0)</f>
        <v>63</v>
      </c>
      <c r="F3455" s="19" t="str">
        <f>IFERROR(__xludf.DUMMYFUNCTION("""COMPUTED_VALUE"""),"BLACK")</f>
        <v>BLACK</v>
      </c>
      <c r="G3455" s="20" t="str">
        <f>IFERROR(__xludf.DUMMYFUNCTION("""COMPUTED_VALUE"""),"Uncle Sams Cider (11/12/2021) 02")</f>
        <v>Uncle Sams Cider (11/12/2021) 02</v>
      </c>
      <c r="H3455" s="19"/>
    </row>
    <row r="3456">
      <c r="A3456" s="9"/>
      <c r="B3456" s="15"/>
      <c r="C3456" s="9">
        <f>IFERROR(__xludf.DUMMYFUNCTION("""COMPUTED_VALUE"""),44569.4734572222)</f>
        <v>44569.47346</v>
      </c>
      <c r="D3456" s="15">
        <f>IFERROR(__xludf.DUMMYFUNCTION("""COMPUTED_VALUE"""),1.009)</f>
        <v>1.009</v>
      </c>
      <c r="E3456" s="16">
        <f>IFERROR(__xludf.DUMMYFUNCTION("""COMPUTED_VALUE"""),63.0)</f>
        <v>63</v>
      </c>
      <c r="F3456" s="19" t="str">
        <f>IFERROR(__xludf.DUMMYFUNCTION("""COMPUTED_VALUE"""),"BLACK")</f>
        <v>BLACK</v>
      </c>
      <c r="G3456" s="20" t="str">
        <f>IFERROR(__xludf.DUMMYFUNCTION("""COMPUTED_VALUE"""),"Uncle Sams Cider (11/12/2021) 02")</f>
        <v>Uncle Sams Cider (11/12/2021) 02</v>
      </c>
      <c r="H3456" s="19"/>
    </row>
    <row r="3457">
      <c r="A3457" s="9"/>
      <c r="B3457" s="15"/>
      <c r="C3457" s="9">
        <f>IFERROR(__xludf.DUMMYFUNCTION("""COMPUTED_VALUE"""),44569.4630358912)</f>
        <v>44569.46304</v>
      </c>
      <c r="D3457" s="15">
        <f>IFERROR(__xludf.DUMMYFUNCTION("""COMPUTED_VALUE"""),1.009)</f>
        <v>1.009</v>
      </c>
      <c r="E3457" s="16">
        <f>IFERROR(__xludf.DUMMYFUNCTION("""COMPUTED_VALUE"""),63.0)</f>
        <v>63</v>
      </c>
      <c r="F3457" s="19" t="str">
        <f>IFERROR(__xludf.DUMMYFUNCTION("""COMPUTED_VALUE"""),"BLACK")</f>
        <v>BLACK</v>
      </c>
      <c r="G3457" s="20" t="str">
        <f>IFERROR(__xludf.DUMMYFUNCTION("""COMPUTED_VALUE"""),"Uncle Sams Cider (11/12/2021) 02")</f>
        <v>Uncle Sams Cider (11/12/2021) 02</v>
      </c>
      <c r="H3457" s="19"/>
    </row>
    <row r="3458">
      <c r="A3458" s="9"/>
      <c r="B3458" s="15"/>
      <c r="C3458" s="9">
        <f>IFERROR(__xludf.DUMMYFUNCTION("""COMPUTED_VALUE"""),44569.4526141319)</f>
        <v>44569.45261</v>
      </c>
      <c r="D3458" s="15">
        <f>IFERROR(__xludf.DUMMYFUNCTION("""COMPUTED_VALUE"""),1.009)</f>
        <v>1.009</v>
      </c>
      <c r="E3458" s="16">
        <f>IFERROR(__xludf.DUMMYFUNCTION("""COMPUTED_VALUE"""),64.0)</f>
        <v>64</v>
      </c>
      <c r="F3458" s="19" t="str">
        <f>IFERROR(__xludf.DUMMYFUNCTION("""COMPUTED_VALUE"""),"BLACK")</f>
        <v>BLACK</v>
      </c>
      <c r="G3458" s="20" t="str">
        <f>IFERROR(__xludf.DUMMYFUNCTION("""COMPUTED_VALUE"""),"Uncle Sams Cider (11/12/2021) 02")</f>
        <v>Uncle Sams Cider (11/12/2021) 02</v>
      </c>
      <c r="H3458" s="19"/>
    </row>
    <row r="3459">
      <c r="A3459" s="9"/>
      <c r="B3459" s="15"/>
      <c r="C3459" s="9">
        <f>IFERROR(__xludf.DUMMYFUNCTION("""COMPUTED_VALUE"""),44569.4421692824)</f>
        <v>44569.44217</v>
      </c>
      <c r="D3459" s="15">
        <f>IFERROR(__xludf.DUMMYFUNCTION("""COMPUTED_VALUE"""),1.009)</f>
        <v>1.009</v>
      </c>
      <c r="E3459" s="16">
        <f>IFERROR(__xludf.DUMMYFUNCTION("""COMPUTED_VALUE"""),63.0)</f>
        <v>63</v>
      </c>
      <c r="F3459" s="19" t="str">
        <f>IFERROR(__xludf.DUMMYFUNCTION("""COMPUTED_VALUE"""),"BLACK")</f>
        <v>BLACK</v>
      </c>
      <c r="G3459" s="20" t="str">
        <f>IFERROR(__xludf.DUMMYFUNCTION("""COMPUTED_VALUE"""),"Uncle Sams Cider (11/12/2021) 02")</f>
        <v>Uncle Sams Cider (11/12/2021) 02</v>
      </c>
      <c r="H3459" s="19"/>
    </row>
    <row r="3460">
      <c r="A3460" s="9"/>
      <c r="B3460" s="15"/>
      <c r="C3460" s="9">
        <f>IFERROR(__xludf.DUMMYFUNCTION("""COMPUTED_VALUE"""),44569.4317500231)</f>
        <v>44569.43175</v>
      </c>
      <c r="D3460" s="15">
        <f>IFERROR(__xludf.DUMMYFUNCTION("""COMPUTED_VALUE"""),1.009)</f>
        <v>1.009</v>
      </c>
      <c r="E3460" s="16">
        <f>IFERROR(__xludf.DUMMYFUNCTION("""COMPUTED_VALUE"""),64.0)</f>
        <v>64</v>
      </c>
      <c r="F3460" s="19" t="str">
        <f>IFERROR(__xludf.DUMMYFUNCTION("""COMPUTED_VALUE"""),"BLACK")</f>
        <v>BLACK</v>
      </c>
      <c r="G3460" s="20" t="str">
        <f>IFERROR(__xludf.DUMMYFUNCTION("""COMPUTED_VALUE"""),"Uncle Sams Cider (11/12/2021) 02")</f>
        <v>Uncle Sams Cider (11/12/2021) 02</v>
      </c>
      <c r="H3460" s="19"/>
    </row>
    <row r="3461">
      <c r="A3461" s="9"/>
      <c r="B3461" s="15"/>
      <c r="C3461" s="9">
        <f>IFERROR(__xludf.DUMMYFUNCTION("""COMPUTED_VALUE"""),44569.42131853)</f>
        <v>44569.42132</v>
      </c>
      <c r="D3461" s="15">
        <f>IFERROR(__xludf.DUMMYFUNCTION("""COMPUTED_VALUE"""),1.009)</f>
        <v>1.009</v>
      </c>
      <c r="E3461" s="16">
        <f>IFERROR(__xludf.DUMMYFUNCTION("""COMPUTED_VALUE"""),64.0)</f>
        <v>64</v>
      </c>
      <c r="F3461" s="19" t="str">
        <f>IFERROR(__xludf.DUMMYFUNCTION("""COMPUTED_VALUE"""),"BLACK")</f>
        <v>BLACK</v>
      </c>
      <c r="G3461" s="20" t="str">
        <f>IFERROR(__xludf.DUMMYFUNCTION("""COMPUTED_VALUE"""),"Uncle Sams Cider (11/12/2021) 02")</f>
        <v>Uncle Sams Cider (11/12/2021) 02</v>
      </c>
      <c r="H3461" s="19"/>
    </row>
    <row r="3462">
      <c r="A3462" s="9"/>
      <c r="B3462" s="15"/>
      <c r="C3462" s="9">
        <f>IFERROR(__xludf.DUMMYFUNCTION("""COMPUTED_VALUE"""),44569.4108958217)</f>
        <v>44569.4109</v>
      </c>
      <c r="D3462" s="15">
        <f>IFERROR(__xludf.DUMMYFUNCTION("""COMPUTED_VALUE"""),1.009)</f>
        <v>1.009</v>
      </c>
      <c r="E3462" s="16">
        <f>IFERROR(__xludf.DUMMYFUNCTION("""COMPUTED_VALUE"""),64.0)</f>
        <v>64</v>
      </c>
      <c r="F3462" s="19" t="str">
        <f>IFERROR(__xludf.DUMMYFUNCTION("""COMPUTED_VALUE"""),"BLACK")</f>
        <v>BLACK</v>
      </c>
      <c r="G3462" s="20" t="str">
        <f>IFERROR(__xludf.DUMMYFUNCTION("""COMPUTED_VALUE"""),"Uncle Sams Cider (11/12/2021) 02")</f>
        <v>Uncle Sams Cider (11/12/2021) 02</v>
      </c>
      <c r="H3462" s="19"/>
    </row>
    <row r="3463">
      <c r="A3463" s="9"/>
      <c r="B3463" s="15"/>
      <c r="C3463" s="9">
        <f>IFERROR(__xludf.DUMMYFUNCTION("""COMPUTED_VALUE"""),44569.4004740046)</f>
        <v>44569.40047</v>
      </c>
      <c r="D3463" s="15">
        <f>IFERROR(__xludf.DUMMYFUNCTION("""COMPUTED_VALUE"""),1.009)</f>
        <v>1.009</v>
      </c>
      <c r="E3463" s="16">
        <f>IFERROR(__xludf.DUMMYFUNCTION("""COMPUTED_VALUE"""),64.0)</f>
        <v>64</v>
      </c>
      <c r="F3463" s="19" t="str">
        <f>IFERROR(__xludf.DUMMYFUNCTION("""COMPUTED_VALUE"""),"BLACK")</f>
        <v>BLACK</v>
      </c>
      <c r="G3463" s="20" t="str">
        <f>IFERROR(__xludf.DUMMYFUNCTION("""COMPUTED_VALUE"""),"Uncle Sams Cider (11/12/2021) 02")</f>
        <v>Uncle Sams Cider (11/12/2021) 02</v>
      </c>
      <c r="H3463" s="19"/>
    </row>
    <row r="3464">
      <c r="A3464" s="9"/>
      <c r="B3464" s="15"/>
      <c r="C3464" s="9">
        <f>IFERROR(__xludf.DUMMYFUNCTION("""COMPUTED_VALUE"""),44569.3900520254)</f>
        <v>44569.39005</v>
      </c>
      <c r="D3464" s="15">
        <f>IFERROR(__xludf.DUMMYFUNCTION("""COMPUTED_VALUE"""),1.009)</f>
        <v>1.009</v>
      </c>
      <c r="E3464" s="16">
        <f>IFERROR(__xludf.DUMMYFUNCTION("""COMPUTED_VALUE"""),64.0)</f>
        <v>64</v>
      </c>
      <c r="F3464" s="19" t="str">
        <f>IFERROR(__xludf.DUMMYFUNCTION("""COMPUTED_VALUE"""),"BLACK")</f>
        <v>BLACK</v>
      </c>
      <c r="G3464" s="20" t="str">
        <f>IFERROR(__xludf.DUMMYFUNCTION("""COMPUTED_VALUE"""),"Uncle Sams Cider (11/12/2021) 02")</f>
        <v>Uncle Sams Cider (11/12/2021) 02</v>
      </c>
      <c r="H3464" s="19"/>
    </row>
    <row r="3465">
      <c r="A3465" s="9"/>
      <c r="B3465" s="15"/>
      <c r="C3465" s="9">
        <f>IFERROR(__xludf.DUMMYFUNCTION("""COMPUTED_VALUE"""),44569.3796323495)</f>
        <v>44569.37963</v>
      </c>
      <c r="D3465" s="15">
        <f>IFERROR(__xludf.DUMMYFUNCTION("""COMPUTED_VALUE"""),1.009)</f>
        <v>1.009</v>
      </c>
      <c r="E3465" s="16">
        <f>IFERROR(__xludf.DUMMYFUNCTION("""COMPUTED_VALUE"""),64.0)</f>
        <v>64</v>
      </c>
      <c r="F3465" s="19" t="str">
        <f>IFERROR(__xludf.DUMMYFUNCTION("""COMPUTED_VALUE"""),"BLACK")</f>
        <v>BLACK</v>
      </c>
      <c r="G3465" s="20" t="str">
        <f>IFERROR(__xludf.DUMMYFUNCTION("""COMPUTED_VALUE"""),"Uncle Sams Cider (11/12/2021) 02")</f>
        <v>Uncle Sams Cider (11/12/2021) 02</v>
      </c>
      <c r="H3465" s="19"/>
    </row>
    <row r="3466">
      <c r="A3466" s="9"/>
      <c r="B3466" s="15"/>
      <c r="C3466" s="9">
        <f>IFERROR(__xludf.DUMMYFUNCTION("""COMPUTED_VALUE"""),44569.3692124652)</f>
        <v>44569.36921</v>
      </c>
      <c r="D3466" s="15">
        <f>IFERROR(__xludf.DUMMYFUNCTION("""COMPUTED_VALUE"""),1.009)</f>
        <v>1.009</v>
      </c>
      <c r="E3466" s="16">
        <f>IFERROR(__xludf.DUMMYFUNCTION("""COMPUTED_VALUE"""),64.0)</f>
        <v>64</v>
      </c>
      <c r="F3466" s="19" t="str">
        <f>IFERROR(__xludf.DUMMYFUNCTION("""COMPUTED_VALUE"""),"BLACK")</f>
        <v>BLACK</v>
      </c>
      <c r="G3466" s="20" t="str">
        <f>IFERROR(__xludf.DUMMYFUNCTION("""COMPUTED_VALUE"""),"Uncle Sams Cider (11/12/2021) 02")</f>
        <v>Uncle Sams Cider (11/12/2021) 02</v>
      </c>
      <c r="H3466" s="19"/>
    </row>
    <row r="3467">
      <c r="A3467" s="9"/>
      <c r="B3467" s="15"/>
      <c r="C3467" s="9">
        <f>IFERROR(__xludf.DUMMYFUNCTION("""COMPUTED_VALUE"""),44569.35875603)</f>
        <v>44569.35876</v>
      </c>
      <c r="D3467" s="15">
        <f>IFERROR(__xludf.DUMMYFUNCTION("""COMPUTED_VALUE"""),1.009)</f>
        <v>1.009</v>
      </c>
      <c r="E3467" s="16">
        <f>IFERROR(__xludf.DUMMYFUNCTION("""COMPUTED_VALUE"""),64.0)</f>
        <v>64</v>
      </c>
      <c r="F3467" s="19" t="str">
        <f>IFERROR(__xludf.DUMMYFUNCTION("""COMPUTED_VALUE"""),"BLACK")</f>
        <v>BLACK</v>
      </c>
      <c r="G3467" s="20" t="str">
        <f>IFERROR(__xludf.DUMMYFUNCTION("""COMPUTED_VALUE"""),"Uncle Sams Cider (11/12/2021) 02")</f>
        <v>Uncle Sams Cider (11/12/2021) 02</v>
      </c>
      <c r="H3467" s="19"/>
    </row>
    <row r="3468">
      <c r="A3468" s="9"/>
      <c r="B3468" s="15"/>
      <c r="C3468" s="9">
        <f>IFERROR(__xludf.DUMMYFUNCTION("""COMPUTED_VALUE"""),44569.3483361111)</f>
        <v>44569.34834</v>
      </c>
      <c r="D3468" s="15">
        <f>IFERROR(__xludf.DUMMYFUNCTION("""COMPUTED_VALUE"""),1.009)</f>
        <v>1.009</v>
      </c>
      <c r="E3468" s="16">
        <f>IFERROR(__xludf.DUMMYFUNCTION("""COMPUTED_VALUE"""),64.0)</f>
        <v>64</v>
      </c>
      <c r="F3468" s="19" t="str">
        <f>IFERROR(__xludf.DUMMYFUNCTION("""COMPUTED_VALUE"""),"BLACK")</f>
        <v>BLACK</v>
      </c>
      <c r="G3468" s="20" t="str">
        <f>IFERROR(__xludf.DUMMYFUNCTION("""COMPUTED_VALUE"""),"Uncle Sams Cider (11/12/2021) 02")</f>
        <v>Uncle Sams Cider (11/12/2021) 02</v>
      </c>
      <c r="H3468" s="19"/>
    </row>
    <row r="3469">
      <c r="A3469" s="9"/>
      <c r="B3469" s="15"/>
      <c r="C3469" s="9">
        <f>IFERROR(__xludf.DUMMYFUNCTION("""COMPUTED_VALUE"""),44569.3379148263)</f>
        <v>44569.33791</v>
      </c>
      <c r="D3469" s="15">
        <f>IFERROR(__xludf.DUMMYFUNCTION("""COMPUTED_VALUE"""),1.009)</f>
        <v>1.009</v>
      </c>
      <c r="E3469" s="16">
        <f>IFERROR(__xludf.DUMMYFUNCTION("""COMPUTED_VALUE"""),64.0)</f>
        <v>64</v>
      </c>
      <c r="F3469" s="19" t="str">
        <f>IFERROR(__xludf.DUMMYFUNCTION("""COMPUTED_VALUE"""),"BLACK")</f>
        <v>BLACK</v>
      </c>
      <c r="G3469" s="20" t="str">
        <f>IFERROR(__xludf.DUMMYFUNCTION("""COMPUTED_VALUE"""),"Uncle Sams Cider (11/12/2021) 02")</f>
        <v>Uncle Sams Cider (11/12/2021) 02</v>
      </c>
      <c r="H3469" s="19"/>
    </row>
    <row r="3470">
      <c r="A3470" s="9"/>
      <c r="B3470" s="15"/>
      <c r="C3470" s="9">
        <f>IFERROR(__xludf.DUMMYFUNCTION("""COMPUTED_VALUE"""),44569.3274796064)</f>
        <v>44569.32748</v>
      </c>
      <c r="D3470" s="15">
        <f>IFERROR(__xludf.DUMMYFUNCTION("""COMPUTED_VALUE"""),1.009)</f>
        <v>1.009</v>
      </c>
      <c r="E3470" s="16">
        <f>IFERROR(__xludf.DUMMYFUNCTION("""COMPUTED_VALUE"""),64.0)</f>
        <v>64</v>
      </c>
      <c r="F3470" s="19" t="str">
        <f>IFERROR(__xludf.DUMMYFUNCTION("""COMPUTED_VALUE"""),"BLACK")</f>
        <v>BLACK</v>
      </c>
      <c r="G3470" s="20" t="str">
        <f>IFERROR(__xludf.DUMMYFUNCTION("""COMPUTED_VALUE"""),"Uncle Sams Cider (11/12/2021) 02")</f>
        <v>Uncle Sams Cider (11/12/2021) 02</v>
      </c>
      <c r="H3470" s="19"/>
    </row>
    <row r="3471">
      <c r="A3471" s="9"/>
      <c r="B3471" s="15"/>
      <c r="C3471" s="9">
        <f>IFERROR(__xludf.DUMMYFUNCTION("""COMPUTED_VALUE"""),44569.3170477199)</f>
        <v>44569.31705</v>
      </c>
      <c r="D3471" s="15">
        <f>IFERROR(__xludf.DUMMYFUNCTION("""COMPUTED_VALUE"""),1.009)</f>
        <v>1.009</v>
      </c>
      <c r="E3471" s="16">
        <f>IFERROR(__xludf.DUMMYFUNCTION("""COMPUTED_VALUE"""),64.0)</f>
        <v>64</v>
      </c>
      <c r="F3471" s="19" t="str">
        <f>IFERROR(__xludf.DUMMYFUNCTION("""COMPUTED_VALUE"""),"BLACK")</f>
        <v>BLACK</v>
      </c>
      <c r="G3471" s="20" t="str">
        <f>IFERROR(__xludf.DUMMYFUNCTION("""COMPUTED_VALUE"""),"Uncle Sams Cider (11/12/2021) 02")</f>
        <v>Uncle Sams Cider (11/12/2021) 02</v>
      </c>
      <c r="H3471" s="19"/>
    </row>
    <row r="3472">
      <c r="A3472" s="9"/>
      <c r="B3472" s="15"/>
      <c r="C3472" s="9">
        <f>IFERROR(__xludf.DUMMYFUNCTION("""COMPUTED_VALUE"""),44569.3066262384)</f>
        <v>44569.30663</v>
      </c>
      <c r="D3472" s="15">
        <f>IFERROR(__xludf.DUMMYFUNCTION("""COMPUTED_VALUE"""),1.009)</f>
        <v>1.009</v>
      </c>
      <c r="E3472" s="16">
        <f>IFERROR(__xludf.DUMMYFUNCTION("""COMPUTED_VALUE"""),64.0)</f>
        <v>64</v>
      </c>
      <c r="F3472" s="19" t="str">
        <f>IFERROR(__xludf.DUMMYFUNCTION("""COMPUTED_VALUE"""),"BLACK")</f>
        <v>BLACK</v>
      </c>
      <c r="G3472" s="20" t="str">
        <f>IFERROR(__xludf.DUMMYFUNCTION("""COMPUTED_VALUE"""),"Uncle Sams Cider (11/12/2021) 02")</f>
        <v>Uncle Sams Cider (11/12/2021) 02</v>
      </c>
      <c r="H3472" s="19"/>
    </row>
    <row r="3473">
      <c r="A3473" s="9"/>
      <c r="B3473" s="15"/>
      <c r="C3473" s="9">
        <f>IFERROR(__xludf.DUMMYFUNCTION("""COMPUTED_VALUE"""),44569.2962058101)</f>
        <v>44569.29621</v>
      </c>
      <c r="D3473" s="15">
        <f>IFERROR(__xludf.DUMMYFUNCTION("""COMPUTED_VALUE"""),1.009)</f>
        <v>1.009</v>
      </c>
      <c r="E3473" s="16">
        <f>IFERROR(__xludf.DUMMYFUNCTION("""COMPUTED_VALUE"""),64.0)</f>
        <v>64</v>
      </c>
      <c r="F3473" s="19" t="str">
        <f>IFERROR(__xludf.DUMMYFUNCTION("""COMPUTED_VALUE"""),"BLACK")</f>
        <v>BLACK</v>
      </c>
      <c r="G3473" s="20" t="str">
        <f>IFERROR(__xludf.DUMMYFUNCTION("""COMPUTED_VALUE"""),"Uncle Sams Cider (11/12/2021) 02")</f>
        <v>Uncle Sams Cider (11/12/2021) 02</v>
      </c>
      <c r="H3473" s="19"/>
    </row>
    <row r="3474">
      <c r="A3474" s="9"/>
      <c r="B3474" s="15"/>
      <c r="C3474" s="9">
        <f>IFERROR(__xludf.DUMMYFUNCTION("""COMPUTED_VALUE"""),44569.2857855324)</f>
        <v>44569.28579</v>
      </c>
      <c r="D3474" s="15">
        <f>IFERROR(__xludf.DUMMYFUNCTION("""COMPUTED_VALUE"""),1.009)</f>
        <v>1.009</v>
      </c>
      <c r="E3474" s="16">
        <f>IFERROR(__xludf.DUMMYFUNCTION("""COMPUTED_VALUE"""),64.0)</f>
        <v>64</v>
      </c>
      <c r="F3474" s="19" t="str">
        <f>IFERROR(__xludf.DUMMYFUNCTION("""COMPUTED_VALUE"""),"BLACK")</f>
        <v>BLACK</v>
      </c>
      <c r="G3474" s="20" t="str">
        <f>IFERROR(__xludf.DUMMYFUNCTION("""COMPUTED_VALUE"""),"Uncle Sams Cider (11/12/2021) 02")</f>
        <v>Uncle Sams Cider (11/12/2021) 02</v>
      </c>
      <c r="H3474" s="19"/>
    </row>
    <row r="3475">
      <c r="A3475" s="9"/>
      <c r="B3475" s="15"/>
      <c r="C3475" s="9">
        <f>IFERROR(__xludf.DUMMYFUNCTION("""COMPUTED_VALUE"""),44569.2753645949)</f>
        <v>44569.27536</v>
      </c>
      <c r="D3475" s="15">
        <f>IFERROR(__xludf.DUMMYFUNCTION("""COMPUTED_VALUE"""),1.009)</f>
        <v>1.009</v>
      </c>
      <c r="E3475" s="16">
        <f>IFERROR(__xludf.DUMMYFUNCTION("""COMPUTED_VALUE"""),64.0)</f>
        <v>64</v>
      </c>
      <c r="F3475" s="19" t="str">
        <f>IFERROR(__xludf.DUMMYFUNCTION("""COMPUTED_VALUE"""),"BLACK")</f>
        <v>BLACK</v>
      </c>
      <c r="G3475" s="20" t="str">
        <f>IFERROR(__xludf.DUMMYFUNCTION("""COMPUTED_VALUE"""),"Uncle Sams Cider (11/12/2021) 02")</f>
        <v>Uncle Sams Cider (11/12/2021) 02</v>
      </c>
      <c r="H3475" s="19"/>
    </row>
    <row r="3476">
      <c r="A3476" s="9"/>
      <c r="B3476" s="15"/>
      <c r="C3476" s="9">
        <f>IFERROR(__xludf.DUMMYFUNCTION("""COMPUTED_VALUE"""),44569.2649423495)</f>
        <v>44569.26494</v>
      </c>
      <c r="D3476" s="15">
        <f>IFERROR(__xludf.DUMMYFUNCTION("""COMPUTED_VALUE"""),1.009)</f>
        <v>1.009</v>
      </c>
      <c r="E3476" s="16">
        <f>IFERROR(__xludf.DUMMYFUNCTION("""COMPUTED_VALUE"""),64.0)</f>
        <v>64</v>
      </c>
      <c r="F3476" s="19" t="str">
        <f>IFERROR(__xludf.DUMMYFUNCTION("""COMPUTED_VALUE"""),"BLACK")</f>
        <v>BLACK</v>
      </c>
      <c r="G3476" s="20" t="str">
        <f>IFERROR(__xludf.DUMMYFUNCTION("""COMPUTED_VALUE"""),"Uncle Sams Cider (11/12/2021) 02")</f>
        <v>Uncle Sams Cider (11/12/2021) 02</v>
      </c>
      <c r="H3476" s="19"/>
    </row>
    <row r="3477">
      <c r="A3477" s="9"/>
      <c r="B3477" s="15"/>
      <c r="C3477" s="9">
        <f>IFERROR(__xludf.DUMMYFUNCTION("""COMPUTED_VALUE"""),44569.2545213541)</f>
        <v>44569.25452</v>
      </c>
      <c r="D3477" s="15">
        <f>IFERROR(__xludf.DUMMYFUNCTION("""COMPUTED_VALUE"""),1.009)</f>
        <v>1.009</v>
      </c>
      <c r="E3477" s="16">
        <f>IFERROR(__xludf.DUMMYFUNCTION("""COMPUTED_VALUE"""),64.0)</f>
        <v>64</v>
      </c>
      <c r="F3477" s="19" t="str">
        <f>IFERROR(__xludf.DUMMYFUNCTION("""COMPUTED_VALUE"""),"BLACK")</f>
        <v>BLACK</v>
      </c>
      <c r="G3477" s="20" t="str">
        <f>IFERROR(__xludf.DUMMYFUNCTION("""COMPUTED_VALUE"""),"Uncle Sams Cider (11/12/2021) 02")</f>
        <v>Uncle Sams Cider (11/12/2021) 02</v>
      </c>
      <c r="H3477" s="19"/>
    </row>
    <row r="3478">
      <c r="A3478" s="9"/>
      <c r="B3478" s="15"/>
      <c r="C3478" s="9">
        <f>IFERROR(__xludf.DUMMYFUNCTION("""COMPUTED_VALUE"""),44569.2441010416)</f>
        <v>44569.2441</v>
      </c>
      <c r="D3478" s="15">
        <f>IFERROR(__xludf.DUMMYFUNCTION("""COMPUTED_VALUE"""),1.009)</f>
        <v>1.009</v>
      </c>
      <c r="E3478" s="16">
        <f>IFERROR(__xludf.DUMMYFUNCTION("""COMPUTED_VALUE"""),64.0)</f>
        <v>64</v>
      </c>
      <c r="F3478" s="19" t="str">
        <f>IFERROR(__xludf.DUMMYFUNCTION("""COMPUTED_VALUE"""),"BLACK")</f>
        <v>BLACK</v>
      </c>
      <c r="G3478" s="20" t="str">
        <f>IFERROR(__xludf.DUMMYFUNCTION("""COMPUTED_VALUE"""),"Uncle Sams Cider (11/12/2021) 02")</f>
        <v>Uncle Sams Cider (11/12/2021) 02</v>
      </c>
      <c r="H3478" s="19"/>
    </row>
    <row r="3479">
      <c r="A3479" s="9"/>
      <c r="B3479" s="15"/>
      <c r="C3479" s="9">
        <f>IFERROR(__xludf.DUMMYFUNCTION("""COMPUTED_VALUE"""),44569.2336799305)</f>
        <v>44569.23368</v>
      </c>
      <c r="D3479" s="15">
        <f>IFERROR(__xludf.DUMMYFUNCTION("""COMPUTED_VALUE"""),1.009)</f>
        <v>1.009</v>
      </c>
      <c r="E3479" s="16">
        <f>IFERROR(__xludf.DUMMYFUNCTION("""COMPUTED_VALUE"""),64.0)</f>
        <v>64</v>
      </c>
      <c r="F3479" s="19" t="str">
        <f>IFERROR(__xludf.DUMMYFUNCTION("""COMPUTED_VALUE"""),"BLACK")</f>
        <v>BLACK</v>
      </c>
      <c r="G3479" s="20" t="str">
        <f>IFERROR(__xludf.DUMMYFUNCTION("""COMPUTED_VALUE"""),"Uncle Sams Cider (11/12/2021) 02")</f>
        <v>Uncle Sams Cider (11/12/2021) 02</v>
      </c>
      <c r="H3479" s="19"/>
    </row>
    <row r="3480">
      <c r="A3480" s="9"/>
      <c r="B3480" s="15"/>
      <c r="C3480" s="9">
        <f>IFERROR(__xludf.DUMMYFUNCTION("""COMPUTED_VALUE"""),44569.2232104976)</f>
        <v>44569.22321</v>
      </c>
      <c r="D3480" s="15">
        <f>IFERROR(__xludf.DUMMYFUNCTION("""COMPUTED_VALUE"""),1.009)</f>
        <v>1.009</v>
      </c>
      <c r="E3480" s="16">
        <f>IFERROR(__xludf.DUMMYFUNCTION("""COMPUTED_VALUE"""),64.0)</f>
        <v>64</v>
      </c>
      <c r="F3480" s="19" t="str">
        <f>IFERROR(__xludf.DUMMYFUNCTION("""COMPUTED_VALUE"""),"BLACK")</f>
        <v>BLACK</v>
      </c>
      <c r="G3480" s="20" t="str">
        <f>IFERROR(__xludf.DUMMYFUNCTION("""COMPUTED_VALUE"""),"Uncle Sams Cider (11/12/2021) 02")</f>
        <v>Uncle Sams Cider (11/12/2021) 02</v>
      </c>
      <c r="H3480" s="19"/>
    </row>
    <row r="3481">
      <c r="A3481" s="9"/>
      <c r="B3481" s="15"/>
      <c r="C3481" s="9">
        <f>IFERROR(__xludf.DUMMYFUNCTION("""COMPUTED_VALUE"""),44569.212788993)</f>
        <v>44569.21279</v>
      </c>
      <c r="D3481" s="15">
        <f>IFERROR(__xludf.DUMMYFUNCTION("""COMPUTED_VALUE"""),1.009)</f>
        <v>1.009</v>
      </c>
      <c r="E3481" s="16">
        <f>IFERROR(__xludf.DUMMYFUNCTION("""COMPUTED_VALUE"""),64.0)</f>
        <v>64</v>
      </c>
      <c r="F3481" s="19" t="str">
        <f>IFERROR(__xludf.DUMMYFUNCTION("""COMPUTED_VALUE"""),"BLACK")</f>
        <v>BLACK</v>
      </c>
      <c r="G3481" s="20" t="str">
        <f>IFERROR(__xludf.DUMMYFUNCTION("""COMPUTED_VALUE"""),"Uncle Sams Cider (11/12/2021) 02")</f>
        <v>Uncle Sams Cider (11/12/2021) 02</v>
      </c>
      <c r="H3481" s="19"/>
    </row>
    <row r="3482">
      <c r="A3482" s="9"/>
      <c r="B3482" s="15"/>
      <c r="C3482" s="9">
        <f>IFERROR(__xludf.DUMMYFUNCTION("""COMPUTED_VALUE"""),44569.2023448263)</f>
        <v>44569.20234</v>
      </c>
      <c r="D3482" s="15">
        <f>IFERROR(__xludf.DUMMYFUNCTION("""COMPUTED_VALUE"""),1.009)</f>
        <v>1.009</v>
      </c>
      <c r="E3482" s="16">
        <f>IFERROR(__xludf.DUMMYFUNCTION("""COMPUTED_VALUE"""),64.0)</f>
        <v>64</v>
      </c>
      <c r="F3482" s="19" t="str">
        <f>IFERROR(__xludf.DUMMYFUNCTION("""COMPUTED_VALUE"""),"BLACK")</f>
        <v>BLACK</v>
      </c>
      <c r="G3482" s="20" t="str">
        <f>IFERROR(__xludf.DUMMYFUNCTION("""COMPUTED_VALUE"""),"Uncle Sams Cider (11/12/2021) 02")</f>
        <v>Uncle Sams Cider (11/12/2021) 02</v>
      </c>
      <c r="H3482" s="19"/>
    </row>
    <row r="3483">
      <c r="A3483" s="9"/>
      <c r="B3483" s="15"/>
      <c r="C3483" s="9">
        <f>IFERROR(__xludf.DUMMYFUNCTION("""COMPUTED_VALUE"""),44569.1919253819)</f>
        <v>44569.19193</v>
      </c>
      <c r="D3483" s="15">
        <f>IFERROR(__xludf.DUMMYFUNCTION("""COMPUTED_VALUE"""),1.009)</f>
        <v>1.009</v>
      </c>
      <c r="E3483" s="16">
        <f>IFERROR(__xludf.DUMMYFUNCTION("""COMPUTED_VALUE"""),64.0)</f>
        <v>64</v>
      </c>
      <c r="F3483" s="19" t="str">
        <f>IFERROR(__xludf.DUMMYFUNCTION("""COMPUTED_VALUE"""),"BLACK")</f>
        <v>BLACK</v>
      </c>
      <c r="G3483" s="20" t="str">
        <f>IFERROR(__xludf.DUMMYFUNCTION("""COMPUTED_VALUE"""),"Uncle Sams Cider (11/12/2021) 02")</f>
        <v>Uncle Sams Cider (11/12/2021) 02</v>
      </c>
      <c r="H3483" s="19"/>
    </row>
    <row r="3484">
      <c r="A3484" s="9"/>
      <c r="B3484" s="15"/>
      <c r="C3484" s="9">
        <f>IFERROR(__xludf.DUMMYFUNCTION("""COMPUTED_VALUE"""),44569.1815041898)</f>
        <v>44569.1815</v>
      </c>
      <c r="D3484" s="15">
        <f>IFERROR(__xludf.DUMMYFUNCTION("""COMPUTED_VALUE"""),1.009)</f>
        <v>1.009</v>
      </c>
      <c r="E3484" s="16">
        <f>IFERROR(__xludf.DUMMYFUNCTION("""COMPUTED_VALUE"""),64.0)</f>
        <v>64</v>
      </c>
      <c r="F3484" s="19" t="str">
        <f>IFERROR(__xludf.DUMMYFUNCTION("""COMPUTED_VALUE"""),"BLACK")</f>
        <v>BLACK</v>
      </c>
      <c r="G3484" s="20" t="str">
        <f>IFERROR(__xludf.DUMMYFUNCTION("""COMPUTED_VALUE"""),"Uncle Sams Cider (11/12/2021) 02")</f>
        <v>Uncle Sams Cider (11/12/2021) 02</v>
      </c>
      <c r="H3484" s="19"/>
    </row>
    <row r="3485">
      <c r="A3485" s="9"/>
      <c r="B3485" s="15"/>
      <c r="C3485" s="9">
        <f>IFERROR(__xludf.DUMMYFUNCTION("""COMPUTED_VALUE"""),44569.1710015509)</f>
        <v>44569.171</v>
      </c>
      <c r="D3485" s="15">
        <f>IFERROR(__xludf.DUMMYFUNCTION("""COMPUTED_VALUE"""),1.009)</f>
        <v>1.009</v>
      </c>
      <c r="E3485" s="16">
        <f>IFERROR(__xludf.DUMMYFUNCTION("""COMPUTED_VALUE"""),64.0)</f>
        <v>64</v>
      </c>
      <c r="F3485" s="19" t="str">
        <f>IFERROR(__xludf.DUMMYFUNCTION("""COMPUTED_VALUE"""),"BLACK")</f>
        <v>BLACK</v>
      </c>
      <c r="G3485" s="20" t="str">
        <f>IFERROR(__xludf.DUMMYFUNCTION("""COMPUTED_VALUE"""),"Uncle Sams Cider (11/12/2021) 02")</f>
        <v>Uncle Sams Cider (11/12/2021) 02</v>
      </c>
      <c r="H3485" s="19"/>
    </row>
    <row r="3486">
      <c r="A3486" s="9"/>
      <c r="B3486" s="15"/>
      <c r="C3486" s="9">
        <f>IFERROR(__xludf.DUMMYFUNCTION("""COMPUTED_VALUE"""),44569.1605687731)</f>
        <v>44569.16057</v>
      </c>
      <c r="D3486" s="15">
        <f>IFERROR(__xludf.DUMMYFUNCTION("""COMPUTED_VALUE"""),1.009)</f>
        <v>1.009</v>
      </c>
      <c r="E3486" s="16">
        <f>IFERROR(__xludf.DUMMYFUNCTION("""COMPUTED_VALUE"""),64.0)</f>
        <v>64</v>
      </c>
      <c r="F3486" s="19" t="str">
        <f>IFERROR(__xludf.DUMMYFUNCTION("""COMPUTED_VALUE"""),"BLACK")</f>
        <v>BLACK</v>
      </c>
      <c r="G3486" s="20" t="str">
        <f>IFERROR(__xludf.DUMMYFUNCTION("""COMPUTED_VALUE"""),"Uncle Sams Cider (11/12/2021) 02")</f>
        <v>Uncle Sams Cider (11/12/2021) 02</v>
      </c>
      <c r="H3486" s="19"/>
    </row>
    <row r="3487">
      <c r="A3487" s="9"/>
      <c r="B3487" s="15"/>
      <c r="C3487" s="9">
        <f>IFERROR(__xludf.DUMMYFUNCTION("""COMPUTED_VALUE"""),44569.1501011111)</f>
        <v>44569.1501</v>
      </c>
      <c r="D3487" s="15">
        <f>IFERROR(__xludf.DUMMYFUNCTION("""COMPUTED_VALUE"""),1.009)</f>
        <v>1.009</v>
      </c>
      <c r="E3487" s="16">
        <f>IFERROR(__xludf.DUMMYFUNCTION("""COMPUTED_VALUE"""),64.0)</f>
        <v>64</v>
      </c>
      <c r="F3487" s="19" t="str">
        <f>IFERROR(__xludf.DUMMYFUNCTION("""COMPUTED_VALUE"""),"BLACK")</f>
        <v>BLACK</v>
      </c>
      <c r="G3487" s="20" t="str">
        <f>IFERROR(__xludf.DUMMYFUNCTION("""COMPUTED_VALUE"""),"Uncle Sams Cider (11/12/2021) 02")</f>
        <v>Uncle Sams Cider (11/12/2021) 02</v>
      </c>
      <c r="H3487" s="19"/>
    </row>
    <row r="3488">
      <c r="A3488" s="9"/>
      <c r="B3488" s="15"/>
      <c r="C3488" s="9">
        <f>IFERROR(__xludf.DUMMYFUNCTION("""COMPUTED_VALUE"""),44569.139680162)</f>
        <v>44569.13968</v>
      </c>
      <c r="D3488" s="15">
        <f>IFERROR(__xludf.DUMMYFUNCTION("""COMPUTED_VALUE"""),1.009)</f>
        <v>1.009</v>
      </c>
      <c r="E3488" s="16">
        <f>IFERROR(__xludf.DUMMYFUNCTION("""COMPUTED_VALUE"""),64.0)</f>
        <v>64</v>
      </c>
      <c r="F3488" s="19" t="str">
        <f>IFERROR(__xludf.DUMMYFUNCTION("""COMPUTED_VALUE"""),"BLACK")</f>
        <v>BLACK</v>
      </c>
      <c r="G3488" s="20" t="str">
        <f>IFERROR(__xludf.DUMMYFUNCTION("""COMPUTED_VALUE"""),"Uncle Sams Cider (11/12/2021) 02")</f>
        <v>Uncle Sams Cider (11/12/2021) 02</v>
      </c>
      <c r="H3488" s="19"/>
    </row>
    <row r="3489">
      <c r="A3489" s="9"/>
      <c r="B3489" s="15"/>
      <c r="C3489" s="9">
        <f>IFERROR(__xludf.DUMMYFUNCTION("""COMPUTED_VALUE"""),44569.1292592592)</f>
        <v>44569.12926</v>
      </c>
      <c r="D3489" s="15">
        <f>IFERROR(__xludf.DUMMYFUNCTION("""COMPUTED_VALUE"""),1.009)</f>
        <v>1.009</v>
      </c>
      <c r="E3489" s="16">
        <f>IFERROR(__xludf.DUMMYFUNCTION("""COMPUTED_VALUE"""),64.0)</f>
        <v>64</v>
      </c>
      <c r="F3489" s="19" t="str">
        <f>IFERROR(__xludf.DUMMYFUNCTION("""COMPUTED_VALUE"""),"BLACK")</f>
        <v>BLACK</v>
      </c>
      <c r="G3489" s="20" t="str">
        <f>IFERROR(__xludf.DUMMYFUNCTION("""COMPUTED_VALUE"""),"Uncle Sams Cider (11/12/2021) 02")</f>
        <v>Uncle Sams Cider (11/12/2021) 02</v>
      </c>
      <c r="H3489" s="19"/>
    </row>
    <row r="3490">
      <c r="A3490" s="9"/>
      <c r="B3490" s="15"/>
      <c r="C3490" s="9">
        <f>IFERROR(__xludf.DUMMYFUNCTION("""COMPUTED_VALUE"""),44569.118838912)</f>
        <v>44569.11884</v>
      </c>
      <c r="D3490" s="15">
        <f>IFERROR(__xludf.DUMMYFUNCTION("""COMPUTED_VALUE"""),1.009)</f>
        <v>1.009</v>
      </c>
      <c r="E3490" s="16">
        <f>IFERROR(__xludf.DUMMYFUNCTION("""COMPUTED_VALUE"""),64.0)</f>
        <v>64</v>
      </c>
      <c r="F3490" s="19" t="str">
        <f>IFERROR(__xludf.DUMMYFUNCTION("""COMPUTED_VALUE"""),"BLACK")</f>
        <v>BLACK</v>
      </c>
      <c r="G3490" s="20" t="str">
        <f>IFERROR(__xludf.DUMMYFUNCTION("""COMPUTED_VALUE"""),"Uncle Sams Cider (11/12/2021) 02")</f>
        <v>Uncle Sams Cider (11/12/2021) 02</v>
      </c>
      <c r="H3490" s="19"/>
    </row>
    <row r="3491">
      <c r="A3491" s="9"/>
      <c r="B3491" s="15"/>
      <c r="C3491" s="9">
        <f>IFERROR(__xludf.DUMMYFUNCTION("""COMPUTED_VALUE"""),44569.1083692708)</f>
        <v>44569.10837</v>
      </c>
      <c r="D3491" s="15">
        <f>IFERROR(__xludf.DUMMYFUNCTION("""COMPUTED_VALUE"""),1.009)</f>
        <v>1.009</v>
      </c>
      <c r="E3491" s="16">
        <f>IFERROR(__xludf.DUMMYFUNCTION("""COMPUTED_VALUE"""),64.0)</f>
        <v>64</v>
      </c>
      <c r="F3491" s="19" t="str">
        <f>IFERROR(__xludf.DUMMYFUNCTION("""COMPUTED_VALUE"""),"BLACK")</f>
        <v>BLACK</v>
      </c>
      <c r="G3491" s="20" t="str">
        <f>IFERROR(__xludf.DUMMYFUNCTION("""COMPUTED_VALUE"""),"Uncle Sams Cider (11/12/2021) 02")</f>
        <v>Uncle Sams Cider (11/12/2021) 02</v>
      </c>
      <c r="H3491" s="19"/>
    </row>
    <row r="3492">
      <c r="A3492" s="9"/>
      <c r="B3492" s="15"/>
      <c r="C3492" s="9">
        <f>IFERROR(__xludf.DUMMYFUNCTION("""COMPUTED_VALUE"""),44569.0979477893)</f>
        <v>44569.09795</v>
      </c>
      <c r="D3492" s="15">
        <f>IFERROR(__xludf.DUMMYFUNCTION("""COMPUTED_VALUE"""),1.009)</f>
        <v>1.009</v>
      </c>
      <c r="E3492" s="16">
        <f>IFERROR(__xludf.DUMMYFUNCTION("""COMPUTED_VALUE"""),64.0)</f>
        <v>64</v>
      </c>
      <c r="F3492" s="19" t="str">
        <f>IFERROR(__xludf.DUMMYFUNCTION("""COMPUTED_VALUE"""),"BLACK")</f>
        <v>BLACK</v>
      </c>
      <c r="G3492" s="20" t="str">
        <f>IFERROR(__xludf.DUMMYFUNCTION("""COMPUTED_VALUE"""),"Uncle Sams Cider (11/12/2021) 02")</f>
        <v>Uncle Sams Cider (11/12/2021) 02</v>
      </c>
      <c r="H3492" s="19"/>
    </row>
    <row r="3493">
      <c r="A3493" s="9"/>
      <c r="B3493" s="15"/>
      <c r="C3493" s="9">
        <f>IFERROR(__xludf.DUMMYFUNCTION("""COMPUTED_VALUE"""),44569.0875262615)</f>
        <v>44569.08753</v>
      </c>
      <c r="D3493" s="15">
        <f>IFERROR(__xludf.DUMMYFUNCTION("""COMPUTED_VALUE"""),1.009)</f>
        <v>1.009</v>
      </c>
      <c r="E3493" s="16">
        <f>IFERROR(__xludf.DUMMYFUNCTION("""COMPUTED_VALUE"""),64.0)</f>
        <v>64</v>
      </c>
      <c r="F3493" s="19" t="str">
        <f>IFERROR(__xludf.DUMMYFUNCTION("""COMPUTED_VALUE"""),"BLACK")</f>
        <v>BLACK</v>
      </c>
      <c r="G3493" s="20" t="str">
        <f>IFERROR(__xludf.DUMMYFUNCTION("""COMPUTED_VALUE"""),"Uncle Sams Cider (11/12/2021) 02")</f>
        <v>Uncle Sams Cider (11/12/2021) 02</v>
      </c>
      <c r="H3493" s="19"/>
    </row>
    <row r="3494">
      <c r="A3494" s="9"/>
      <c r="B3494" s="15"/>
      <c r="C3494" s="9">
        <f>IFERROR(__xludf.DUMMYFUNCTION("""COMPUTED_VALUE"""),44569.0771049305)</f>
        <v>44569.0771</v>
      </c>
      <c r="D3494" s="15">
        <f>IFERROR(__xludf.DUMMYFUNCTION("""COMPUTED_VALUE"""),1.009)</f>
        <v>1.009</v>
      </c>
      <c r="E3494" s="16">
        <f>IFERROR(__xludf.DUMMYFUNCTION("""COMPUTED_VALUE"""),64.0)</f>
        <v>64</v>
      </c>
      <c r="F3494" s="19" t="str">
        <f>IFERROR(__xludf.DUMMYFUNCTION("""COMPUTED_VALUE"""),"BLACK")</f>
        <v>BLACK</v>
      </c>
      <c r="G3494" s="20" t="str">
        <f>IFERROR(__xludf.DUMMYFUNCTION("""COMPUTED_VALUE"""),"Uncle Sams Cider (11/12/2021) 02")</f>
        <v>Uncle Sams Cider (11/12/2021) 02</v>
      </c>
      <c r="H3494" s="19"/>
    </row>
    <row r="3495">
      <c r="A3495" s="9"/>
      <c r="B3495" s="15"/>
      <c r="C3495" s="9">
        <f>IFERROR(__xludf.DUMMYFUNCTION("""COMPUTED_VALUE"""),44569.0666835532)</f>
        <v>44569.06668</v>
      </c>
      <c r="D3495" s="15">
        <f>IFERROR(__xludf.DUMMYFUNCTION("""COMPUTED_VALUE"""),1.009)</f>
        <v>1.009</v>
      </c>
      <c r="E3495" s="16">
        <f>IFERROR(__xludf.DUMMYFUNCTION("""COMPUTED_VALUE"""),64.0)</f>
        <v>64</v>
      </c>
      <c r="F3495" s="19" t="str">
        <f>IFERROR(__xludf.DUMMYFUNCTION("""COMPUTED_VALUE"""),"BLACK")</f>
        <v>BLACK</v>
      </c>
      <c r="G3495" s="20" t="str">
        <f>IFERROR(__xludf.DUMMYFUNCTION("""COMPUTED_VALUE"""),"Uncle Sams Cider (11/12/2021) 02")</f>
        <v>Uncle Sams Cider (11/12/2021) 02</v>
      </c>
      <c r="H3495" s="19"/>
    </row>
    <row r="3496">
      <c r="A3496" s="9"/>
      <c r="B3496" s="15"/>
      <c r="C3496" s="9">
        <f>IFERROR(__xludf.DUMMYFUNCTION("""COMPUTED_VALUE"""),44569.0562275115)</f>
        <v>44569.05623</v>
      </c>
      <c r="D3496" s="15">
        <f>IFERROR(__xludf.DUMMYFUNCTION("""COMPUTED_VALUE"""),1.009)</f>
        <v>1.009</v>
      </c>
      <c r="E3496" s="16">
        <f>IFERROR(__xludf.DUMMYFUNCTION("""COMPUTED_VALUE"""),64.0)</f>
        <v>64</v>
      </c>
      <c r="F3496" s="19" t="str">
        <f>IFERROR(__xludf.DUMMYFUNCTION("""COMPUTED_VALUE"""),"BLACK")</f>
        <v>BLACK</v>
      </c>
      <c r="G3496" s="20" t="str">
        <f>IFERROR(__xludf.DUMMYFUNCTION("""COMPUTED_VALUE"""),"Uncle Sams Cider (11/12/2021) 02")</f>
        <v>Uncle Sams Cider (11/12/2021) 02</v>
      </c>
      <c r="H3496" s="19"/>
    </row>
    <row r="3497">
      <c r="A3497" s="9"/>
      <c r="B3497" s="15"/>
      <c r="C3497" s="9">
        <f>IFERROR(__xludf.DUMMYFUNCTION("""COMPUTED_VALUE"""),44569.04579478)</f>
        <v>44569.04579</v>
      </c>
      <c r="D3497" s="15">
        <f>IFERROR(__xludf.DUMMYFUNCTION("""COMPUTED_VALUE"""),1.009)</f>
        <v>1.009</v>
      </c>
      <c r="E3497" s="16">
        <f>IFERROR(__xludf.DUMMYFUNCTION("""COMPUTED_VALUE"""),64.0)</f>
        <v>64</v>
      </c>
      <c r="F3497" s="19" t="str">
        <f>IFERROR(__xludf.DUMMYFUNCTION("""COMPUTED_VALUE"""),"BLACK")</f>
        <v>BLACK</v>
      </c>
      <c r="G3497" s="20" t="str">
        <f>IFERROR(__xludf.DUMMYFUNCTION("""COMPUTED_VALUE"""),"Uncle Sams Cider (11/12/2021) 02")</f>
        <v>Uncle Sams Cider (11/12/2021) 02</v>
      </c>
      <c r="H3497" s="19"/>
    </row>
    <row r="3498">
      <c r="A3498" s="9"/>
      <c r="B3498" s="15"/>
      <c r="C3498" s="9">
        <f>IFERROR(__xludf.DUMMYFUNCTION("""COMPUTED_VALUE"""),44569.0353738194)</f>
        <v>44569.03537</v>
      </c>
      <c r="D3498" s="15">
        <f>IFERROR(__xludf.DUMMYFUNCTION("""COMPUTED_VALUE"""),1.009)</f>
        <v>1.009</v>
      </c>
      <c r="E3498" s="16">
        <f>IFERROR(__xludf.DUMMYFUNCTION("""COMPUTED_VALUE"""),65.0)</f>
        <v>65</v>
      </c>
      <c r="F3498" s="19" t="str">
        <f>IFERROR(__xludf.DUMMYFUNCTION("""COMPUTED_VALUE"""),"BLACK")</f>
        <v>BLACK</v>
      </c>
      <c r="G3498" s="20" t="str">
        <f>IFERROR(__xludf.DUMMYFUNCTION("""COMPUTED_VALUE"""),"Uncle Sams Cider (11/12/2021) 02")</f>
        <v>Uncle Sams Cider (11/12/2021) 02</v>
      </c>
      <c r="H3498" s="19"/>
    </row>
    <row r="3499">
      <c r="A3499" s="9"/>
      <c r="B3499" s="15"/>
      <c r="C3499" s="9">
        <f>IFERROR(__xludf.DUMMYFUNCTION("""COMPUTED_VALUE"""),44569.0249549884)</f>
        <v>44569.02495</v>
      </c>
      <c r="D3499" s="15">
        <f>IFERROR(__xludf.DUMMYFUNCTION("""COMPUTED_VALUE"""),1.009)</f>
        <v>1.009</v>
      </c>
      <c r="E3499" s="16">
        <f>IFERROR(__xludf.DUMMYFUNCTION("""COMPUTED_VALUE"""),65.0)</f>
        <v>65</v>
      </c>
      <c r="F3499" s="19" t="str">
        <f>IFERROR(__xludf.DUMMYFUNCTION("""COMPUTED_VALUE"""),"BLACK")</f>
        <v>BLACK</v>
      </c>
      <c r="G3499" s="20" t="str">
        <f>IFERROR(__xludf.DUMMYFUNCTION("""COMPUTED_VALUE"""),"Uncle Sams Cider (11/12/2021) 02")</f>
        <v>Uncle Sams Cider (11/12/2021) 02</v>
      </c>
      <c r="H3499" s="19"/>
    </row>
    <row r="3500">
      <c r="A3500" s="9"/>
      <c r="B3500" s="15"/>
      <c r="C3500" s="9">
        <f>IFERROR(__xludf.DUMMYFUNCTION("""COMPUTED_VALUE"""),44569.0145241666)</f>
        <v>44569.01452</v>
      </c>
      <c r="D3500" s="15">
        <f>IFERROR(__xludf.DUMMYFUNCTION("""COMPUTED_VALUE"""),1.009)</f>
        <v>1.009</v>
      </c>
      <c r="E3500" s="16">
        <f>IFERROR(__xludf.DUMMYFUNCTION("""COMPUTED_VALUE"""),65.0)</f>
        <v>65</v>
      </c>
      <c r="F3500" s="19" t="str">
        <f>IFERROR(__xludf.DUMMYFUNCTION("""COMPUTED_VALUE"""),"BLACK")</f>
        <v>BLACK</v>
      </c>
      <c r="G3500" s="20" t="str">
        <f>IFERROR(__xludf.DUMMYFUNCTION("""COMPUTED_VALUE"""),"Uncle Sams Cider (11/12/2021) 02")</f>
        <v>Uncle Sams Cider (11/12/2021) 02</v>
      </c>
      <c r="H3500" s="19"/>
    </row>
    <row r="3501">
      <c r="A3501" s="9"/>
      <c r="B3501" s="15"/>
      <c r="C3501" s="9">
        <f>IFERROR(__xludf.DUMMYFUNCTION("""COMPUTED_VALUE"""),44569.0040789814)</f>
        <v>44569.00408</v>
      </c>
      <c r="D3501" s="15">
        <f>IFERROR(__xludf.DUMMYFUNCTION("""COMPUTED_VALUE"""),1.009)</f>
        <v>1.009</v>
      </c>
      <c r="E3501" s="16">
        <f>IFERROR(__xludf.DUMMYFUNCTION("""COMPUTED_VALUE"""),65.0)</f>
        <v>65</v>
      </c>
      <c r="F3501" s="19" t="str">
        <f>IFERROR(__xludf.DUMMYFUNCTION("""COMPUTED_VALUE"""),"BLACK")</f>
        <v>BLACK</v>
      </c>
      <c r="G3501" s="20" t="str">
        <f>IFERROR(__xludf.DUMMYFUNCTION("""COMPUTED_VALUE"""),"Uncle Sams Cider (11/12/2021) 02")</f>
        <v>Uncle Sams Cider (11/12/2021) 02</v>
      </c>
      <c r="H3501" s="19"/>
    </row>
    <row r="3502">
      <c r="A3502" s="9"/>
      <c r="B3502" s="15"/>
      <c r="C3502" s="9">
        <f>IFERROR(__xludf.DUMMYFUNCTION("""COMPUTED_VALUE"""),44568.9936449537)</f>
        <v>44568.99364</v>
      </c>
      <c r="D3502" s="15">
        <f>IFERROR(__xludf.DUMMYFUNCTION("""COMPUTED_VALUE"""),1.009)</f>
        <v>1.009</v>
      </c>
      <c r="E3502" s="16">
        <f>IFERROR(__xludf.DUMMYFUNCTION("""COMPUTED_VALUE"""),65.0)</f>
        <v>65</v>
      </c>
      <c r="F3502" s="19" t="str">
        <f>IFERROR(__xludf.DUMMYFUNCTION("""COMPUTED_VALUE"""),"BLACK")</f>
        <v>BLACK</v>
      </c>
      <c r="G3502" s="20" t="str">
        <f>IFERROR(__xludf.DUMMYFUNCTION("""COMPUTED_VALUE"""),"Uncle Sams Cider (11/12/2021) 02")</f>
        <v>Uncle Sams Cider (11/12/2021) 02</v>
      </c>
      <c r="H3502" s="19"/>
    </row>
    <row r="3503">
      <c r="A3503" s="9"/>
      <c r="B3503" s="15"/>
      <c r="C3503" s="9">
        <f>IFERROR(__xludf.DUMMYFUNCTION("""COMPUTED_VALUE"""),44568.9832003009)</f>
        <v>44568.9832</v>
      </c>
      <c r="D3503" s="15">
        <f>IFERROR(__xludf.DUMMYFUNCTION("""COMPUTED_VALUE"""),1.009)</f>
        <v>1.009</v>
      </c>
      <c r="E3503" s="16">
        <f>IFERROR(__xludf.DUMMYFUNCTION("""COMPUTED_VALUE"""),65.0)</f>
        <v>65</v>
      </c>
      <c r="F3503" s="19" t="str">
        <f>IFERROR(__xludf.DUMMYFUNCTION("""COMPUTED_VALUE"""),"BLACK")</f>
        <v>BLACK</v>
      </c>
      <c r="G3503" s="20" t="str">
        <f>IFERROR(__xludf.DUMMYFUNCTION("""COMPUTED_VALUE"""),"Uncle Sams Cider (11/12/2021) 02")</f>
        <v>Uncle Sams Cider (11/12/2021) 02</v>
      </c>
      <c r="H3503" s="19"/>
    </row>
    <row r="3504">
      <c r="A3504" s="9"/>
      <c r="B3504" s="15"/>
      <c r="C3504" s="9">
        <f>IFERROR(__xludf.DUMMYFUNCTION("""COMPUTED_VALUE"""),44568.972779074)</f>
        <v>44568.97278</v>
      </c>
      <c r="D3504" s="15">
        <f>IFERROR(__xludf.DUMMYFUNCTION("""COMPUTED_VALUE"""),1.009)</f>
        <v>1.009</v>
      </c>
      <c r="E3504" s="16">
        <f>IFERROR(__xludf.DUMMYFUNCTION("""COMPUTED_VALUE"""),65.0)</f>
        <v>65</v>
      </c>
      <c r="F3504" s="19" t="str">
        <f>IFERROR(__xludf.DUMMYFUNCTION("""COMPUTED_VALUE"""),"BLACK")</f>
        <v>BLACK</v>
      </c>
      <c r="G3504" s="20" t="str">
        <f>IFERROR(__xludf.DUMMYFUNCTION("""COMPUTED_VALUE"""),"Uncle Sams Cider (11/12/2021) 02")</f>
        <v>Uncle Sams Cider (11/12/2021) 02</v>
      </c>
      <c r="H3504" s="19"/>
    </row>
    <row r="3505">
      <c r="A3505" s="9"/>
      <c r="B3505" s="15"/>
      <c r="C3505" s="9">
        <f>IFERROR(__xludf.DUMMYFUNCTION("""COMPUTED_VALUE"""),44568.9623473495)</f>
        <v>44568.96235</v>
      </c>
      <c r="D3505" s="15">
        <f>IFERROR(__xludf.DUMMYFUNCTION("""COMPUTED_VALUE"""),1.009)</f>
        <v>1.009</v>
      </c>
      <c r="E3505" s="16">
        <f>IFERROR(__xludf.DUMMYFUNCTION("""COMPUTED_VALUE"""),65.0)</f>
        <v>65</v>
      </c>
      <c r="F3505" s="19" t="str">
        <f>IFERROR(__xludf.DUMMYFUNCTION("""COMPUTED_VALUE"""),"BLACK")</f>
        <v>BLACK</v>
      </c>
      <c r="G3505" s="20" t="str">
        <f>IFERROR(__xludf.DUMMYFUNCTION("""COMPUTED_VALUE"""),"Uncle Sams Cider (11/12/2021) 02")</f>
        <v>Uncle Sams Cider (11/12/2021) 02</v>
      </c>
      <c r="H3505" s="19"/>
    </row>
    <row r="3506">
      <c r="A3506" s="9"/>
      <c r="B3506" s="15"/>
      <c r="C3506" s="9">
        <f>IFERROR(__xludf.DUMMYFUNCTION("""COMPUTED_VALUE"""),44568.9519267939)</f>
        <v>44568.95193</v>
      </c>
      <c r="D3506" s="15">
        <f>IFERROR(__xludf.DUMMYFUNCTION("""COMPUTED_VALUE"""),1.009)</f>
        <v>1.009</v>
      </c>
      <c r="E3506" s="16">
        <f>IFERROR(__xludf.DUMMYFUNCTION("""COMPUTED_VALUE"""),65.0)</f>
        <v>65</v>
      </c>
      <c r="F3506" s="19" t="str">
        <f>IFERROR(__xludf.DUMMYFUNCTION("""COMPUTED_VALUE"""),"BLACK")</f>
        <v>BLACK</v>
      </c>
      <c r="G3506" s="20" t="str">
        <f>IFERROR(__xludf.DUMMYFUNCTION("""COMPUTED_VALUE"""),"Uncle Sams Cider (11/12/2021) 02")</f>
        <v>Uncle Sams Cider (11/12/2021) 02</v>
      </c>
      <c r="H3506" s="19"/>
    </row>
    <row r="3507">
      <c r="A3507" s="9"/>
      <c r="B3507" s="15"/>
      <c r="C3507" s="9">
        <f>IFERROR(__xludf.DUMMYFUNCTION("""COMPUTED_VALUE"""),44568.9414941898)</f>
        <v>44568.94149</v>
      </c>
      <c r="D3507" s="15">
        <f>IFERROR(__xludf.DUMMYFUNCTION("""COMPUTED_VALUE"""),1.009)</f>
        <v>1.009</v>
      </c>
      <c r="E3507" s="16">
        <f>IFERROR(__xludf.DUMMYFUNCTION("""COMPUTED_VALUE"""),65.0)</f>
        <v>65</v>
      </c>
      <c r="F3507" s="19" t="str">
        <f>IFERROR(__xludf.DUMMYFUNCTION("""COMPUTED_VALUE"""),"BLACK")</f>
        <v>BLACK</v>
      </c>
      <c r="G3507" s="20" t="str">
        <f>IFERROR(__xludf.DUMMYFUNCTION("""COMPUTED_VALUE"""),"Uncle Sams Cider (11/12/2021) 02")</f>
        <v>Uncle Sams Cider (11/12/2021) 02</v>
      </c>
      <c r="H3507" s="19"/>
    </row>
    <row r="3508">
      <c r="A3508" s="9"/>
      <c r="B3508" s="15"/>
      <c r="C3508" s="9">
        <f>IFERROR(__xludf.DUMMYFUNCTION("""COMPUTED_VALUE"""),44568.9310725)</f>
        <v>44568.93107</v>
      </c>
      <c r="D3508" s="15">
        <f>IFERROR(__xludf.DUMMYFUNCTION("""COMPUTED_VALUE"""),1.009)</f>
        <v>1.009</v>
      </c>
      <c r="E3508" s="16">
        <f>IFERROR(__xludf.DUMMYFUNCTION("""COMPUTED_VALUE"""),65.0)</f>
        <v>65</v>
      </c>
      <c r="F3508" s="19" t="str">
        <f>IFERROR(__xludf.DUMMYFUNCTION("""COMPUTED_VALUE"""),"BLACK")</f>
        <v>BLACK</v>
      </c>
      <c r="G3508" s="20" t="str">
        <f>IFERROR(__xludf.DUMMYFUNCTION("""COMPUTED_VALUE"""),"Uncle Sams Cider (11/12/2021) 02")</f>
        <v>Uncle Sams Cider (11/12/2021) 02</v>
      </c>
      <c r="H3508" s="19"/>
    </row>
    <row r="3509">
      <c r="A3509" s="9"/>
      <c r="B3509" s="15"/>
      <c r="C3509" s="9">
        <f>IFERROR(__xludf.DUMMYFUNCTION("""COMPUTED_VALUE"""),44568.9102315393)</f>
        <v>44568.91023</v>
      </c>
      <c r="D3509" s="15">
        <f>IFERROR(__xludf.DUMMYFUNCTION("""COMPUTED_VALUE"""),1.009)</f>
        <v>1.009</v>
      </c>
      <c r="E3509" s="16">
        <f>IFERROR(__xludf.DUMMYFUNCTION("""COMPUTED_VALUE"""),65.0)</f>
        <v>65</v>
      </c>
      <c r="F3509" s="19" t="str">
        <f>IFERROR(__xludf.DUMMYFUNCTION("""COMPUTED_VALUE"""),"BLACK")</f>
        <v>BLACK</v>
      </c>
      <c r="G3509" s="20" t="str">
        <f>IFERROR(__xludf.DUMMYFUNCTION("""COMPUTED_VALUE"""),"Uncle Sams Cider (11/12/2021) 02")</f>
        <v>Uncle Sams Cider (11/12/2021) 02</v>
      </c>
      <c r="H3509" s="19"/>
    </row>
    <row r="3510">
      <c r="A3510" s="9"/>
      <c r="B3510" s="15"/>
      <c r="C3510" s="9">
        <f>IFERROR(__xludf.DUMMYFUNCTION("""COMPUTED_VALUE"""),44568.8998)</f>
        <v>44568.8998</v>
      </c>
      <c r="D3510" s="15">
        <f>IFERROR(__xludf.DUMMYFUNCTION("""COMPUTED_VALUE"""),1.009)</f>
        <v>1.009</v>
      </c>
      <c r="E3510" s="16">
        <f>IFERROR(__xludf.DUMMYFUNCTION("""COMPUTED_VALUE"""),65.0)</f>
        <v>65</v>
      </c>
      <c r="F3510" s="19" t="str">
        <f>IFERROR(__xludf.DUMMYFUNCTION("""COMPUTED_VALUE"""),"BLACK")</f>
        <v>BLACK</v>
      </c>
      <c r="G3510" s="20" t="str">
        <f>IFERROR(__xludf.DUMMYFUNCTION("""COMPUTED_VALUE"""),"Uncle Sams Cider (11/12/2021) 02")</f>
        <v>Uncle Sams Cider (11/12/2021) 02</v>
      </c>
      <c r="H3510" s="19"/>
    </row>
    <row r="3511">
      <c r="A3511" s="9"/>
      <c r="B3511" s="15"/>
      <c r="C3511" s="9">
        <f>IFERROR(__xludf.DUMMYFUNCTION("""COMPUTED_VALUE"""),44568.8893655902)</f>
        <v>44568.88937</v>
      </c>
      <c r="D3511" s="15">
        <f>IFERROR(__xludf.DUMMYFUNCTION("""COMPUTED_VALUE"""),1.009)</f>
        <v>1.009</v>
      </c>
      <c r="E3511" s="16">
        <f>IFERROR(__xludf.DUMMYFUNCTION("""COMPUTED_VALUE"""),65.0)</f>
        <v>65</v>
      </c>
      <c r="F3511" s="19" t="str">
        <f>IFERROR(__xludf.DUMMYFUNCTION("""COMPUTED_VALUE"""),"BLACK")</f>
        <v>BLACK</v>
      </c>
      <c r="G3511" s="20" t="str">
        <f>IFERROR(__xludf.DUMMYFUNCTION("""COMPUTED_VALUE"""),"Uncle Sams Cider (11/12/2021) 02")</f>
        <v>Uncle Sams Cider (11/12/2021) 02</v>
      </c>
      <c r="H3511" s="19"/>
    </row>
    <row r="3512">
      <c r="A3512" s="9"/>
      <c r="B3512" s="15"/>
      <c r="C3512" s="9">
        <f>IFERROR(__xludf.DUMMYFUNCTION("""COMPUTED_VALUE"""),44568.8789313773)</f>
        <v>44568.87893</v>
      </c>
      <c r="D3512" s="15">
        <f>IFERROR(__xludf.DUMMYFUNCTION("""COMPUTED_VALUE"""),1.009)</f>
        <v>1.009</v>
      </c>
      <c r="E3512" s="16">
        <f>IFERROR(__xludf.DUMMYFUNCTION("""COMPUTED_VALUE"""),65.0)</f>
        <v>65</v>
      </c>
      <c r="F3512" s="19" t="str">
        <f>IFERROR(__xludf.DUMMYFUNCTION("""COMPUTED_VALUE"""),"BLACK")</f>
        <v>BLACK</v>
      </c>
      <c r="G3512" s="20" t="str">
        <f>IFERROR(__xludf.DUMMYFUNCTION("""COMPUTED_VALUE"""),"Uncle Sams Cider (11/12/2021) 02")</f>
        <v>Uncle Sams Cider (11/12/2021) 02</v>
      </c>
      <c r="H3512" s="19"/>
    </row>
    <row r="3513">
      <c r="A3513" s="9"/>
      <c r="B3513" s="15"/>
      <c r="C3513" s="9">
        <f>IFERROR(__xludf.DUMMYFUNCTION("""COMPUTED_VALUE"""),44568.8684975462)</f>
        <v>44568.8685</v>
      </c>
      <c r="D3513" s="15">
        <f>IFERROR(__xludf.DUMMYFUNCTION("""COMPUTED_VALUE"""),1.009)</f>
        <v>1.009</v>
      </c>
      <c r="E3513" s="16">
        <f>IFERROR(__xludf.DUMMYFUNCTION("""COMPUTED_VALUE"""),65.0)</f>
        <v>65</v>
      </c>
      <c r="F3513" s="19" t="str">
        <f>IFERROR(__xludf.DUMMYFUNCTION("""COMPUTED_VALUE"""),"BLACK")</f>
        <v>BLACK</v>
      </c>
      <c r="G3513" s="20" t="str">
        <f>IFERROR(__xludf.DUMMYFUNCTION("""COMPUTED_VALUE"""),"Uncle Sams Cider (11/12/2021) 02")</f>
        <v>Uncle Sams Cider (11/12/2021) 02</v>
      </c>
      <c r="H3513" s="19"/>
    </row>
    <row r="3514">
      <c r="A3514" s="9"/>
      <c r="B3514" s="15"/>
      <c r="C3514" s="9">
        <f>IFERROR(__xludf.DUMMYFUNCTION("""COMPUTED_VALUE"""),44568.8580533796)</f>
        <v>44568.85805</v>
      </c>
      <c r="D3514" s="15">
        <f>IFERROR(__xludf.DUMMYFUNCTION("""COMPUTED_VALUE"""),1.009)</f>
        <v>1.009</v>
      </c>
      <c r="E3514" s="16">
        <f>IFERROR(__xludf.DUMMYFUNCTION("""COMPUTED_VALUE"""),65.0)</f>
        <v>65</v>
      </c>
      <c r="F3514" s="19" t="str">
        <f>IFERROR(__xludf.DUMMYFUNCTION("""COMPUTED_VALUE"""),"BLACK")</f>
        <v>BLACK</v>
      </c>
      <c r="G3514" s="20" t="str">
        <f>IFERROR(__xludf.DUMMYFUNCTION("""COMPUTED_VALUE"""),"Uncle Sams Cider (11/12/2021) 02")</f>
        <v>Uncle Sams Cider (11/12/2021) 02</v>
      </c>
      <c r="H3514" s="19"/>
    </row>
    <row r="3515">
      <c r="A3515" s="9"/>
      <c r="B3515" s="15"/>
      <c r="C3515" s="9">
        <f>IFERROR(__xludf.DUMMYFUNCTION("""COMPUTED_VALUE"""),44568.8476325)</f>
        <v>44568.84763</v>
      </c>
      <c r="D3515" s="15">
        <f>IFERROR(__xludf.DUMMYFUNCTION("""COMPUTED_VALUE"""),1.009)</f>
        <v>1.009</v>
      </c>
      <c r="E3515" s="16">
        <f>IFERROR(__xludf.DUMMYFUNCTION("""COMPUTED_VALUE"""),65.0)</f>
        <v>65</v>
      </c>
      <c r="F3515" s="19" t="str">
        <f>IFERROR(__xludf.DUMMYFUNCTION("""COMPUTED_VALUE"""),"BLACK")</f>
        <v>BLACK</v>
      </c>
      <c r="G3515" s="20" t="str">
        <f>IFERROR(__xludf.DUMMYFUNCTION("""COMPUTED_VALUE"""),"Uncle Sams Cider (11/12/2021) 02")</f>
        <v>Uncle Sams Cider (11/12/2021) 02</v>
      </c>
      <c r="H3515" s="19"/>
    </row>
    <row r="3516">
      <c r="A3516" s="9"/>
      <c r="B3516" s="15"/>
      <c r="C3516" s="9">
        <f>IFERROR(__xludf.DUMMYFUNCTION("""COMPUTED_VALUE"""),44568.8371190856)</f>
        <v>44568.83712</v>
      </c>
      <c r="D3516" s="15">
        <f>IFERROR(__xludf.DUMMYFUNCTION("""COMPUTED_VALUE"""),1.009)</f>
        <v>1.009</v>
      </c>
      <c r="E3516" s="16">
        <f>IFERROR(__xludf.DUMMYFUNCTION("""COMPUTED_VALUE"""),65.0)</f>
        <v>65</v>
      </c>
      <c r="F3516" s="19" t="str">
        <f>IFERROR(__xludf.DUMMYFUNCTION("""COMPUTED_VALUE"""),"BLACK")</f>
        <v>BLACK</v>
      </c>
      <c r="G3516" s="20" t="str">
        <f>IFERROR(__xludf.DUMMYFUNCTION("""COMPUTED_VALUE"""),"Uncle Sams Cider (11/12/2021) 02")</f>
        <v>Uncle Sams Cider (11/12/2021) 02</v>
      </c>
      <c r="H3516" s="19"/>
    </row>
    <row r="3517">
      <c r="A3517" s="9"/>
      <c r="B3517" s="15"/>
      <c r="C3517" s="9">
        <f>IFERROR(__xludf.DUMMYFUNCTION("""COMPUTED_VALUE"""),44568.8266964699)</f>
        <v>44568.8267</v>
      </c>
      <c r="D3517" s="15">
        <f>IFERROR(__xludf.DUMMYFUNCTION("""COMPUTED_VALUE"""),1.009)</f>
        <v>1.009</v>
      </c>
      <c r="E3517" s="16">
        <f>IFERROR(__xludf.DUMMYFUNCTION("""COMPUTED_VALUE"""),65.0)</f>
        <v>65</v>
      </c>
      <c r="F3517" s="19" t="str">
        <f>IFERROR(__xludf.DUMMYFUNCTION("""COMPUTED_VALUE"""),"BLACK")</f>
        <v>BLACK</v>
      </c>
      <c r="G3517" s="20" t="str">
        <f>IFERROR(__xludf.DUMMYFUNCTION("""COMPUTED_VALUE"""),"Uncle Sams Cider (11/12/2021) 02")</f>
        <v>Uncle Sams Cider (11/12/2021) 02</v>
      </c>
      <c r="H3517" s="19"/>
    </row>
    <row r="3518">
      <c r="A3518" s="9"/>
      <c r="B3518" s="15"/>
      <c r="C3518" s="9">
        <f>IFERROR(__xludf.DUMMYFUNCTION("""COMPUTED_VALUE"""),44568.816275405)</f>
        <v>44568.81628</v>
      </c>
      <c r="D3518" s="15">
        <f>IFERROR(__xludf.DUMMYFUNCTION("""COMPUTED_VALUE"""),1.009)</f>
        <v>1.009</v>
      </c>
      <c r="E3518" s="16">
        <f>IFERROR(__xludf.DUMMYFUNCTION("""COMPUTED_VALUE"""),65.0)</f>
        <v>65</v>
      </c>
      <c r="F3518" s="19" t="str">
        <f>IFERROR(__xludf.DUMMYFUNCTION("""COMPUTED_VALUE"""),"BLACK")</f>
        <v>BLACK</v>
      </c>
      <c r="G3518" s="20" t="str">
        <f>IFERROR(__xludf.DUMMYFUNCTION("""COMPUTED_VALUE"""),"Uncle Sams Cider (11/12/2021) 02")</f>
        <v>Uncle Sams Cider (11/12/2021) 02</v>
      </c>
      <c r="H3518" s="19"/>
    </row>
    <row r="3519">
      <c r="A3519" s="9"/>
      <c r="B3519" s="15"/>
      <c r="C3519" s="9">
        <f>IFERROR(__xludf.DUMMYFUNCTION("""COMPUTED_VALUE"""),44568.8058431481)</f>
        <v>44568.80584</v>
      </c>
      <c r="D3519" s="15">
        <f>IFERROR(__xludf.DUMMYFUNCTION("""COMPUTED_VALUE"""),1.009)</f>
        <v>1.009</v>
      </c>
      <c r="E3519" s="16">
        <f>IFERROR(__xludf.DUMMYFUNCTION("""COMPUTED_VALUE"""),65.0)</f>
        <v>65</v>
      </c>
      <c r="F3519" s="19" t="str">
        <f>IFERROR(__xludf.DUMMYFUNCTION("""COMPUTED_VALUE"""),"BLACK")</f>
        <v>BLACK</v>
      </c>
      <c r="G3519" s="20" t="str">
        <f>IFERROR(__xludf.DUMMYFUNCTION("""COMPUTED_VALUE"""),"Uncle Sams Cider (11/12/2021) 02")</f>
        <v>Uncle Sams Cider (11/12/2021) 02</v>
      </c>
      <c r="H3519" s="19"/>
    </row>
    <row r="3520">
      <c r="A3520" s="9"/>
      <c r="B3520" s="15"/>
      <c r="C3520" s="9">
        <f>IFERROR(__xludf.DUMMYFUNCTION("""COMPUTED_VALUE"""),44568.7954219444)</f>
        <v>44568.79542</v>
      </c>
      <c r="D3520" s="15">
        <f>IFERROR(__xludf.DUMMYFUNCTION("""COMPUTED_VALUE"""),1.009)</f>
        <v>1.009</v>
      </c>
      <c r="E3520" s="16">
        <f>IFERROR(__xludf.DUMMYFUNCTION("""COMPUTED_VALUE"""),65.0)</f>
        <v>65</v>
      </c>
      <c r="F3520" s="19" t="str">
        <f>IFERROR(__xludf.DUMMYFUNCTION("""COMPUTED_VALUE"""),"BLACK")</f>
        <v>BLACK</v>
      </c>
      <c r="G3520" s="20" t="str">
        <f>IFERROR(__xludf.DUMMYFUNCTION("""COMPUTED_VALUE"""),"Uncle Sams Cider (11/12/2021) 02")</f>
        <v>Uncle Sams Cider (11/12/2021) 02</v>
      </c>
      <c r="H3520" s="19"/>
    </row>
    <row r="3521">
      <c r="A3521" s="9"/>
      <c r="B3521" s="15"/>
      <c r="C3521" s="9">
        <f>IFERROR(__xludf.DUMMYFUNCTION("""COMPUTED_VALUE"""),44568.7849983796)</f>
        <v>44568.785</v>
      </c>
      <c r="D3521" s="15">
        <f>IFERROR(__xludf.DUMMYFUNCTION("""COMPUTED_VALUE"""),1.009)</f>
        <v>1.009</v>
      </c>
      <c r="E3521" s="16">
        <f>IFERROR(__xludf.DUMMYFUNCTION("""COMPUTED_VALUE"""),65.0)</f>
        <v>65</v>
      </c>
      <c r="F3521" s="19" t="str">
        <f>IFERROR(__xludf.DUMMYFUNCTION("""COMPUTED_VALUE"""),"BLACK")</f>
        <v>BLACK</v>
      </c>
      <c r="G3521" s="20" t="str">
        <f>IFERROR(__xludf.DUMMYFUNCTION("""COMPUTED_VALUE"""),"Uncle Sams Cider (11/12/2021) 02")</f>
        <v>Uncle Sams Cider (11/12/2021) 02</v>
      </c>
      <c r="H3521" s="19"/>
    </row>
    <row r="3522">
      <c r="A3522" s="9"/>
      <c r="B3522" s="15"/>
      <c r="C3522" s="9">
        <f>IFERROR(__xludf.DUMMYFUNCTION("""COMPUTED_VALUE"""),44568.7745765393)</f>
        <v>44568.77458</v>
      </c>
      <c r="D3522" s="15">
        <f>IFERROR(__xludf.DUMMYFUNCTION("""COMPUTED_VALUE"""),1.009)</f>
        <v>1.009</v>
      </c>
      <c r="E3522" s="16">
        <f>IFERROR(__xludf.DUMMYFUNCTION("""COMPUTED_VALUE"""),65.0)</f>
        <v>65</v>
      </c>
      <c r="F3522" s="19" t="str">
        <f>IFERROR(__xludf.DUMMYFUNCTION("""COMPUTED_VALUE"""),"BLACK")</f>
        <v>BLACK</v>
      </c>
      <c r="G3522" s="20" t="str">
        <f>IFERROR(__xludf.DUMMYFUNCTION("""COMPUTED_VALUE"""),"Uncle Sams Cider (11/12/2021) 02")</f>
        <v>Uncle Sams Cider (11/12/2021) 02</v>
      </c>
      <c r="H3522" s="19"/>
    </row>
    <row r="3523">
      <c r="A3523" s="9"/>
      <c r="B3523" s="15"/>
      <c r="C3523" s="9">
        <f>IFERROR(__xludf.DUMMYFUNCTION("""COMPUTED_VALUE"""),44568.7641432291)</f>
        <v>44568.76414</v>
      </c>
      <c r="D3523" s="15">
        <f>IFERROR(__xludf.DUMMYFUNCTION("""COMPUTED_VALUE"""),1.009)</f>
        <v>1.009</v>
      </c>
      <c r="E3523" s="16">
        <f>IFERROR(__xludf.DUMMYFUNCTION("""COMPUTED_VALUE"""),65.0)</f>
        <v>65</v>
      </c>
      <c r="F3523" s="19" t="str">
        <f>IFERROR(__xludf.DUMMYFUNCTION("""COMPUTED_VALUE"""),"BLACK")</f>
        <v>BLACK</v>
      </c>
      <c r="G3523" s="20" t="str">
        <f>IFERROR(__xludf.DUMMYFUNCTION("""COMPUTED_VALUE"""),"Uncle Sams Cider (11/12/2021) 02")</f>
        <v>Uncle Sams Cider (11/12/2021) 02</v>
      </c>
      <c r="H3523" s="19"/>
    </row>
    <row r="3524">
      <c r="A3524" s="9"/>
      <c r="B3524" s="15"/>
      <c r="C3524" s="9">
        <f>IFERROR(__xludf.DUMMYFUNCTION("""COMPUTED_VALUE"""),44568.7537114699)</f>
        <v>44568.75371</v>
      </c>
      <c r="D3524" s="15">
        <f>IFERROR(__xludf.DUMMYFUNCTION("""COMPUTED_VALUE"""),1.009)</f>
        <v>1.009</v>
      </c>
      <c r="E3524" s="16">
        <f>IFERROR(__xludf.DUMMYFUNCTION("""COMPUTED_VALUE"""),65.0)</f>
        <v>65</v>
      </c>
      <c r="F3524" s="19" t="str">
        <f>IFERROR(__xludf.DUMMYFUNCTION("""COMPUTED_VALUE"""),"BLACK")</f>
        <v>BLACK</v>
      </c>
      <c r="G3524" s="20" t="str">
        <f>IFERROR(__xludf.DUMMYFUNCTION("""COMPUTED_VALUE"""),"Uncle Sams Cider (11/12/2021) 02")</f>
        <v>Uncle Sams Cider (11/12/2021) 02</v>
      </c>
      <c r="H3524" s="19"/>
    </row>
    <row r="3525">
      <c r="A3525" s="9"/>
      <c r="B3525" s="15"/>
      <c r="C3525" s="9">
        <f>IFERROR(__xludf.DUMMYFUNCTION("""COMPUTED_VALUE"""),44568.7432800231)</f>
        <v>44568.74328</v>
      </c>
      <c r="D3525" s="15">
        <f>IFERROR(__xludf.DUMMYFUNCTION("""COMPUTED_VALUE"""),1.009)</f>
        <v>1.009</v>
      </c>
      <c r="E3525" s="16">
        <f>IFERROR(__xludf.DUMMYFUNCTION("""COMPUTED_VALUE"""),65.0)</f>
        <v>65</v>
      </c>
      <c r="F3525" s="19" t="str">
        <f>IFERROR(__xludf.DUMMYFUNCTION("""COMPUTED_VALUE"""),"BLACK")</f>
        <v>BLACK</v>
      </c>
      <c r="G3525" s="20" t="str">
        <f>IFERROR(__xludf.DUMMYFUNCTION("""COMPUTED_VALUE"""),"Uncle Sams Cider (11/12/2021) 02")</f>
        <v>Uncle Sams Cider (11/12/2021) 02</v>
      </c>
      <c r="H3525" s="19"/>
    </row>
    <row r="3526">
      <c r="A3526" s="9"/>
      <c r="B3526" s="15"/>
      <c r="C3526" s="9">
        <f>IFERROR(__xludf.DUMMYFUNCTION("""COMPUTED_VALUE"""),44568.7328349537)</f>
        <v>44568.73283</v>
      </c>
      <c r="D3526" s="15">
        <f>IFERROR(__xludf.DUMMYFUNCTION("""COMPUTED_VALUE"""),1.009)</f>
        <v>1.009</v>
      </c>
      <c r="E3526" s="16">
        <f>IFERROR(__xludf.DUMMYFUNCTION("""COMPUTED_VALUE"""),65.0)</f>
        <v>65</v>
      </c>
      <c r="F3526" s="19" t="str">
        <f>IFERROR(__xludf.DUMMYFUNCTION("""COMPUTED_VALUE"""),"BLACK")</f>
        <v>BLACK</v>
      </c>
      <c r="G3526" s="20" t="str">
        <f>IFERROR(__xludf.DUMMYFUNCTION("""COMPUTED_VALUE"""),"Uncle Sams Cider (11/12/2021) 02")</f>
        <v>Uncle Sams Cider (11/12/2021) 02</v>
      </c>
      <c r="H3526" s="19"/>
    </row>
    <row r="3527">
      <c r="A3527" s="9"/>
      <c r="B3527" s="15"/>
      <c r="C3527" s="9">
        <f>IFERROR(__xludf.DUMMYFUNCTION("""COMPUTED_VALUE"""),44568.7223558333)</f>
        <v>44568.72236</v>
      </c>
      <c r="D3527" s="15">
        <f>IFERROR(__xludf.DUMMYFUNCTION("""COMPUTED_VALUE"""),1.009)</f>
        <v>1.009</v>
      </c>
      <c r="E3527" s="16">
        <f>IFERROR(__xludf.DUMMYFUNCTION("""COMPUTED_VALUE"""),65.0)</f>
        <v>65</v>
      </c>
      <c r="F3527" s="19" t="str">
        <f>IFERROR(__xludf.DUMMYFUNCTION("""COMPUTED_VALUE"""),"BLACK")</f>
        <v>BLACK</v>
      </c>
      <c r="G3527" s="20" t="str">
        <f>IFERROR(__xludf.DUMMYFUNCTION("""COMPUTED_VALUE"""),"Uncle Sams Cider (11/12/2021) 02")</f>
        <v>Uncle Sams Cider (11/12/2021) 02</v>
      </c>
      <c r="H3527" s="19"/>
    </row>
    <row r="3528">
      <c r="A3528" s="9"/>
      <c r="B3528" s="15"/>
      <c r="C3528" s="9">
        <f>IFERROR(__xludf.DUMMYFUNCTION("""COMPUTED_VALUE"""),44568.711912743)</f>
        <v>44568.71191</v>
      </c>
      <c r="D3528" s="15">
        <f>IFERROR(__xludf.DUMMYFUNCTION("""COMPUTED_VALUE"""),1.009)</f>
        <v>1.009</v>
      </c>
      <c r="E3528" s="16">
        <f>IFERROR(__xludf.DUMMYFUNCTION("""COMPUTED_VALUE"""),65.0)</f>
        <v>65</v>
      </c>
      <c r="F3528" s="19" t="str">
        <f>IFERROR(__xludf.DUMMYFUNCTION("""COMPUTED_VALUE"""),"BLACK")</f>
        <v>BLACK</v>
      </c>
      <c r="G3528" s="20" t="str">
        <f>IFERROR(__xludf.DUMMYFUNCTION("""COMPUTED_VALUE"""),"Uncle Sams Cider (11/12/2021) 02")</f>
        <v>Uncle Sams Cider (11/12/2021) 02</v>
      </c>
      <c r="H3528" s="19"/>
    </row>
    <row r="3529">
      <c r="A3529" s="9"/>
      <c r="B3529" s="15"/>
      <c r="C3529" s="9">
        <f>IFERROR(__xludf.DUMMYFUNCTION("""COMPUTED_VALUE"""),44568.7014901851)</f>
        <v>44568.70149</v>
      </c>
      <c r="D3529" s="15">
        <f>IFERROR(__xludf.DUMMYFUNCTION("""COMPUTED_VALUE"""),1.009)</f>
        <v>1.009</v>
      </c>
      <c r="E3529" s="16">
        <f>IFERROR(__xludf.DUMMYFUNCTION("""COMPUTED_VALUE"""),65.0)</f>
        <v>65</v>
      </c>
      <c r="F3529" s="19" t="str">
        <f>IFERROR(__xludf.DUMMYFUNCTION("""COMPUTED_VALUE"""),"BLACK")</f>
        <v>BLACK</v>
      </c>
      <c r="G3529" s="20" t="str">
        <f>IFERROR(__xludf.DUMMYFUNCTION("""COMPUTED_VALUE"""),"Uncle Sams Cider (11/12/2021) 02")</f>
        <v>Uncle Sams Cider (11/12/2021) 02</v>
      </c>
      <c r="H3529" s="19"/>
    </row>
    <row r="3530">
      <c r="A3530" s="9"/>
      <c r="B3530" s="15"/>
      <c r="C3530" s="9">
        <f>IFERROR(__xludf.DUMMYFUNCTION("""COMPUTED_VALUE"""),44568.6910584259)</f>
        <v>44568.69106</v>
      </c>
      <c r="D3530" s="15">
        <f>IFERROR(__xludf.DUMMYFUNCTION("""COMPUTED_VALUE"""),1.009)</f>
        <v>1.009</v>
      </c>
      <c r="E3530" s="16">
        <f>IFERROR(__xludf.DUMMYFUNCTION("""COMPUTED_VALUE"""),65.0)</f>
        <v>65</v>
      </c>
      <c r="F3530" s="19" t="str">
        <f>IFERROR(__xludf.DUMMYFUNCTION("""COMPUTED_VALUE"""),"BLACK")</f>
        <v>BLACK</v>
      </c>
      <c r="G3530" s="20" t="str">
        <f>IFERROR(__xludf.DUMMYFUNCTION("""COMPUTED_VALUE"""),"Uncle Sams Cider (11/12/2021) 02")</f>
        <v>Uncle Sams Cider (11/12/2021) 02</v>
      </c>
      <c r="H3530" s="19"/>
    </row>
    <row r="3531">
      <c r="A3531" s="9"/>
      <c r="B3531" s="15"/>
      <c r="C3531" s="9">
        <f>IFERROR(__xludf.DUMMYFUNCTION("""COMPUTED_VALUE"""),44568.6806349884)</f>
        <v>44568.68063</v>
      </c>
      <c r="D3531" s="15">
        <f>IFERROR(__xludf.DUMMYFUNCTION("""COMPUTED_VALUE"""),1.009)</f>
        <v>1.009</v>
      </c>
      <c r="E3531" s="16">
        <f>IFERROR(__xludf.DUMMYFUNCTION("""COMPUTED_VALUE"""),66.0)</f>
        <v>66</v>
      </c>
      <c r="F3531" s="19" t="str">
        <f>IFERROR(__xludf.DUMMYFUNCTION("""COMPUTED_VALUE"""),"BLACK")</f>
        <v>BLACK</v>
      </c>
      <c r="G3531" s="20" t="str">
        <f>IFERROR(__xludf.DUMMYFUNCTION("""COMPUTED_VALUE"""),"Uncle Sams Cider (11/12/2021) 02")</f>
        <v>Uncle Sams Cider (11/12/2021) 02</v>
      </c>
      <c r="H3531" s="19"/>
    </row>
    <row r="3532">
      <c r="A3532" s="9"/>
      <c r="B3532" s="15"/>
      <c r="C3532" s="9">
        <f>IFERROR(__xludf.DUMMYFUNCTION("""COMPUTED_VALUE"""),44568.6702151967)</f>
        <v>44568.67022</v>
      </c>
      <c r="D3532" s="15">
        <f>IFERROR(__xludf.DUMMYFUNCTION("""COMPUTED_VALUE"""),1.009)</f>
        <v>1.009</v>
      </c>
      <c r="E3532" s="16">
        <f>IFERROR(__xludf.DUMMYFUNCTION("""COMPUTED_VALUE"""),65.0)</f>
        <v>65</v>
      </c>
      <c r="F3532" s="19" t="str">
        <f>IFERROR(__xludf.DUMMYFUNCTION("""COMPUTED_VALUE"""),"BLACK")</f>
        <v>BLACK</v>
      </c>
      <c r="G3532" s="20" t="str">
        <f>IFERROR(__xludf.DUMMYFUNCTION("""COMPUTED_VALUE"""),"Uncle Sams Cider (11/12/2021) 02")</f>
        <v>Uncle Sams Cider (11/12/2021) 02</v>
      </c>
      <c r="H3532" s="19"/>
    </row>
    <row r="3533">
      <c r="A3533" s="9"/>
      <c r="B3533" s="15"/>
      <c r="C3533" s="9">
        <f>IFERROR(__xludf.DUMMYFUNCTION("""COMPUTED_VALUE"""),44568.6597949884)</f>
        <v>44568.65979</v>
      </c>
      <c r="D3533" s="15">
        <f>IFERROR(__xludf.DUMMYFUNCTION("""COMPUTED_VALUE"""),1.009)</f>
        <v>1.009</v>
      </c>
      <c r="E3533" s="16">
        <f>IFERROR(__xludf.DUMMYFUNCTION("""COMPUTED_VALUE"""),66.0)</f>
        <v>66</v>
      </c>
      <c r="F3533" s="19" t="str">
        <f>IFERROR(__xludf.DUMMYFUNCTION("""COMPUTED_VALUE"""),"BLACK")</f>
        <v>BLACK</v>
      </c>
      <c r="G3533" s="20" t="str">
        <f>IFERROR(__xludf.DUMMYFUNCTION("""COMPUTED_VALUE"""),"Uncle Sams Cider (11/12/2021) 02")</f>
        <v>Uncle Sams Cider (11/12/2021) 02</v>
      </c>
      <c r="H3533" s="19"/>
    </row>
    <row r="3534">
      <c r="A3534" s="9"/>
      <c r="B3534" s="15"/>
      <c r="C3534" s="9">
        <f>IFERROR(__xludf.DUMMYFUNCTION("""COMPUTED_VALUE"""),44568.6493719328)</f>
        <v>44568.64937</v>
      </c>
      <c r="D3534" s="15">
        <f>IFERROR(__xludf.DUMMYFUNCTION("""COMPUTED_VALUE"""),1.009)</f>
        <v>1.009</v>
      </c>
      <c r="E3534" s="16">
        <f>IFERROR(__xludf.DUMMYFUNCTION("""COMPUTED_VALUE"""),66.0)</f>
        <v>66</v>
      </c>
      <c r="F3534" s="19" t="str">
        <f>IFERROR(__xludf.DUMMYFUNCTION("""COMPUTED_VALUE"""),"BLACK")</f>
        <v>BLACK</v>
      </c>
      <c r="G3534" s="20" t="str">
        <f>IFERROR(__xludf.DUMMYFUNCTION("""COMPUTED_VALUE"""),"Uncle Sams Cider (11/12/2021) 02")</f>
        <v>Uncle Sams Cider (11/12/2021) 02</v>
      </c>
      <c r="H3534" s="19"/>
    </row>
    <row r="3535">
      <c r="A3535" s="9"/>
      <c r="B3535" s="15"/>
      <c r="C3535" s="9">
        <f>IFERROR(__xludf.DUMMYFUNCTION("""COMPUTED_VALUE"""),44568.6389403472)</f>
        <v>44568.63894</v>
      </c>
      <c r="D3535" s="15">
        <f>IFERROR(__xludf.DUMMYFUNCTION("""COMPUTED_VALUE"""),1.009)</f>
        <v>1.009</v>
      </c>
      <c r="E3535" s="16">
        <f>IFERROR(__xludf.DUMMYFUNCTION("""COMPUTED_VALUE"""),66.0)</f>
        <v>66</v>
      </c>
      <c r="F3535" s="19" t="str">
        <f>IFERROR(__xludf.DUMMYFUNCTION("""COMPUTED_VALUE"""),"BLACK")</f>
        <v>BLACK</v>
      </c>
      <c r="G3535" s="20" t="str">
        <f>IFERROR(__xludf.DUMMYFUNCTION("""COMPUTED_VALUE"""),"Uncle Sams Cider (11/12/2021) 02")</f>
        <v>Uncle Sams Cider (11/12/2021) 02</v>
      </c>
      <c r="H3535" s="19"/>
    </row>
    <row r="3536">
      <c r="A3536" s="9"/>
      <c r="B3536" s="15"/>
      <c r="C3536" s="9">
        <f>IFERROR(__xludf.DUMMYFUNCTION("""COMPUTED_VALUE"""),44568.6285048263)</f>
        <v>44568.6285</v>
      </c>
      <c r="D3536" s="15">
        <f>IFERROR(__xludf.DUMMYFUNCTION("""COMPUTED_VALUE"""),1.009)</f>
        <v>1.009</v>
      </c>
      <c r="E3536" s="16">
        <f>IFERROR(__xludf.DUMMYFUNCTION("""COMPUTED_VALUE"""),66.0)</f>
        <v>66</v>
      </c>
      <c r="F3536" s="19" t="str">
        <f>IFERROR(__xludf.DUMMYFUNCTION("""COMPUTED_VALUE"""),"BLACK")</f>
        <v>BLACK</v>
      </c>
      <c r="G3536" s="20" t="str">
        <f>IFERROR(__xludf.DUMMYFUNCTION("""COMPUTED_VALUE"""),"Uncle Sams Cider (11/12/2021) 02")</f>
        <v>Uncle Sams Cider (11/12/2021) 02</v>
      </c>
      <c r="H3536" s="19"/>
    </row>
    <row r="3537">
      <c r="A3537" s="9"/>
      <c r="B3537" s="15"/>
      <c r="C3537" s="9">
        <f>IFERROR(__xludf.DUMMYFUNCTION("""COMPUTED_VALUE"""),44568.618083831)</f>
        <v>44568.61808</v>
      </c>
      <c r="D3537" s="15">
        <f>IFERROR(__xludf.DUMMYFUNCTION("""COMPUTED_VALUE"""),1.009)</f>
        <v>1.009</v>
      </c>
      <c r="E3537" s="16">
        <f>IFERROR(__xludf.DUMMYFUNCTION("""COMPUTED_VALUE"""),66.0)</f>
        <v>66</v>
      </c>
      <c r="F3537" s="19" t="str">
        <f>IFERROR(__xludf.DUMMYFUNCTION("""COMPUTED_VALUE"""),"BLACK")</f>
        <v>BLACK</v>
      </c>
      <c r="G3537" s="20" t="str">
        <f>IFERROR(__xludf.DUMMYFUNCTION("""COMPUTED_VALUE"""),"Uncle Sams Cider (11/12/2021) 02")</f>
        <v>Uncle Sams Cider (11/12/2021) 02</v>
      </c>
      <c r="H3537" s="19"/>
    </row>
    <row r="3538">
      <c r="A3538" s="9"/>
      <c r="B3538" s="15"/>
      <c r="C3538" s="9">
        <f>IFERROR(__xludf.DUMMYFUNCTION("""COMPUTED_VALUE"""),44568.607650324)</f>
        <v>44568.60765</v>
      </c>
      <c r="D3538" s="15">
        <f>IFERROR(__xludf.DUMMYFUNCTION("""COMPUTED_VALUE"""),1.009)</f>
        <v>1.009</v>
      </c>
      <c r="E3538" s="16">
        <f>IFERROR(__xludf.DUMMYFUNCTION("""COMPUTED_VALUE"""),66.0)</f>
        <v>66</v>
      </c>
      <c r="F3538" s="19" t="str">
        <f>IFERROR(__xludf.DUMMYFUNCTION("""COMPUTED_VALUE"""),"BLACK")</f>
        <v>BLACK</v>
      </c>
      <c r="G3538" s="20" t="str">
        <f>IFERROR(__xludf.DUMMYFUNCTION("""COMPUTED_VALUE"""),"Uncle Sams Cider (11/12/2021) 02")</f>
        <v>Uncle Sams Cider (11/12/2021) 02</v>
      </c>
      <c r="H3538" s="19"/>
    </row>
    <row r="3539">
      <c r="A3539" s="9"/>
      <c r="B3539" s="15"/>
      <c r="C3539" s="9">
        <f>IFERROR(__xludf.DUMMYFUNCTION("""COMPUTED_VALUE"""),44568.5972290046)</f>
        <v>44568.59723</v>
      </c>
      <c r="D3539" s="15">
        <f>IFERROR(__xludf.DUMMYFUNCTION("""COMPUTED_VALUE"""),1.009)</f>
        <v>1.009</v>
      </c>
      <c r="E3539" s="16">
        <f>IFERROR(__xludf.DUMMYFUNCTION("""COMPUTED_VALUE"""),66.0)</f>
        <v>66</v>
      </c>
      <c r="F3539" s="19" t="str">
        <f>IFERROR(__xludf.DUMMYFUNCTION("""COMPUTED_VALUE"""),"BLACK")</f>
        <v>BLACK</v>
      </c>
      <c r="G3539" s="20" t="str">
        <f>IFERROR(__xludf.DUMMYFUNCTION("""COMPUTED_VALUE"""),"Uncle Sams Cider (11/12/2021) 02")</f>
        <v>Uncle Sams Cider (11/12/2021) 02</v>
      </c>
      <c r="H3539" s="19"/>
    </row>
    <row r="3540">
      <c r="A3540" s="9"/>
      <c r="B3540" s="15"/>
      <c r="C3540" s="9">
        <f>IFERROR(__xludf.DUMMYFUNCTION("""COMPUTED_VALUE"""),44568.586796412)</f>
        <v>44568.5868</v>
      </c>
      <c r="D3540" s="15">
        <f>IFERROR(__xludf.DUMMYFUNCTION("""COMPUTED_VALUE"""),1.009)</f>
        <v>1.009</v>
      </c>
      <c r="E3540" s="16">
        <f>IFERROR(__xludf.DUMMYFUNCTION("""COMPUTED_VALUE"""),66.0)</f>
        <v>66</v>
      </c>
      <c r="F3540" s="19" t="str">
        <f>IFERROR(__xludf.DUMMYFUNCTION("""COMPUTED_VALUE"""),"BLACK")</f>
        <v>BLACK</v>
      </c>
      <c r="G3540" s="20" t="str">
        <f>IFERROR(__xludf.DUMMYFUNCTION("""COMPUTED_VALUE"""),"Uncle Sams Cider (11/12/2021) 02")</f>
        <v>Uncle Sams Cider (11/12/2021) 02</v>
      </c>
      <c r="H3540" s="19"/>
    </row>
    <row r="3541">
      <c r="A3541" s="9"/>
      <c r="B3541" s="15"/>
      <c r="C3541" s="9">
        <f>IFERROR(__xludf.DUMMYFUNCTION("""COMPUTED_VALUE"""),44568.5763774074)</f>
        <v>44568.57638</v>
      </c>
      <c r="D3541" s="15">
        <f>IFERROR(__xludf.DUMMYFUNCTION("""COMPUTED_VALUE"""),1.009)</f>
        <v>1.009</v>
      </c>
      <c r="E3541" s="16">
        <f>IFERROR(__xludf.DUMMYFUNCTION("""COMPUTED_VALUE"""),66.0)</f>
        <v>66</v>
      </c>
      <c r="F3541" s="19" t="str">
        <f>IFERROR(__xludf.DUMMYFUNCTION("""COMPUTED_VALUE"""),"BLACK")</f>
        <v>BLACK</v>
      </c>
      <c r="G3541" s="20" t="str">
        <f>IFERROR(__xludf.DUMMYFUNCTION("""COMPUTED_VALUE"""),"Uncle Sams Cider (11/12/2021) 02")</f>
        <v>Uncle Sams Cider (11/12/2021) 02</v>
      </c>
      <c r="H3541" s="19"/>
    </row>
    <row r="3542">
      <c r="A3542" s="9"/>
      <c r="B3542" s="15"/>
      <c r="C3542" s="9">
        <f>IFERROR(__xludf.DUMMYFUNCTION("""COMPUTED_VALUE"""),44568.5659575578)</f>
        <v>44568.56596</v>
      </c>
      <c r="D3542" s="15">
        <f>IFERROR(__xludf.DUMMYFUNCTION("""COMPUTED_VALUE"""),1.009)</f>
        <v>1.009</v>
      </c>
      <c r="E3542" s="16">
        <f>IFERROR(__xludf.DUMMYFUNCTION("""COMPUTED_VALUE"""),66.0)</f>
        <v>66</v>
      </c>
      <c r="F3542" s="19" t="str">
        <f>IFERROR(__xludf.DUMMYFUNCTION("""COMPUTED_VALUE"""),"BLACK")</f>
        <v>BLACK</v>
      </c>
      <c r="G3542" s="20" t="str">
        <f>IFERROR(__xludf.DUMMYFUNCTION("""COMPUTED_VALUE"""),"Uncle Sams Cider (11/12/2021) 02")</f>
        <v>Uncle Sams Cider (11/12/2021) 02</v>
      </c>
      <c r="H3542" s="19"/>
    </row>
    <row r="3543">
      <c r="A3543" s="9"/>
      <c r="B3543" s="15"/>
      <c r="C3543" s="9">
        <f>IFERROR(__xludf.DUMMYFUNCTION("""COMPUTED_VALUE"""),44568.5555370486)</f>
        <v>44568.55554</v>
      </c>
      <c r="D3543" s="15">
        <f>IFERROR(__xludf.DUMMYFUNCTION("""COMPUTED_VALUE"""),1.009)</f>
        <v>1.009</v>
      </c>
      <c r="E3543" s="16">
        <f>IFERROR(__xludf.DUMMYFUNCTION("""COMPUTED_VALUE"""),66.0)</f>
        <v>66</v>
      </c>
      <c r="F3543" s="19" t="str">
        <f>IFERROR(__xludf.DUMMYFUNCTION("""COMPUTED_VALUE"""),"BLACK")</f>
        <v>BLACK</v>
      </c>
      <c r="G3543" s="20" t="str">
        <f>IFERROR(__xludf.DUMMYFUNCTION("""COMPUTED_VALUE"""),"Uncle Sams Cider (11/12/2021) 02")</f>
        <v>Uncle Sams Cider (11/12/2021) 02</v>
      </c>
      <c r="H3543" s="19"/>
    </row>
    <row r="3544">
      <c r="A3544" s="9"/>
      <c r="B3544" s="15"/>
      <c r="C3544" s="9">
        <f>IFERROR(__xludf.DUMMYFUNCTION("""COMPUTED_VALUE"""),44568.5450953703)</f>
        <v>44568.5451</v>
      </c>
      <c r="D3544" s="15">
        <f>IFERROR(__xludf.DUMMYFUNCTION("""COMPUTED_VALUE"""),1.009)</f>
        <v>1.009</v>
      </c>
      <c r="E3544" s="16">
        <f>IFERROR(__xludf.DUMMYFUNCTION("""COMPUTED_VALUE"""),66.0)</f>
        <v>66</v>
      </c>
      <c r="F3544" s="19" t="str">
        <f>IFERROR(__xludf.DUMMYFUNCTION("""COMPUTED_VALUE"""),"BLACK")</f>
        <v>BLACK</v>
      </c>
      <c r="G3544" s="20" t="str">
        <f>IFERROR(__xludf.DUMMYFUNCTION("""COMPUTED_VALUE"""),"Uncle Sams Cider (11/12/2021) 02")</f>
        <v>Uncle Sams Cider (11/12/2021) 02</v>
      </c>
      <c r="H3544" s="19"/>
    </row>
    <row r="3545">
      <c r="A3545" s="9"/>
      <c r="B3545" s="15"/>
      <c r="C3545" s="9">
        <f>IFERROR(__xludf.DUMMYFUNCTION("""COMPUTED_VALUE"""),44568.5346742708)</f>
        <v>44568.53467</v>
      </c>
      <c r="D3545" s="15">
        <f>IFERROR(__xludf.DUMMYFUNCTION("""COMPUTED_VALUE"""),1.009)</f>
        <v>1.009</v>
      </c>
      <c r="E3545" s="16">
        <f>IFERROR(__xludf.DUMMYFUNCTION("""COMPUTED_VALUE"""),66.0)</f>
        <v>66</v>
      </c>
      <c r="F3545" s="19" t="str">
        <f>IFERROR(__xludf.DUMMYFUNCTION("""COMPUTED_VALUE"""),"BLACK")</f>
        <v>BLACK</v>
      </c>
      <c r="G3545" s="20" t="str">
        <f>IFERROR(__xludf.DUMMYFUNCTION("""COMPUTED_VALUE"""),"Uncle Sams Cider (11/12/2021) 02")</f>
        <v>Uncle Sams Cider (11/12/2021) 02</v>
      </c>
      <c r="H3545" s="19"/>
    </row>
    <row r="3546">
      <c r="A3546" s="9"/>
      <c r="B3546" s="15"/>
      <c r="C3546" s="9">
        <f>IFERROR(__xludf.DUMMYFUNCTION("""COMPUTED_VALUE"""),44568.5242515393)</f>
        <v>44568.52425</v>
      </c>
      <c r="D3546" s="15">
        <f>IFERROR(__xludf.DUMMYFUNCTION("""COMPUTED_VALUE"""),1.009)</f>
        <v>1.009</v>
      </c>
      <c r="E3546" s="16">
        <f>IFERROR(__xludf.DUMMYFUNCTION("""COMPUTED_VALUE"""),66.0)</f>
        <v>66</v>
      </c>
      <c r="F3546" s="19" t="str">
        <f>IFERROR(__xludf.DUMMYFUNCTION("""COMPUTED_VALUE"""),"BLACK")</f>
        <v>BLACK</v>
      </c>
      <c r="G3546" s="20" t="str">
        <f>IFERROR(__xludf.DUMMYFUNCTION("""COMPUTED_VALUE"""),"Uncle Sams Cider (11/12/2021) 02")</f>
        <v>Uncle Sams Cider (11/12/2021) 02</v>
      </c>
      <c r="H3546" s="19"/>
    </row>
    <row r="3547">
      <c r="A3547" s="9"/>
      <c r="B3547" s="15"/>
      <c r="C3547" s="9">
        <f>IFERROR(__xludf.DUMMYFUNCTION("""COMPUTED_VALUE"""),44568.5138305324)</f>
        <v>44568.51383</v>
      </c>
      <c r="D3547" s="15">
        <f>IFERROR(__xludf.DUMMYFUNCTION("""COMPUTED_VALUE"""),1.009)</f>
        <v>1.009</v>
      </c>
      <c r="E3547" s="16">
        <f>IFERROR(__xludf.DUMMYFUNCTION("""COMPUTED_VALUE"""),66.0)</f>
        <v>66</v>
      </c>
      <c r="F3547" s="19" t="str">
        <f>IFERROR(__xludf.DUMMYFUNCTION("""COMPUTED_VALUE"""),"BLACK")</f>
        <v>BLACK</v>
      </c>
      <c r="G3547" s="20" t="str">
        <f>IFERROR(__xludf.DUMMYFUNCTION("""COMPUTED_VALUE"""),"Uncle Sams Cider (11/12/2021) 02")</f>
        <v>Uncle Sams Cider (11/12/2021) 02</v>
      </c>
      <c r="H3547" s="19"/>
    </row>
    <row r="3548">
      <c r="A3548" s="9"/>
      <c r="B3548" s="15"/>
      <c r="C3548" s="9">
        <f>IFERROR(__xludf.DUMMYFUNCTION("""COMPUTED_VALUE"""),44568.5034078587)</f>
        <v>44568.50341</v>
      </c>
      <c r="D3548" s="15">
        <f>IFERROR(__xludf.DUMMYFUNCTION("""COMPUTED_VALUE"""),1.009)</f>
        <v>1.009</v>
      </c>
      <c r="E3548" s="16">
        <f>IFERROR(__xludf.DUMMYFUNCTION("""COMPUTED_VALUE"""),66.0)</f>
        <v>66</v>
      </c>
      <c r="F3548" s="19" t="str">
        <f>IFERROR(__xludf.DUMMYFUNCTION("""COMPUTED_VALUE"""),"BLACK")</f>
        <v>BLACK</v>
      </c>
      <c r="G3548" s="20" t="str">
        <f>IFERROR(__xludf.DUMMYFUNCTION("""COMPUTED_VALUE"""),"Uncle Sams Cider (11/12/2021) 02")</f>
        <v>Uncle Sams Cider (11/12/2021) 02</v>
      </c>
      <c r="H3548" s="19"/>
    </row>
    <row r="3549">
      <c r="A3549" s="9"/>
      <c r="B3549" s="15"/>
      <c r="C3549" s="9">
        <f>IFERROR(__xludf.DUMMYFUNCTION("""COMPUTED_VALUE"""),44568.4929858333)</f>
        <v>44568.49299</v>
      </c>
      <c r="D3549" s="15">
        <f>IFERROR(__xludf.DUMMYFUNCTION("""COMPUTED_VALUE"""),1.009)</f>
        <v>1.009</v>
      </c>
      <c r="E3549" s="16">
        <f>IFERROR(__xludf.DUMMYFUNCTION("""COMPUTED_VALUE"""),66.0)</f>
        <v>66</v>
      </c>
      <c r="F3549" s="19" t="str">
        <f>IFERROR(__xludf.DUMMYFUNCTION("""COMPUTED_VALUE"""),"BLACK")</f>
        <v>BLACK</v>
      </c>
      <c r="G3549" s="20" t="str">
        <f>IFERROR(__xludf.DUMMYFUNCTION("""COMPUTED_VALUE"""),"Uncle Sams Cider (11/12/2021) 02")</f>
        <v>Uncle Sams Cider (11/12/2021) 02</v>
      </c>
      <c r="H3549" s="19"/>
    </row>
    <row r="3550">
      <c r="A3550" s="9"/>
      <c r="B3550" s="15"/>
      <c r="C3550" s="9">
        <f>IFERROR(__xludf.DUMMYFUNCTION("""COMPUTED_VALUE"""),44568.4825650115)</f>
        <v>44568.48257</v>
      </c>
      <c r="D3550" s="15">
        <f>IFERROR(__xludf.DUMMYFUNCTION("""COMPUTED_VALUE"""),1.009)</f>
        <v>1.009</v>
      </c>
      <c r="E3550" s="16">
        <f>IFERROR(__xludf.DUMMYFUNCTION("""COMPUTED_VALUE"""),66.0)</f>
        <v>66</v>
      </c>
      <c r="F3550" s="19" t="str">
        <f>IFERROR(__xludf.DUMMYFUNCTION("""COMPUTED_VALUE"""),"BLACK")</f>
        <v>BLACK</v>
      </c>
      <c r="G3550" s="20" t="str">
        <f>IFERROR(__xludf.DUMMYFUNCTION("""COMPUTED_VALUE"""),"Uncle Sams Cider (11/12/2021) 02")</f>
        <v>Uncle Sams Cider (11/12/2021) 02</v>
      </c>
      <c r="H3550" s="19"/>
    </row>
    <row r="3551">
      <c r="A3551" s="9"/>
      <c r="B3551" s="15"/>
      <c r="C3551" s="9">
        <f>IFERROR(__xludf.DUMMYFUNCTION("""COMPUTED_VALUE"""),44568.4720981828)</f>
        <v>44568.4721</v>
      </c>
      <c r="D3551" s="15">
        <f>IFERROR(__xludf.DUMMYFUNCTION("""COMPUTED_VALUE"""),1.009)</f>
        <v>1.009</v>
      </c>
      <c r="E3551" s="16">
        <f>IFERROR(__xludf.DUMMYFUNCTION("""COMPUTED_VALUE"""),66.0)</f>
        <v>66</v>
      </c>
      <c r="F3551" s="19" t="str">
        <f>IFERROR(__xludf.DUMMYFUNCTION("""COMPUTED_VALUE"""),"BLACK")</f>
        <v>BLACK</v>
      </c>
      <c r="G3551" s="20" t="str">
        <f>IFERROR(__xludf.DUMMYFUNCTION("""COMPUTED_VALUE"""),"Uncle Sams Cider (11/12/2021) 02")</f>
        <v>Uncle Sams Cider (11/12/2021) 02</v>
      </c>
      <c r="H3551" s="19"/>
    </row>
    <row r="3552">
      <c r="A3552" s="9"/>
      <c r="B3552" s="15"/>
      <c r="C3552" s="9">
        <f>IFERROR(__xludf.DUMMYFUNCTION("""COMPUTED_VALUE"""),44568.461679618)</f>
        <v>44568.46168</v>
      </c>
      <c r="D3552" s="15">
        <f>IFERROR(__xludf.DUMMYFUNCTION("""COMPUTED_VALUE"""),1.009)</f>
        <v>1.009</v>
      </c>
      <c r="E3552" s="16">
        <f>IFERROR(__xludf.DUMMYFUNCTION("""COMPUTED_VALUE"""),66.0)</f>
        <v>66</v>
      </c>
      <c r="F3552" s="19" t="str">
        <f>IFERROR(__xludf.DUMMYFUNCTION("""COMPUTED_VALUE"""),"BLACK")</f>
        <v>BLACK</v>
      </c>
      <c r="G3552" s="20" t="str">
        <f>IFERROR(__xludf.DUMMYFUNCTION("""COMPUTED_VALUE"""),"Uncle Sams Cider (11/12/2021) 02")</f>
        <v>Uncle Sams Cider (11/12/2021) 02</v>
      </c>
      <c r="H3552" s="19"/>
    </row>
    <row r="3553">
      <c r="A3553" s="9"/>
      <c r="B3553" s="15"/>
      <c r="C3553" s="9">
        <f>IFERROR(__xludf.DUMMYFUNCTION("""COMPUTED_VALUE"""),44568.4512582754)</f>
        <v>44568.45126</v>
      </c>
      <c r="D3553" s="15">
        <f>IFERROR(__xludf.DUMMYFUNCTION("""COMPUTED_VALUE"""),1.009)</f>
        <v>1.009</v>
      </c>
      <c r="E3553" s="16">
        <f>IFERROR(__xludf.DUMMYFUNCTION("""COMPUTED_VALUE"""),66.0)</f>
        <v>66</v>
      </c>
      <c r="F3553" s="19" t="str">
        <f>IFERROR(__xludf.DUMMYFUNCTION("""COMPUTED_VALUE"""),"BLACK")</f>
        <v>BLACK</v>
      </c>
      <c r="G3553" s="20" t="str">
        <f>IFERROR(__xludf.DUMMYFUNCTION("""COMPUTED_VALUE"""),"Uncle Sams Cider (11/12/2021) 02")</f>
        <v>Uncle Sams Cider (11/12/2021) 02</v>
      </c>
      <c r="H3553" s="19"/>
    </row>
    <row r="3554">
      <c r="A3554" s="9"/>
      <c r="B3554" s="15"/>
      <c r="C3554" s="9">
        <f>IFERROR(__xludf.DUMMYFUNCTION("""COMPUTED_VALUE"""),44568.4408367476)</f>
        <v>44568.44084</v>
      </c>
      <c r="D3554" s="15">
        <f>IFERROR(__xludf.DUMMYFUNCTION("""COMPUTED_VALUE"""),1.009)</f>
        <v>1.009</v>
      </c>
      <c r="E3554" s="16">
        <f>IFERROR(__xludf.DUMMYFUNCTION("""COMPUTED_VALUE"""),66.0)</f>
        <v>66</v>
      </c>
      <c r="F3554" s="19" t="str">
        <f>IFERROR(__xludf.DUMMYFUNCTION("""COMPUTED_VALUE"""),"BLACK")</f>
        <v>BLACK</v>
      </c>
      <c r="G3554" s="20" t="str">
        <f>IFERROR(__xludf.DUMMYFUNCTION("""COMPUTED_VALUE"""),"Uncle Sams Cider (11/12/2021) 02")</f>
        <v>Uncle Sams Cider (11/12/2021) 02</v>
      </c>
      <c r="H3554" s="19"/>
    </row>
    <row r="3555">
      <c r="A3555" s="9"/>
      <c r="B3555" s="15"/>
      <c r="C3555" s="9">
        <f>IFERROR(__xludf.DUMMYFUNCTION("""COMPUTED_VALUE"""),44568.4304036111)</f>
        <v>44568.4304</v>
      </c>
      <c r="D3555" s="15">
        <f>IFERROR(__xludf.DUMMYFUNCTION("""COMPUTED_VALUE"""),1.009)</f>
        <v>1.009</v>
      </c>
      <c r="E3555" s="16">
        <f>IFERROR(__xludf.DUMMYFUNCTION("""COMPUTED_VALUE"""),66.0)</f>
        <v>66</v>
      </c>
      <c r="F3555" s="19" t="str">
        <f>IFERROR(__xludf.DUMMYFUNCTION("""COMPUTED_VALUE"""),"BLACK")</f>
        <v>BLACK</v>
      </c>
      <c r="G3555" s="20" t="str">
        <f>IFERROR(__xludf.DUMMYFUNCTION("""COMPUTED_VALUE"""),"Uncle Sams Cider (11/12/2021) 02")</f>
        <v>Uncle Sams Cider (11/12/2021) 02</v>
      </c>
      <c r="H3555" s="19"/>
    </row>
    <row r="3556">
      <c r="A3556" s="9"/>
      <c r="B3556" s="15"/>
      <c r="C3556" s="9">
        <f>IFERROR(__xludf.DUMMYFUNCTION("""COMPUTED_VALUE"""),44568.4199593865)</f>
        <v>44568.41996</v>
      </c>
      <c r="D3556" s="15">
        <f>IFERROR(__xludf.DUMMYFUNCTION("""COMPUTED_VALUE"""),1.009)</f>
        <v>1.009</v>
      </c>
      <c r="E3556" s="16">
        <f>IFERROR(__xludf.DUMMYFUNCTION("""COMPUTED_VALUE"""),66.0)</f>
        <v>66</v>
      </c>
      <c r="F3556" s="19" t="str">
        <f>IFERROR(__xludf.DUMMYFUNCTION("""COMPUTED_VALUE"""),"BLACK")</f>
        <v>BLACK</v>
      </c>
      <c r="G3556" s="20" t="str">
        <f>IFERROR(__xludf.DUMMYFUNCTION("""COMPUTED_VALUE"""),"Uncle Sams Cider (11/12/2021) 02")</f>
        <v>Uncle Sams Cider (11/12/2021) 02</v>
      </c>
      <c r="H3556" s="19"/>
    </row>
    <row r="3557">
      <c r="A3557" s="9"/>
      <c r="B3557" s="15"/>
      <c r="C3557" s="9">
        <f>IFERROR(__xludf.DUMMYFUNCTION("""COMPUTED_VALUE"""),44568.4095373842)</f>
        <v>44568.40954</v>
      </c>
      <c r="D3557" s="15">
        <f>IFERROR(__xludf.DUMMYFUNCTION("""COMPUTED_VALUE"""),1.009)</f>
        <v>1.009</v>
      </c>
      <c r="E3557" s="16">
        <f>IFERROR(__xludf.DUMMYFUNCTION("""COMPUTED_VALUE"""),66.0)</f>
        <v>66</v>
      </c>
      <c r="F3557" s="19" t="str">
        <f>IFERROR(__xludf.DUMMYFUNCTION("""COMPUTED_VALUE"""),"BLACK")</f>
        <v>BLACK</v>
      </c>
      <c r="G3557" s="20" t="str">
        <f>IFERROR(__xludf.DUMMYFUNCTION("""COMPUTED_VALUE"""),"Uncle Sams Cider (11/12/2021) 02")</f>
        <v>Uncle Sams Cider (11/12/2021) 02</v>
      </c>
      <c r="H3557" s="19"/>
    </row>
    <row r="3558">
      <c r="A3558" s="9"/>
      <c r="B3558" s="15"/>
      <c r="C3558" s="9">
        <f>IFERROR(__xludf.DUMMYFUNCTION("""COMPUTED_VALUE"""),44568.3991151157)</f>
        <v>44568.39912</v>
      </c>
      <c r="D3558" s="15">
        <f>IFERROR(__xludf.DUMMYFUNCTION("""COMPUTED_VALUE"""),1.009)</f>
        <v>1.009</v>
      </c>
      <c r="E3558" s="16">
        <f>IFERROR(__xludf.DUMMYFUNCTION("""COMPUTED_VALUE"""),66.0)</f>
        <v>66</v>
      </c>
      <c r="F3558" s="19" t="str">
        <f>IFERROR(__xludf.DUMMYFUNCTION("""COMPUTED_VALUE"""),"BLACK")</f>
        <v>BLACK</v>
      </c>
      <c r="G3558" s="20" t="str">
        <f>IFERROR(__xludf.DUMMYFUNCTION("""COMPUTED_VALUE"""),"Uncle Sams Cider (11/12/2021) 02")</f>
        <v>Uncle Sams Cider (11/12/2021) 02</v>
      </c>
      <c r="H3558" s="19"/>
    </row>
    <row r="3559">
      <c r="A3559" s="9"/>
      <c r="B3559" s="15"/>
      <c r="C3559" s="9">
        <f>IFERROR(__xludf.DUMMYFUNCTION("""COMPUTED_VALUE"""),44568.388682743)</f>
        <v>44568.38868</v>
      </c>
      <c r="D3559" s="15">
        <f>IFERROR(__xludf.DUMMYFUNCTION("""COMPUTED_VALUE"""),1.009)</f>
        <v>1.009</v>
      </c>
      <c r="E3559" s="16">
        <f>IFERROR(__xludf.DUMMYFUNCTION("""COMPUTED_VALUE"""),66.0)</f>
        <v>66</v>
      </c>
      <c r="F3559" s="19" t="str">
        <f>IFERROR(__xludf.DUMMYFUNCTION("""COMPUTED_VALUE"""),"BLACK")</f>
        <v>BLACK</v>
      </c>
      <c r="G3559" s="20" t="str">
        <f>IFERROR(__xludf.DUMMYFUNCTION("""COMPUTED_VALUE"""),"Uncle Sams Cider (11/12/2021) 02")</f>
        <v>Uncle Sams Cider (11/12/2021) 02</v>
      </c>
      <c r="H3559" s="19"/>
    </row>
    <row r="3560">
      <c r="A3560" s="9"/>
      <c r="B3560" s="15"/>
      <c r="C3560" s="9">
        <f>IFERROR(__xludf.DUMMYFUNCTION("""COMPUTED_VALUE"""),44568.3782367361)</f>
        <v>44568.37824</v>
      </c>
      <c r="D3560" s="15">
        <f>IFERROR(__xludf.DUMMYFUNCTION("""COMPUTED_VALUE"""),1.009)</f>
        <v>1.009</v>
      </c>
      <c r="E3560" s="16">
        <f>IFERROR(__xludf.DUMMYFUNCTION("""COMPUTED_VALUE"""),66.0)</f>
        <v>66</v>
      </c>
      <c r="F3560" s="19" t="str">
        <f>IFERROR(__xludf.DUMMYFUNCTION("""COMPUTED_VALUE"""),"BLACK")</f>
        <v>BLACK</v>
      </c>
      <c r="G3560" s="20" t="str">
        <f>IFERROR(__xludf.DUMMYFUNCTION("""COMPUTED_VALUE"""),"Uncle Sams Cider (11/12/2021) 02")</f>
        <v>Uncle Sams Cider (11/12/2021) 02</v>
      </c>
      <c r="H3560" s="19"/>
    </row>
    <row r="3561">
      <c r="A3561" s="9"/>
      <c r="B3561" s="15"/>
      <c r="C3561" s="9">
        <f>IFERROR(__xludf.DUMMYFUNCTION("""COMPUTED_VALUE"""),44568.3678154745)</f>
        <v>44568.36782</v>
      </c>
      <c r="D3561" s="15">
        <f>IFERROR(__xludf.DUMMYFUNCTION("""COMPUTED_VALUE"""),1.009)</f>
        <v>1.009</v>
      </c>
      <c r="E3561" s="16">
        <f>IFERROR(__xludf.DUMMYFUNCTION("""COMPUTED_VALUE"""),66.0)</f>
        <v>66</v>
      </c>
      <c r="F3561" s="19" t="str">
        <f>IFERROR(__xludf.DUMMYFUNCTION("""COMPUTED_VALUE"""),"BLACK")</f>
        <v>BLACK</v>
      </c>
      <c r="G3561" s="20" t="str">
        <f>IFERROR(__xludf.DUMMYFUNCTION("""COMPUTED_VALUE"""),"Uncle Sams Cider (11/12/2021) 02")</f>
        <v>Uncle Sams Cider (11/12/2021) 02</v>
      </c>
      <c r="H3561" s="19"/>
    </row>
    <row r="3562">
      <c r="A3562" s="9"/>
      <c r="B3562" s="15"/>
      <c r="C3562" s="9">
        <f>IFERROR(__xludf.DUMMYFUNCTION("""COMPUTED_VALUE"""),44568.3573820601)</f>
        <v>44568.35738</v>
      </c>
      <c r="D3562" s="15">
        <f>IFERROR(__xludf.DUMMYFUNCTION("""COMPUTED_VALUE"""),1.009)</f>
        <v>1.009</v>
      </c>
      <c r="E3562" s="16">
        <f>IFERROR(__xludf.DUMMYFUNCTION("""COMPUTED_VALUE"""),66.0)</f>
        <v>66</v>
      </c>
      <c r="F3562" s="19" t="str">
        <f>IFERROR(__xludf.DUMMYFUNCTION("""COMPUTED_VALUE"""),"BLACK")</f>
        <v>BLACK</v>
      </c>
      <c r="G3562" s="20" t="str">
        <f>IFERROR(__xludf.DUMMYFUNCTION("""COMPUTED_VALUE"""),"Uncle Sams Cider (11/12/2021) 02")</f>
        <v>Uncle Sams Cider (11/12/2021) 02</v>
      </c>
      <c r="H3562" s="19"/>
    </row>
    <row r="3563">
      <c r="A3563" s="9"/>
      <c r="B3563" s="15"/>
      <c r="C3563" s="9">
        <f>IFERROR(__xludf.DUMMYFUNCTION("""COMPUTED_VALUE"""),44568.3469484953)</f>
        <v>44568.34695</v>
      </c>
      <c r="D3563" s="15">
        <f>IFERROR(__xludf.DUMMYFUNCTION("""COMPUTED_VALUE"""),1.009)</f>
        <v>1.009</v>
      </c>
      <c r="E3563" s="16">
        <f>IFERROR(__xludf.DUMMYFUNCTION("""COMPUTED_VALUE"""),66.0)</f>
        <v>66</v>
      </c>
      <c r="F3563" s="19" t="str">
        <f>IFERROR(__xludf.DUMMYFUNCTION("""COMPUTED_VALUE"""),"BLACK")</f>
        <v>BLACK</v>
      </c>
      <c r="G3563" s="20" t="str">
        <f>IFERROR(__xludf.DUMMYFUNCTION("""COMPUTED_VALUE"""),"Uncle Sams Cider (11/12/2021) 02")</f>
        <v>Uncle Sams Cider (11/12/2021) 02</v>
      </c>
      <c r="H3563" s="19"/>
    </row>
    <row r="3564">
      <c r="A3564" s="9"/>
      <c r="B3564" s="15"/>
      <c r="C3564" s="9">
        <f>IFERROR(__xludf.DUMMYFUNCTION("""COMPUTED_VALUE"""),44568.3365261342)</f>
        <v>44568.33653</v>
      </c>
      <c r="D3564" s="15">
        <f>IFERROR(__xludf.DUMMYFUNCTION("""COMPUTED_VALUE"""),1.009)</f>
        <v>1.009</v>
      </c>
      <c r="E3564" s="16">
        <f>IFERROR(__xludf.DUMMYFUNCTION("""COMPUTED_VALUE"""),66.0)</f>
        <v>66</v>
      </c>
      <c r="F3564" s="19" t="str">
        <f>IFERROR(__xludf.DUMMYFUNCTION("""COMPUTED_VALUE"""),"BLACK")</f>
        <v>BLACK</v>
      </c>
      <c r="G3564" s="20" t="str">
        <f>IFERROR(__xludf.DUMMYFUNCTION("""COMPUTED_VALUE"""),"Uncle Sams Cider (11/12/2021) 02")</f>
        <v>Uncle Sams Cider (11/12/2021) 02</v>
      </c>
      <c r="H3564" s="19"/>
    </row>
    <row r="3565">
      <c r="A3565" s="9"/>
      <c r="B3565" s="15"/>
      <c r="C3565" s="9">
        <f>IFERROR(__xludf.DUMMYFUNCTION("""COMPUTED_VALUE"""),44568.3261047222)</f>
        <v>44568.3261</v>
      </c>
      <c r="D3565" s="15">
        <f>IFERROR(__xludf.DUMMYFUNCTION("""COMPUTED_VALUE"""),1.009)</f>
        <v>1.009</v>
      </c>
      <c r="E3565" s="16">
        <f>IFERROR(__xludf.DUMMYFUNCTION("""COMPUTED_VALUE"""),66.0)</f>
        <v>66</v>
      </c>
      <c r="F3565" s="19" t="str">
        <f>IFERROR(__xludf.DUMMYFUNCTION("""COMPUTED_VALUE"""),"BLACK")</f>
        <v>BLACK</v>
      </c>
      <c r="G3565" s="20" t="str">
        <f>IFERROR(__xludf.DUMMYFUNCTION("""COMPUTED_VALUE"""),"Uncle Sams Cider (11/12/2021) 02")</f>
        <v>Uncle Sams Cider (11/12/2021) 02</v>
      </c>
      <c r="H3565" s="19"/>
    </row>
    <row r="3566">
      <c r="A3566" s="9"/>
      <c r="B3566" s="15"/>
      <c r="C3566" s="9">
        <f>IFERROR(__xludf.DUMMYFUNCTION("""COMPUTED_VALUE"""),44568.3156834606)</f>
        <v>44568.31568</v>
      </c>
      <c r="D3566" s="15">
        <f>IFERROR(__xludf.DUMMYFUNCTION("""COMPUTED_VALUE"""),1.009)</f>
        <v>1.009</v>
      </c>
      <c r="E3566" s="16">
        <f>IFERROR(__xludf.DUMMYFUNCTION("""COMPUTED_VALUE"""),66.0)</f>
        <v>66</v>
      </c>
      <c r="F3566" s="19" t="str">
        <f>IFERROR(__xludf.DUMMYFUNCTION("""COMPUTED_VALUE"""),"BLACK")</f>
        <v>BLACK</v>
      </c>
      <c r="G3566" s="20" t="str">
        <f>IFERROR(__xludf.DUMMYFUNCTION("""COMPUTED_VALUE"""),"Uncle Sams Cider (11/12/2021) 02")</f>
        <v>Uncle Sams Cider (11/12/2021) 02</v>
      </c>
      <c r="H3566" s="19"/>
    </row>
    <row r="3567">
      <c r="A3567" s="9"/>
      <c r="B3567" s="15"/>
      <c r="C3567" s="9">
        <f>IFERROR(__xludf.DUMMYFUNCTION("""COMPUTED_VALUE"""),44568.3052378124)</f>
        <v>44568.30524</v>
      </c>
      <c r="D3567" s="15">
        <f>IFERROR(__xludf.DUMMYFUNCTION("""COMPUTED_VALUE"""),1.009)</f>
        <v>1.009</v>
      </c>
      <c r="E3567" s="16">
        <f>IFERROR(__xludf.DUMMYFUNCTION("""COMPUTED_VALUE"""),66.0)</f>
        <v>66</v>
      </c>
      <c r="F3567" s="19" t="str">
        <f>IFERROR(__xludf.DUMMYFUNCTION("""COMPUTED_VALUE"""),"BLACK")</f>
        <v>BLACK</v>
      </c>
      <c r="G3567" s="20" t="str">
        <f>IFERROR(__xludf.DUMMYFUNCTION("""COMPUTED_VALUE"""),"Uncle Sams Cider (11/12/2021) 02")</f>
        <v>Uncle Sams Cider (11/12/2021) 02</v>
      </c>
      <c r="H3567" s="19"/>
    </row>
    <row r="3568">
      <c r="A3568" s="9"/>
      <c r="B3568" s="15"/>
      <c r="C3568" s="9">
        <f>IFERROR(__xludf.DUMMYFUNCTION("""COMPUTED_VALUE"""),44568.294803368)</f>
        <v>44568.2948</v>
      </c>
      <c r="D3568" s="15">
        <f>IFERROR(__xludf.DUMMYFUNCTION("""COMPUTED_VALUE"""),1.009)</f>
        <v>1.009</v>
      </c>
      <c r="E3568" s="16">
        <f>IFERROR(__xludf.DUMMYFUNCTION("""COMPUTED_VALUE"""),67.0)</f>
        <v>67</v>
      </c>
      <c r="F3568" s="19" t="str">
        <f>IFERROR(__xludf.DUMMYFUNCTION("""COMPUTED_VALUE"""),"BLACK")</f>
        <v>BLACK</v>
      </c>
      <c r="G3568" s="20" t="str">
        <f>IFERROR(__xludf.DUMMYFUNCTION("""COMPUTED_VALUE"""),"Uncle Sams Cider (11/12/2021) 02")</f>
        <v>Uncle Sams Cider (11/12/2021) 02</v>
      </c>
      <c r="H3568" s="19"/>
    </row>
    <row r="3569">
      <c r="A3569" s="9"/>
      <c r="B3569" s="15"/>
      <c r="C3569" s="9">
        <f>IFERROR(__xludf.DUMMYFUNCTION("""COMPUTED_VALUE"""),44568.2843820138)</f>
        <v>44568.28438</v>
      </c>
      <c r="D3569" s="15">
        <f>IFERROR(__xludf.DUMMYFUNCTION("""COMPUTED_VALUE"""),1.009)</f>
        <v>1.009</v>
      </c>
      <c r="E3569" s="16">
        <f>IFERROR(__xludf.DUMMYFUNCTION("""COMPUTED_VALUE"""),66.0)</f>
        <v>66</v>
      </c>
      <c r="F3569" s="19" t="str">
        <f>IFERROR(__xludf.DUMMYFUNCTION("""COMPUTED_VALUE"""),"BLACK")</f>
        <v>BLACK</v>
      </c>
      <c r="G3569" s="20" t="str">
        <f>IFERROR(__xludf.DUMMYFUNCTION("""COMPUTED_VALUE"""),"Uncle Sams Cider (11/12/2021) 02")</f>
        <v>Uncle Sams Cider (11/12/2021) 02</v>
      </c>
      <c r="H3569" s="19"/>
    </row>
    <row r="3570">
      <c r="A3570" s="9"/>
      <c r="B3570" s="15"/>
      <c r="C3570" s="9">
        <f>IFERROR(__xludf.DUMMYFUNCTION("""COMPUTED_VALUE"""),44568.2739498263)</f>
        <v>44568.27395</v>
      </c>
      <c r="D3570" s="15">
        <f>IFERROR(__xludf.DUMMYFUNCTION("""COMPUTED_VALUE"""),1.009)</f>
        <v>1.009</v>
      </c>
      <c r="E3570" s="16">
        <f>IFERROR(__xludf.DUMMYFUNCTION("""COMPUTED_VALUE"""),67.0)</f>
        <v>67</v>
      </c>
      <c r="F3570" s="19" t="str">
        <f>IFERROR(__xludf.DUMMYFUNCTION("""COMPUTED_VALUE"""),"BLACK")</f>
        <v>BLACK</v>
      </c>
      <c r="G3570" s="20" t="str">
        <f>IFERROR(__xludf.DUMMYFUNCTION("""COMPUTED_VALUE"""),"Uncle Sams Cider (11/12/2021) 02")</f>
        <v>Uncle Sams Cider (11/12/2021) 02</v>
      </c>
      <c r="H3570" s="19"/>
    </row>
    <row r="3571">
      <c r="A3571" s="9"/>
      <c r="B3571" s="15"/>
      <c r="C3571" s="9">
        <f>IFERROR(__xludf.DUMMYFUNCTION("""COMPUTED_VALUE"""),44568.2635293865)</f>
        <v>44568.26353</v>
      </c>
      <c r="D3571" s="15">
        <f>IFERROR(__xludf.DUMMYFUNCTION("""COMPUTED_VALUE"""),1.009)</f>
        <v>1.009</v>
      </c>
      <c r="E3571" s="16">
        <f>IFERROR(__xludf.DUMMYFUNCTION("""COMPUTED_VALUE"""),67.0)</f>
        <v>67</v>
      </c>
      <c r="F3571" s="19" t="str">
        <f>IFERROR(__xludf.DUMMYFUNCTION("""COMPUTED_VALUE"""),"BLACK")</f>
        <v>BLACK</v>
      </c>
      <c r="G3571" s="20" t="str">
        <f>IFERROR(__xludf.DUMMYFUNCTION("""COMPUTED_VALUE"""),"Uncle Sams Cider (11/12/2021) 02")</f>
        <v>Uncle Sams Cider (11/12/2021) 02</v>
      </c>
      <c r="H3571" s="19"/>
    </row>
    <row r="3572">
      <c r="A3572" s="9"/>
      <c r="B3572" s="15"/>
      <c r="C3572" s="9">
        <f>IFERROR(__xludf.DUMMYFUNCTION("""COMPUTED_VALUE"""),44568.2531054976)</f>
        <v>44568.25311</v>
      </c>
      <c r="D3572" s="15">
        <f>IFERROR(__xludf.DUMMYFUNCTION("""COMPUTED_VALUE"""),1.009)</f>
        <v>1.009</v>
      </c>
      <c r="E3572" s="16">
        <f>IFERROR(__xludf.DUMMYFUNCTION("""COMPUTED_VALUE"""),67.0)</f>
        <v>67</v>
      </c>
      <c r="F3572" s="19" t="str">
        <f>IFERROR(__xludf.DUMMYFUNCTION("""COMPUTED_VALUE"""),"BLACK")</f>
        <v>BLACK</v>
      </c>
      <c r="G3572" s="20" t="str">
        <f>IFERROR(__xludf.DUMMYFUNCTION("""COMPUTED_VALUE"""),"Uncle Sams Cider (11/12/2021) 02")</f>
        <v>Uncle Sams Cider (11/12/2021) 02</v>
      </c>
      <c r="H3572" s="19"/>
    </row>
    <row r="3573">
      <c r="A3573" s="9"/>
      <c r="B3573" s="15"/>
      <c r="C3573" s="9">
        <f>IFERROR(__xludf.DUMMYFUNCTION("""COMPUTED_VALUE"""),44568.242685243)</f>
        <v>44568.24269</v>
      </c>
      <c r="D3573" s="15">
        <f>IFERROR(__xludf.DUMMYFUNCTION("""COMPUTED_VALUE"""),1.009)</f>
        <v>1.009</v>
      </c>
      <c r="E3573" s="16">
        <f>IFERROR(__xludf.DUMMYFUNCTION("""COMPUTED_VALUE"""),67.0)</f>
        <v>67</v>
      </c>
      <c r="F3573" s="19" t="str">
        <f>IFERROR(__xludf.DUMMYFUNCTION("""COMPUTED_VALUE"""),"BLACK")</f>
        <v>BLACK</v>
      </c>
      <c r="G3573" s="20" t="str">
        <f>IFERROR(__xludf.DUMMYFUNCTION("""COMPUTED_VALUE"""),"Uncle Sams Cider (11/12/2021) 02")</f>
        <v>Uncle Sams Cider (11/12/2021) 02</v>
      </c>
      <c r="H3573" s="19"/>
    </row>
    <row r="3574">
      <c r="A3574" s="9"/>
      <c r="B3574" s="15"/>
      <c r="C3574" s="9">
        <f>IFERROR(__xludf.DUMMYFUNCTION("""COMPUTED_VALUE"""),44568.2322660532)</f>
        <v>44568.23227</v>
      </c>
      <c r="D3574" s="15">
        <f>IFERROR(__xludf.DUMMYFUNCTION("""COMPUTED_VALUE"""),1.009)</f>
        <v>1.009</v>
      </c>
      <c r="E3574" s="16">
        <f>IFERROR(__xludf.DUMMYFUNCTION("""COMPUTED_VALUE"""),67.0)</f>
        <v>67</v>
      </c>
      <c r="F3574" s="19" t="str">
        <f>IFERROR(__xludf.DUMMYFUNCTION("""COMPUTED_VALUE"""),"BLACK")</f>
        <v>BLACK</v>
      </c>
      <c r="G3574" s="20" t="str">
        <f>IFERROR(__xludf.DUMMYFUNCTION("""COMPUTED_VALUE"""),"Uncle Sams Cider (11/12/2021) 02")</f>
        <v>Uncle Sams Cider (11/12/2021) 02</v>
      </c>
      <c r="H3574" s="19"/>
    </row>
    <row r="3575">
      <c r="A3575" s="9"/>
      <c r="B3575" s="15"/>
      <c r="C3575" s="9">
        <f>IFERROR(__xludf.DUMMYFUNCTION("""COMPUTED_VALUE"""),44568.2218456944)</f>
        <v>44568.22185</v>
      </c>
      <c r="D3575" s="15">
        <f>IFERROR(__xludf.DUMMYFUNCTION("""COMPUTED_VALUE"""),1.009)</f>
        <v>1.009</v>
      </c>
      <c r="E3575" s="16">
        <f>IFERROR(__xludf.DUMMYFUNCTION("""COMPUTED_VALUE"""),67.0)</f>
        <v>67</v>
      </c>
      <c r="F3575" s="19" t="str">
        <f>IFERROR(__xludf.DUMMYFUNCTION("""COMPUTED_VALUE"""),"BLACK")</f>
        <v>BLACK</v>
      </c>
      <c r="G3575" s="20" t="str">
        <f>IFERROR(__xludf.DUMMYFUNCTION("""COMPUTED_VALUE"""),"Uncle Sams Cider (11/12/2021) 02")</f>
        <v>Uncle Sams Cider (11/12/2021) 02</v>
      </c>
      <c r="H3575" s="19"/>
    </row>
    <row r="3576">
      <c r="A3576" s="9"/>
      <c r="B3576" s="15"/>
      <c r="C3576" s="9">
        <f>IFERROR(__xludf.DUMMYFUNCTION("""COMPUTED_VALUE"""),44568.211399699)</f>
        <v>44568.2114</v>
      </c>
      <c r="D3576" s="15">
        <f>IFERROR(__xludf.DUMMYFUNCTION("""COMPUTED_VALUE"""),1.009)</f>
        <v>1.009</v>
      </c>
      <c r="E3576" s="16">
        <f>IFERROR(__xludf.DUMMYFUNCTION("""COMPUTED_VALUE"""),67.0)</f>
        <v>67</v>
      </c>
      <c r="F3576" s="19" t="str">
        <f>IFERROR(__xludf.DUMMYFUNCTION("""COMPUTED_VALUE"""),"BLACK")</f>
        <v>BLACK</v>
      </c>
      <c r="G3576" s="20" t="str">
        <f>IFERROR(__xludf.DUMMYFUNCTION("""COMPUTED_VALUE"""),"Uncle Sams Cider (11/12/2021) 02")</f>
        <v>Uncle Sams Cider (11/12/2021) 02</v>
      </c>
      <c r="H3576" s="19"/>
    </row>
    <row r="3577">
      <c r="A3577" s="9"/>
      <c r="B3577" s="15"/>
      <c r="C3577" s="9">
        <f>IFERROR(__xludf.DUMMYFUNCTION("""COMPUTED_VALUE"""),44568.2009778819)</f>
        <v>44568.20098</v>
      </c>
      <c r="D3577" s="15">
        <f>IFERROR(__xludf.DUMMYFUNCTION("""COMPUTED_VALUE"""),1.009)</f>
        <v>1.009</v>
      </c>
      <c r="E3577" s="16">
        <f>IFERROR(__xludf.DUMMYFUNCTION("""COMPUTED_VALUE"""),67.0)</f>
        <v>67</v>
      </c>
      <c r="F3577" s="19" t="str">
        <f>IFERROR(__xludf.DUMMYFUNCTION("""COMPUTED_VALUE"""),"BLACK")</f>
        <v>BLACK</v>
      </c>
      <c r="G3577" s="20" t="str">
        <f>IFERROR(__xludf.DUMMYFUNCTION("""COMPUTED_VALUE"""),"Uncle Sams Cider (11/12/2021) 02")</f>
        <v>Uncle Sams Cider (11/12/2021) 02</v>
      </c>
      <c r="H3577" s="19"/>
    </row>
    <row r="3578">
      <c r="A3578" s="9"/>
      <c r="B3578" s="15"/>
      <c r="C3578" s="9">
        <f>IFERROR(__xludf.DUMMYFUNCTION("""COMPUTED_VALUE"""),44568.1905587847)</f>
        <v>44568.19056</v>
      </c>
      <c r="D3578" s="15">
        <f>IFERROR(__xludf.DUMMYFUNCTION("""COMPUTED_VALUE"""),1.009)</f>
        <v>1.009</v>
      </c>
      <c r="E3578" s="16">
        <f>IFERROR(__xludf.DUMMYFUNCTION("""COMPUTED_VALUE"""),67.0)</f>
        <v>67</v>
      </c>
      <c r="F3578" s="19" t="str">
        <f>IFERROR(__xludf.DUMMYFUNCTION("""COMPUTED_VALUE"""),"BLACK")</f>
        <v>BLACK</v>
      </c>
      <c r="G3578" s="20" t="str">
        <f>IFERROR(__xludf.DUMMYFUNCTION("""COMPUTED_VALUE"""),"Uncle Sams Cider (11/12/2021) 02")</f>
        <v>Uncle Sams Cider (11/12/2021) 02</v>
      </c>
      <c r="H3578" s="19"/>
    </row>
    <row r="3579">
      <c r="A3579" s="9"/>
      <c r="B3579" s="15"/>
      <c r="C3579" s="9">
        <f>IFERROR(__xludf.DUMMYFUNCTION("""COMPUTED_VALUE"""),44568.1801367476)</f>
        <v>44568.18014</v>
      </c>
      <c r="D3579" s="15">
        <f>IFERROR(__xludf.DUMMYFUNCTION("""COMPUTED_VALUE"""),1.009)</f>
        <v>1.009</v>
      </c>
      <c r="E3579" s="16">
        <f>IFERROR(__xludf.DUMMYFUNCTION("""COMPUTED_VALUE"""),67.0)</f>
        <v>67</v>
      </c>
      <c r="F3579" s="19" t="str">
        <f>IFERROR(__xludf.DUMMYFUNCTION("""COMPUTED_VALUE"""),"BLACK")</f>
        <v>BLACK</v>
      </c>
      <c r="G3579" s="20" t="str">
        <f>IFERROR(__xludf.DUMMYFUNCTION("""COMPUTED_VALUE"""),"Uncle Sams Cider (11/12/2021) 02")</f>
        <v>Uncle Sams Cider (11/12/2021) 02</v>
      </c>
      <c r="H3579" s="19"/>
    </row>
    <row r="3580">
      <c r="A3580" s="9"/>
      <c r="B3580" s="15"/>
      <c r="C3580" s="9">
        <f>IFERROR(__xludf.DUMMYFUNCTION("""COMPUTED_VALUE"""),44568.1697148495)</f>
        <v>44568.16971</v>
      </c>
      <c r="D3580" s="15">
        <f>IFERROR(__xludf.DUMMYFUNCTION("""COMPUTED_VALUE"""),1.009)</f>
        <v>1.009</v>
      </c>
      <c r="E3580" s="16">
        <f>IFERROR(__xludf.DUMMYFUNCTION("""COMPUTED_VALUE"""),67.0)</f>
        <v>67</v>
      </c>
      <c r="F3580" s="19" t="str">
        <f>IFERROR(__xludf.DUMMYFUNCTION("""COMPUTED_VALUE"""),"BLACK")</f>
        <v>BLACK</v>
      </c>
      <c r="G3580" s="20" t="str">
        <f>IFERROR(__xludf.DUMMYFUNCTION("""COMPUTED_VALUE"""),"Uncle Sams Cider (11/12/2021) 02")</f>
        <v>Uncle Sams Cider (11/12/2021) 02</v>
      </c>
      <c r="H3580" s="19"/>
    </row>
    <row r="3581">
      <c r="A3581" s="9"/>
      <c r="B3581" s="15"/>
      <c r="C3581" s="9">
        <f>IFERROR(__xludf.DUMMYFUNCTION("""COMPUTED_VALUE"""),44568.1592949421)</f>
        <v>44568.15929</v>
      </c>
      <c r="D3581" s="15">
        <f>IFERROR(__xludf.DUMMYFUNCTION("""COMPUTED_VALUE"""),1.009)</f>
        <v>1.009</v>
      </c>
      <c r="E3581" s="16">
        <f>IFERROR(__xludf.DUMMYFUNCTION("""COMPUTED_VALUE"""),67.0)</f>
        <v>67</v>
      </c>
      <c r="F3581" s="19" t="str">
        <f>IFERROR(__xludf.DUMMYFUNCTION("""COMPUTED_VALUE"""),"BLACK")</f>
        <v>BLACK</v>
      </c>
      <c r="G3581" s="20" t="str">
        <f>IFERROR(__xludf.DUMMYFUNCTION("""COMPUTED_VALUE"""),"Uncle Sams Cider (11/12/2021) 02")</f>
        <v>Uncle Sams Cider (11/12/2021) 02</v>
      </c>
      <c r="H3581" s="19"/>
    </row>
    <row r="3582">
      <c r="A3582" s="9"/>
      <c r="B3582" s="15"/>
      <c r="C3582" s="9">
        <f>IFERROR(__xludf.DUMMYFUNCTION("""COMPUTED_VALUE"""),44568.1488744791)</f>
        <v>44568.14887</v>
      </c>
      <c r="D3582" s="15">
        <f>IFERROR(__xludf.DUMMYFUNCTION("""COMPUTED_VALUE"""),1.009)</f>
        <v>1.009</v>
      </c>
      <c r="E3582" s="16">
        <f>IFERROR(__xludf.DUMMYFUNCTION("""COMPUTED_VALUE"""),67.0)</f>
        <v>67</v>
      </c>
      <c r="F3582" s="19" t="str">
        <f>IFERROR(__xludf.DUMMYFUNCTION("""COMPUTED_VALUE"""),"BLACK")</f>
        <v>BLACK</v>
      </c>
      <c r="G3582" s="20" t="str">
        <f>IFERROR(__xludf.DUMMYFUNCTION("""COMPUTED_VALUE"""),"Uncle Sams Cider (11/12/2021) 02")</f>
        <v>Uncle Sams Cider (11/12/2021) 02</v>
      </c>
      <c r="H3582" s="19"/>
    </row>
    <row r="3583">
      <c r="A3583" s="9"/>
      <c r="B3583" s="15"/>
      <c r="C3583" s="9">
        <f>IFERROR(__xludf.DUMMYFUNCTION("""COMPUTED_VALUE"""),44568.1384532638)</f>
        <v>44568.13845</v>
      </c>
      <c r="D3583" s="15">
        <f>IFERROR(__xludf.DUMMYFUNCTION("""COMPUTED_VALUE"""),1.009)</f>
        <v>1.009</v>
      </c>
      <c r="E3583" s="16">
        <f>IFERROR(__xludf.DUMMYFUNCTION("""COMPUTED_VALUE"""),67.0)</f>
        <v>67</v>
      </c>
      <c r="F3583" s="19" t="str">
        <f>IFERROR(__xludf.DUMMYFUNCTION("""COMPUTED_VALUE"""),"BLACK")</f>
        <v>BLACK</v>
      </c>
      <c r="G3583" s="20" t="str">
        <f>IFERROR(__xludf.DUMMYFUNCTION("""COMPUTED_VALUE"""),"Uncle Sams Cider (11/12/2021) 02")</f>
        <v>Uncle Sams Cider (11/12/2021) 02</v>
      </c>
      <c r="H3583" s="19"/>
    </row>
    <row r="3584">
      <c r="A3584" s="9"/>
      <c r="B3584" s="15"/>
      <c r="C3584" s="9">
        <f>IFERROR(__xludf.DUMMYFUNCTION("""COMPUTED_VALUE"""),44568.1280309374)</f>
        <v>44568.12803</v>
      </c>
      <c r="D3584" s="15">
        <f>IFERROR(__xludf.DUMMYFUNCTION("""COMPUTED_VALUE"""),1.009)</f>
        <v>1.009</v>
      </c>
      <c r="E3584" s="16">
        <f>IFERROR(__xludf.DUMMYFUNCTION("""COMPUTED_VALUE"""),67.0)</f>
        <v>67</v>
      </c>
      <c r="F3584" s="19" t="str">
        <f>IFERROR(__xludf.DUMMYFUNCTION("""COMPUTED_VALUE"""),"BLACK")</f>
        <v>BLACK</v>
      </c>
      <c r="G3584" s="20" t="str">
        <f>IFERROR(__xludf.DUMMYFUNCTION("""COMPUTED_VALUE"""),"Uncle Sams Cider (11/12/2021) 02")</f>
        <v>Uncle Sams Cider (11/12/2021) 02</v>
      </c>
      <c r="H3584" s="19"/>
    </row>
    <row r="3585">
      <c r="A3585" s="9"/>
      <c r="B3585" s="15"/>
      <c r="C3585" s="9">
        <f>IFERROR(__xludf.DUMMYFUNCTION("""COMPUTED_VALUE"""),44568.1175859143)</f>
        <v>44568.11759</v>
      </c>
      <c r="D3585" s="15">
        <f>IFERROR(__xludf.DUMMYFUNCTION("""COMPUTED_VALUE"""),1.009)</f>
        <v>1.009</v>
      </c>
      <c r="E3585" s="16">
        <f>IFERROR(__xludf.DUMMYFUNCTION("""COMPUTED_VALUE"""),67.0)</f>
        <v>67</v>
      </c>
      <c r="F3585" s="19" t="str">
        <f>IFERROR(__xludf.DUMMYFUNCTION("""COMPUTED_VALUE"""),"BLACK")</f>
        <v>BLACK</v>
      </c>
      <c r="G3585" s="20" t="str">
        <f>IFERROR(__xludf.DUMMYFUNCTION("""COMPUTED_VALUE"""),"Uncle Sams Cider (11/12/2021) 02")</f>
        <v>Uncle Sams Cider (11/12/2021) 02</v>
      </c>
      <c r="H3585" s="19"/>
    </row>
    <row r="3586">
      <c r="A3586" s="9"/>
      <c r="B3586" s="15"/>
      <c r="C3586" s="9">
        <f>IFERROR(__xludf.DUMMYFUNCTION("""COMPUTED_VALUE"""),44568.1071644097)</f>
        <v>44568.10716</v>
      </c>
      <c r="D3586" s="15">
        <f>IFERROR(__xludf.DUMMYFUNCTION("""COMPUTED_VALUE"""),1.009)</f>
        <v>1.009</v>
      </c>
      <c r="E3586" s="16">
        <f>IFERROR(__xludf.DUMMYFUNCTION("""COMPUTED_VALUE"""),67.0)</f>
        <v>67</v>
      </c>
      <c r="F3586" s="19" t="str">
        <f>IFERROR(__xludf.DUMMYFUNCTION("""COMPUTED_VALUE"""),"BLACK")</f>
        <v>BLACK</v>
      </c>
      <c r="G3586" s="20" t="str">
        <f>IFERROR(__xludf.DUMMYFUNCTION("""COMPUTED_VALUE"""),"Uncle Sams Cider (11/12/2021) 02")</f>
        <v>Uncle Sams Cider (11/12/2021) 02</v>
      </c>
      <c r="H3586" s="19"/>
    </row>
    <row r="3587">
      <c r="A3587" s="9"/>
      <c r="B3587" s="15"/>
      <c r="C3587" s="9">
        <f>IFERROR(__xludf.DUMMYFUNCTION("""COMPUTED_VALUE"""),44568.0967427199)</f>
        <v>44568.09674</v>
      </c>
      <c r="D3587" s="15">
        <f>IFERROR(__xludf.DUMMYFUNCTION("""COMPUTED_VALUE"""),1.009)</f>
        <v>1.009</v>
      </c>
      <c r="E3587" s="16">
        <f>IFERROR(__xludf.DUMMYFUNCTION("""COMPUTED_VALUE"""),67.0)</f>
        <v>67</v>
      </c>
      <c r="F3587" s="19" t="str">
        <f>IFERROR(__xludf.DUMMYFUNCTION("""COMPUTED_VALUE"""),"BLACK")</f>
        <v>BLACK</v>
      </c>
      <c r="G3587" s="20" t="str">
        <f>IFERROR(__xludf.DUMMYFUNCTION("""COMPUTED_VALUE"""),"Uncle Sams Cider (11/12/2021) 02")</f>
        <v>Uncle Sams Cider (11/12/2021) 02</v>
      </c>
      <c r="H3587" s="19"/>
    </row>
    <row r="3588">
      <c r="A3588" s="9"/>
      <c r="B3588" s="15"/>
      <c r="C3588" s="9">
        <f>IFERROR(__xludf.DUMMYFUNCTION("""COMPUTED_VALUE"""),44568.08632103)</f>
        <v>44568.08632</v>
      </c>
      <c r="D3588" s="15">
        <f>IFERROR(__xludf.DUMMYFUNCTION("""COMPUTED_VALUE"""),1.009)</f>
        <v>1.009</v>
      </c>
      <c r="E3588" s="16">
        <f>IFERROR(__xludf.DUMMYFUNCTION("""COMPUTED_VALUE"""),67.0)</f>
        <v>67</v>
      </c>
      <c r="F3588" s="19" t="str">
        <f>IFERROR(__xludf.DUMMYFUNCTION("""COMPUTED_VALUE"""),"BLACK")</f>
        <v>BLACK</v>
      </c>
      <c r="G3588" s="20" t="str">
        <f>IFERROR(__xludf.DUMMYFUNCTION("""COMPUTED_VALUE"""),"Uncle Sams Cider (11/12/2021) 02")</f>
        <v>Uncle Sams Cider (11/12/2021) 02</v>
      </c>
      <c r="H3588" s="19"/>
    </row>
    <row r="3589">
      <c r="A3589" s="9"/>
      <c r="B3589" s="15"/>
      <c r="C3589" s="9">
        <f>IFERROR(__xludf.DUMMYFUNCTION("""COMPUTED_VALUE"""),44568.0758992939)</f>
        <v>44568.0759</v>
      </c>
      <c r="D3589" s="15">
        <f>IFERROR(__xludf.DUMMYFUNCTION("""COMPUTED_VALUE"""),1.009)</f>
        <v>1.009</v>
      </c>
      <c r="E3589" s="16">
        <f>IFERROR(__xludf.DUMMYFUNCTION("""COMPUTED_VALUE"""),67.0)</f>
        <v>67</v>
      </c>
      <c r="F3589" s="19" t="str">
        <f>IFERROR(__xludf.DUMMYFUNCTION("""COMPUTED_VALUE"""),"BLACK")</f>
        <v>BLACK</v>
      </c>
      <c r="G3589" s="20" t="str">
        <f>IFERROR(__xludf.DUMMYFUNCTION("""COMPUTED_VALUE"""),"Uncle Sams Cider (11/12/2021) 02")</f>
        <v>Uncle Sams Cider (11/12/2021) 02</v>
      </c>
      <c r="H3589" s="19"/>
    </row>
    <row r="3590">
      <c r="A3590" s="9"/>
      <c r="B3590" s="15"/>
      <c r="C3590" s="9">
        <f>IFERROR(__xludf.DUMMYFUNCTION("""COMPUTED_VALUE"""),44568.0654543518)</f>
        <v>44568.06545</v>
      </c>
      <c r="D3590" s="15">
        <f>IFERROR(__xludf.DUMMYFUNCTION("""COMPUTED_VALUE"""),1.009)</f>
        <v>1.009</v>
      </c>
      <c r="E3590" s="16">
        <f>IFERROR(__xludf.DUMMYFUNCTION("""COMPUTED_VALUE"""),67.0)</f>
        <v>67</v>
      </c>
      <c r="F3590" s="19" t="str">
        <f>IFERROR(__xludf.DUMMYFUNCTION("""COMPUTED_VALUE"""),"BLACK")</f>
        <v>BLACK</v>
      </c>
      <c r="G3590" s="20" t="str">
        <f>IFERROR(__xludf.DUMMYFUNCTION("""COMPUTED_VALUE"""),"Uncle Sams Cider (11/12/2021) 02")</f>
        <v>Uncle Sams Cider (11/12/2021) 02</v>
      </c>
      <c r="H3590" s="19"/>
    </row>
    <row r="3591">
      <c r="A3591" s="9"/>
      <c r="B3591" s="15"/>
      <c r="C3591" s="9">
        <f>IFERROR(__xludf.DUMMYFUNCTION("""COMPUTED_VALUE"""),44568.0550357407)</f>
        <v>44568.05504</v>
      </c>
      <c r="D3591" s="15">
        <f>IFERROR(__xludf.DUMMYFUNCTION("""COMPUTED_VALUE"""),1.009)</f>
        <v>1.009</v>
      </c>
      <c r="E3591" s="16">
        <f>IFERROR(__xludf.DUMMYFUNCTION("""COMPUTED_VALUE"""),67.0)</f>
        <v>67</v>
      </c>
      <c r="F3591" s="19" t="str">
        <f>IFERROR(__xludf.DUMMYFUNCTION("""COMPUTED_VALUE"""),"BLACK")</f>
        <v>BLACK</v>
      </c>
      <c r="G3591" s="20" t="str">
        <f>IFERROR(__xludf.DUMMYFUNCTION("""COMPUTED_VALUE"""),"Uncle Sams Cider (11/12/2021) 02")</f>
        <v>Uncle Sams Cider (11/12/2021) 02</v>
      </c>
      <c r="H3591" s="19"/>
    </row>
    <row r="3592">
      <c r="A3592" s="9"/>
      <c r="B3592" s="15"/>
      <c r="C3592" s="9">
        <f>IFERROR(__xludf.DUMMYFUNCTION("""COMPUTED_VALUE"""),44568.0446029398)</f>
        <v>44568.0446</v>
      </c>
      <c r="D3592" s="15">
        <f>IFERROR(__xludf.DUMMYFUNCTION("""COMPUTED_VALUE"""),1.009)</f>
        <v>1.009</v>
      </c>
      <c r="E3592" s="16">
        <f>IFERROR(__xludf.DUMMYFUNCTION("""COMPUTED_VALUE"""),67.0)</f>
        <v>67</v>
      </c>
      <c r="F3592" s="19" t="str">
        <f>IFERROR(__xludf.DUMMYFUNCTION("""COMPUTED_VALUE"""),"BLACK")</f>
        <v>BLACK</v>
      </c>
      <c r="G3592" s="20" t="str">
        <f>IFERROR(__xludf.DUMMYFUNCTION("""COMPUTED_VALUE"""),"Uncle Sams Cider (11/12/2021) 02")</f>
        <v>Uncle Sams Cider (11/12/2021) 02</v>
      </c>
      <c r="H3592" s="19"/>
    </row>
    <row r="3593">
      <c r="A3593" s="9"/>
      <c r="B3593" s="15"/>
      <c r="C3593" s="9">
        <f>IFERROR(__xludf.DUMMYFUNCTION("""COMPUTED_VALUE"""),44568.0341713657)</f>
        <v>44568.03417</v>
      </c>
      <c r="D3593" s="15">
        <f>IFERROR(__xludf.DUMMYFUNCTION("""COMPUTED_VALUE"""),1.009)</f>
        <v>1.009</v>
      </c>
      <c r="E3593" s="16">
        <f>IFERROR(__xludf.DUMMYFUNCTION("""COMPUTED_VALUE"""),67.0)</f>
        <v>67</v>
      </c>
      <c r="F3593" s="19" t="str">
        <f>IFERROR(__xludf.DUMMYFUNCTION("""COMPUTED_VALUE"""),"BLACK")</f>
        <v>BLACK</v>
      </c>
      <c r="G3593" s="20" t="str">
        <f>IFERROR(__xludf.DUMMYFUNCTION("""COMPUTED_VALUE"""),"Uncle Sams Cider (11/12/2021) 02")</f>
        <v>Uncle Sams Cider (11/12/2021) 02</v>
      </c>
      <c r="H3593" s="19"/>
    </row>
    <row r="3594">
      <c r="A3594" s="9"/>
      <c r="B3594" s="15"/>
      <c r="C3594" s="9">
        <f>IFERROR(__xludf.DUMMYFUNCTION("""COMPUTED_VALUE"""),44568.0237291782)</f>
        <v>44568.02373</v>
      </c>
      <c r="D3594" s="15">
        <f>IFERROR(__xludf.DUMMYFUNCTION("""COMPUTED_VALUE"""),1.009)</f>
        <v>1.009</v>
      </c>
      <c r="E3594" s="16">
        <f>IFERROR(__xludf.DUMMYFUNCTION("""COMPUTED_VALUE"""),68.0)</f>
        <v>68</v>
      </c>
      <c r="F3594" s="19" t="str">
        <f>IFERROR(__xludf.DUMMYFUNCTION("""COMPUTED_VALUE"""),"BLACK")</f>
        <v>BLACK</v>
      </c>
      <c r="G3594" s="20" t="str">
        <f>IFERROR(__xludf.DUMMYFUNCTION("""COMPUTED_VALUE"""),"Uncle Sams Cider (11/12/2021) 02")</f>
        <v>Uncle Sams Cider (11/12/2021) 02</v>
      </c>
      <c r="H3594" s="19"/>
    </row>
    <row r="3595">
      <c r="A3595" s="9"/>
      <c r="B3595" s="15"/>
      <c r="C3595" s="9">
        <f>IFERROR(__xludf.DUMMYFUNCTION("""COMPUTED_VALUE"""),44568.0132725231)</f>
        <v>44568.01327</v>
      </c>
      <c r="D3595" s="15">
        <f>IFERROR(__xludf.DUMMYFUNCTION("""COMPUTED_VALUE"""),1.009)</f>
        <v>1.009</v>
      </c>
      <c r="E3595" s="16">
        <f>IFERROR(__xludf.DUMMYFUNCTION("""COMPUTED_VALUE"""),68.0)</f>
        <v>68</v>
      </c>
      <c r="F3595" s="19" t="str">
        <f>IFERROR(__xludf.DUMMYFUNCTION("""COMPUTED_VALUE"""),"BLACK")</f>
        <v>BLACK</v>
      </c>
      <c r="G3595" s="20" t="str">
        <f>IFERROR(__xludf.DUMMYFUNCTION("""COMPUTED_VALUE"""),"Uncle Sams Cider (11/12/2021) 02")</f>
        <v>Uncle Sams Cider (11/12/2021) 02</v>
      </c>
      <c r="H3595" s="19"/>
    </row>
    <row r="3596">
      <c r="A3596" s="9"/>
      <c r="B3596" s="15"/>
      <c r="C3596" s="9">
        <f>IFERROR(__xludf.DUMMYFUNCTION("""COMPUTED_VALUE"""),44568.0028165277)</f>
        <v>44568.00282</v>
      </c>
      <c r="D3596" s="15">
        <f>IFERROR(__xludf.DUMMYFUNCTION("""COMPUTED_VALUE"""),1.009)</f>
        <v>1.009</v>
      </c>
      <c r="E3596" s="16">
        <f>IFERROR(__xludf.DUMMYFUNCTION("""COMPUTED_VALUE"""),68.0)</f>
        <v>68</v>
      </c>
      <c r="F3596" s="19" t="str">
        <f>IFERROR(__xludf.DUMMYFUNCTION("""COMPUTED_VALUE"""),"BLACK")</f>
        <v>BLACK</v>
      </c>
      <c r="G3596" s="20" t="str">
        <f>IFERROR(__xludf.DUMMYFUNCTION("""COMPUTED_VALUE"""),"Uncle Sams Cider (11/12/2021) 02")</f>
        <v>Uncle Sams Cider (11/12/2021) 02</v>
      </c>
      <c r="H3596" s="19"/>
    </row>
    <row r="3597">
      <c r="A3597" s="9"/>
      <c r="B3597" s="15"/>
      <c r="C3597" s="9">
        <f>IFERROR(__xludf.DUMMYFUNCTION("""COMPUTED_VALUE"""),44567.9923150925)</f>
        <v>44567.99232</v>
      </c>
      <c r="D3597" s="15">
        <f>IFERROR(__xludf.DUMMYFUNCTION("""COMPUTED_VALUE"""),1.009)</f>
        <v>1.009</v>
      </c>
      <c r="E3597" s="16">
        <f>IFERROR(__xludf.DUMMYFUNCTION("""COMPUTED_VALUE"""),68.0)</f>
        <v>68</v>
      </c>
      <c r="F3597" s="19" t="str">
        <f>IFERROR(__xludf.DUMMYFUNCTION("""COMPUTED_VALUE"""),"BLACK")</f>
        <v>BLACK</v>
      </c>
      <c r="G3597" s="20" t="str">
        <f>IFERROR(__xludf.DUMMYFUNCTION("""COMPUTED_VALUE"""),"Uncle Sams Cider (11/12/2021) 02")</f>
        <v>Uncle Sams Cider (11/12/2021) 02</v>
      </c>
      <c r="H3597" s="19"/>
    </row>
    <row r="3598">
      <c r="A3598" s="9"/>
      <c r="B3598" s="15"/>
      <c r="C3598" s="9">
        <f>IFERROR(__xludf.DUMMYFUNCTION("""COMPUTED_VALUE"""),44567.9818930092)</f>
        <v>44567.98189</v>
      </c>
      <c r="D3598" s="15">
        <f>IFERROR(__xludf.DUMMYFUNCTION("""COMPUTED_VALUE"""),1.009)</f>
        <v>1.009</v>
      </c>
      <c r="E3598" s="16">
        <f>IFERROR(__xludf.DUMMYFUNCTION("""COMPUTED_VALUE"""),68.0)</f>
        <v>68</v>
      </c>
      <c r="F3598" s="19" t="str">
        <f>IFERROR(__xludf.DUMMYFUNCTION("""COMPUTED_VALUE"""),"BLACK")</f>
        <v>BLACK</v>
      </c>
      <c r="G3598" s="20" t="str">
        <f>IFERROR(__xludf.DUMMYFUNCTION("""COMPUTED_VALUE"""),"Uncle Sams Cider (11/12/2021) 02")</f>
        <v>Uncle Sams Cider (11/12/2021) 02</v>
      </c>
      <c r="H3598" s="19"/>
    </row>
    <row r="3599">
      <c r="A3599" s="9"/>
      <c r="B3599" s="15"/>
      <c r="C3599" s="9">
        <f>IFERROR(__xludf.DUMMYFUNCTION("""COMPUTED_VALUE"""),44567.9714610069)</f>
        <v>44567.97146</v>
      </c>
      <c r="D3599" s="15">
        <f>IFERROR(__xludf.DUMMYFUNCTION("""COMPUTED_VALUE"""),1.009)</f>
        <v>1.009</v>
      </c>
      <c r="E3599" s="16">
        <f>IFERROR(__xludf.DUMMYFUNCTION("""COMPUTED_VALUE"""),68.0)</f>
        <v>68</v>
      </c>
      <c r="F3599" s="19" t="str">
        <f>IFERROR(__xludf.DUMMYFUNCTION("""COMPUTED_VALUE"""),"BLACK")</f>
        <v>BLACK</v>
      </c>
      <c r="G3599" s="20" t="str">
        <f>IFERROR(__xludf.DUMMYFUNCTION("""COMPUTED_VALUE"""),"Uncle Sams Cider (11/12/2021) 02")</f>
        <v>Uncle Sams Cider (11/12/2021) 02</v>
      </c>
      <c r="H3599" s="19"/>
    </row>
    <row r="3600">
      <c r="A3600" s="9"/>
      <c r="B3600" s="15"/>
      <c r="C3600" s="9">
        <f>IFERROR(__xludf.DUMMYFUNCTION("""COMPUTED_VALUE"""),44567.9610283912)</f>
        <v>44567.96103</v>
      </c>
      <c r="D3600" s="15">
        <f>IFERROR(__xludf.DUMMYFUNCTION("""COMPUTED_VALUE"""),1.009)</f>
        <v>1.009</v>
      </c>
      <c r="E3600" s="16">
        <f>IFERROR(__xludf.DUMMYFUNCTION("""COMPUTED_VALUE"""),68.0)</f>
        <v>68</v>
      </c>
      <c r="F3600" s="19" t="str">
        <f>IFERROR(__xludf.DUMMYFUNCTION("""COMPUTED_VALUE"""),"BLACK")</f>
        <v>BLACK</v>
      </c>
      <c r="G3600" s="20" t="str">
        <f>IFERROR(__xludf.DUMMYFUNCTION("""COMPUTED_VALUE"""),"Uncle Sams Cider (11/12/2021) 02")</f>
        <v>Uncle Sams Cider (11/12/2021) 02</v>
      </c>
      <c r="H3600" s="19"/>
    </row>
    <row r="3601">
      <c r="A3601" s="9"/>
      <c r="B3601" s="15"/>
      <c r="C3601" s="9">
        <f>IFERROR(__xludf.DUMMYFUNCTION("""COMPUTED_VALUE"""),44567.9506049652)</f>
        <v>44567.9506</v>
      </c>
      <c r="D3601" s="15">
        <f>IFERROR(__xludf.DUMMYFUNCTION("""COMPUTED_VALUE"""),1.009)</f>
        <v>1.009</v>
      </c>
      <c r="E3601" s="16">
        <f>IFERROR(__xludf.DUMMYFUNCTION("""COMPUTED_VALUE"""),68.0)</f>
        <v>68</v>
      </c>
      <c r="F3601" s="19" t="str">
        <f>IFERROR(__xludf.DUMMYFUNCTION("""COMPUTED_VALUE"""),"BLACK")</f>
        <v>BLACK</v>
      </c>
      <c r="G3601" s="20" t="str">
        <f>IFERROR(__xludf.DUMMYFUNCTION("""COMPUTED_VALUE"""),"Uncle Sams Cider (11/12/2021) 02")</f>
        <v>Uncle Sams Cider (11/12/2021) 02</v>
      </c>
      <c r="H3601" s="19"/>
    </row>
    <row r="3602">
      <c r="A3602" s="9"/>
      <c r="B3602" s="15"/>
      <c r="C3602" s="9">
        <f>IFERROR(__xludf.DUMMYFUNCTION("""COMPUTED_VALUE"""),44567.940172037)</f>
        <v>44567.94017</v>
      </c>
      <c r="D3602" s="15">
        <f>IFERROR(__xludf.DUMMYFUNCTION("""COMPUTED_VALUE"""),1.009)</f>
        <v>1.009</v>
      </c>
      <c r="E3602" s="16">
        <f>IFERROR(__xludf.DUMMYFUNCTION("""COMPUTED_VALUE"""),68.0)</f>
        <v>68</v>
      </c>
      <c r="F3602" s="19" t="str">
        <f>IFERROR(__xludf.DUMMYFUNCTION("""COMPUTED_VALUE"""),"BLACK")</f>
        <v>BLACK</v>
      </c>
      <c r="G3602" s="20" t="str">
        <f>IFERROR(__xludf.DUMMYFUNCTION("""COMPUTED_VALUE"""),"Uncle Sams Cider (11/12/2021) 02")</f>
        <v>Uncle Sams Cider (11/12/2021) 02</v>
      </c>
      <c r="H3602" s="19"/>
    </row>
    <row r="3603">
      <c r="A3603" s="9"/>
      <c r="B3603" s="15"/>
      <c r="C3603" s="9">
        <f>IFERROR(__xludf.DUMMYFUNCTION("""COMPUTED_VALUE"""),44567.9297490509)</f>
        <v>44567.92975</v>
      </c>
      <c r="D3603" s="15">
        <f>IFERROR(__xludf.DUMMYFUNCTION("""COMPUTED_VALUE"""),1.009)</f>
        <v>1.009</v>
      </c>
      <c r="E3603" s="16">
        <f>IFERROR(__xludf.DUMMYFUNCTION("""COMPUTED_VALUE"""),68.0)</f>
        <v>68</v>
      </c>
      <c r="F3603" s="19" t="str">
        <f>IFERROR(__xludf.DUMMYFUNCTION("""COMPUTED_VALUE"""),"BLACK")</f>
        <v>BLACK</v>
      </c>
      <c r="G3603" s="20" t="str">
        <f>IFERROR(__xludf.DUMMYFUNCTION("""COMPUTED_VALUE"""),"Uncle Sams Cider (11/12/2021) 02")</f>
        <v>Uncle Sams Cider (11/12/2021) 02</v>
      </c>
      <c r="H3603" s="19"/>
    </row>
    <row r="3604">
      <c r="A3604" s="9"/>
      <c r="B3604" s="15"/>
      <c r="C3604" s="9">
        <f>IFERROR(__xludf.DUMMYFUNCTION("""COMPUTED_VALUE"""),44567.9193049189)</f>
        <v>44567.9193</v>
      </c>
      <c r="D3604" s="15">
        <f>IFERROR(__xludf.DUMMYFUNCTION("""COMPUTED_VALUE"""),1.009)</f>
        <v>1.009</v>
      </c>
      <c r="E3604" s="16">
        <f>IFERROR(__xludf.DUMMYFUNCTION("""COMPUTED_VALUE"""),68.0)</f>
        <v>68</v>
      </c>
      <c r="F3604" s="19" t="str">
        <f>IFERROR(__xludf.DUMMYFUNCTION("""COMPUTED_VALUE"""),"BLACK")</f>
        <v>BLACK</v>
      </c>
      <c r="G3604" s="20" t="str">
        <f>IFERROR(__xludf.DUMMYFUNCTION("""COMPUTED_VALUE"""),"Uncle Sams Cider (11/12/2021) 02")</f>
        <v>Uncle Sams Cider (11/12/2021) 02</v>
      </c>
      <c r="H3604" s="19"/>
    </row>
    <row r="3605">
      <c r="A3605" s="9"/>
      <c r="B3605" s="15"/>
      <c r="C3605" s="9">
        <f>IFERROR(__xludf.DUMMYFUNCTION("""COMPUTED_VALUE"""),44567.9088839583)</f>
        <v>44567.90888</v>
      </c>
      <c r="D3605" s="15">
        <f>IFERROR(__xludf.DUMMYFUNCTION("""COMPUTED_VALUE"""),1.009)</f>
        <v>1.009</v>
      </c>
      <c r="E3605" s="16">
        <f>IFERROR(__xludf.DUMMYFUNCTION("""COMPUTED_VALUE"""),68.0)</f>
        <v>68</v>
      </c>
      <c r="F3605" s="19" t="str">
        <f>IFERROR(__xludf.DUMMYFUNCTION("""COMPUTED_VALUE"""),"BLACK")</f>
        <v>BLACK</v>
      </c>
      <c r="G3605" s="20" t="str">
        <f>IFERROR(__xludf.DUMMYFUNCTION("""COMPUTED_VALUE"""),"Uncle Sams Cider (11/12/2021) 02")</f>
        <v>Uncle Sams Cider (11/12/2021) 02</v>
      </c>
      <c r="H3605" s="19"/>
    </row>
    <row r="3606">
      <c r="A3606" s="9"/>
      <c r="B3606" s="15"/>
      <c r="C3606" s="9">
        <f>IFERROR(__xludf.DUMMYFUNCTION("""COMPUTED_VALUE"""),44567.8984620601)</f>
        <v>44567.89846</v>
      </c>
      <c r="D3606" s="15">
        <f>IFERROR(__xludf.DUMMYFUNCTION("""COMPUTED_VALUE"""),1.009)</f>
        <v>1.009</v>
      </c>
      <c r="E3606" s="16">
        <f>IFERROR(__xludf.DUMMYFUNCTION("""COMPUTED_VALUE"""),68.0)</f>
        <v>68</v>
      </c>
      <c r="F3606" s="19" t="str">
        <f>IFERROR(__xludf.DUMMYFUNCTION("""COMPUTED_VALUE"""),"BLACK")</f>
        <v>BLACK</v>
      </c>
      <c r="G3606" s="20" t="str">
        <f>IFERROR(__xludf.DUMMYFUNCTION("""COMPUTED_VALUE"""),"Uncle Sams Cider (11/12/2021) 02")</f>
        <v>Uncle Sams Cider (11/12/2021) 02</v>
      </c>
      <c r="H3606" s="19"/>
    </row>
    <row r="3607">
      <c r="A3607" s="9"/>
      <c r="B3607" s="15"/>
      <c r="C3607" s="9">
        <f>IFERROR(__xludf.DUMMYFUNCTION("""COMPUTED_VALUE"""),44567.8880275578)</f>
        <v>44567.88803</v>
      </c>
      <c r="D3607" s="15">
        <f>IFERROR(__xludf.DUMMYFUNCTION("""COMPUTED_VALUE"""),1.009)</f>
        <v>1.009</v>
      </c>
      <c r="E3607" s="16">
        <f>IFERROR(__xludf.DUMMYFUNCTION("""COMPUTED_VALUE"""),68.0)</f>
        <v>68</v>
      </c>
      <c r="F3607" s="19" t="str">
        <f>IFERROR(__xludf.DUMMYFUNCTION("""COMPUTED_VALUE"""),"BLACK")</f>
        <v>BLACK</v>
      </c>
      <c r="G3607" s="20" t="str">
        <f>IFERROR(__xludf.DUMMYFUNCTION("""COMPUTED_VALUE"""),"Uncle Sams Cider (11/12/2021) 02")</f>
        <v>Uncle Sams Cider (11/12/2021) 02</v>
      </c>
      <c r="H3607" s="19"/>
    </row>
    <row r="3608">
      <c r="A3608" s="9"/>
      <c r="B3608" s="15"/>
      <c r="C3608" s="9">
        <f>IFERROR(__xludf.DUMMYFUNCTION("""COMPUTED_VALUE"""),44567.8775836574)</f>
        <v>44567.87758</v>
      </c>
      <c r="D3608" s="15">
        <f>IFERROR(__xludf.DUMMYFUNCTION("""COMPUTED_VALUE"""),1.009)</f>
        <v>1.009</v>
      </c>
      <c r="E3608" s="16">
        <f>IFERROR(__xludf.DUMMYFUNCTION("""COMPUTED_VALUE"""),68.0)</f>
        <v>68</v>
      </c>
      <c r="F3608" s="19" t="str">
        <f>IFERROR(__xludf.DUMMYFUNCTION("""COMPUTED_VALUE"""),"BLACK")</f>
        <v>BLACK</v>
      </c>
      <c r="G3608" s="20" t="str">
        <f>IFERROR(__xludf.DUMMYFUNCTION("""COMPUTED_VALUE"""),"Uncle Sams Cider (11/12/2021) 02")</f>
        <v>Uncle Sams Cider (11/12/2021) 02</v>
      </c>
      <c r="H3608" s="19"/>
    </row>
    <row r="3609">
      <c r="A3609" s="9"/>
      <c r="B3609" s="15"/>
      <c r="C3609" s="9">
        <f>IFERROR(__xludf.DUMMYFUNCTION("""COMPUTED_VALUE"""),44567.867163993)</f>
        <v>44567.86716</v>
      </c>
      <c r="D3609" s="15">
        <f>IFERROR(__xludf.DUMMYFUNCTION("""COMPUTED_VALUE"""),1.009)</f>
        <v>1.009</v>
      </c>
      <c r="E3609" s="16">
        <f>IFERROR(__xludf.DUMMYFUNCTION("""COMPUTED_VALUE"""),68.0)</f>
        <v>68</v>
      </c>
      <c r="F3609" s="19" t="str">
        <f>IFERROR(__xludf.DUMMYFUNCTION("""COMPUTED_VALUE"""),"BLACK")</f>
        <v>BLACK</v>
      </c>
      <c r="G3609" s="20" t="str">
        <f>IFERROR(__xludf.DUMMYFUNCTION("""COMPUTED_VALUE"""),"Uncle Sams Cider (11/12/2021) 02")</f>
        <v>Uncle Sams Cider (11/12/2021) 02</v>
      </c>
      <c r="H3609" s="19"/>
    </row>
    <row r="3610">
      <c r="A3610" s="9"/>
      <c r="B3610" s="15"/>
      <c r="C3610" s="9">
        <f>IFERROR(__xludf.DUMMYFUNCTION("""COMPUTED_VALUE"""),44567.8566727546)</f>
        <v>44567.85667</v>
      </c>
      <c r="D3610" s="15">
        <f>IFERROR(__xludf.DUMMYFUNCTION("""COMPUTED_VALUE"""),1.009)</f>
        <v>1.009</v>
      </c>
      <c r="E3610" s="16">
        <f>IFERROR(__xludf.DUMMYFUNCTION("""COMPUTED_VALUE"""),68.0)</f>
        <v>68</v>
      </c>
      <c r="F3610" s="19" t="str">
        <f>IFERROR(__xludf.DUMMYFUNCTION("""COMPUTED_VALUE"""),"BLACK")</f>
        <v>BLACK</v>
      </c>
      <c r="G3610" s="20" t="str">
        <f>IFERROR(__xludf.DUMMYFUNCTION("""COMPUTED_VALUE"""),"Uncle Sams Cider (11/12/2021) 02")</f>
        <v>Uncle Sams Cider (11/12/2021) 02</v>
      </c>
      <c r="H3610" s="19"/>
    </row>
    <row r="3611">
      <c r="A3611" s="9"/>
      <c r="B3611" s="15"/>
      <c r="C3611" s="9">
        <f>IFERROR(__xludf.DUMMYFUNCTION("""COMPUTED_VALUE"""),44567.8462394791)</f>
        <v>44567.84624</v>
      </c>
      <c r="D3611" s="15">
        <f>IFERROR(__xludf.DUMMYFUNCTION("""COMPUTED_VALUE"""),1.009)</f>
        <v>1.009</v>
      </c>
      <c r="E3611" s="16">
        <f>IFERROR(__xludf.DUMMYFUNCTION("""COMPUTED_VALUE"""),68.0)</f>
        <v>68</v>
      </c>
      <c r="F3611" s="19" t="str">
        <f>IFERROR(__xludf.DUMMYFUNCTION("""COMPUTED_VALUE"""),"BLACK")</f>
        <v>BLACK</v>
      </c>
      <c r="G3611" s="20" t="str">
        <f>IFERROR(__xludf.DUMMYFUNCTION("""COMPUTED_VALUE"""),"Uncle Sams Cider (11/12/2021) 02")</f>
        <v>Uncle Sams Cider (11/12/2021) 02</v>
      </c>
      <c r="H3611" s="19"/>
    </row>
    <row r="3612">
      <c r="A3612" s="9"/>
      <c r="B3612" s="15"/>
      <c r="C3612" s="9">
        <f>IFERROR(__xludf.DUMMYFUNCTION("""COMPUTED_VALUE"""),44567.8358187268)</f>
        <v>44567.83582</v>
      </c>
      <c r="D3612" s="15">
        <f>IFERROR(__xludf.DUMMYFUNCTION("""COMPUTED_VALUE"""),1.009)</f>
        <v>1.009</v>
      </c>
      <c r="E3612" s="16">
        <f>IFERROR(__xludf.DUMMYFUNCTION("""COMPUTED_VALUE"""),67.0)</f>
        <v>67</v>
      </c>
      <c r="F3612" s="19" t="str">
        <f>IFERROR(__xludf.DUMMYFUNCTION("""COMPUTED_VALUE"""),"BLACK")</f>
        <v>BLACK</v>
      </c>
      <c r="G3612" s="20" t="str">
        <f>IFERROR(__xludf.DUMMYFUNCTION("""COMPUTED_VALUE"""),"Uncle Sams Cider (11/12/2021) 02")</f>
        <v>Uncle Sams Cider (11/12/2021) 02</v>
      </c>
      <c r="H3612" s="19"/>
    </row>
    <row r="3613">
      <c r="A3613" s="9"/>
      <c r="B3613" s="15"/>
      <c r="C3613" s="9">
        <f>IFERROR(__xludf.DUMMYFUNCTION("""COMPUTED_VALUE"""),44567.8253853935)</f>
        <v>44567.82539</v>
      </c>
      <c r="D3613" s="15">
        <f>IFERROR(__xludf.DUMMYFUNCTION("""COMPUTED_VALUE"""),1.009)</f>
        <v>1.009</v>
      </c>
      <c r="E3613" s="16">
        <f>IFERROR(__xludf.DUMMYFUNCTION("""COMPUTED_VALUE"""),67.0)</f>
        <v>67</v>
      </c>
      <c r="F3613" s="19" t="str">
        <f>IFERROR(__xludf.DUMMYFUNCTION("""COMPUTED_VALUE"""),"BLACK")</f>
        <v>BLACK</v>
      </c>
      <c r="G3613" s="20" t="str">
        <f>IFERROR(__xludf.DUMMYFUNCTION("""COMPUTED_VALUE"""),"Uncle Sams Cider (11/12/2021) 02")</f>
        <v>Uncle Sams Cider (11/12/2021) 02</v>
      </c>
      <c r="H3613" s="19"/>
    </row>
    <row r="3614">
      <c r="A3614" s="9"/>
      <c r="B3614" s="15"/>
      <c r="C3614" s="9">
        <f>IFERROR(__xludf.DUMMYFUNCTION("""COMPUTED_VALUE"""),44567.8149635763)</f>
        <v>44567.81496</v>
      </c>
      <c r="D3614" s="15">
        <f>IFERROR(__xludf.DUMMYFUNCTION("""COMPUTED_VALUE"""),1.009)</f>
        <v>1.009</v>
      </c>
      <c r="E3614" s="16">
        <f>IFERROR(__xludf.DUMMYFUNCTION("""COMPUTED_VALUE"""),66.0)</f>
        <v>66</v>
      </c>
      <c r="F3614" s="19" t="str">
        <f>IFERROR(__xludf.DUMMYFUNCTION("""COMPUTED_VALUE"""),"BLACK")</f>
        <v>BLACK</v>
      </c>
      <c r="G3614" s="20" t="str">
        <f>IFERROR(__xludf.DUMMYFUNCTION("""COMPUTED_VALUE"""),"Uncle Sams Cider (11/12/2021) 02")</f>
        <v>Uncle Sams Cider (11/12/2021) 02</v>
      </c>
      <c r="H3614" s="19"/>
    </row>
    <row r="3615">
      <c r="A3615" s="9"/>
      <c r="B3615" s="15"/>
      <c r="C3615" s="9">
        <f>IFERROR(__xludf.DUMMYFUNCTION("""COMPUTED_VALUE"""),44567.8045417013)</f>
        <v>44567.80454</v>
      </c>
      <c r="D3615" s="15">
        <f>IFERROR(__xludf.DUMMYFUNCTION("""COMPUTED_VALUE"""),1.009)</f>
        <v>1.009</v>
      </c>
      <c r="E3615" s="16">
        <f>IFERROR(__xludf.DUMMYFUNCTION("""COMPUTED_VALUE"""),66.0)</f>
        <v>66</v>
      </c>
      <c r="F3615" s="19" t="str">
        <f>IFERROR(__xludf.DUMMYFUNCTION("""COMPUTED_VALUE"""),"BLACK")</f>
        <v>BLACK</v>
      </c>
      <c r="G3615" s="20" t="str">
        <f>IFERROR(__xludf.DUMMYFUNCTION("""COMPUTED_VALUE"""),"Uncle Sams Cider (11/12/2021) 02")</f>
        <v>Uncle Sams Cider (11/12/2021) 02</v>
      </c>
      <c r="H3615" s="19"/>
    </row>
    <row r="3616">
      <c r="A3616" s="9"/>
      <c r="B3616" s="15"/>
      <c r="C3616" s="9">
        <f>IFERROR(__xludf.DUMMYFUNCTION("""COMPUTED_VALUE"""),44567.7941200115)</f>
        <v>44567.79412</v>
      </c>
      <c r="D3616" s="15">
        <f>IFERROR(__xludf.DUMMYFUNCTION("""COMPUTED_VALUE"""),1.009)</f>
        <v>1.009</v>
      </c>
      <c r="E3616" s="16">
        <f>IFERROR(__xludf.DUMMYFUNCTION("""COMPUTED_VALUE"""),66.0)</f>
        <v>66</v>
      </c>
      <c r="F3616" s="19" t="str">
        <f>IFERROR(__xludf.DUMMYFUNCTION("""COMPUTED_VALUE"""),"BLACK")</f>
        <v>BLACK</v>
      </c>
      <c r="G3616" s="20" t="str">
        <f>IFERROR(__xludf.DUMMYFUNCTION("""COMPUTED_VALUE"""),"Uncle Sams Cider (11/12/2021) 02")</f>
        <v>Uncle Sams Cider (11/12/2021) 02</v>
      </c>
      <c r="H3616" s="19"/>
    </row>
    <row r="3617">
      <c r="A3617" s="9"/>
      <c r="B3617" s="15"/>
      <c r="C3617" s="9">
        <f>IFERROR(__xludf.DUMMYFUNCTION("""COMPUTED_VALUE"""),44567.783696574)</f>
        <v>44567.7837</v>
      </c>
      <c r="D3617" s="15">
        <f>IFERROR(__xludf.DUMMYFUNCTION("""COMPUTED_VALUE"""),1.009)</f>
        <v>1.009</v>
      </c>
      <c r="E3617" s="16">
        <f>IFERROR(__xludf.DUMMYFUNCTION("""COMPUTED_VALUE"""),65.0)</f>
        <v>65</v>
      </c>
      <c r="F3617" s="19" t="str">
        <f>IFERROR(__xludf.DUMMYFUNCTION("""COMPUTED_VALUE"""),"BLACK")</f>
        <v>BLACK</v>
      </c>
      <c r="G3617" s="20" t="str">
        <f>IFERROR(__xludf.DUMMYFUNCTION("""COMPUTED_VALUE"""),"Uncle Sams Cider (11/12/2021) 02")</f>
        <v>Uncle Sams Cider (11/12/2021) 02</v>
      </c>
      <c r="H3617" s="19"/>
    </row>
    <row r="3618">
      <c r="A3618" s="9"/>
      <c r="B3618" s="15"/>
      <c r="C3618" s="9">
        <f>IFERROR(__xludf.DUMMYFUNCTION("""COMPUTED_VALUE"""),44567.7732749305)</f>
        <v>44567.77327</v>
      </c>
      <c r="D3618" s="15">
        <f>IFERROR(__xludf.DUMMYFUNCTION("""COMPUTED_VALUE"""),1.009)</f>
        <v>1.009</v>
      </c>
      <c r="E3618" s="16">
        <f>IFERROR(__xludf.DUMMYFUNCTION("""COMPUTED_VALUE"""),65.0)</f>
        <v>65</v>
      </c>
      <c r="F3618" s="19" t="str">
        <f>IFERROR(__xludf.DUMMYFUNCTION("""COMPUTED_VALUE"""),"BLACK")</f>
        <v>BLACK</v>
      </c>
      <c r="G3618" s="20" t="str">
        <f>IFERROR(__xludf.DUMMYFUNCTION("""COMPUTED_VALUE"""),"Uncle Sams Cider (11/12/2021) 02")</f>
        <v>Uncle Sams Cider (11/12/2021) 02</v>
      </c>
      <c r="H3618" s="19"/>
    </row>
    <row r="3619">
      <c r="A3619" s="9"/>
      <c r="B3619" s="15"/>
      <c r="C3619" s="9">
        <f>IFERROR(__xludf.DUMMYFUNCTION("""COMPUTED_VALUE"""),44567.762853206)</f>
        <v>44567.76285</v>
      </c>
      <c r="D3619" s="15">
        <f>IFERROR(__xludf.DUMMYFUNCTION("""COMPUTED_VALUE"""),1.009)</f>
        <v>1.009</v>
      </c>
      <c r="E3619" s="16">
        <f>IFERROR(__xludf.DUMMYFUNCTION("""COMPUTED_VALUE"""),64.0)</f>
        <v>64</v>
      </c>
      <c r="F3619" s="19" t="str">
        <f>IFERROR(__xludf.DUMMYFUNCTION("""COMPUTED_VALUE"""),"BLACK")</f>
        <v>BLACK</v>
      </c>
      <c r="G3619" s="20" t="str">
        <f>IFERROR(__xludf.DUMMYFUNCTION("""COMPUTED_VALUE"""),"Uncle Sams Cider (11/12/2021) 02")</f>
        <v>Uncle Sams Cider (11/12/2021) 02</v>
      </c>
      <c r="H3619" s="19"/>
    </row>
    <row r="3620">
      <c r="A3620" s="9"/>
      <c r="B3620" s="15"/>
      <c r="C3620" s="9">
        <f>IFERROR(__xludf.DUMMYFUNCTION("""COMPUTED_VALUE"""),44567.7524313425)</f>
        <v>44567.75243</v>
      </c>
      <c r="D3620" s="15">
        <f>IFERROR(__xludf.DUMMYFUNCTION("""COMPUTED_VALUE"""),1.009)</f>
        <v>1.009</v>
      </c>
      <c r="E3620" s="16">
        <f>IFERROR(__xludf.DUMMYFUNCTION("""COMPUTED_VALUE"""),64.0)</f>
        <v>64</v>
      </c>
      <c r="F3620" s="19" t="str">
        <f>IFERROR(__xludf.DUMMYFUNCTION("""COMPUTED_VALUE"""),"BLACK")</f>
        <v>BLACK</v>
      </c>
      <c r="G3620" s="20" t="str">
        <f>IFERROR(__xludf.DUMMYFUNCTION("""COMPUTED_VALUE"""),"Uncle Sams Cider (11/12/2021) 02")</f>
        <v>Uncle Sams Cider (11/12/2021) 02</v>
      </c>
      <c r="H3620" s="19"/>
    </row>
    <row r="3621">
      <c r="A3621" s="9"/>
      <c r="B3621" s="15"/>
      <c r="C3621" s="9">
        <f>IFERROR(__xludf.DUMMYFUNCTION("""COMPUTED_VALUE"""),44567.7419869791)</f>
        <v>44567.74199</v>
      </c>
      <c r="D3621" s="15">
        <f>IFERROR(__xludf.DUMMYFUNCTION("""COMPUTED_VALUE"""),1.009)</f>
        <v>1.009</v>
      </c>
      <c r="E3621" s="16">
        <f>IFERROR(__xludf.DUMMYFUNCTION("""COMPUTED_VALUE"""),63.0)</f>
        <v>63</v>
      </c>
      <c r="F3621" s="19" t="str">
        <f>IFERROR(__xludf.DUMMYFUNCTION("""COMPUTED_VALUE"""),"BLACK")</f>
        <v>BLACK</v>
      </c>
      <c r="G3621" s="20" t="str">
        <f>IFERROR(__xludf.DUMMYFUNCTION("""COMPUTED_VALUE"""),"Uncle Sams Cider (11/12/2021) 02")</f>
        <v>Uncle Sams Cider (11/12/2021) 02</v>
      </c>
      <c r="H3621" s="19"/>
    </row>
    <row r="3622">
      <c r="A3622" s="9"/>
      <c r="B3622" s="15"/>
      <c r="C3622" s="9">
        <f>IFERROR(__xludf.DUMMYFUNCTION("""COMPUTED_VALUE"""),44567.7315683912)</f>
        <v>44567.73157</v>
      </c>
      <c r="D3622" s="15">
        <f>IFERROR(__xludf.DUMMYFUNCTION("""COMPUTED_VALUE"""),1.009)</f>
        <v>1.009</v>
      </c>
      <c r="E3622" s="16">
        <f>IFERROR(__xludf.DUMMYFUNCTION("""COMPUTED_VALUE"""),63.0)</f>
        <v>63</v>
      </c>
      <c r="F3622" s="19" t="str">
        <f>IFERROR(__xludf.DUMMYFUNCTION("""COMPUTED_VALUE"""),"BLACK")</f>
        <v>BLACK</v>
      </c>
      <c r="G3622" s="20" t="str">
        <f>IFERROR(__xludf.DUMMYFUNCTION("""COMPUTED_VALUE"""),"Uncle Sams Cider (11/12/2021) 02")</f>
        <v>Uncle Sams Cider (11/12/2021) 02</v>
      </c>
      <c r="H3622" s="19"/>
    </row>
    <row r="3623">
      <c r="A3623" s="9"/>
      <c r="B3623" s="15"/>
      <c r="C3623" s="9">
        <f>IFERROR(__xludf.DUMMYFUNCTION("""COMPUTED_VALUE"""),44567.7211465624)</f>
        <v>44567.72115</v>
      </c>
      <c r="D3623" s="15">
        <f>IFERROR(__xludf.DUMMYFUNCTION("""COMPUTED_VALUE"""),1.009)</f>
        <v>1.009</v>
      </c>
      <c r="E3623" s="16">
        <f>IFERROR(__xludf.DUMMYFUNCTION("""COMPUTED_VALUE"""),63.0)</f>
        <v>63</v>
      </c>
      <c r="F3623" s="19" t="str">
        <f>IFERROR(__xludf.DUMMYFUNCTION("""COMPUTED_VALUE"""),"BLACK")</f>
        <v>BLACK</v>
      </c>
      <c r="G3623" s="20" t="str">
        <f>IFERROR(__xludf.DUMMYFUNCTION("""COMPUTED_VALUE"""),"Uncle Sams Cider (11/12/2021) 02")</f>
        <v>Uncle Sams Cider (11/12/2021) 02</v>
      </c>
      <c r="H3623" s="19"/>
    </row>
    <row r="3624">
      <c r="A3624" s="9"/>
      <c r="B3624" s="15"/>
      <c r="C3624" s="9">
        <f>IFERROR(__xludf.DUMMYFUNCTION("""COMPUTED_VALUE"""),44567.7107149421)</f>
        <v>44567.71071</v>
      </c>
      <c r="D3624" s="15">
        <f>IFERROR(__xludf.DUMMYFUNCTION("""COMPUTED_VALUE"""),1.009)</f>
        <v>1.009</v>
      </c>
      <c r="E3624" s="16">
        <f>IFERROR(__xludf.DUMMYFUNCTION("""COMPUTED_VALUE"""),63.0)</f>
        <v>63</v>
      </c>
      <c r="F3624" s="19" t="str">
        <f>IFERROR(__xludf.DUMMYFUNCTION("""COMPUTED_VALUE"""),"BLACK")</f>
        <v>BLACK</v>
      </c>
      <c r="G3624" s="20" t="str">
        <f>IFERROR(__xludf.DUMMYFUNCTION("""COMPUTED_VALUE"""),"Uncle Sams Cider (11/12/2021) 02")</f>
        <v>Uncle Sams Cider (11/12/2021) 02</v>
      </c>
      <c r="H3624" s="19"/>
    </row>
    <row r="3625">
      <c r="A3625" s="9"/>
      <c r="B3625" s="15"/>
      <c r="C3625" s="9">
        <f>IFERROR(__xludf.DUMMYFUNCTION("""COMPUTED_VALUE"""),44567.7002930555)</f>
        <v>44567.70029</v>
      </c>
      <c r="D3625" s="15">
        <f>IFERROR(__xludf.DUMMYFUNCTION("""COMPUTED_VALUE"""),1.01)</f>
        <v>1.01</v>
      </c>
      <c r="E3625" s="16">
        <f>IFERROR(__xludf.DUMMYFUNCTION("""COMPUTED_VALUE"""),63.0)</f>
        <v>63</v>
      </c>
      <c r="F3625" s="19" t="str">
        <f>IFERROR(__xludf.DUMMYFUNCTION("""COMPUTED_VALUE"""),"BLACK")</f>
        <v>BLACK</v>
      </c>
      <c r="G3625" s="20" t="str">
        <f>IFERROR(__xludf.DUMMYFUNCTION("""COMPUTED_VALUE"""),"Uncle Sams Cider (11/12/2021) 02")</f>
        <v>Uncle Sams Cider (11/12/2021) 02</v>
      </c>
      <c r="H3625" s="19"/>
    </row>
    <row r="3626">
      <c r="A3626" s="9"/>
      <c r="B3626" s="15"/>
      <c r="C3626" s="9">
        <f>IFERROR(__xludf.DUMMYFUNCTION("""COMPUTED_VALUE"""),44567.6898358449)</f>
        <v>44567.68984</v>
      </c>
      <c r="D3626" s="15">
        <f>IFERROR(__xludf.DUMMYFUNCTION("""COMPUTED_VALUE"""),1.009)</f>
        <v>1.009</v>
      </c>
      <c r="E3626" s="16">
        <f>IFERROR(__xludf.DUMMYFUNCTION("""COMPUTED_VALUE"""),63.0)</f>
        <v>63</v>
      </c>
      <c r="F3626" s="19" t="str">
        <f>IFERROR(__xludf.DUMMYFUNCTION("""COMPUTED_VALUE"""),"BLACK")</f>
        <v>BLACK</v>
      </c>
      <c r="G3626" s="20" t="str">
        <f>IFERROR(__xludf.DUMMYFUNCTION("""COMPUTED_VALUE"""),"Uncle Sams Cider (11/12/2021) 02")</f>
        <v>Uncle Sams Cider (11/12/2021) 02</v>
      </c>
      <c r="H3626" s="19"/>
    </row>
    <row r="3627">
      <c r="A3627" s="9"/>
      <c r="B3627" s="15"/>
      <c r="C3627" s="9">
        <f>IFERROR(__xludf.DUMMYFUNCTION("""COMPUTED_VALUE"""),44567.6794044791)</f>
        <v>44567.6794</v>
      </c>
      <c r="D3627" s="15">
        <f>IFERROR(__xludf.DUMMYFUNCTION("""COMPUTED_VALUE"""),1.01)</f>
        <v>1.01</v>
      </c>
      <c r="E3627" s="16">
        <f>IFERROR(__xludf.DUMMYFUNCTION("""COMPUTED_VALUE"""),63.0)</f>
        <v>63</v>
      </c>
      <c r="F3627" s="19" t="str">
        <f>IFERROR(__xludf.DUMMYFUNCTION("""COMPUTED_VALUE"""),"BLACK")</f>
        <v>BLACK</v>
      </c>
      <c r="G3627" s="20" t="str">
        <f>IFERROR(__xludf.DUMMYFUNCTION("""COMPUTED_VALUE"""),"Uncle Sams Cider (11/12/2021) 02")</f>
        <v>Uncle Sams Cider (11/12/2021) 02</v>
      </c>
      <c r="H3627" s="19"/>
    </row>
    <row r="3628">
      <c r="A3628" s="9"/>
      <c r="B3628" s="15"/>
      <c r="C3628" s="9">
        <f>IFERROR(__xludf.DUMMYFUNCTION("""COMPUTED_VALUE"""),44567.6689824305)</f>
        <v>44567.66898</v>
      </c>
      <c r="D3628" s="15">
        <f>IFERROR(__xludf.DUMMYFUNCTION("""COMPUTED_VALUE"""),1.009)</f>
        <v>1.009</v>
      </c>
      <c r="E3628" s="16">
        <f>IFERROR(__xludf.DUMMYFUNCTION("""COMPUTED_VALUE"""),63.0)</f>
        <v>63</v>
      </c>
      <c r="F3628" s="19" t="str">
        <f>IFERROR(__xludf.DUMMYFUNCTION("""COMPUTED_VALUE"""),"BLACK")</f>
        <v>BLACK</v>
      </c>
      <c r="G3628" s="20" t="str">
        <f>IFERROR(__xludf.DUMMYFUNCTION("""COMPUTED_VALUE"""),"Uncle Sams Cider (11/12/2021) 02")</f>
        <v>Uncle Sams Cider (11/12/2021) 02</v>
      </c>
      <c r="H3628" s="19"/>
    </row>
    <row r="3629">
      <c r="A3629" s="9"/>
      <c r="B3629" s="15"/>
      <c r="C3629" s="9">
        <f>IFERROR(__xludf.DUMMYFUNCTION("""COMPUTED_VALUE"""),44567.6585618171)</f>
        <v>44567.65856</v>
      </c>
      <c r="D3629" s="15">
        <f>IFERROR(__xludf.DUMMYFUNCTION("""COMPUTED_VALUE"""),1.009)</f>
        <v>1.009</v>
      </c>
      <c r="E3629" s="16">
        <f>IFERROR(__xludf.DUMMYFUNCTION("""COMPUTED_VALUE"""),63.0)</f>
        <v>63</v>
      </c>
      <c r="F3629" s="19" t="str">
        <f>IFERROR(__xludf.DUMMYFUNCTION("""COMPUTED_VALUE"""),"BLACK")</f>
        <v>BLACK</v>
      </c>
      <c r="G3629" s="20" t="str">
        <f>IFERROR(__xludf.DUMMYFUNCTION("""COMPUTED_VALUE"""),"Uncle Sams Cider (11/12/2021) 02")</f>
        <v>Uncle Sams Cider (11/12/2021) 02</v>
      </c>
      <c r="H3629" s="19"/>
    </row>
    <row r="3630">
      <c r="A3630" s="9"/>
      <c r="B3630" s="15"/>
      <c r="C3630" s="9">
        <f>IFERROR(__xludf.DUMMYFUNCTION("""COMPUTED_VALUE"""),44567.648141331)</f>
        <v>44567.64814</v>
      </c>
      <c r="D3630" s="15">
        <f>IFERROR(__xludf.DUMMYFUNCTION("""COMPUTED_VALUE"""),1.009)</f>
        <v>1.009</v>
      </c>
      <c r="E3630" s="16">
        <f>IFERROR(__xludf.DUMMYFUNCTION("""COMPUTED_VALUE"""),63.0)</f>
        <v>63</v>
      </c>
      <c r="F3630" s="19" t="str">
        <f>IFERROR(__xludf.DUMMYFUNCTION("""COMPUTED_VALUE"""),"BLACK")</f>
        <v>BLACK</v>
      </c>
      <c r="G3630" s="20" t="str">
        <f>IFERROR(__xludf.DUMMYFUNCTION("""COMPUTED_VALUE"""),"Uncle Sams Cider (11/12/2021) 02")</f>
        <v>Uncle Sams Cider (11/12/2021) 02</v>
      </c>
      <c r="H3630" s="19"/>
    </row>
    <row r="3631">
      <c r="A3631" s="9"/>
      <c r="B3631" s="15"/>
      <c r="C3631" s="9">
        <f>IFERROR(__xludf.DUMMYFUNCTION("""COMPUTED_VALUE"""),44567.6376743402)</f>
        <v>44567.63767</v>
      </c>
      <c r="D3631" s="15">
        <f>IFERROR(__xludf.DUMMYFUNCTION("""COMPUTED_VALUE"""),1.01)</f>
        <v>1.01</v>
      </c>
      <c r="E3631" s="16">
        <f>IFERROR(__xludf.DUMMYFUNCTION("""COMPUTED_VALUE"""),63.0)</f>
        <v>63</v>
      </c>
      <c r="F3631" s="19" t="str">
        <f>IFERROR(__xludf.DUMMYFUNCTION("""COMPUTED_VALUE"""),"BLACK")</f>
        <v>BLACK</v>
      </c>
      <c r="G3631" s="20" t="str">
        <f>IFERROR(__xludf.DUMMYFUNCTION("""COMPUTED_VALUE"""),"Uncle Sams Cider (11/12/2021) 02")</f>
        <v>Uncle Sams Cider (11/12/2021) 02</v>
      </c>
      <c r="H3631" s="19"/>
    </row>
    <row r="3632">
      <c r="A3632" s="9"/>
      <c r="B3632" s="15"/>
      <c r="C3632" s="9">
        <f>IFERROR(__xludf.DUMMYFUNCTION("""COMPUTED_VALUE"""),44567.6272419444)</f>
        <v>44567.62724</v>
      </c>
      <c r="D3632" s="15">
        <f>IFERROR(__xludf.DUMMYFUNCTION("""COMPUTED_VALUE"""),1.009)</f>
        <v>1.009</v>
      </c>
      <c r="E3632" s="16">
        <f>IFERROR(__xludf.DUMMYFUNCTION("""COMPUTED_VALUE"""),63.0)</f>
        <v>63</v>
      </c>
      <c r="F3632" s="19" t="str">
        <f>IFERROR(__xludf.DUMMYFUNCTION("""COMPUTED_VALUE"""),"BLACK")</f>
        <v>BLACK</v>
      </c>
      <c r="G3632" s="20" t="str">
        <f>IFERROR(__xludf.DUMMYFUNCTION("""COMPUTED_VALUE"""),"Uncle Sams Cider (11/12/2021) 02")</f>
        <v>Uncle Sams Cider (11/12/2021) 02</v>
      </c>
      <c r="H3632" s="19"/>
    </row>
    <row r="3633">
      <c r="A3633" s="9"/>
      <c r="B3633" s="15"/>
      <c r="C3633" s="9">
        <f>IFERROR(__xludf.DUMMYFUNCTION("""COMPUTED_VALUE"""),44567.6168214814)</f>
        <v>44567.61682</v>
      </c>
      <c r="D3633" s="15">
        <f>IFERROR(__xludf.DUMMYFUNCTION("""COMPUTED_VALUE"""),1.009)</f>
        <v>1.009</v>
      </c>
      <c r="E3633" s="16">
        <f>IFERROR(__xludf.DUMMYFUNCTION("""COMPUTED_VALUE"""),63.0)</f>
        <v>63</v>
      </c>
      <c r="F3633" s="19" t="str">
        <f>IFERROR(__xludf.DUMMYFUNCTION("""COMPUTED_VALUE"""),"BLACK")</f>
        <v>BLACK</v>
      </c>
      <c r="G3633" s="20" t="str">
        <f>IFERROR(__xludf.DUMMYFUNCTION("""COMPUTED_VALUE"""),"Uncle Sams Cider (11/12/2021) 02")</f>
        <v>Uncle Sams Cider (11/12/2021) 02</v>
      </c>
      <c r="H3633" s="19"/>
    </row>
    <row r="3634">
      <c r="A3634" s="9"/>
      <c r="B3634" s="15"/>
      <c r="C3634" s="9">
        <f>IFERROR(__xludf.DUMMYFUNCTION("""COMPUTED_VALUE"""),44567.6063888194)</f>
        <v>44567.60639</v>
      </c>
      <c r="D3634" s="15">
        <f>IFERROR(__xludf.DUMMYFUNCTION("""COMPUTED_VALUE"""),1.009)</f>
        <v>1.009</v>
      </c>
      <c r="E3634" s="16">
        <f>IFERROR(__xludf.DUMMYFUNCTION("""COMPUTED_VALUE"""),63.0)</f>
        <v>63</v>
      </c>
      <c r="F3634" s="19" t="str">
        <f>IFERROR(__xludf.DUMMYFUNCTION("""COMPUTED_VALUE"""),"BLACK")</f>
        <v>BLACK</v>
      </c>
      <c r="G3634" s="20" t="str">
        <f>IFERROR(__xludf.DUMMYFUNCTION("""COMPUTED_VALUE"""),"Uncle Sams Cider (11/12/2021) 02")</f>
        <v>Uncle Sams Cider (11/12/2021) 02</v>
      </c>
      <c r="H3634" s="19"/>
    </row>
    <row r="3635">
      <c r="A3635" s="9"/>
      <c r="B3635" s="15"/>
      <c r="C3635" s="9">
        <f>IFERROR(__xludf.DUMMYFUNCTION("""COMPUTED_VALUE"""),44567.5959667245)</f>
        <v>44567.59597</v>
      </c>
      <c r="D3635" s="15">
        <f>IFERROR(__xludf.DUMMYFUNCTION("""COMPUTED_VALUE"""),1.01)</f>
        <v>1.01</v>
      </c>
      <c r="E3635" s="16">
        <f>IFERROR(__xludf.DUMMYFUNCTION("""COMPUTED_VALUE"""),63.0)</f>
        <v>63</v>
      </c>
      <c r="F3635" s="19" t="str">
        <f>IFERROR(__xludf.DUMMYFUNCTION("""COMPUTED_VALUE"""),"BLACK")</f>
        <v>BLACK</v>
      </c>
      <c r="G3635" s="20" t="str">
        <f>IFERROR(__xludf.DUMMYFUNCTION("""COMPUTED_VALUE"""),"Uncle Sams Cider (11/12/2021) 02")</f>
        <v>Uncle Sams Cider (11/12/2021) 02</v>
      </c>
      <c r="H3635" s="19"/>
    </row>
    <row r="3636">
      <c r="A3636" s="9"/>
      <c r="B3636" s="15"/>
      <c r="C3636" s="9">
        <f>IFERROR(__xludf.DUMMYFUNCTION("""COMPUTED_VALUE"""),44567.5855329166)</f>
        <v>44567.58553</v>
      </c>
      <c r="D3636" s="15">
        <f>IFERROR(__xludf.DUMMYFUNCTION("""COMPUTED_VALUE"""),1.01)</f>
        <v>1.01</v>
      </c>
      <c r="E3636" s="16">
        <f>IFERROR(__xludf.DUMMYFUNCTION("""COMPUTED_VALUE"""),63.0)</f>
        <v>63</v>
      </c>
      <c r="F3636" s="19" t="str">
        <f>IFERROR(__xludf.DUMMYFUNCTION("""COMPUTED_VALUE"""),"BLACK")</f>
        <v>BLACK</v>
      </c>
      <c r="G3636" s="20" t="str">
        <f>IFERROR(__xludf.DUMMYFUNCTION("""COMPUTED_VALUE"""),"Uncle Sams Cider (11/12/2021) 02")</f>
        <v>Uncle Sams Cider (11/12/2021) 02</v>
      </c>
      <c r="H3636" s="19"/>
    </row>
    <row r="3637">
      <c r="A3637" s="9"/>
      <c r="B3637" s="15"/>
      <c r="C3637" s="9">
        <f>IFERROR(__xludf.DUMMYFUNCTION("""COMPUTED_VALUE"""),44567.5751123263)</f>
        <v>44567.57511</v>
      </c>
      <c r="D3637" s="15">
        <f>IFERROR(__xludf.DUMMYFUNCTION("""COMPUTED_VALUE"""),1.01)</f>
        <v>1.01</v>
      </c>
      <c r="E3637" s="16">
        <f>IFERROR(__xludf.DUMMYFUNCTION("""COMPUTED_VALUE"""),63.0)</f>
        <v>63</v>
      </c>
      <c r="F3637" s="19" t="str">
        <f>IFERROR(__xludf.DUMMYFUNCTION("""COMPUTED_VALUE"""),"BLACK")</f>
        <v>BLACK</v>
      </c>
      <c r="G3637" s="20" t="str">
        <f>IFERROR(__xludf.DUMMYFUNCTION("""COMPUTED_VALUE"""),"Uncle Sams Cider (11/12/2021) 02")</f>
        <v>Uncle Sams Cider (11/12/2021) 02</v>
      </c>
      <c r="H3637" s="19"/>
    </row>
    <row r="3638">
      <c r="A3638" s="9"/>
      <c r="B3638" s="15"/>
      <c r="C3638" s="9">
        <f>IFERROR(__xludf.DUMMYFUNCTION("""COMPUTED_VALUE"""),44567.5646807638)</f>
        <v>44567.56468</v>
      </c>
      <c r="D3638" s="15">
        <f>IFERROR(__xludf.DUMMYFUNCTION("""COMPUTED_VALUE"""),1.009)</f>
        <v>1.009</v>
      </c>
      <c r="E3638" s="16">
        <f>IFERROR(__xludf.DUMMYFUNCTION("""COMPUTED_VALUE"""),63.0)</f>
        <v>63</v>
      </c>
      <c r="F3638" s="19" t="str">
        <f>IFERROR(__xludf.DUMMYFUNCTION("""COMPUTED_VALUE"""),"BLACK")</f>
        <v>BLACK</v>
      </c>
      <c r="G3638" s="20" t="str">
        <f>IFERROR(__xludf.DUMMYFUNCTION("""COMPUTED_VALUE"""),"Uncle Sams Cider (11/12/2021) 02")</f>
        <v>Uncle Sams Cider (11/12/2021) 02</v>
      </c>
      <c r="H3638" s="19"/>
    </row>
    <row r="3639">
      <c r="A3639" s="9"/>
      <c r="B3639" s="15"/>
      <c r="C3639" s="9">
        <f>IFERROR(__xludf.DUMMYFUNCTION("""COMPUTED_VALUE"""),44567.5542483796)</f>
        <v>44567.55425</v>
      </c>
      <c r="D3639" s="15">
        <f>IFERROR(__xludf.DUMMYFUNCTION("""COMPUTED_VALUE"""),1.009)</f>
        <v>1.009</v>
      </c>
      <c r="E3639" s="16">
        <f>IFERROR(__xludf.DUMMYFUNCTION("""COMPUTED_VALUE"""),63.0)</f>
        <v>63</v>
      </c>
      <c r="F3639" s="19" t="str">
        <f>IFERROR(__xludf.DUMMYFUNCTION("""COMPUTED_VALUE"""),"BLACK")</f>
        <v>BLACK</v>
      </c>
      <c r="G3639" s="20" t="str">
        <f>IFERROR(__xludf.DUMMYFUNCTION("""COMPUTED_VALUE"""),"Uncle Sams Cider (11/12/2021) 02")</f>
        <v>Uncle Sams Cider (11/12/2021) 02</v>
      </c>
      <c r="H3639" s="19"/>
    </row>
    <row r="3640">
      <c r="A3640" s="9"/>
      <c r="B3640" s="15"/>
      <c r="C3640" s="9">
        <f>IFERROR(__xludf.DUMMYFUNCTION("""COMPUTED_VALUE"""),44567.5438263657)</f>
        <v>44567.54383</v>
      </c>
      <c r="D3640" s="15">
        <f>IFERROR(__xludf.DUMMYFUNCTION("""COMPUTED_VALUE"""),1.009)</f>
        <v>1.009</v>
      </c>
      <c r="E3640" s="16">
        <f>IFERROR(__xludf.DUMMYFUNCTION("""COMPUTED_VALUE"""),63.0)</f>
        <v>63</v>
      </c>
      <c r="F3640" s="19" t="str">
        <f>IFERROR(__xludf.DUMMYFUNCTION("""COMPUTED_VALUE"""),"BLACK")</f>
        <v>BLACK</v>
      </c>
      <c r="G3640" s="20" t="str">
        <f>IFERROR(__xludf.DUMMYFUNCTION("""COMPUTED_VALUE"""),"Uncle Sams Cider (11/12/2021) 02")</f>
        <v>Uncle Sams Cider (11/12/2021) 02</v>
      </c>
      <c r="H3640" s="19"/>
    </row>
    <row r="3641">
      <c r="A3641" s="9"/>
      <c r="B3641" s="15"/>
      <c r="C3641" s="9">
        <f>IFERROR(__xludf.DUMMYFUNCTION("""COMPUTED_VALUE"""),44567.5333919328)</f>
        <v>44567.53339</v>
      </c>
      <c r="D3641" s="15">
        <f>IFERROR(__xludf.DUMMYFUNCTION("""COMPUTED_VALUE"""),1.009)</f>
        <v>1.009</v>
      </c>
      <c r="E3641" s="16">
        <f>IFERROR(__xludf.DUMMYFUNCTION("""COMPUTED_VALUE"""),63.0)</f>
        <v>63</v>
      </c>
      <c r="F3641" s="19" t="str">
        <f>IFERROR(__xludf.DUMMYFUNCTION("""COMPUTED_VALUE"""),"BLACK")</f>
        <v>BLACK</v>
      </c>
      <c r="G3641" s="20" t="str">
        <f>IFERROR(__xludf.DUMMYFUNCTION("""COMPUTED_VALUE"""),"Uncle Sams Cider (11/12/2021) 02")</f>
        <v>Uncle Sams Cider (11/12/2021) 02</v>
      </c>
      <c r="H3641" s="19"/>
    </row>
    <row r="3642">
      <c r="A3642" s="9"/>
      <c r="B3642" s="15"/>
      <c r="C3642" s="9">
        <f>IFERROR(__xludf.DUMMYFUNCTION("""COMPUTED_VALUE"""),44567.5229574884)</f>
        <v>44567.52296</v>
      </c>
      <c r="D3642" s="15">
        <f>IFERROR(__xludf.DUMMYFUNCTION("""COMPUTED_VALUE"""),1.01)</f>
        <v>1.01</v>
      </c>
      <c r="E3642" s="16">
        <f>IFERROR(__xludf.DUMMYFUNCTION("""COMPUTED_VALUE"""),63.0)</f>
        <v>63</v>
      </c>
      <c r="F3642" s="19" t="str">
        <f>IFERROR(__xludf.DUMMYFUNCTION("""COMPUTED_VALUE"""),"BLACK")</f>
        <v>BLACK</v>
      </c>
      <c r="G3642" s="20" t="str">
        <f>IFERROR(__xludf.DUMMYFUNCTION("""COMPUTED_VALUE"""),"Uncle Sams Cider (11/12/2021) 02")</f>
        <v>Uncle Sams Cider (11/12/2021) 02</v>
      </c>
      <c r="H3642" s="19"/>
    </row>
    <row r="3643">
      <c r="A3643" s="9"/>
      <c r="B3643" s="15"/>
      <c r="C3643" s="9">
        <f>IFERROR(__xludf.DUMMYFUNCTION("""COMPUTED_VALUE"""),44567.5125358449)</f>
        <v>44567.51254</v>
      </c>
      <c r="D3643" s="15">
        <f>IFERROR(__xludf.DUMMYFUNCTION("""COMPUTED_VALUE"""),1.01)</f>
        <v>1.01</v>
      </c>
      <c r="E3643" s="16">
        <f>IFERROR(__xludf.DUMMYFUNCTION("""COMPUTED_VALUE"""),63.0)</f>
        <v>63</v>
      </c>
      <c r="F3643" s="19" t="str">
        <f>IFERROR(__xludf.DUMMYFUNCTION("""COMPUTED_VALUE"""),"BLACK")</f>
        <v>BLACK</v>
      </c>
      <c r="G3643" s="20" t="str">
        <f>IFERROR(__xludf.DUMMYFUNCTION("""COMPUTED_VALUE"""),"Uncle Sams Cider (11/12/2021) 02")</f>
        <v>Uncle Sams Cider (11/12/2021) 02</v>
      </c>
      <c r="H3643" s="19"/>
    </row>
    <row r="3644">
      <c r="A3644" s="9"/>
      <c r="B3644" s="15"/>
      <c r="C3644" s="9">
        <f>IFERROR(__xludf.DUMMYFUNCTION("""COMPUTED_VALUE"""),44567.5021152546)</f>
        <v>44567.50212</v>
      </c>
      <c r="D3644" s="15">
        <f>IFERROR(__xludf.DUMMYFUNCTION("""COMPUTED_VALUE"""),1.009)</f>
        <v>1.009</v>
      </c>
      <c r="E3644" s="16">
        <f>IFERROR(__xludf.DUMMYFUNCTION("""COMPUTED_VALUE"""),63.0)</f>
        <v>63</v>
      </c>
      <c r="F3644" s="19" t="str">
        <f>IFERROR(__xludf.DUMMYFUNCTION("""COMPUTED_VALUE"""),"BLACK")</f>
        <v>BLACK</v>
      </c>
      <c r="G3644" s="20" t="str">
        <f>IFERROR(__xludf.DUMMYFUNCTION("""COMPUTED_VALUE"""),"Uncle Sams Cider (11/12/2021) 02")</f>
        <v>Uncle Sams Cider (11/12/2021) 02</v>
      </c>
      <c r="H3644" s="19"/>
    </row>
    <row r="3645">
      <c r="A3645" s="9"/>
      <c r="B3645" s="15"/>
      <c r="C3645" s="9">
        <f>IFERROR(__xludf.DUMMYFUNCTION("""COMPUTED_VALUE"""),44567.4916945486)</f>
        <v>44567.49169</v>
      </c>
      <c r="D3645" s="15">
        <f>IFERROR(__xludf.DUMMYFUNCTION("""COMPUTED_VALUE"""),1.01)</f>
        <v>1.01</v>
      </c>
      <c r="E3645" s="16">
        <f>IFERROR(__xludf.DUMMYFUNCTION("""COMPUTED_VALUE"""),63.0)</f>
        <v>63</v>
      </c>
      <c r="F3645" s="19" t="str">
        <f>IFERROR(__xludf.DUMMYFUNCTION("""COMPUTED_VALUE"""),"BLACK")</f>
        <v>BLACK</v>
      </c>
      <c r="G3645" s="20" t="str">
        <f>IFERROR(__xludf.DUMMYFUNCTION("""COMPUTED_VALUE"""),"Uncle Sams Cider (11/12/2021) 02")</f>
        <v>Uncle Sams Cider (11/12/2021) 02</v>
      </c>
      <c r="H3645" s="19"/>
    </row>
    <row r="3646">
      <c r="A3646" s="9"/>
      <c r="B3646" s="15"/>
      <c r="C3646" s="9">
        <f>IFERROR(__xludf.DUMMYFUNCTION("""COMPUTED_VALUE"""),44567.4812719444)</f>
        <v>44567.48127</v>
      </c>
      <c r="D3646" s="15">
        <f>IFERROR(__xludf.DUMMYFUNCTION("""COMPUTED_VALUE"""),1.01)</f>
        <v>1.01</v>
      </c>
      <c r="E3646" s="16">
        <f>IFERROR(__xludf.DUMMYFUNCTION("""COMPUTED_VALUE"""),63.0)</f>
        <v>63</v>
      </c>
      <c r="F3646" s="19" t="str">
        <f>IFERROR(__xludf.DUMMYFUNCTION("""COMPUTED_VALUE"""),"BLACK")</f>
        <v>BLACK</v>
      </c>
      <c r="G3646" s="20" t="str">
        <f>IFERROR(__xludf.DUMMYFUNCTION("""COMPUTED_VALUE"""),"Uncle Sams Cider (11/12/2021) 02")</f>
        <v>Uncle Sams Cider (11/12/2021) 02</v>
      </c>
      <c r="H3646" s="19"/>
    </row>
    <row r="3647">
      <c r="A3647" s="9"/>
      <c r="B3647" s="15"/>
      <c r="C3647" s="9">
        <f>IFERROR(__xludf.DUMMYFUNCTION("""COMPUTED_VALUE"""),44567.4708487847)</f>
        <v>44567.47085</v>
      </c>
      <c r="D3647" s="15">
        <f>IFERROR(__xludf.DUMMYFUNCTION("""COMPUTED_VALUE"""),1.009)</f>
        <v>1.009</v>
      </c>
      <c r="E3647" s="16">
        <f>IFERROR(__xludf.DUMMYFUNCTION("""COMPUTED_VALUE"""),63.0)</f>
        <v>63</v>
      </c>
      <c r="F3647" s="19" t="str">
        <f>IFERROR(__xludf.DUMMYFUNCTION("""COMPUTED_VALUE"""),"BLACK")</f>
        <v>BLACK</v>
      </c>
      <c r="G3647" s="20" t="str">
        <f>IFERROR(__xludf.DUMMYFUNCTION("""COMPUTED_VALUE"""),"Uncle Sams Cider (11/12/2021) 02")</f>
        <v>Uncle Sams Cider (11/12/2021) 02</v>
      </c>
      <c r="H3647" s="19"/>
    </row>
    <row r="3648">
      <c r="A3648" s="9"/>
      <c r="B3648" s="15"/>
      <c r="C3648" s="9">
        <f>IFERROR(__xludf.DUMMYFUNCTION("""COMPUTED_VALUE"""),44567.4604270023)</f>
        <v>44567.46043</v>
      </c>
      <c r="D3648" s="15">
        <f>IFERROR(__xludf.DUMMYFUNCTION("""COMPUTED_VALUE"""),1.01)</f>
        <v>1.01</v>
      </c>
      <c r="E3648" s="16">
        <f>IFERROR(__xludf.DUMMYFUNCTION("""COMPUTED_VALUE"""),63.0)</f>
        <v>63</v>
      </c>
      <c r="F3648" s="19" t="str">
        <f>IFERROR(__xludf.DUMMYFUNCTION("""COMPUTED_VALUE"""),"BLACK")</f>
        <v>BLACK</v>
      </c>
      <c r="G3648" s="20" t="str">
        <f>IFERROR(__xludf.DUMMYFUNCTION("""COMPUTED_VALUE"""),"Uncle Sams Cider (11/12/2021) 02")</f>
        <v>Uncle Sams Cider (11/12/2021) 02</v>
      </c>
      <c r="H3648" s="19"/>
    </row>
    <row r="3649">
      <c r="A3649" s="9"/>
      <c r="B3649" s="15"/>
      <c r="C3649" s="9">
        <f>IFERROR(__xludf.DUMMYFUNCTION("""COMPUTED_VALUE"""),44567.4499941203)</f>
        <v>44567.44999</v>
      </c>
      <c r="D3649" s="15">
        <f>IFERROR(__xludf.DUMMYFUNCTION("""COMPUTED_VALUE"""),1.01)</f>
        <v>1.01</v>
      </c>
      <c r="E3649" s="16">
        <f>IFERROR(__xludf.DUMMYFUNCTION("""COMPUTED_VALUE"""),63.0)</f>
        <v>63</v>
      </c>
      <c r="F3649" s="19" t="str">
        <f>IFERROR(__xludf.DUMMYFUNCTION("""COMPUTED_VALUE"""),"BLACK")</f>
        <v>BLACK</v>
      </c>
      <c r="G3649" s="20" t="str">
        <f>IFERROR(__xludf.DUMMYFUNCTION("""COMPUTED_VALUE"""),"Uncle Sams Cider (11/12/2021) 02")</f>
        <v>Uncle Sams Cider (11/12/2021) 02</v>
      </c>
      <c r="H3649" s="19"/>
    </row>
    <row r="3650">
      <c r="A3650" s="9"/>
      <c r="B3650" s="15"/>
      <c r="C3650" s="9">
        <f>IFERROR(__xludf.DUMMYFUNCTION("""COMPUTED_VALUE"""),44567.4395724652)</f>
        <v>44567.43957</v>
      </c>
      <c r="D3650" s="15">
        <f>IFERROR(__xludf.DUMMYFUNCTION("""COMPUTED_VALUE"""),1.01)</f>
        <v>1.01</v>
      </c>
      <c r="E3650" s="16">
        <f>IFERROR(__xludf.DUMMYFUNCTION("""COMPUTED_VALUE"""),63.0)</f>
        <v>63</v>
      </c>
      <c r="F3650" s="19" t="str">
        <f>IFERROR(__xludf.DUMMYFUNCTION("""COMPUTED_VALUE"""),"BLACK")</f>
        <v>BLACK</v>
      </c>
      <c r="G3650" s="20" t="str">
        <f>IFERROR(__xludf.DUMMYFUNCTION("""COMPUTED_VALUE"""),"Uncle Sams Cider (11/12/2021) 02")</f>
        <v>Uncle Sams Cider (11/12/2021) 02</v>
      </c>
      <c r="H3650" s="19"/>
    </row>
    <row r="3651">
      <c r="A3651" s="9"/>
      <c r="B3651" s="15"/>
      <c r="C3651" s="9">
        <f>IFERROR(__xludf.DUMMYFUNCTION("""COMPUTED_VALUE"""),44567.4291514467)</f>
        <v>44567.42915</v>
      </c>
      <c r="D3651" s="15">
        <f>IFERROR(__xludf.DUMMYFUNCTION("""COMPUTED_VALUE"""),1.01)</f>
        <v>1.01</v>
      </c>
      <c r="E3651" s="16">
        <f>IFERROR(__xludf.DUMMYFUNCTION("""COMPUTED_VALUE"""),63.0)</f>
        <v>63</v>
      </c>
      <c r="F3651" s="19" t="str">
        <f>IFERROR(__xludf.DUMMYFUNCTION("""COMPUTED_VALUE"""),"BLACK")</f>
        <v>BLACK</v>
      </c>
      <c r="G3651" s="20" t="str">
        <f>IFERROR(__xludf.DUMMYFUNCTION("""COMPUTED_VALUE"""),"Uncle Sams Cider (11/12/2021) 02")</f>
        <v>Uncle Sams Cider (11/12/2021) 02</v>
      </c>
      <c r="H3651" s="19"/>
    </row>
    <row r="3652">
      <c r="A3652" s="9"/>
      <c r="B3652" s="15"/>
      <c r="C3652" s="9">
        <f>IFERROR(__xludf.DUMMYFUNCTION("""COMPUTED_VALUE"""),44567.4187299652)</f>
        <v>44567.41873</v>
      </c>
      <c r="D3652" s="15">
        <f>IFERROR(__xludf.DUMMYFUNCTION("""COMPUTED_VALUE"""),1.01)</f>
        <v>1.01</v>
      </c>
      <c r="E3652" s="16">
        <f>IFERROR(__xludf.DUMMYFUNCTION("""COMPUTED_VALUE"""),63.0)</f>
        <v>63</v>
      </c>
      <c r="F3652" s="19" t="str">
        <f>IFERROR(__xludf.DUMMYFUNCTION("""COMPUTED_VALUE"""),"BLACK")</f>
        <v>BLACK</v>
      </c>
      <c r="G3652" s="20" t="str">
        <f>IFERROR(__xludf.DUMMYFUNCTION("""COMPUTED_VALUE"""),"Uncle Sams Cider (11/12/2021) 02")</f>
        <v>Uncle Sams Cider (11/12/2021) 02</v>
      </c>
      <c r="H3652" s="19"/>
    </row>
    <row r="3653">
      <c r="A3653" s="9"/>
      <c r="B3653" s="15"/>
      <c r="C3653" s="9">
        <f>IFERROR(__xludf.DUMMYFUNCTION("""COMPUTED_VALUE"""),44567.4083086574)</f>
        <v>44567.40831</v>
      </c>
      <c r="D3653" s="15">
        <f>IFERROR(__xludf.DUMMYFUNCTION("""COMPUTED_VALUE"""),1.01)</f>
        <v>1.01</v>
      </c>
      <c r="E3653" s="16">
        <f>IFERROR(__xludf.DUMMYFUNCTION("""COMPUTED_VALUE"""),63.0)</f>
        <v>63</v>
      </c>
      <c r="F3653" s="19" t="str">
        <f>IFERROR(__xludf.DUMMYFUNCTION("""COMPUTED_VALUE"""),"BLACK")</f>
        <v>BLACK</v>
      </c>
      <c r="G3653" s="20" t="str">
        <f>IFERROR(__xludf.DUMMYFUNCTION("""COMPUTED_VALUE"""),"Uncle Sams Cider (11/12/2021) 02")</f>
        <v>Uncle Sams Cider (11/12/2021) 02</v>
      </c>
      <c r="H3653" s="19"/>
    </row>
    <row r="3654">
      <c r="A3654" s="9"/>
      <c r="B3654" s="15"/>
      <c r="C3654" s="9">
        <f>IFERROR(__xludf.DUMMYFUNCTION("""COMPUTED_VALUE"""),44567.3978413657)</f>
        <v>44567.39784</v>
      </c>
      <c r="D3654" s="15">
        <f>IFERROR(__xludf.DUMMYFUNCTION("""COMPUTED_VALUE"""),1.009)</f>
        <v>1.009</v>
      </c>
      <c r="E3654" s="16">
        <f>IFERROR(__xludf.DUMMYFUNCTION("""COMPUTED_VALUE"""),63.0)</f>
        <v>63</v>
      </c>
      <c r="F3654" s="19" t="str">
        <f>IFERROR(__xludf.DUMMYFUNCTION("""COMPUTED_VALUE"""),"BLACK")</f>
        <v>BLACK</v>
      </c>
      <c r="G3654" s="20" t="str">
        <f>IFERROR(__xludf.DUMMYFUNCTION("""COMPUTED_VALUE"""),"Uncle Sams Cider (11/12/2021) 02")</f>
        <v>Uncle Sams Cider (11/12/2021) 02</v>
      </c>
      <c r="H3654" s="19"/>
    </row>
    <row r="3655">
      <c r="A3655" s="9"/>
      <c r="B3655" s="15"/>
      <c r="C3655" s="9">
        <f>IFERROR(__xludf.DUMMYFUNCTION("""COMPUTED_VALUE"""),44567.3874079282)</f>
        <v>44567.38741</v>
      </c>
      <c r="D3655" s="15">
        <f>IFERROR(__xludf.DUMMYFUNCTION("""COMPUTED_VALUE"""),1.01)</f>
        <v>1.01</v>
      </c>
      <c r="E3655" s="16">
        <f>IFERROR(__xludf.DUMMYFUNCTION("""COMPUTED_VALUE"""),63.0)</f>
        <v>63</v>
      </c>
      <c r="F3655" s="19" t="str">
        <f>IFERROR(__xludf.DUMMYFUNCTION("""COMPUTED_VALUE"""),"BLACK")</f>
        <v>BLACK</v>
      </c>
      <c r="G3655" s="20" t="str">
        <f>IFERROR(__xludf.DUMMYFUNCTION("""COMPUTED_VALUE"""),"Uncle Sams Cider (11/12/2021) 02")</f>
        <v>Uncle Sams Cider (11/12/2021) 02</v>
      </c>
      <c r="H3655" s="19"/>
    </row>
    <row r="3656">
      <c r="A3656" s="9"/>
      <c r="B3656" s="15"/>
      <c r="C3656" s="9">
        <f>IFERROR(__xludf.DUMMYFUNCTION("""COMPUTED_VALUE"""),44567.3769848611)</f>
        <v>44567.37698</v>
      </c>
      <c r="D3656" s="15">
        <f>IFERROR(__xludf.DUMMYFUNCTION("""COMPUTED_VALUE"""),1.01)</f>
        <v>1.01</v>
      </c>
      <c r="E3656" s="16">
        <f>IFERROR(__xludf.DUMMYFUNCTION("""COMPUTED_VALUE"""),63.0)</f>
        <v>63</v>
      </c>
      <c r="F3656" s="19" t="str">
        <f>IFERROR(__xludf.DUMMYFUNCTION("""COMPUTED_VALUE"""),"BLACK")</f>
        <v>BLACK</v>
      </c>
      <c r="G3656" s="20" t="str">
        <f>IFERROR(__xludf.DUMMYFUNCTION("""COMPUTED_VALUE"""),"Uncle Sams Cider (11/12/2021) 02")</f>
        <v>Uncle Sams Cider (11/12/2021) 02</v>
      </c>
      <c r="H3656" s="19"/>
    </row>
    <row r="3657">
      <c r="A3657" s="9"/>
      <c r="B3657" s="15"/>
      <c r="C3657" s="9">
        <f>IFERROR(__xludf.DUMMYFUNCTION("""COMPUTED_VALUE"""),44567.3665631597)</f>
        <v>44567.36656</v>
      </c>
      <c r="D3657" s="15">
        <f>IFERROR(__xludf.DUMMYFUNCTION("""COMPUTED_VALUE"""),1.01)</f>
        <v>1.01</v>
      </c>
      <c r="E3657" s="16">
        <f>IFERROR(__xludf.DUMMYFUNCTION("""COMPUTED_VALUE"""),63.0)</f>
        <v>63</v>
      </c>
      <c r="F3657" s="19" t="str">
        <f>IFERROR(__xludf.DUMMYFUNCTION("""COMPUTED_VALUE"""),"BLACK")</f>
        <v>BLACK</v>
      </c>
      <c r="G3657" s="20" t="str">
        <f>IFERROR(__xludf.DUMMYFUNCTION("""COMPUTED_VALUE"""),"Uncle Sams Cider (11/12/2021) 02")</f>
        <v>Uncle Sams Cider (11/12/2021) 02</v>
      </c>
      <c r="H3657" s="19"/>
    </row>
    <row r="3658">
      <c r="A3658" s="9"/>
      <c r="B3658" s="15"/>
      <c r="C3658" s="9">
        <f>IFERROR(__xludf.DUMMYFUNCTION("""COMPUTED_VALUE"""),44567.3561413888)</f>
        <v>44567.35614</v>
      </c>
      <c r="D3658" s="15">
        <f>IFERROR(__xludf.DUMMYFUNCTION("""COMPUTED_VALUE"""),1.009)</f>
        <v>1.009</v>
      </c>
      <c r="E3658" s="16">
        <f>IFERROR(__xludf.DUMMYFUNCTION("""COMPUTED_VALUE"""),63.0)</f>
        <v>63</v>
      </c>
      <c r="F3658" s="19" t="str">
        <f>IFERROR(__xludf.DUMMYFUNCTION("""COMPUTED_VALUE"""),"BLACK")</f>
        <v>BLACK</v>
      </c>
      <c r="G3658" s="20" t="str">
        <f>IFERROR(__xludf.DUMMYFUNCTION("""COMPUTED_VALUE"""),"Uncle Sams Cider (11/12/2021) 02")</f>
        <v>Uncle Sams Cider (11/12/2021) 02</v>
      </c>
      <c r="H3658" s="19"/>
    </row>
    <row r="3659">
      <c r="A3659" s="9"/>
      <c r="B3659" s="15"/>
      <c r="C3659" s="9">
        <f>IFERROR(__xludf.DUMMYFUNCTION("""COMPUTED_VALUE"""),44567.3457199652)</f>
        <v>44567.34572</v>
      </c>
      <c r="D3659" s="15">
        <f>IFERROR(__xludf.DUMMYFUNCTION("""COMPUTED_VALUE"""),1.01)</f>
        <v>1.01</v>
      </c>
      <c r="E3659" s="16">
        <f>IFERROR(__xludf.DUMMYFUNCTION("""COMPUTED_VALUE"""),63.0)</f>
        <v>63</v>
      </c>
      <c r="F3659" s="19" t="str">
        <f>IFERROR(__xludf.DUMMYFUNCTION("""COMPUTED_VALUE"""),"BLACK")</f>
        <v>BLACK</v>
      </c>
      <c r="G3659" s="20" t="str">
        <f>IFERROR(__xludf.DUMMYFUNCTION("""COMPUTED_VALUE"""),"Uncle Sams Cider (11/12/2021) 02")</f>
        <v>Uncle Sams Cider (11/12/2021) 02</v>
      </c>
      <c r="H3659" s="19"/>
    </row>
    <row r="3660">
      <c r="A3660" s="9"/>
      <c r="B3660" s="15"/>
      <c r="C3660" s="9">
        <f>IFERROR(__xludf.DUMMYFUNCTION("""COMPUTED_VALUE"""),44567.3352872916)</f>
        <v>44567.33529</v>
      </c>
      <c r="D3660" s="15">
        <f>IFERROR(__xludf.DUMMYFUNCTION("""COMPUTED_VALUE"""),1.01)</f>
        <v>1.01</v>
      </c>
      <c r="E3660" s="16">
        <f>IFERROR(__xludf.DUMMYFUNCTION("""COMPUTED_VALUE"""),63.0)</f>
        <v>63</v>
      </c>
      <c r="F3660" s="19" t="str">
        <f>IFERROR(__xludf.DUMMYFUNCTION("""COMPUTED_VALUE"""),"BLACK")</f>
        <v>BLACK</v>
      </c>
      <c r="G3660" s="20" t="str">
        <f>IFERROR(__xludf.DUMMYFUNCTION("""COMPUTED_VALUE"""),"Uncle Sams Cider (11/12/2021) 02")</f>
        <v>Uncle Sams Cider (11/12/2021) 02</v>
      </c>
      <c r="H3660" s="19"/>
    </row>
    <row r="3661">
      <c r="A3661" s="9"/>
      <c r="B3661" s="15"/>
      <c r="C3661" s="9">
        <f>IFERROR(__xludf.DUMMYFUNCTION("""COMPUTED_VALUE"""),44567.3248660416)</f>
        <v>44567.32487</v>
      </c>
      <c r="D3661" s="15">
        <f>IFERROR(__xludf.DUMMYFUNCTION("""COMPUTED_VALUE"""),1.01)</f>
        <v>1.01</v>
      </c>
      <c r="E3661" s="16">
        <f>IFERROR(__xludf.DUMMYFUNCTION("""COMPUTED_VALUE"""),63.0)</f>
        <v>63</v>
      </c>
      <c r="F3661" s="19" t="str">
        <f>IFERROR(__xludf.DUMMYFUNCTION("""COMPUTED_VALUE"""),"BLACK")</f>
        <v>BLACK</v>
      </c>
      <c r="G3661" s="20" t="str">
        <f>IFERROR(__xludf.DUMMYFUNCTION("""COMPUTED_VALUE"""),"Uncle Sams Cider (11/12/2021) 02")</f>
        <v>Uncle Sams Cider (11/12/2021) 02</v>
      </c>
      <c r="H3661" s="19"/>
    </row>
    <row r="3662">
      <c r="A3662" s="9"/>
      <c r="B3662" s="15"/>
      <c r="C3662" s="9">
        <f>IFERROR(__xludf.DUMMYFUNCTION("""COMPUTED_VALUE"""),44567.3144339699)</f>
        <v>44567.31443</v>
      </c>
      <c r="D3662" s="15">
        <f>IFERROR(__xludf.DUMMYFUNCTION("""COMPUTED_VALUE"""),1.01)</f>
        <v>1.01</v>
      </c>
      <c r="E3662" s="16">
        <f>IFERROR(__xludf.DUMMYFUNCTION("""COMPUTED_VALUE"""),63.0)</f>
        <v>63</v>
      </c>
      <c r="F3662" s="19" t="str">
        <f>IFERROR(__xludf.DUMMYFUNCTION("""COMPUTED_VALUE"""),"BLACK")</f>
        <v>BLACK</v>
      </c>
      <c r="G3662" s="20" t="str">
        <f>IFERROR(__xludf.DUMMYFUNCTION("""COMPUTED_VALUE"""),"Uncle Sams Cider (11/12/2021) 02")</f>
        <v>Uncle Sams Cider (11/12/2021) 02</v>
      </c>
      <c r="H3662" s="19"/>
    </row>
    <row r="3663">
      <c r="A3663" s="9"/>
      <c r="B3663" s="15"/>
      <c r="C3663" s="9">
        <f>IFERROR(__xludf.DUMMYFUNCTION("""COMPUTED_VALUE"""),44567.3040143865)</f>
        <v>44567.30401</v>
      </c>
      <c r="D3663" s="15">
        <f>IFERROR(__xludf.DUMMYFUNCTION("""COMPUTED_VALUE"""),1.01)</f>
        <v>1.01</v>
      </c>
      <c r="E3663" s="16">
        <f>IFERROR(__xludf.DUMMYFUNCTION("""COMPUTED_VALUE"""),63.0)</f>
        <v>63</v>
      </c>
      <c r="F3663" s="19" t="str">
        <f>IFERROR(__xludf.DUMMYFUNCTION("""COMPUTED_VALUE"""),"BLACK")</f>
        <v>BLACK</v>
      </c>
      <c r="G3663" s="20" t="str">
        <f>IFERROR(__xludf.DUMMYFUNCTION("""COMPUTED_VALUE"""),"Uncle Sams Cider (11/12/2021) 02")</f>
        <v>Uncle Sams Cider (11/12/2021) 02</v>
      </c>
      <c r="H3663" s="19"/>
    </row>
    <row r="3664">
      <c r="A3664" s="9"/>
      <c r="B3664" s="15"/>
      <c r="C3664" s="9">
        <f>IFERROR(__xludf.DUMMYFUNCTION("""COMPUTED_VALUE"""),44567.2935814814)</f>
        <v>44567.29358</v>
      </c>
      <c r="D3664" s="15">
        <f>IFERROR(__xludf.DUMMYFUNCTION("""COMPUTED_VALUE"""),1.01)</f>
        <v>1.01</v>
      </c>
      <c r="E3664" s="16">
        <f>IFERROR(__xludf.DUMMYFUNCTION("""COMPUTED_VALUE"""),63.0)</f>
        <v>63</v>
      </c>
      <c r="F3664" s="19" t="str">
        <f>IFERROR(__xludf.DUMMYFUNCTION("""COMPUTED_VALUE"""),"BLACK")</f>
        <v>BLACK</v>
      </c>
      <c r="G3664" s="20" t="str">
        <f>IFERROR(__xludf.DUMMYFUNCTION("""COMPUTED_VALUE"""),"Uncle Sams Cider (11/12/2021) 02")</f>
        <v>Uncle Sams Cider (11/12/2021) 02</v>
      </c>
      <c r="H3664" s="19"/>
    </row>
    <row r="3665">
      <c r="A3665" s="9"/>
      <c r="B3665" s="15"/>
      <c r="C3665" s="9">
        <f>IFERROR(__xludf.DUMMYFUNCTION("""COMPUTED_VALUE"""),44567.2831574768)</f>
        <v>44567.28316</v>
      </c>
      <c r="D3665" s="15">
        <f>IFERROR(__xludf.DUMMYFUNCTION("""COMPUTED_VALUE"""),1.01)</f>
        <v>1.01</v>
      </c>
      <c r="E3665" s="16">
        <f>IFERROR(__xludf.DUMMYFUNCTION("""COMPUTED_VALUE"""),63.0)</f>
        <v>63</v>
      </c>
      <c r="F3665" s="19" t="str">
        <f>IFERROR(__xludf.DUMMYFUNCTION("""COMPUTED_VALUE"""),"BLACK")</f>
        <v>BLACK</v>
      </c>
      <c r="G3665" s="20" t="str">
        <f>IFERROR(__xludf.DUMMYFUNCTION("""COMPUTED_VALUE"""),"Uncle Sams Cider (11/12/2021) 02")</f>
        <v>Uncle Sams Cider (11/12/2021) 02</v>
      </c>
      <c r="H3665" s="19"/>
    </row>
    <row r="3666">
      <c r="A3666" s="9"/>
      <c r="B3666" s="15"/>
      <c r="C3666" s="9">
        <f>IFERROR(__xludf.DUMMYFUNCTION("""COMPUTED_VALUE"""),44567.2727367361)</f>
        <v>44567.27274</v>
      </c>
      <c r="D3666" s="15">
        <f>IFERROR(__xludf.DUMMYFUNCTION("""COMPUTED_VALUE"""),1.01)</f>
        <v>1.01</v>
      </c>
      <c r="E3666" s="16">
        <f>IFERROR(__xludf.DUMMYFUNCTION("""COMPUTED_VALUE"""),63.0)</f>
        <v>63</v>
      </c>
      <c r="F3666" s="19" t="str">
        <f>IFERROR(__xludf.DUMMYFUNCTION("""COMPUTED_VALUE"""),"BLACK")</f>
        <v>BLACK</v>
      </c>
      <c r="G3666" s="20" t="str">
        <f>IFERROR(__xludf.DUMMYFUNCTION("""COMPUTED_VALUE"""),"Uncle Sams Cider (11/12/2021) 02")</f>
        <v>Uncle Sams Cider (11/12/2021) 02</v>
      </c>
      <c r="H3666" s="19"/>
    </row>
    <row r="3667">
      <c r="A3667" s="9"/>
      <c r="B3667" s="15"/>
      <c r="C3667" s="9">
        <f>IFERROR(__xludf.DUMMYFUNCTION("""COMPUTED_VALUE"""),44567.2623138194)</f>
        <v>44567.26231</v>
      </c>
      <c r="D3667" s="15">
        <f>IFERROR(__xludf.DUMMYFUNCTION("""COMPUTED_VALUE"""),1.009)</f>
        <v>1.009</v>
      </c>
      <c r="E3667" s="16">
        <f>IFERROR(__xludf.DUMMYFUNCTION("""COMPUTED_VALUE"""),63.0)</f>
        <v>63</v>
      </c>
      <c r="F3667" s="19" t="str">
        <f>IFERROR(__xludf.DUMMYFUNCTION("""COMPUTED_VALUE"""),"BLACK")</f>
        <v>BLACK</v>
      </c>
      <c r="G3667" s="20" t="str">
        <f>IFERROR(__xludf.DUMMYFUNCTION("""COMPUTED_VALUE"""),"Uncle Sams Cider (11/12/2021) 02")</f>
        <v>Uncle Sams Cider (11/12/2021) 02</v>
      </c>
      <c r="H3667" s="19"/>
    </row>
    <row r="3668">
      <c r="A3668" s="9"/>
      <c r="B3668" s="15"/>
      <c r="C3668" s="9">
        <f>IFERROR(__xludf.DUMMYFUNCTION("""COMPUTED_VALUE"""),44567.2518824074)</f>
        <v>44567.25188</v>
      </c>
      <c r="D3668" s="15">
        <f>IFERROR(__xludf.DUMMYFUNCTION("""COMPUTED_VALUE"""),1.01)</f>
        <v>1.01</v>
      </c>
      <c r="E3668" s="16">
        <f>IFERROR(__xludf.DUMMYFUNCTION("""COMPUTED_VALUE"""),63.0)</f>
        <v>63</v>
      </c>
      <c r="F3668" s="19" t="str">
        <f>IFERROR(__xludf.DUMMYFUNCTION("""COMPUTED_VALUE"""),"BLACK")</f>
        <v>BLACK</v>
      </c>
      <c r="G3668" s="20" t="str">
        <f>IFERROR(__xludf.DUMMYFUNCTION("""COMPUTED_VALUE"""),"Uncle Sams Cider (11/12/2021) 02")</f>
        <v>Uncle Sams Cider (11/12/2021) 02</v>
      </c>
      <c r="H3668" s="19"/>
    </row>
    <row r="3669">
      <c r="A3669" s="9"/>
      <c r="B3669" s="15"/>
      <c r="C3669" s="9">
        <f>IFERROR(__xludf.DUMMYFUNCTION("""COMPUTED_VALUE"""),44567.2414614236)</f>
        <v>44567.24146</v>
      </c>
      <c r="D3669" s="15">
        <f>IFERROR(__xludf.DUMMYFUNCTION("""COMPUTED_VALUE"""),1.009)</f>
        <v>1.009</v>
      </c>
      <c r="E3669" s="16">
        <f>IFERROR(__xludf.DUMMYFUNCTION("""COMPUTED_VALUE"""),63.0)</f>
        <v>63</v>
      </c>
      <c r="F3669" s="19" t="str">
        <f>IFERROR(__xludf.DUMMYFUNCTION("""COMPUTED_VALUE"""),"BLACK")</f>
        <v>BLACK</v>
      </c>
      <c r="G3669" s="20" t="str">
        <f>IFERROR(__xludf.DUMMYFUNCTION("""COMPUTED_VALUE"""),"Uncle Sams Cider (11/12/2021) 02")</f>
        <v>Uncle Sams Cider (11/12/2021) 02</v>
      </c>
      <c r="H3669" s="19"/>
    </row>
    <row r="3670">
      <c r="A3670" s="9"/>
      <c r="B3670" s="15"/>
      <c r="C3670" s="9">
        <f>IFERROR(__xludf.DUMMYFUNCTION("""COMPUTED_VALUE"""),44567.2310287615)</f>
        <v>44567.23103</v>
      </c>
      <c r="D3670" s="15">
        <f>IFERROR(__xludf.DUMMYFUNCTION("""COMPUTED_VALUE"""),1.009)</f>
        <v>1.009</v>
      </c>
      <c r="E3670" s="16">
        <f>IFERROR(__xludf.DUMMYFUNCTION("""COMPUTED_VALUE"""),63.0)</f>
        <v>63</v>
      </c>
      <c r="F3670" s="19" t="str">
        <f>IFERROR(__xludf.DUMMYFUNCTION("""COMPUTED_VALUE"""),"BLACK")</f>
        <v>BLACK</v>
      </c>
      <c r="G3670" s="20" t="str">
        <f>IFERROR(__xludf.DUMMYFUNCTION("""COMPUTED_VALUE"""),"Uncle Sams Cider (11/12/2021) 02")</f>
        <v>Uncle Sams Cider (11/12/2021) 02</v>
      </c>
      <c r="H3670" s="19"/>
    </row>
    <row r="3671">
      <c r="A3671" s="9"/>
      <c r="B3671" s="15"/>
      <c r="C3671" s="9">
        <f>IFERROR(__xludf.DUMMYFUNCTION("""COMPUTED_VALUE"""),44567.2206080671)</f>
        <v>44567.22061</v>
      </c>
      <c r="D3671" s="15">
        <f>IFERROR(__xludf.DUMMYFUNCTION("""COMPUTED_VALUE"""),1.01)</f>
        <v>1.01</v>
      </c>
      <c r="E3671" s="16">
        <f>IFERROR(__xludf.DUMMYFUNCTION("""COMPUTED_VALUE"""),63.0)</f>
        <v>63</v>
      </c>
      <c r="F3671" s="19" t="str">
        <f>IFERROR(__xludf.DUMMYFUNCTION("""COMPUTED_VALUE"""),"BLACK")</f>
        <v>BLACK</v>
      </c>
      <c r="G3671" s="20" t="str">
        <f>IFERROR(__xludf.DUMMYFUNCTION("""COMPUTED_VALUE"""),"Uncle Sams Cider (11/12/2021) 02")</f>
        <v>Uncle Sams Cider (11/12/2021) 02</v>
      </c>
      <c r="H3671" s="19"/>
    </row>
    <row r="3672">
      <c r="A3672" s="9"/>
      <c r="B3672" s="15"/>
      <c r="C3672" s="9">
        <f>IFERROR(__xludf.DUMMYFUNCTION("""COMPUTED_VALUE"""),44567.2101889699)</f>
        <v>44567.21019</v>
      </c>
      <c r="D3672" s="15">
        <f>IFERROR(__xludf.DUMMYFUNCTION("""COMPUTED_VALUE"""),1.01)</f>
        <v>1.01</v>
      </c>
      <c r="E3672" s="16">
        <f>IFERROR(__xludf.DUMMYFUNCTION("""COMPUTED_VALUE"""),63.0)</f>
        <v>63</v>
      </c>
      <c r="F3672" s="19" t="str">
        <f>IFERROR(__xludf.DUMMYFUNCTION("""COMPUTED_VALUE"""),"BLACK")</f>
        <v>BLACK</v>
      </c>
      <c r="G3672" s="20" t="str">
        <f>IFERROR(__xludf.DUMMYFUNCTION("""COMPUTED_VALUE"""),"Uncle Sams Cider (11/12/2021) 02")</f>
        <v>Uncle Sams Cider (11/12/2021) 02</v>
      </c>
      <c r="H3672" s="19"/>
    </row>
    <row r="3673">
      <c r="A3673" s="9"/>
      <c r="B3673" s="15"/>
      <c r="C3673" s="9">
        <f>IFERROR(__xludf.DUMMYFUNCTION("""COMPUTED_VALUE"""),44567.1997565277)</f>
        <v>44567.19976</v>
      </c>
      <c r="D3673" s="15">
        <f>IFERROR(__xludf.DUMMYFUNCTION("""COMPUTED_VALUE"""),1.01)</f>
        <v>1.01</v>
      </c>
      <c r="E3673" s="16">
        <f>IFERROR(__xludf.DUMMYFUNCTION("""COMPUTED_VALUE"""),63.0)</f>
        <v>63</v>
      </c>
      <c r="F3673" s="19" t="str">
        <f>IFERROR(__xludf.DUMMYFUNCTION("""COMPUTED_VALUE"""),"BLACK")</f>
        <v>BLACK</v>
      </c>
      <c r="G3673" s="20" t="str">
        <f>IFERROR(__xludf.DUMMYFUNCTION("""COMPUTED_VALUE"""),"Uncle Sams Cider (11/12/2021) 02")</f>
        <v>Uncle Sams Cider (11/12/2021) 02</v>
      </c>
      <c r="H3673" s="19"/>
    </row>
    <row r="3674">
      <c r="A3674" s="9"/>
      <c r="B3674" s="15"/>
      <c r="C3674" s="9">
        <f>IFERROR(__xludf.DUMMYFUNCTION("""COMPUTED_VALUE"""),44567.189311956)</f>
        <v>44567.18931</v>
      </c>
      <c r="D3674" s="15">
        <f>IFERROR(__xludf.DUMMYFUNCTION("""COMPUTED_VALUE"""),1.01)</f>
        <v>1.01</v>
      </c>
      <c r="E3674" s="16">
        <f>IFERROR(__xludf.DUMMYFUNCTION("""COMPUTED_VALUE"""),63.0)</f>
        <v>63</v>
      </c>
      <c r="F3674" s="19" t="str">
        <f>IFERROR(__xludf.DUMMYFUNCTION("""COMPUTED_VALUE"""),"BLACK")</f>
        <v>BLACK</v>
      </c>
      <c r="G3674" s="20" t="str">
        <f>IFERROR(__xludf.DUMMYFUNCTION("""COMPUTED_VALUE"""),"Uncle Sams Cider (11/12/2021) 02")</f>
        <v>Uncle Sams Cider (11/12/2021) 02</v>
      </c>
      <c r="H3674" s="19"/>
    </row>
    <row r="3675">
      <c r="A3675" s="9"/>
      <c r="B3675" s="15"/>
      <c r="C3675" s="9">
        <f>IFERROR(__xludf.DUMMYFUNCTION("""COMPUTED_VALUE"""),44567.1788776157)</f>
        <v>44567.17888</v>
      </c>
      <c r="D3675" s="15">
        <f>IFERROR(__xludf.DUMMYFUNCTION("""COMPUTED_VALUE"""),1.01)</f>
        <v>1.01</v>
      </c>
      <c r="E3675" s="16">
        <f>IFERROR(__xludf.DUMMYFUNCTION("""COMPUTED_VALUE"""),63.0)</f>
        <v>63</v>
      </c>
      <c r="F3675" s="19" t="str">
        <f>IFERROR(__xludf.DUMMYFUNCTION("""COMPUTED_VALUE"""),"BLACK")</f>
        <v>BLACK</v>
      </c>
      <c r="G3675" s="20" t="str">
        <f>IFERROR(__xludf.DUMMYFUNCTION("""COMPUTED_VALUE"""),"Uncle Sams Cider (11/12/2021) 02")</f>
        <v>Uncle Sams Cider (11/12/2021) 02</v>
      </c>
      <c r="H3675" s="19"/>
    </row>
    <row r="3676">
      <c r="A3676" s="9"/>
      <c r="B3676" s="15"/>
      <c r="C3676" s="9">
        <f>IFERROR(__xludf.DUMMYFUNCTION("""COMPUTED_VALUE"""),44567.1684565162)</f>
        <v>44567.16846</v>
      </c>
      <c r="D3676" s="15">
        <f>IFERROR(__xludf.DUMMYFUNCTION("""COMPUTED_VALUE"""),1.009)</f>
        <v>1.009</v>
      </c>
      <c r="E3676" s="16">
        <f>IFERROR(__xludf.DUMMYFUNCTION("""COMPUTED_VALUE"""),63.0)</f>
        <v>63</v>
      </c>
      <c r="F3676" s="19" t="str">
        <f>IFERROR(__xludf.DUMMYFUNCTION("""COMPUTED_VALUE"""),"BLACK")</f>
        <v>BLACK</v>
      </c>
      <c r="G3676" s="20" t="str">
        <f>IFERROR(__xludf.DUMMYFUNCTION("""COMPUTED_VALUE"""),"Uncle Sams Cider (11/12/2021) 02")</f>
        <v>Uncle Sams Cider (11/12/2021) 02</v>
      </c>
      <c r="H3676" s="19"/>
    </row>
    <row r="3677">
      <c r="A3677" s="9"/>
      <c r="B3677" s="15"/>
      <c r="C3677" s="9">
        <f>IFERROR(__xludf.DUMMYFUNCTION("""COMPUTED_VALUE"""),44567.1580354398)</f>
        <v>44567.15804</v>
      </c>
      <c r="D3677" s="15">
        <f>IFERROR(__xludf.DUMMYFUNCTION("""COMPUTED_VALUE"""),1.01)</f>
        <v>1.01</v>
      </c>
      <c r="E3677" s="16">
        <f>IFERROR(__xludf.DUMMYFUNCTION("""COMPUTED_VALUE"""),63.0)</f>
        <v>63</v>
      </c>
      <c r="F3677" s="19" t="str">
        <f>IFERROR(__xludf.DUMMYFUNCTION("""COMPUTED_VALUE"""),"BLACK")</f>
        <v>BLACK</v>
      </c>
      <c r="G3677" s="20" t="str">
        <f>IFERROR(__xludf.DUMMYFUNCTION("""COMPUTED_VALUE"""),"Uncle Sams Cider (11/12/2021) 02")</f>
        <v>Uncle Sams Cider (11/12/2021) 02</v>
      </c>
      <c r="H3677" s="19"/>
    </row>
    <row r="3678">
      <c r="A3678" s="9"/>
      <c r="B3678" s="15"/>
      <c r="C3678" s="9">
        <f>IFERROR(__xludf.DUMMYFUNCTION("""COMPUTED_VALUE"""),44567.1476135763)</f>
        <v>44567.14761</v>
      </c>
      <c r="D3678" s="15">
        <f>IFERROR(__xludf.DUMMYFUNCTION("""COMPUTED_VALUE"""),1.01)</f>
        <v>1.01</v>
      </c>
      <c r="E3678" s="16">
        <f>IFERROR(__xludf.DUMMYFUNCTION("""COMPUTED_VALUE"""),63.0)</f>
        <v>63</v>
      </c>
      <c r="F3678" s="19" t="str">
        <f>IFERROR(__xludf.DUMMYFUNCTION("""COMPUTED_VALUE"""),"BLACK")</f>
        <v>BLACK</v>
      </c>
      <c r="G3678" s="20" t="str">
        <f>IFERROR(__xludf.DUMMYFUNCTION("""COMPUTED_VALUE"""),"Uncle Sams Cider (11/12/2021) 02")</f>
        <v>Uncle Sams Cider (11/12/2021) 02</v>
      </c>
      <c r="H3678" s="19"/>
    </row>
    <row r="3679">
      <c r="A3679" s="9"/>
      <c r="B3679" s="15"/>
      <c r="C3679" s="9">
        <f>IFERROR(__xludf.DUMMYFUNCTION("""COMPUTED_VALUE"""),44567.1371802199)</f>
        <v>44567.13718</v>
      </c>
      <c r="D3679" s="15">
        <f>IFERROR(__xludf.DUMMYFUNCTION("""COMPUTED_VALUE"""),1.01)</f>
        <v>1.01</v>
      </c>
      <c r="E3679" s="16">
        <f>IFERROR(__xludf.DUMMYFUNCTION("""COMPUTED_VALUE"""),63.0)</f>
        <v>63</v>
      </c>
      <c r="F3679" s="19" t="str">
        <f>IFERROR(__xludf.DUMMYFUNCTION("""COMPUTED_VALUE"""),"BLACK")</f>
        <v>BLACK</v>
      </c>
      <c r="G3679" s="20" t="str">
        <f>IFERROR(__xludf.DUMMYFUNCTION("""COMPUTED_VALUE"""),"Uncle Sams Cider (11/12/2021) 02")</f>
        <v>Uncle Sams Cider (11/12/2021) 02</v>
      </c>
      <c r="H3679" s="19"/>
    </row>
    <row r="3680">
      <c r="A3680" s="9"/>
      <c r="B3680" s="15"/>
      <c r="C3680" s="9">
        <f>IFERROR(__xludf.DUMMYFUNCTION("""COMPUTED_VALUE"""),44567.1267580902)</f>
        <v>44567.12676</v>
      </c>
      <c r="D3680" s="15">
        <f>IFERROR(__xludf.DUMMYFUNCTION("""COMPUTED_VALUE"""),1.01)</f>
        <v>1.01</v>
      </c>
      <c r="E3680" s="16">
        <f>IFERROR(__xludf.DUMMYFUNCTION("""COMPUTED_VALUE"""),63.0)</f>
        <v>63</v>
      </c>
      <c r="F3680" s="19" t="str">
        <f>IFERROR(__xludf.DUMMYFUNCTION("""COMPUTED_VALUE"""),"BLACK")</f>
        <v>BLACK</v>
      </c>
      <c r="G3680" s="20" t="str">
        <f>IFERROR(__xludf.DUMMYFUNCTION("""COMPUTED_VALUE"""),"Uncle Sams Cider (11/12/2021) 02")</f>
        <v>Uncle Sams Cider (11/12/2021) 02</v>
      </c>
      <c r="H3680" s="19"/>
    </row>
    <row r="3681">
      <c r="A3681" s="9"/>
      <c r="B3681" s="15"/>
      <c r="C3681" s="9">
        <f>IFERROR(__xludf.DUMMYFUNCTION("""COMPUTED_VALUE"""),44567.1163376851)</f>
        <v>44567.11634</v>
      </c>
      <c r="D3681" s="15">
        <f>IFERROR(__xludf.DUMMYFUNCTION("""COMPUTED_VALUE"""),1.01)</f>
        <v>1.01</v>
      </c>
      <c r="E3681" s="16">
        <f>IFERROR(__xludf.DUMMYFUNCTION("""COMPUTED_VALUE"""),63.0)</f>
        <v>63</v>
      </c>
      <c r="F3681" s="19" t="str">
        <f>IFERROR(__xludf.DUMMYFUNCTION("""COMPUTED_VALUE"""),"BLACK")</f>
        <v>BLACK</v>
      </c>
      <c r="G3681" s="20" t="str">
        <f>IFERROR(__xludf.DUMMYFUNCTION("""COMPUTED_VALUE"""),"Uncle Sams Cider (11/12/2021) 02")</f>
        <v>Uncle Sams Cider (11/12/2021) 02</v>
      </c>
      <c r="H3681" s="19"/>
    </row>
    <row r="3682">
      <c r="A3682" s="9"/>
      <c r="B3682" s="15"/>
      <c r="C3682" s="9">
        <f>IFERROR(__xludf.DUMMYFUNCTION("""COMPUTED_VALUE"""),44567.1059036921)</f>
        <v>44567.1059</v>
      </c>
      <c r="D3682" s="15">
        <f>IFERROR(__xludf.DUMMYFUNCTION("""COMPUTED_VALUE"""),1.01)</f>
        <v>1.01</v>
      </c>
      <c r="E3682" s="16">
        <f>IFERROR(__xludf.DUMMYFUNCTION("""COMPUTED_VALUE"""),63.0)</f>
        <v>63</v>
      </c>
      <c r="F3682" s="19" t="str">
        <f>IFERROR(__xludf.DUMMYFUNCTION("""COMPUTED_VALUE"""),"BLACK")</f>
        <v>BLACK</v>
      </c>
      <c r="G3682" s="20" t="str">
        <f>IFERROR(__xludf.DUMMYFUNCTION("""COMPUTED_VALUE"""),"Uncle Sams Cider (11/12/2021) 02")</f>
        <v>Uncle Sams Cider (11/12/2021) 02</v>
      </c>
      <c r="H3682" s="19"/>
    </row>
    <row r="3683">
      <c r="A3683" s="9"/>
      <c r="B3683" s="15"/>
      <c r="C3683" s="9">
        <f>IFERROR(__xludf.DUMMYFUNCTION("""COMPUTED_VALUE"""),44567.0954814814)</f>
        <v>44567.09548</v>
      </c>
      <c r="D3683" s="15">
        <f>IFERROR(__xludf.DUMMYFUNCTION("""COMPUTED_VALUE"""),1.01)</f>
        <v>1.01</v>
      </c>
      <c r="E3683" s="16">
        <f>IFERROR(__xludf.DUMMYFUNCTION("""COMPUTED_VALUE"""),63.0)</f>
        <v>63</v>
      </c>
      <c r="F3683" s="19" t="str">
        <f>IFERROR(__xludf.DUMMYFUNCTION("""COMPUTED_VALUE"""),"BLACK")</f>
        <v>BLACK</v>
      </c>
      <c r="G3683" s="20" t="str">
        <f>IFERROR(__xludf.DUMMYFUNCTION("""COMPUTED_VALUE"""),"Uncle Sams Cider (11/12/2021) 02")</f>
        <v>Uncle Sams Cider (11/12/2021) 02</v>
      </c>
      <c r="H3683" s="19"/>
    </row>
    <row r="3684">
      <c r="A3684" s="9"/>
      <c r="B3684" s="15"/>
      <c r="C3684" s="9">
        <f>IFERROR(__xludf.DUMMYFUNCTION("""COMPUTED_VALUE"""),44567.085048125)</f>
        <v>44567.08505</v>
      </c>
      <c r="D3684" s="15">
        <f>IFERROR(__xludf.DUMMYFUNCTION("""COMPUTED_VALUE"""),1.01)</f>
        <v>1.01</v>
      </c>
      <c r="E3684" s="16">
        <f>IFERROR(__xludf.DUMMYFUNCTION("""COMPUTED_VALUE"""),63.0)</f>
        <v>63</v>
      </c>
      <c r="F3684" s="19" t="str">
        <f>IFERROR(__xludf.DUMMYFUNCTION("""COMPUTED_VALUE"""),"BLACK")</f>
        <v>BLACK</v>
      </c>
      <c r="G3684" s="20" t="str">
        <f>IFERROR(__xludf.DUMMYFUNCTION("""COMPUTED_VALUE"""),"Uncle Sams Cider (11/12/2021) 02")</f>
        <v>Uncle Sams Cider (11/12/2021) 02</v>
      </c>
      <c r="H3684" s="19"/>
    </row>
    <row r="3685">
      <c r="A3685" s="9"/>
      <c r="B3685" s="15"/>
      <c r="C3685" s="9">
        <f>IFERROR(__xludf.DUMMYFUNCTION("""COMPUTED_VALUE"""),44567.0746280092)</f>
        <v>44567.07463</v>
      </c>
      <c r="D3685" s="15">
        <f>IFERROR(__xludf.DUMMYFUNCTION("""COMPUTED_VALUE"""),1.01)</f>
        <v>1.01</v>
      </c>
      <c r="E3685" s="16">
        <f>IFERROR(__xludf.DUMMYFUNCTION("""COMPUTED_VALUE"""),63.0)</f>
        <v>63</v>
      </c>
      <c r="F3685" s="19" t="str">
        <f>IFERROR(__xludf.DUMMYFUNCTION("""COMPUTED_VALUE"""),"BLACK")</f>
        <v>BLACK</v>
      </c>
      <c r="G3685" s="20" t="str">
        <f>IFERROR(__xludf.DUMMYFUNCTION("""COMPUTED_VALUE"""),"Uncle Sams Cider (11/12/2021) 02")</f>
        <v>Uncle Sams Cider (11/12/2021) 02</v>
      </c>
      <c r="H3685" s="19"/>
    </row>
    <row r="3686">
      <c r="A3686" s="9"/>
      <c r="B3686" s="15"/>
      <c r="C3686" s="9">
        <f>IFERROR(__xludf.DUMMYFUNCTION("""COMPUTED_VALUE"""),44567.0642077314)</f>
        <v>44567.06421</v>
      </c>
      <c r="D3686" s="15">
        <f>IFERROR(__xludf.DUMMYFUNCTION("""COMPUTED_VALUE"""),1.01)</f>
        <v>1.01</v>
      </c>
      <c r="E3686" s="16">
        <f>IFERROR(__xludf.DUMMYFUNCTION("""COMPUTED_VALUE"""),63.0)</f>
        <v>63</v>
      </c>
      <c r="F3686" s="19" t="str">
        <f>IFERROR(__xludf.DUMMYFUNCTION("""COMPUTED_VALUE"""),"BLACK")</f>
        <v>BLACK</v>
      </c>
      <c r="G3686" s="20" t="str">
        <f>IFERROR(__xludf.DUMMYFUNCTION("""COMPUTED_VALUE"""),"Uncle Sams Cider (11/12/2021) 02")</f>
        <v>Uncle Sams Cider (11/12/2021) 02</v>
      </c>
      <c r="H3686" s="19"/>
    </row>
    <row r="3687">
      <c r="A3687" s="9"/>
      <c r="B3687" s="15"/>
      <c r="C3687" s="9">
        <f>IFERROR(__xludf.DUMMYFUNCTION("""COMPUTED_VALUE"""),44567.0537877199)</f>
        <v>44567.05379</v>
      </c>
      <c r="D3687" s="15">
        <f>IFERROR(__xludf.DUMMYFUNCTION("""COMPUTED_VALUE"""),1.01)</f>
        <v>1.01</v>
      </c>
      <c r="E3687" s="16">
        <f>IFERROR(__xludf.DUMMYFUNCTION("""COMPUTED_VALUE"""),63.0)</f>
        <v>63</v>
      </c>
      <c r="F3687" s="19" t="str">
        <f>IFERROR(__xludf.DUMMYFUNCTION("""COMPUTED_VALUE"""),"BLACK")</f>
        <v>BLACK</v>
      </c>
      <c r="G3687" s="20" t="str">
        <f>IFERROR(__xludf.DUMMYFUNCTION("""COMPUTED_VALUE"""),"Uncle Sams Cider (11/12/2021) 02")</f>
        <v>Uncle Sams Cider (11/12/2021) 02</v>
      </c>
      <c r="H3687" s="19"/>
    </row>
    <row r="3688">
      <c r="A3688" s="9"/>
      <c r="B3688" s="15"/>
      <c r="C3688" s="9">
        <f>IFERROR(__xludf.DUMMYFUNCTION("""COMPUTED_VALUE"""),44567.0432959259)</f>
        <v>44567.0433</v>
      </c>
      <c r="D3688" s="15">
        <f>IFERROR(__xludf.DUMMYFUNCTION("""COMPUTED_VALUE"""),1.009)</f>
        <v>1.009</v>
      </c>
      <c r="E3688" s="16">
        <f>IFERROR(__xludf.DUMMYFUNCTION("""COMPUTED_VALUE"""),63.0)</f>
        <v>63</v>
      </c>
      <c r="F3688" s="19" t="str">
        <f>IFERROR(__xludf.DUMMYFUNCTION("""COMPUTED_VALUE"""),"BLACK")</f>
        <v>BLACK</v>
      </c>
      <c r="G3688" s="20" t="str">
        <f>IFERROR(__xludf.DUMMYFUNCTION("""COMPUTED_VALUE"""),"Uncle Sams Cider (11/12/2021) 02")</f>
        <v>Uncle Sams Cider (11/12/2021) 02</v>
      </c>
      <c r="H3688" s="19"/>
    </row>
    <row r="3689">
      <c r="A3689" s="9"/>
      <c r="B3689" s="15"/>
      <c r="C3689" s="9">
        <f>IFERROR(__xludf.DUMMYFUNCTION("""COMPUTED_VALUE"""),44567.032874537)</f>
        <v>44567.03287</v>
      </c>
      <c r="D3689" s="15">
        <f>IFERROR(__xludf.DUMMYFUNCTION("""COMPUTED_VALUE"""),1.01)</f>
        <v>1.01</v>
      </c>
      <c r="E3689" s="16">
        <f>IFERROR(__xludf.DUMMYFUNCTION("""COMPUTED_VALUE"""),64.0)</f>
        <v>64</v>
      </c>
      <c r="F3689" s="19" t="str">
        <f>IFERROR(__xludf.DUMMYFUNCTION("""COMPUTED_VALUE"""),"BLACK")</f>
        <v>BLACK</v>
      </c>
      <c r="G3689" s="20" t="str">
        <f>IFERROR(__xludf.DUMMYFUNCTION("""COMPUTED_VALUE"""),"Uncle Sams Cider (11/12/2021) 02")</f>
        <v>Uncle Sams Cider (11/12/2021) 02</v>
      </c>
      <c r="H3689" s="19"/>
    </row>
    <row r="3690">
      <c r="A3690" s="9"/>
      <c r="B3690" s="15"/>
      <c r="C3690" s="9">
        <f>IFERROR(__xludf.DUMMYFUNCTION("""COMPUTED_VALUE"""),44567.0224556597)</f>
        <v>44567.02246</v>
      </c>
      <c r="D3690" s="15">
        <f>IFERROR(__xludf.DUMMYFUNCTION("""COMPUTED_VALUE"""),1.01)</f>
        <v>1.01</v>
      </c>
      <c r="E3690" s="16">
        <f>IFERROR(__xludf.DUMMYFUNCTION("""COMPUTED_VALUE"""),63.0)</f>
        <v>63</v>
      </c>
      <c r="F3690" s="19" t="str">
        <f>IFERROR(__xludf.DUMMYFUNCTION("""COMPUTED_VALUE"""),"BLACK")</f>
        <v>BLACK</v>
      </c>
      <c r="G3690" s="20" t="str">
        <f>IFERROR(__xludf.DUMMYFUNCTION("""COMPUTED_VALUE"""),"Uncle Sams Cider (11/12/2021) 02")</f>
        <v>Uncle Sams Cider (11/12/2021) 02</v>
      </c>
      <c r="H3690" s="19"/>
    </row>
    <row r="3691">
      <c r="A3691" s="9"/>
      <c r="B3691" s="15"/>
      <c r="C3691" s="9">
        <f>IFERROR(__xludf.DUMMYFUNCTION("""COMPUTED_VALUE"""),44567.0120342129)</f>
        <v>44567.01203</v>
      </c>
      <c r="D3691" s="15">
        <f>IFERROR(__xludf.DUMMYFUNCTION("""COMPUTED_VALUE"""),1.009)</f>
        <v>1.009</v>
      </c>
      <c r="E3691" s="16">
        <f>IFERROR(__xludf.DUMMYFUNCTION("""COMPUTED_VALUE"""),64.0)</f>
        <v>64</v>
      </c>
      <c r="F3691" s="19" t="str">
        <f>IFERROR(__xludf.DUMMYFUNCTION("""COMPUTED_VALUE"""),"BLACK")</f>
        <v>BLACK</v>
      </c>
      <c r="G3691" s="20" t="str">
        <f>IFERROR(__xludf.DUMMYFUNCTION("""COMPUTED_VALUE"""),"Uncle Sams Cider (11/12/2021) 02")</f>
        <v>Uncle Sams Cider (11/12/2021) 02</v>
      </c>
      <c r="H3691" s="19"/>
    </row>
    <row r="3692">
      <c r="A3692" s="9"/>
      <c r="B3692" s="15"/>
      <c r="C3692" s="9">
        <f>IFERROR(__xludf.DUMMYFUNCTION("""COMPUTED_VALUE"""),44567.0015660763)</f>
        <v>44567.00157</v>
      </c>
      <c r="D3692" s="15">
        <f>IFERROR(__xludf.DUMMYFUNCTION("""COMPUTED_VALUE"""),1.01)</f>
        <v>1.01</v>
      </c>
      <c r="E3692" s="16">
        <f>IFERROR(__xludf.DUMMYFUNCTION("""COMPUTED_VALUE"""),63.0)</f>
        <v>63</v>
      </c>
      <c r="F3692" s="19" t="str">
        <f>IFERROR(__xludf.DUMMYFUNCTION("""COMPUTED_VALUE"""),"BLACK")</f>
        <v>BLACK</v>
      </c>
      <c r="G3692" s="20" t="str">
        <f>IFERROR(__xludf.DUMMYFUNCTION("""COMPUTED_VALUE"""),"Uncle Sams Cider (11/12/2021) 02")</f>
        <v>Uncle Sams Cider (11/12/2021) 02</v>
      </c>
      <c r="H3692" s="19"/>
    </row>
    <row r="3693">
      <c r="A3693" s="9"/>
      <c r="B3693" s="15"/>
      <c r="C3693" s="9">
        <f>IFERROR(__xludf.DUMMYFUNCTION("""COMPUTED_VALUE"""),44566.9910981249)</f>
        <v>44566.9911</v>
      </c>
      <c r="D3693" s="15">
        <f>IFERROR(__xludf.DUMMYFUNCTION("""COMPUTED_VALUE"""),1.01)</f>
        <v>1.01</v>
      </c>
      <c r="E3693" s="16">
        <f>IFERROR(__xludf.DUMMYFUNCTION("""COMPUTED_VALUE"""),64.0)</f>
        <v>64</v>
      </c>
      <c r="F3693" s="19" t="str">
        <f>IFERROR(__xludf.DUMMYFUNCTION("""COMPUTED_VALUE"""),"BLACK")</f>
        <v>BLACK</v>
      </c>
      <c r="G3693" s="20" t="str">
        <f>IFERROR(__xludf.DUMMYFUNCTION("""COMPUTED_VALUE"""),"Uncle Sams Cider (11/12/2021) 02")</f>
        <v>Uncle Sams Cider (11/12/2021) 02</v>
      </c>
      <c r="H3693" s="19"/>
    </row>
    <row r="3694">
      <c r="A3694" s="9"/>
      <c r="B3694" s="15"/>
      <c r="C3694" s="9">
        <f>IFERROR(__xludf.DUMMYFUNCTION("""COMPUTED_VALUE"""),44566.9806662037)</f>
        <v>44566.98067</v>
      </c>
      <c r="D3694" s="15">
        <f>IFERROR(__xludf.DUMMYFUNCTION("""COMPUTED_VALUE"""),1.009)</f>
        <v>1.009</v>
      </c>
      <c r="E3694" s="16">
        <f>IFERROR(__xludf.DUMMYFUNCTION("""COMPUTED_VALUE"""),64.0)</f>
        <v>64</v>
      </c>
      <c r="F3694" s="19" t="str">
        <f>IFERROR(__xludf.DUMMYFUNCTION("""COMPUTED_VALUE"""),"BLACK")</f>
        <v>BLACK</v>
      </c>
      <c r="G3694" s="20" t="str">
        <f>IFERROR(__xludf.DUMMYFUNCTION("""COMPUTED_VALUE"""),"Uncle Sams Cider (11/12/2021) 02")</f>
        <v>Uncle Sams Cider (11/12/2021) 02</v>
      </c>
      <c r="H3694" s="19"/>
    </row>
    <row r="3695">
      <c r="A3695" s="9"/>
      <c r="B3695" s="15"/>
      <c r="C3695" s="9">
        <f>IFERROR(__xludf.DUMMYFUNCTION("""COMPUTED_VALUE"""),44566.9702314699)</f>
        <v>44566.97023</v>
      </c>
      <c r="D3695" s="15">
        <f>IFERROR(__xludf.DUMMYFUNCTION("""COMPUTED_VALUE"""),1.01)</f>
        <v>1.01</v>
      </c>
      <c r="E3695" s="16">
        <f>IFERROR(__xludf.DUMMYFUNCTION("""COMPUTED_VALUE"""),64.0)</f>
        <v>64</v>
      </c>
      <c r="F3695" s="19" t="str">
        <f>IFERROR(__xludf.DUMMYFUNCTION("""COMPUTED_VALUE"""),"BLACK")</f>
        <v>BLACK</v>
      </c>
      <c r="G3695" s="20" t="str">
        <f>IFERROR(__xludf.DUMMYFUNCTION("""COMPUTED_VALUE"""),"Uncle Sams Cider (11/12/2021) 02")</f>
        <v>Uncle Sams Cider (11/12/2021) 02</v>
      </c>
      <c r="H3695" s="19"/>
    </row>
    <row r="3696">
      <c r="A3696" s="9"/>
      <c r="B3696" s="15"/>
      <c r="C3696" s="9">
        <f>IFERROR(__xludf.DUMMYFUNCTION("""COMPUTED_VALUE"""),44566.9598104282)</f>
        <v>44566.95981</v>
      </c>
      <c r="D3696" s="15">
        <f>IFERROR(__xludf.DUMMYFUNCTION("""COMPUTED_VALUE"""),1.01)</f>
        <v>1.01</v>
      </c>
      <c r="E3696" s="16">
        <f>IFERROR(__xludf.DUMMYFUNCTION("""COMPUTED_VALUE"""),64.0)</f>
        <v>64</v>
      </c>
      <c r="F3696" s="19" t="str">
        <f>IFERROR(__xludf.DUMMYFUNCTION("""COMPUTED_VALUE"""),"BLACK")</f>
        <v>BLACK</v>
      </c>
      <c r="G3696" s="20" t="str">
        <f>IFERROR(__xludf.DUMMYFUNCTION("""COMPUTED_VALUE"""),"Uncle Sams Cider (11/12/2021) 02")</f>
        <v>Uncle Sams Cider (11/12/2021) 02</v>
      </c>
      <c r="H3696" s="19"/>
    </row>
    <row r="3697">
      <c r="A3697" s="9"/>
      <c r="B3697" s="15"/>
      <c r="C3697" s="9">
        <f>IFERROR(__xludf.DUMMYFUNCTION("""COMPUTED_VALUE"""),44566.9493888773)</f>
        <v>44566.94939</v>
      </c>
      <c r="D3697" s="15">
        <f>IFERROR(__xludf.DUMMYFUNCTION("""COMPUTED_VALUE"""),1.01)</f>
        <v>1.01</v>
      </c>
      <c r="E3697" s="16">
        <f>IFERROR(__xludf.DUMMYFUNCTION("""COMPUTED_VALUE"""),64.0)</f>
        <v>64</v>
      </c>
      <c r="F3697" s="19" t="str">
        <f>IFERROR(__xludf.DUMMYFUNCTION("""COMPUTED_VALUE"""),"BLACK")</f>
        <v>BLACK</v>
      </c>
      <c r="G3697" s="20" t="str">
        <f>IFERROR(__xludf.DUMMYFUNCTION("""COMPUTED_VALUE"""),"Uncle Sams Cider (11/12/2021) 02")</f>
        <v>Uncle Sams Cider (11/12/2021) 02</v>
      </c>
      <c r="H3697" s="19"/>
    </row>
    <row r="3698">
      <c r="A3698" s="9"/>
      <c r="B3698" s="15"/>
      <c r="C3698" s="9">
        <f>IFERROR(__xludf.DUMMYFUNCTION("""COMPUTED_VALUE"""),44566.9389660879)</f>
        <v>44566.93897</v>
      </c>
      <c r="D3698" s="15">
        <f>IFERROR(__xludf.DUMMYFUNCTION("""COMPUTED_VALUE"""),1.01)</f>
        <v>1.01</v>
      </c>
      <c r="E3698" s="16">
        <f>IFERROR(__xludf.DUMMYFUNCTION("""COMPUTED_VALUE"""),64.0)</f>
        <v>64</v>
      </c>
      <c r="F3698" s="19" t="str">
        <f>IFERROR(__xludf.DUMMYFUNCTION("""COMPUTED_VALUE"""),"BLACK")</f>
        <v>BLACK</v>
      </c>
      <c r="G3698" s="20" t="str">
        <f>IFERROR(__xludf.DUMMYFUNCTION("""COMPUTED_VALUE"""),"Uncle Sams Cider (11/12/2021) 02")</f>
        <v>Uncle Sams Cider (11/12/2021) 02</v>
      </c>
      <c r="H3698" s="19"/>
    </row>
    <row r="3699">
      <c r="A3699" s="9"/>
      <c r="B3699" s="15"/>
      <c r="C3699" s="9">
        <f>IFERROR(__xludf.DUMMYFUNCTION("""COMPUTED_VALUE"""),44566.9285456134)</f>
        <v>44566.92855</v>
      </c>
      <c r="D3699" s="15">
        <f>IFERROR(__xludf.DUMMYFUNCTION("""COMPUTED_VALUE"""),1.01)</f>
        <v>1.01</v>
      </c>
      <c r="E3699" s="16">
        <f>IFERROR(__xludf.DUMMYFUNCTION("""COMPUTED_VALUE"""),64.0)</f>
        <v>64</v>
      </c>
      <c r="F3699" s="19" t="str">
        <f>IFERROR(__xludf.DUMMYFUNCTION("""COMPUTED_VALUE"""),"BLACK")</f>
        <v>BLACK</v>
      </c>
      <c r="G3699" s="20" t="str">
        <f>IFERROR(__xludf.DUMMYFUNCTION("""COMPUTED_VALUE"""),"Uncle Sams Cider (11/12/2021) 02")</f>
        <v>Uncle Sams Cider (11/12/2021) 02</v>
      </c>
      <c r="H3699" s="19"/>
    </row>
    <row r="3700">
      <c r="A3700" s="9"/>
      <c r="B3700" s="15"/>
      <c r="C3700" s="9">
        <f>IFERROR(__xludf.DUMMYFUNCTION("""COMPUTED_VALUE"""),44566.9181231365)</f>
        <v>44566.91812</v>
      </c>
      <c r="D3700" s="15">
        <f>IFERROR(__xludf.DUMMYFUNCTION("""COMPUTED_VALUE"""),1.01)</f>
        <v>1.01</v>
      </c>
      <c r="E3700" s="16">
        <f>IFERROR(__xludf.DUMMYFUNCTION("""COMPUTED_VALUE"""),64.0)</f>
        <v>64</v>
      </c>
      <c r="F3700" s="19" t="str">
        <f>IFERROR(__xludf.DUMMYFUNCTION("""COMPUTED_VALUE"""),"BLACK")</f>
        <v>BLACK</v>
      </c>
      <c r="G3700" s="20" t="str">
        <f>IFERROR(__xludf.DUMMYFUNCTION("""COMPUTED_VALUE"""),"Uncle Sams Cider (11/12/2021) 02")</f>
        <v>Uncle Sams Cider (11/12/2021) 02</v>
      </c>
      <c r="H3700" s="19"/>
    </row>
    <row r="3701">
      <c r="A3701" s="9"/>
      <c r="B3701" s="15"/>
      <c r="C3701" s="9">
        <f>IFERROR(__xludf.DUMMYFUNCTION("""COMPUTED_VALUE"""),44566.9077014699)</f>
        <v>44566.9077</v>
      </c>
      <c r="D3701" s="15">
        <f>IFERROR(__xludf.DUMMYFUNCTION("""COMPUTED_VALUE"""),1.01)</f>
        <v>1.01</v>
      </c>
      <c r="E3701" s="16">
        <f>IFERROR(__xludf.DUMMYFUNCTION("""COMPUTED_VALUE"""),64.0)</f>
        <v>64</v>
      </c>
      <c r="F3701" s="19" t="str">
        <f>IFERROR(__xludf.DUMMYFUNCTION("""COMPUTED_VALUE"""),"BLACK")</f>
        <v>BLACK</v>
      </c>
      <c r="G3701" s="20" t="str">
        <f>IFERROR(__xludf.DUMMYFUNCTION("""COMPUTED_VALUE"""),"Uncle Sams Cider (11/12/2021) 02")</f>
        <v>Uncle Sams Cider (11/12/2021) 02</v>
      </c>
      <c r="H3701" s="19"/>
    </row>
    <row r="3702">
      <c r="A3702" s="9"/>
      <c r="B3702" s="15"/>
      <c r="C3702" s="9">
        <f>IFERROR(__xludf.DUMMYFUNCTION("""COMPUTED_VALUE"""),44566.8972821759)</f>
        <v>44566.89728</v>
      </c>
      <c r="D3702" s="15">
        <f>IFERROR(__xludf.DUMMYFUNCTION("""COMPUTED_VALUE"""),1.01)</f>
        <v>1.01</v>
      </c>
      <c r="E3702" s="16">
        <f>IFERROR(__xludf.DUMMYFUNCTION("""COMPUTED_VALUE"""),64.0)</f>
        <v>64</v>
      </c>
      <c r="F3702" s="19" t="str">
        <f>IFERROR(__xludf.DUMMYFUNCTION("""COMPUTED_VALUE"""),"BLACK")</f>
        <v>BLACK</v>
      </c>
      <c r="G3702" s="20" t="str">
        <f>IFERROR(__xludf.DUMMYFUNCTION("""COMPUTED_VALUE"""),"Uncle Sams Cider (11/12/2021) 02")</f>
        <v>Uncle Sams Cider (11/12/2021) 02</v>
      </c>
      <c r="H3702" s="19"/>
    </row>
    <row r="3703">
      <c r="A3703" s="9"/>
      <c r="B3703" s="15"/>
      <c r="C3703" s="9">
        <f>IFERROR(__xludf.DUMMYFUNCTION("""COMPUTED_VALUE"""),44566.8868611226)</f>
        <v>44566.88686</v>
      </c>
      <c r="D3703" s="15">
        <f>IFERROR(__xludf.DUMMYFUNCTION("""COMPUTED_VALUE"""),1.01)</f>
        <v>1.01</v>
      </c>
      <c r="E3703" s="16">
        <f>IFERROR(__xludf.DUMMYFUNCTION("""COMPUTED_VALUE"""),64.0)</f>
        <v>64</v>
      </c>
      <c r="F3703" s="19" t="str">
        <f>IFERROR(__xludf.DUMMYFUNCTION("""COMPUTED_VALUE"""),"BLACK")</f>
        <v>BLACK</v>
      </c>
      <c r="G3703" s="20" t="str">
        <f>IFERROR(__xludf.DUMMYFUNCTION("""COMPUTED_VALUE"""),"Uncle Sams Cider (11/12/2021) 02")</f>
        <v>Uncle Sams Cider (11/12/2021) 02</v>
      </c>
      <c r="H3703" s="19"/>
    </row>
    <row r="3704">
      <c r="A3704" s="9"/>
      <c r="B3704" s="15"/>
      <c r="C3704" s="9">
        <f>IFERROR(__xludf.DUMMYFUNCTION("""COMPUTED_VALUE"""),44566.8764163773)</f>
        <v>44566.87642</v>
      </c>
      <c r="D3704" s="15">
        <f>IFERROR(__xludf.DUMMYFUNCTION("""COMPUTED_VALUE"""),1.01)</f>
        <v>1.01</v>
      </c>
      <c r="E3704" s="16">
        <f>IFERROR(__xludf.DUMMYFUNCTION("""COMPUTED_VALUE"""),64.0)</f>
        <v>64</v>
      </c>
      <c r="F3704" s="19" t="str">
        <f>IFERROR(__xludf.DUMMYFUNCTION("""COMPUTED_VALUE"""),"BLACK")</f>
        <v>BLACK</v>
      </c>
      <c r="G3704" s="20" t="str">
        <f>IFERROR(__xludf.DUMMYFUNCTION("""COMPUTED_VALUE"""),"Uncle Sams Cider (11/12/2021) 02")</f>
        <v>Uncle Sams Cider (11/12/2021) 02</v>
      </c>
      <c r="H3704" s="19"/>
    </row>
    <row r="3705">
      <c r="A3705" s="9"/>
      <c r="B3705" s="15"/>
      <c r="C3705" s="9">
        <f>IFERROR(__xludf.DUMMYFUNCTION("""COMPUTED_VALUE"""),44566.8659955671)</f>
        <v>44566.866</v>
      </c>
      <c r="D3705" s="15">
        <f>IFERROR(__xludf.DUMMYFUNCTION("""COMPUTED_VALUE"""),1.01)</f>
        <v>1.01</v>
      </c>
      <c r="E3705" s="16">
        <f>IFERROR(__xludf.DUMMYFUNCTION("""COMPUTED_VALUE"""),64.0)</f>
        <v>64</v>
      </c>
      <c r="F3705" s="19" t="str">
        <f>IFERROR(__xludf.DUMMYFUNCTION("""COMPUTED_VALUE"""),"BLACK")</f>
        <v>BLACK</v>
      </c>
      <c r="G3705" s="20" t="str">
        <f>IFERROR(__xludf.DUMMYFUNCTION("""COMPUTED_VALUE"""),"Uncle Sams Cider (11/12/2021) 02")</f>
        <v>Uncle Sams Cider (11/12/2021) 02</v>
      </c>
      <c r="H3705" s="19"/>
    </row>
    <row r="3706">
      <c r="A3706" s="9"/>
      <c r="B3706" s="15"/>
      <c r="C3706" s="9">
        <f>IFERROR(__xludf.DUMMYFUNCTION("""COMPUTED_VALUE"""),44566.8555754513)</f>
        <v>44566.85558</v>
      </c>
      <c r="D3706" s="15">
        <f>IFERROR(__xludf.DUMMYFUNCTION("""COMPUTED_VALUE"""),1.01)</f>
        <v>1.01</v>
      </c>
      <c r="E3706" s="16">
        <f>IFERROR(__xludf.DUMMYFUNCTION("""COMPUTED_VALUE"""),64.0)</f>
        <v>64</v>
      </c>
      <c r="F3706" s="19" t="str">
        <f>IFERROR(__xludf.DUMMYFUNCTION("""COMPUTED_VALUE"""),"BLACK")</f>
        <v>BLACK</v>
      </c>
      <c r="G3706" s="20" t="str">
        <f>IFERROR(__xludf.DUMMYFUNCTION("""COMPUTED_VALUE"""),"Uncle Sams Cider (11/12/2021) 02")</f>
        <v>Uncle Sams Cider (11/12/2021) 02</v>
      </c>
      <c r="H3706" s="19"/>
    </row>
    <row r="3707">
      <c r="A3707" s="9"/>
      <c r="B3707" s="15"/>
      <c r="C3707" s="9">
        <f>IFERROR(__xludf.DUMMYFUNCTION("""COMPUTED_VALUE"""),44566.8451561921)</f>
        <v>44566.84516</v>
      </c>
      <c r="D3707" s="15">
        <f>IFERROR(__xludf.DUMMYFUNCTION("""COMPUTED_VALUE"""),1.01)</f>
        <v>1.01</v>
      </c>
      <c r="E3707" s="16">
        <f>IFERROR(__xludf.DUMMYFUNCTION("""COMPUTED_VALUE"""),64.0)</f>
        <v>64</v>
      </c>
      <c r="F3707" s="19" t="str">
        <f>IFERROR(__xludf.DUMMYFUNCTION("""COMPUTED_VALUE"""),"BLACK")</f>
        <v>BLACK</v>
      </c>
      <c r="G3707" s="20" t="str">
        <f>IFERROR(__xludf.DUMMYFUNCTION("""COMPUTED_VALUE"""),"Uncle Sams Cider (11/12/2021) 02")</f>
        <v>Uncle Sams Cider (11/12/2021) 02</v>
      </c>
      <c r="H3707" s="19"/>
    </row>
    <row r="3708">
      <c r="A3708" s="9"/>
      <c r="B3708" s="15"/>
      <c r="C3708" s="9">
        <f>IFERROR(__xludf.DUMMYFUNCTION("""COMPUTED_VALUE"""),44566.8347351736)</f>
        <v>44566.83474</v>
      </c>
      <c r="D3708" s="15">
        <f>IFERROR(__xludf.DUMMYFUNCTION("""COMPUTED_VALUE"""),1.01)</f>
        <v>1.01</v>
      </c>
      <c r="E3708" s="16">
        <f>IFERROR(__xludf.DUMMYFUNCTION("""COMPUTED_VALUE"""),64.0)</f>
        <v>64</v>
      </c>
      <c r="F3708" s="19" t="str">
        <f>IFERROR(__xludf.DUMMYFUNCTION("""COMPUTED_VALUE"""),"BLACK")</f>
        <v>BLACK</v>
      </c>
      <c r="G3708" s="20" t="str">
        <f>IFERROR(__xludf.DUMMYFUNCTION("""COMPUTED_VALUE"""),"Uncle Sams Cider (11/12/2021) 02")</f>
        <v>Uncle Sams Cider (11/12/2021) 02</v>
      </c>
      <c r="H3708" s="19"/>
    </row>
    <row r="3709">
      <c r="A3709" s="9"/>
      <c r="B3709" s="15"/>
      <c r="C3709" s="9">
        <f>IFERROR(__xludf.DUMMYFUNCTION("""COMPUTED_VALUE"""),44566.8243129166)</f>
        <v>44566.82431</v>
      </c>
      <c r="D3709" s="15">
        <f>IFERROR(__xludf.DUMMYFUNCTION("""COMPUTED_VALUE"""),1.01)</f>
        <v>1.01</v>
      </c>
      <c r="E3709" s="16">
        <f>IFERROR(__xludf.DUMMYFUNCTION("""COMPUTED_VALUE"""),64.0)</f>
        <v>64</v>
      </c>
      <c r="F3709" s="19" t="str">
        <f>IFERROR(__xludf.DUMMYFUNCTION("""COMPUTED_VALUE"""),"BLACK")</f>
        <v>BLACK</v>
      </c>
      <c r="G3709" s="20" t="str">
        <f>IFERROR(__xludf.DUMMYFUNCTION("""COMPUTED_VALUE"""),"Uncle Sams Cider (11/12/2021) 02")</f>
        <v>Uncle Sams Cider (11/12/2021) 02</v>
      </c>
      <c r="H3709" s="19"/>
    </row>
    <row r="3710">
      <c r="A3710" s="9"/>
      <c r="B3710" s="15"/>
      <c r="C3710" s="9">
        <f>IFERROR(__xludf.DUMMYFUNCTION("""COMPUTED_VALUE"""),44566.8138925462)</f>
        <v>44566.81389</v>
      </c>
      <c r="D3710" s="15">
        <f>IFERROR(__xludf.DUMMYFUNCTION("""COMPUTED_VALUE"""),1.01)</f>
        <v>1.01</v>
      </c>
      <c r="E3710" s="16">
        <f>IFERROR(__xludf.DUMMYFUNCTION("""COMPUTED_VALUE"""),64.0)</f>
        <v>64</v>
      </c>
      <c r="F3710" s="19" t="str">
        <f>IFERROR(__xludf.DUMMYFUNCTION("""COMPUTED_VALUE"""),"BLACK")</f>
        <v>BLACK</v>
      </c>
      <c r="G3710" s="20" t="str">
        <f>IFERROR(__xludf.DUMMYFUNCTION("""COMPUTED_VALUE"""),"Uncle Sams Cider (11/12/2021) 02")</f>
        <v>Uncle Sams Cider (11/12/2021) 02</v>
      </c>
      <c r="H3710" s="19"/>
    </row>
    <row r="3711">
      <c r="A3711" s="9"/>
      <c r="B3711" s="15"/>
      <c r="C3711" s="9">
        <f>IFERROR(__xludf.DUMMYFUNCTION("""COMPUTED_VALUE"""),44566.803423287)</f>
        <v>44566.80342</v>
      </c>
      <c r="D3711" s="15">
        <f>IFERROR(__xludf.DUMMYFUNCTION("""COMPUTED_VALUE"""),1.01)</f>
        <v>1.01</v>
      </c>
      <c r="E3711" s="16">
        <f>IFERROR(__xludf.DUMMYFUNCTION("""COMPUTED_VALUE"""),64.0)</f>
        <v>64</v>
      </c>
      <c r="F3711" s="19" t="str">
        <f>IFERROR(__xludf.DUMMYFUNCTION("""COMPUTED_VALUE"""),"BLACK")</f>
        <v>BLACK</v>
      </c>
      <c r="G3711" s="20" t="str">
        <f>IFERROR(__xludf.DUMMYFUNCTION("""COMPUTED_VALUE"""),"Uncle Sams Cider (11/12/2021) 02")</f>
        <v>Uncle Sams Cider (11/12/2021) 02</v>
      </c>
      <c r="H3711" s="19"/>
    </row>
    <row r="3712">
      <c r="A3712" s="9"/>
      <c r="B3712" s="15"/>
      <c r="C3712" s="9">
        <f>IFERROR(__xludf.DUMMYFUNCTION("""COMPUTED_VALUE"""),44566.7929883912)</f>
        <v>44566.79299</v>
      </c>
      <c r="D3712" s="15">
        <f>IFERROR(__xludf.DUMMYFUNCTION("""COMPUTED_VALUE"""),1.01)</f>
        <v>1.01</v>
      </c>
      <c r="E3712" s="16">
        <f>IFERROR(__xludf.DUMMYFUNCTION("""COMPUTED_VALUE"""),64.0)</f>
        <v>64</v>
      </c>
      <c r="F3712" s="19" t="str">
        <f>IFERROR(__xludf.DUMMYFUNCTION("""COMPUTED_VALUE"""),"BLACK")</f>
        <v>BLACK</v>
      </c>
      <c r="G3712" s="20" t="str">
        <f>IFERROR(__xludf.DUMMYFUNCTION("""COMPUTED_VALUE"""),"Uncle Sams Cider (11/12/2021) 02")</f>
        <v>Uncle Sams Cider (11/12/2021) 02</v>
      </c>
      <c r="H3712" s="19"/>
    </row>
    <row r="3713">
      <c r="A3713" s="9"/>
      <c r="B3713" s="15"/>
      <c r="C3713" s="9">
        <f>IFERROR(__xludf.DUMMYFUNCTION("""COMPUTED_VALUE"""),44566.7825667476)</f>
        <v>44566.78257</v>
      </c>
      <c r="D3713" s="15">
        <f>IFERROR(__xludf.DUMMYFUNCTION("""COMPUTED_VALUE"""),1.009)</f>
        <v>1.009</v>
      </c>
      <c r="E3713" s="16">
        <f>IFERROR(__xludf.DUMMYFUNCTION("""COMPUTED_VALUE"""),64.0)</f>
        <v>64</v>
      </c>
      <c r="F3713" s="19" t="str">
        <f>IFERROR(__xludf.DUMMYFUNCTION("""COMPUTED_VALUE"""),"BLACK")</f>
        <v>BLACK</v>
      </c>
      <c r="G3713" s="20" t="str">
        <f>IFERROR(__xludf.DUMMYFUNCTION("""COMPUTED_VALUE"""),"Uncle Sams Cider (11/12/2021) 02")</f>
        <v>Uncle Sams Cider (11/12/2021) 02</v>
      </c>
      <c r="H3713" s="19"/>
    </row>
    <row r="3714">
      <c r="A3714" s="9"/>
      <c r="B3714" s="15"/>
      <c r="C3714" s="9">
        <f>IFERROR(__xludf.DUMMYFUNCTION("""COMPUTED_VALUE"""),44566.7721354282)</f>
        <v>44566.77214</v>
      </c>
      <c r="D3714" s="15">
        <f>IFERROR(__xludf.DUMMYFUNCTION("""COMPUTED_VALUE"""),1.01)</f>
        <v>1.01</v>
      </c>
      <c r="E3714" s="16">
        <f>IFERROR(__xludf.DUMMYFUNCTION("""COMPUTED_VALUE"""),64.0)</f>
        <v>64</v>
      </c>
      <c r="F3714" s="19" t="str">
        <f>IFERROR(__xludf.DUMMYFUNCTION("""COMPUTED_VALUE"""),"BLACK")</f>
        <v>BLACK</v>
      </c>
      <c r="G3714" s="20" t="str">
        <f>IFERROR(__xludf.DUMMYFUNCTION("""COMPUTED_VALUE"""),"Uncle Sams Cider (11/12/2021) 02")</f>
        <v>Uncle Sams Cider (11/12/2021) 02</v>
      </c>
      <c r="H3714" s="19"/>
    </row>
    <row r="3715">
      <c r="A3715" s="9"/>
      <c r="B3715" s="15"/>
      <c r="C3715" s="9">
        <f>IFERROR(__xludf.DUMMYFUNCTION("""COMPUTED_VALUE"""),44566.7617129282)</f>
        <v>44566.76171</v>
      </c>
      <c r="D3715" s="15">
        <f>IFERROR(__xludf.DUMMYFUNCTION("""COMPUTED_VALUE"""),1.01)</f>
        <v>1.01</v>
      </c>
      <c r="E3715" s="16">
        <f>IFERROR(__xludf.DUMMYFUNCTION("""COMPUTED_VALUE"""),64.0)</f>
        <v>64</v>
      </c>
      <c r="F3715" s="19" t="str">
        <f>IFERROR(__xludf.DUMMYFUNCTION("""COMPUTED_VALUE"""),"BLACK")</f>
        <v>BLACK</v>
      </c>
      <c r="G3715" s="20" t="str">
        <f>IFERROR(__xludf.DUMMYFUNCTION("""COMPUTED_VALUE"""),"Uncle Sams Cider (11/12/2021) 02")</f>
        <v>Uncle Sams Cider (11/12/2021) 02</v>
      </c>
      <c r="H3715" s="19"/>
    </row>
    <row r="3716">
      <c r="A3716" s="9"/>
      <c r="B3716" s="15"/>
      <c r="C3716" s="9">
        <f>IFERROR(__xludf.DUMMYFUNCTION("""COMPUTED_VALUE"""),44566.7512567245)</f>
        <v>44566.75126</v>
      </c>
      <c r="D3716" s="15">
        <f>IFERROR(__xludf.DUMMYFUNCTION("""COMPUTED_VALUE"""),1.01)</f>
        <v>1.01</v>
      </c>
      <c r="E3716" s="16">
        <f>IFERROR(__xludf.DUMMYFUNCTION("""COMPUTED_VALUE"""),64.0)</f>
        <v>64</v>
      </c>
      <c r="F3716" s="19" t="str">
        <f>IFERROR(__xludf.DUMMYFUNCTION("""COMPUTED_VALUE"""),"BLACK")</f>
        <v>BLACK</v>
      </c>
      <c r="G3716" s="20" t="str">
        <f>IFERROR(__xludf.DUMMYFUNCTION("""COMPUTED_VALUE"""),"Uncle Sams Cider (11/12/2021) 02")</f>
        <v>Uncle Sams Cider (11/12/2021) 02</v>
      </c>
      <c r="H3716" s="19"/>
    </row>
    <row r="3717">
      <c r="A3717" s="9"/>
      <c r="B3717" s="15"/>
      <c r="C3717" s="9">
        <f>IFERROR(__xludf.DUMMYFUNCTION("""COMPUTED_VALUE"""),44566.7408356134)</f>
        <v>44566.74084</v>
      </c>
      <c r="D3717" s="15">
        <f>IFERROR(__xludf.DUMMYFUNCTION("""COMPUTED_VALUE"""),1.01)</f>
        <v>1.01</v>
      </c>
      <c r="E3717" s="16">
        <f>IFERROR(__xludf.DUMMYFUNCTION("""COMPUTED_VALUE"""),64.0)</f>
        <v>64</v>
      </c>
      <c r="F3717" s="19" t="str">
        <f>IFERROR(__xludf.DUMMYFUNCTION("""COMPUTED_VALUE"""),"BLACK")</f>
        <v>BLACK</v>
      </c>
      <c r="G3717" s="20" t="str">
        <f>IFERROR(__xludf.DUMMYFUNCTION("""COMPUTED_VALUE"""),"Uncle Sams Cider (11/12/2021) 02")</f>
        <v>Uncle Sams Cider (11/12/2021) 02</v>
      </c>
      <c r="H3717" s="19"/>
    </row>
    <row r="3718">
      <c r="A3718" s="9"/>
      <c r="B3718" s="15"/>
      <c r="C3718" s="9">
        <f>IFERROR(__xludf.DUMMYFUNCTION("""COMPUTED_VALUE"""),44566.7304122453)</f>
        <v>44566.73041</v>
      </c>
      <c r="D3718" s="15">
        <f>IFERROR(__xludf.DUMMYFUNCTION("""COMPUTED_VALUE"""),1.01)</f>
        <v>1.01</v>
      </c>
      <c r="E3718" s="16">
        <f>IFERROR(__xludf.DUMMYFUNCTION("""COMPUTED_VALUE"""),64.0)</f>
        <v>64</v>
      </c>
      <c r="F3718" s="19" t="str">
        <f>IFERROR(__xludf.DUMMYFUNCTION("""COMPUTED_VALUE"""),"BLACK")</f>
        <v>BLACK</v>
      </c>
      <c r="G3718" s="20" t="str">
        <f>IFERROR(__xludf.DUMMYFUNCTION("""COMPUTED_VALUE"""),"Uncle Sams Cider (11/12/2021) 02")</f>
        <v>Uncle Sams Cider (11/12/2021) 02</v>
      </c>
      <c r="H3718" s="19"/>
    </row>
    <row r="3719">
      <c r="A3719" s="9"/>
      <c r="B3719" s="15"/>
      <c r="C3719" s="9">
        <f>IFERROR(__xludf.DUMMYFUNCTION("""COMPUTED_VALUE"""),44566.719991655)</f>
        <v>44566.71999</v>
      </c>
      <c r="D3719" s="15">
        <f>IFERROR(__xludf.DUMMYFUNCTION("""COMPUTED_VALUE"""),1.01)</f>
        <v>1.01</v>
      </c>
      <c r="E3719" s="16">
        <f>IFERROR(__xludf.DUMMYFUNCTION("""COMPUTED_VALUE"""),64.0)</f>
        <v>64</v>
      </c>
      <c r="F3719" s="19" t="str">
        <f>IFERROR(__xludf.DUMMYFUNCTION("""COMPUTED_VALUE"""),"BLACK")</f>
        <v>BLACK</v>
      </c>
      <c r="G3719" s="20" t="str">
        <f>IFERROR(__xludf.DUMMYFUNCTION("""COMPUTED_VALUE"""),"Uncle Sams Cider (11/12/2021) 02")</f>
        <v>Uncle Sams Cider (11/12/2021) 02</v>
      </c>
      <c r="H3719" s="19"/>
    </row>
    <row r="3720">
      <c r="A3720" s="9"/>
      <c r="B3720" s="15"/>
      <c r="C3720" s="9">
        <f>IFERROR(__xludf.DUMMYFUNCTION("""COMPUTED_VALUE"""),44566.7095714236)</f>
        <v>44566.70957</v>
      </c>
      <c r="D3720" s="15">
        <f>IFERROR(__xludf.DUMMYFUNCTION("""COMPUTED_VALUE"""),1.01)</f>
        <v>1.01</v>
      </c>
      <c r="E3720" s="16">
        <f>IFERROR(__xludf.DUMMYFUNCTION("""COMPUTED_VALUE"""),64.0)</f>
        <v>64</v>
      </c>
      <c r="F3720" s="19" t="str">
        <f>IFERROR(__xludf.DUMMYFUNCTION("""COMPUTED_VALUE"""),"BLACK")</f>
        <v>BLACK</v>
      </c>
      <c r="G3720" s="20" t="str">
        <f>IFERROR(__xludf.DUMMYFUNCTION("""COMPUTED_VALUE"""),"Uncle Sams Cider (11/12/2021) 02")</f>
        <v>Uncle Sams Cider (11/12/2021) 02</v>
      </c>
      <c r="H3720" s="19"/>
    </row>
    <row r="3721">
      <c r="A3721" s="9"/>
      <c r="B3721" s="15"/>
      <c r="C3721" s="9">
        <f>IFERROR(__xludf.DUMMYFUNCTION("""COMPUTED_VALUE"""),44566.6991493287)</f>
        <v>44566.69915</v>
      </c>
      <c r="D3721" s="15">
        <f>IFERROR(__xludf.DUMMYFUNCTION("""COMPUTED_VALUE"""),1.009)</f>
        <v>1.009</v>
      </c>
      <c r="E3721" s="16">
        <f>IFERROR(__xludf.DUMMYFUNCTION("""COMPUTED_VALUE"""),64.0)</f>
        <v>64</v>
      </c>
      <c r="F3721" s="19" t="str">
        <f>IFERROR(__xludf.DUMMYFUNCTION("""COMPUTED_VALUE"""),"BLACK")</f>
        <v>BLACK</v>
      </c>
      <c r="G3721" s="20" t="str">
        <f>IFERROR(__xludf.DUMMYFUNCTION("""COMPUTED_VALUE"""),"Uncle Sams Cider (11/12/2021) 02")</f>
        <v>Uncle Sams Cider (11/12/2021) 02</v>
      </c>
      <c r="H3721" s="19"/>
    </row>
    <row r="3722">
      <c r="A3722" s="9"/>
      <c r="B3722" s="15"/>
      <c r="C3722" s="9">
        <f>IFERROR(__xludf.DUMMYFUNCTION("""COMPUTED_VALUE"""),44566.6887276041)</f>
        <v>44566.68873</v>
      </c>
      <c r="D3722" s="15">
        <f>IFERROR(__xludf.DUMMYFUNCTION("""COMPUTED_VALUE"""),1.009)</f>
        <v>1.009</v>
      </c>
      <c r="E3722" s="16">
        <f>IFERROR(__xludf.DUMMYFUNCTION("""COMPUTED_VALUE"""),64.0)</f>
        <v>64</v>
      </c>
      <c r="F3722" s="19" t="str">
        <f>IFERROR(__xludf.DUMMYFUNCTION("""COMPUTED_VALUE"""),"BLACK")</f>
        <v>BLACK</v>
      </c>
      <c r="G3722" s="20" t="str">
        <f>IFERROR(__xludf.DUMMYFUNCTION("""COMPUTED_VALUE"""),"Uncle Sams Cider (11/12/2021) 02")</f>
        <v>Uncle Sams Cider (11/12/2021) 02</v>
      </c>
      <c r="H3722" s="19"/>
    </row>
    <row r="3723">
      <c r="A3723" s="9"/>
      <c r="B3723" s="15"/>
      <c r="C3723" s="9">
        <f>IFERROR(__xludf.DUMMYFUNCTION("""COMPUTED_VALUE"""),44566.6783066782)</f>
        <v>44566.67831</v>
      </c>
      <c r="D3723" s="15">
        <f>IFERROR(__xludf.DUMMYFUNCTION("""COMPUTED_VALUE"""),1.01)</f>
        <v>1.01</v>
      </c>
      <c r="E3723" s="16">
        <f>IFERROR(__xludf.DUMMYFUNCTION("""COMPUTED_VALUE"""),64.0)</f>
        <v>64</v>
      </c>
      <c r="F3723" s="19" t="str">
        <f>IFERROR(__xludf.DUMMYFUNCTION("""COMPUTED_VALUE"""),"BLACK")</f>
        <v>BLACK</v>
      </c>
      <c r="G3723" s="20" t="str">
        <f>IFERROR(__xludf.DUMMYFUNCTION("""COMPUTED_VALUE"""),"Uncle Sams Cider (11/12/2021) 02")</f>
        <v>Uncle Sams Cider (11/12/2021) 02</v>
      </c>
      <c r="H3723" s="19"/>
    </row>
    <row r="3724">
      <c r="A3724" s="9"/>
      <c r="B3724" s="15"/>
      <c r="C3724" s="9">
        <f>IFERROR(__xludf.DUMMYFUNCTION("""COMPUTED_VALUE"""),44566.6678615162)</f>
        <v>44566.66786</v>
      </c>
      <c r="D3724" s="15">
        <f>IFERROR(__xludf.DUMMYFUNCTION("""COMPUTED_VALUE"""),1.01)</f>
        <v>1.01</v>
      </c>
      <c r="E3724" s="16">
        <f>IFERROR(__xludf.DUMMYFUNCTION("""COMPUTED_VALUE"""),64.0)</f>
        <v>64</v>
      </c>
      <c r="F3724" s="19" t="str">
        <f>IFERROR(__xludf.DUMMYFUNCTION("""COMPUTED_VALUE"""),"BLACK")</f>
        <v>BLACK</v>
      </c>
      <c r="G3724" s="20" t="str">
        <f>IFERROR(__xludf.DUMMYFUNCTION("""COMPUTED_VALUE"""),"Uncle Sams Cider (11/12/2021) 02")</f>
        <v>Uncle Sams Cider (11/12/2021) 02</v>
      </c>
      <c r="H3724" s="19"/>
    </row>
    <row r="3725">
      <c r="A3725" s="9"/>
      <c r="B3725" s="15"/>
      <c r="C3725" s="9">
        <f>IFERROR(__xludf.DUMMYFUNCTION("""COMPUTED_VALUE"""),44566.6574389583)</f>
        <v>44566.65744</v>
      </c>
      <c r="D3725" s="15">
        <f>IFERROR(__xludf.DUMMYFUNCTION("""COMPUTED_VALUE"""),1.009)</f>
        <v>1.009</v>
      </c>
      <c r="E3725" s="16">
        <f>IFERROR(__xludf.DUMMYFUNCTION("""COMPUTED_VALUE"""),64.0)</f>
        <v>64</v>
      </c>
      <c r="F3725" s="19" t="str">
        <f>IFERROR(__xludf.DUMMYFUNCTION("""COMPUTED_VALUE"""),"BLACK")</f>
        <v>BLACK</v>
      </c>
      <c r="G3725" s="20" t="str">
        <f>IFERROR(__xludf.DUMMYFUNCTION("""COMPUTED_VALUE"""),"Uncle Sams Cider (11/12/2021) 02")</f>
        <v>Uncle Sams Cider (11/12/2021) 02</v>
      </c>
      <c r="H3725" s="19"/>
    </row>
    <row r="3726">
      <c r="A3726" s="9"/>
      <c r="B3726" s="15"/>
      <c r="C3726" s="9">
        <f>IFERROR(__xludf.DUMMYFUNCTION("""COMPUTED_VALUE"""),44566.6470173379)</f>
        <v>44566.64702</v>
      </c>
      <c r="D3726" s="15">
        <f>IFERROR(__xludf.DUMMYFUNCTION("""COMPUTED_VALUE"""),1.01)</f>
        <v>1.01</v>
      </c>
      <c r="E3726" s="16">
        <f>IFERROR(__xludf.DUMMYFUNCTION("""COMPUTED_VALUE"""),64.0)</f>
        <v>64</v>
      </c>
      <c r="F3726" s="19" t="str">
        <f>IFERROR(__xludf.DUMMYFUNCTION("""COMPUTED_VALUE"""),"BLACK")</f>
        <v>BLACK</v>
      </c>
      <c r="G3726" s="20" t="str">
        <f>IFERROR(__xludf.DUMMYFUNCTION("""COMPUTED_VALUE"""),"Uncle Sams Cider (11/12/2021) 02")</f>
        <v>Uncle Sams Cider (11/12/2021) 02</v>
      </c>
      <c r="H3726" s="19"/>
    </row>
    <row r="3727">
      <c r="A3727" s="9"/>
      <c r="B3727" s="15"/>
      <c r="C3727" s="9">
        <f>IFERROR(__xludf.DUMMYFUNCTION("""COMPUTED_VALUE"""),44566.6365726273)</f>
        <v>44566.63657</v>
      </c>
      <c r="D3727" s="15">
        <f>IFERROR(__xludf.DUMMYFUNCTION("""COMPUTED_VALUE"""),1.01)</f>
        <v>1.01</v>
      </c>
      <c r="E3727" s="16">
        <f>IFERROR(__xludf.DUMMYFUNCTION("""COMPUTED_VALUE"""),64.0)</f>
        <v>64</v>
      </c>
      <c r="F3727" s="19" t="str">
        <f>IFERROR(__xludf.DUMMYFUNCTION("""COMPUTED_VALUE"""),"BLACK")</f>
        <v>BLACK</v>
      </c>
      <c r="G3727" s="20" t="str">
        <f>IFERROR(__xludf.DUMMYFUNCTION("""COMPUTED_VALUE"""),"Uncle Sams Cider (11/12/2021) 02")</f>
        <v>Uncle Sams Cider (11/12/2021) 02</v>
      </c>
      <c r="H3727" s="19"/>
    </row>
    <row r="3728">
      <c r="A3728" s="9"/>
      <c r="B3728" s="15"/>
      <c r="C3728" s="9">
        <f>IFERROR(__xludf.DUMMYFUNCTION("""COMPUTED_VALUE"""),44566.6261382638)</f>
        <v>44566.62614</v>
      </c>
      <c r="D3728" s="15">
        <f>IFERROR(__xludf.DUMMYFUNCTION("""COMPUTED_VALUE"""),1.01)</f>
        <v>1.01</v>
      </c>
      <c r="E3728" s="16">
        <f>IFERROR(__xludf.DUMMYFUNCTION("""COMPUTED_VALUE"""),64.0)</f>
        <v>64</v>
      </c>
      <c r="F3728" s="19" t="str">
        <f>IFERROR(__xludf.DUMMYFUNCTION("""COMPUTED_VALUE"""),"BLACK")</f>
        <v>BLACK</v>
      </c>
      <c r="G3728" s="20" t="str">
        <f>IFERROR(__xludf.DUMMYFUNCTION("""COMPUTED_VALUE"""),"Uncle Sams Cider (11/12/2021) 02")</f>
        <v>Uncle Sams Cider (11/12/2021) 02</v>
      </c>
      <c r="H3728" s="19"/>
    </row>
    <row r="3729">
      <c r="A3729" s="9"/>
      <c r="B3729" s="15"/>
      <c r="C3729" s="9">
        <f>IFERROR(__xludf.DUMMYFUNCTION("""COMPUTED_VALUE"""),44566.6157050347)</f>
        <v>44566.61571</v>
      </c>
      <c r="D3729" s="15">
        <f>IFERROR(__xludf.DUMMYFUNCTION("""COMPUTED_VALUE"""),1.01)</f>
        <v>1.01</v>
      </c>
      <c r="E3729" s="16">
        <f>IFERROR(__xludf.DUMMYFUNCTION("""COMPUTED_VALUE"""),64.0)</f>
        <v>64</v>
      </c>
      <c r="F3729" s="19" t="str">
        <f>IFERROR(__xludf.DUMMYFUNCTION("""COMPUTED_VALUE"""),"BLACK")</f>
        <v>BLACK</v>
      </c>
      <c r="G3729" s="20" t="str">
        <f>IFERROR(__xludf.DUMMYFUNCTION("""COMPUTED_VALUE"""),"Uncle Sams Cider (11/12/2021) 02")</f>
        <v>Uncle Sams Cider (11/12/2021) 02</v>
      </c>
      <c r="H3729" s="19"/>
    </row>
    <row r="3730">
      <c r="A3730" s="9"/>
      <c r="B3730" s="15"/>
      <c r="C3730" s="9">
        <f>IFERROR(__xludf.DUMMYFUNCTION("""COMPUTED_VALUE"""),44566.6052722916)</f>
        <v>44566.60527</v>
      </c>
      <c r="D3730" s="15">
        <f>IFERROR(__xludf.DUMMYFUNCTION("""COMPUTED_VALUE"""),1.01)</f>
        <v>1.01</v>
      </c>
      <c r="E3730" s="16">
        <f>IFERROR(__xludf.DUMMYFUNCTION("""COMPUTED_VALUE"""),64.0)</f>
        <v>64</v>
      </c>
      <c r="F3730" s="19" t="str">
        <f>IFERROR(__xludf.DUMMYFUNCTION("""COMPUTED_VALUE"""),"BLACK")</f>
        <v>BLACK</v>
      </c>
      <c r="G3730" s="20" t="str">
        <f>IFERROR(__xludf.DUMMYFUNCTION("""COMPUTED_VALUE"""),"Uncle Sams Cider (11/12/2021) 02")</f>
        <v>Uncle Sams Cider (11/12/2021) 02</v>
      </c>
      <c r="H3730" s="19"/>
    </row>
    <row r="3731">
      <c r="A3731" s="9"/>
      <c r="B3731" s="15"/>
      <c r="C3731" s="9">
        <f>IFERROR(__xludf.DUMMYFUNCTION("""COMPUTED_VALUE"""),44566.5948531828)</f>
        <v>44566.59485</v>
      </c>
      <c r="D3731" s="15">
        <f>IFERROR(__xludf.DUMMYFUNCTION("""COMPUTED_VALUE"""),1.01)</f>
        <v>1.01</v>
      </c>
      <c r="E3731" s="16">
        <f>IFERROR(__xludf.DUMMYFUNCTION("""COMPUTED_VALUE"""),64.0)</f>
        <v>64</v>
      </c>
      <c r="F3731" s="19" t="str">
        <f>IFERROR(__xludf.DUMMYFUNCTION("""COMPUTED_VALUE"""),"BLACK")</f>
        <v>BLACK</v>
      </c>
      <c r="G3731" s="20" t="str">
        <f>IFERROR(__xludf.DUMMYFUNCTION("""COMPUTED_VALUE"""),"Uncle Sams Cider (11/12/2021) 02")</f>
        <v>Uncle Sams Cider (11/12/2021) 02</v>
      </c>
      <c r="H3731" s="19"/>
    </row>
    <row r="3732">
      <c r="A3732" s="9"/>
      <c r="B3732" s="15"/>
      <c r="C3732" s="9">
        <f>IFERROR(__xludf.DUMMYFUNCTION("""COMPUTED_VALUE"""),44566.5844309722)</f>
        <v>44566.58443</v>
      </c>
      <c r="D3732" s="15">
        <f>IFERROR(__xludf.DUMMYFUNCTION("""COMPUTED_VALUE"""),1.01)</f>
        <v>1.01</v>
      </c>
      <c r="E3732" s="16">
        <f>IFERROR(__xludf.DUMMYFUNCTION("""COMPUTED_VALUE"""),64.0)</f>
        <v>64</v>
      </c>
      <c r="F3732" s="19" t="str">
        <f>IFERROR(__xludf.DUMMYFUNCTION("""COMPUTED_VALUE"""),"BLACK")</f>
        <v>BLACK</v>
      </c>
      <c r="G3732" s="20" t="str">
        <f>IFERROR(__xludf.DUMMYFUNCTION("""COMPUTED_VALUE"""),"Uncle Sams Cider (11/12/2021) 02")</f>
        <v>Uncle Sams Cider (11/12/2021) 02</v>
      </c>
      <c r="H3732" s="19"/>
    </row>
    <row r="3733">
      <c r="A3733" s="9"/>
      <c r="B3733" s="15"/>
      <c r="C3733" s="9">
        <f>IFERROR(__xludf.DUMMYFUNCTION("""COMPUTED_VALUE"""),44566.5739988078)</f>
        <v>44566.574</v>
      </c>
      <c r="D3733" s="15">
        <f>IFERROR(__xludf.DUMMYFUNCTION("""COMPUTED_VALUE"""),1.01)</f>
        <v>1.01</v>
      </c>
      <c r="E3733" s="16">
        <f>IFERROR(__xludf.DUMMYFUNCTION("""COMPUTED_VALUE"""),64.0)</f>
        <v>64</v>
      </c>
      <c r="F3733" s="19" t="str">
        <f>IFERROR(__xludf.DUMMYFUNCTION("""COMPUTED_VALUE"""),"BLACK")</f>
        <v>BLACK</v>
      </c>
      <c r="G3733" s="20" t="str">
        <f>IFERROR(__xludf.DUMMYFUNCTION("""COMPUTED_VALUE"""),"Uncle Sams Cider (11/12/2021) 02")</f>
        <v>Uncle Sams Cider (11/12/2021) 02</v>
      </c>
      <c r="H3733" s="19"/>
    </row>
    <row r="3734">
      <c r="A3734" s="9"/>
      <c r="B3734" s="15"/>
      <c r="C3734" s="9">
        <f>IFERROR(__xludf.DUMMYFUNCTION("""COMPUTED_VALUE"""),44566.5635071296)</f>
        <v>44566.56351</v>
      </c>
      <c r="D3734" s="15">
        <f>IFERROR(__xludf.DUMMYFUNCTION("""COMPUTED_VALUE"""),1.01)</f>
        <v>1.01</v>
      </c>
      <c r="E3734" s="16">
        <f>IFERROR(__xludf.DUMMYFUNCTION("""COMPUTED_VALUE"""),64.0)</f>
        <v>64</v>
      </c>
      <c r="F3734" s="19" t="str">
        <f>IFERROR(__xludf.DUMMYFUNCTION("""COMPUTED_VALUE"""),"BLACK")</f>
        <v>BLACK</v>
      </c>
      <c r="G3734" s="20" t="str">
        <f>IFERROR(__xludf.DUMMYFUNCTION("""COMPUTED_VALUE"""),"Uncle Sams Cider (11/12/2021) 02")</f>
        <v>Uncle Sams Cider (11/12/2021) 02</v>
      </c>
      <c r="H3734" s="19"/>
    </row>
    <row r="3735">
      <c r="A3735" s="9"/>
      <c r="B3735" s="15"/>
      <c r="C3735" s="9">
        <f>IFERROR(__xludf.DUMMYFUNCTION("""COMPUTED_VALUE"""),44566.5530535995)</f>
        <v>44566.55305</v>
      </c>
      <c r="D3735" s="15">
        <f>IFERROR(__xludf.DUMMYFUNCTION("""COMPUTED_VALUE"""),1.01)</f>
        <v>1.01</v>
      </c>
      <c r="E3735" s="16">
        <f>IFERROR(__xludf.DUMMYFUNCTION("""COMPUTED_VALUE"""),64.0)</f>
        <v>64</v>
      </c>
      <c r="F3735" s="19" t="str">
        <f>IFERROR(__xludf.DUMMYFUNCTION("""COMPUTED_VALUE"""),"BLACK")</f>
        <v>BLACK</v>
      </c>
      <c r="G3735" s="20" t="str">
        <f>IFERROR(__xludf.DUMMYFUNCTION("""COMPUTED_VALUE"""),"Uncle Sams Cider (11/12/2021) 02")</f>
        <v>Uncle Sams Cider (11/12/2021) 02</v>
      </c>
      <c r="H3735" s="19"/>
    </row>
    <row r="3736">
      <c r="A3736" s="9"/>
      <c r="B3736" s="15"/>
      <c r="C3736" s="9">
        <f>IFERROR(__xludf.DUMMYFUNCTION("""COMPUTED_VALUE"""),44566.5425510185)</f>
        <v>44566.54255</v>
      </c>
      <c r="D3736" s="15">
        <f>IFERROR(__xludf.DUMMYFUNCTION("""COMPUTED_VALUE"""),1.01)</f>
        <v>1.01</v>
      </c>
      <c r="E3736" s="16">
        <f>IFERROR(__xludf.DUMMYFUNCTION("""COMPUTED_VALUE"""),64.0)</f>
        <v>64</v>
      </c>
      <c r="F3736" s="19" t="str">
        <f>IFERROR(__xludf.DUMMYFUNCTION("""COMPUTED_VALUE"""),"BLACK")</f>
        <v>BLACK</v>
      </c>
      <c r="G3736" s="20" t="str">
        <f>IFERROR(__xludf.DUMMYFUNCTION("""COMPUTED_VALUE"""),"Uncle Sams Cider (11/12/2021) 02")</f>
        <v>Uncle Sams Cider (11/12/2021) 02</v>
      </c>
      <c r="H3736" s="19"/>
    </row>
    <row r="3737">
      <c r="A3737" s="9"/>
      <c r="B3737" s="15"/>
      <c r="C3737" s="9">
        <f>IFERROR(__xludf.DUMMYFUNCTION("""COMPUTED_VALUE"""),44566.5321294675)</f>
        <v>44566.53213</v>
      </c>
      <c r="D3737" s="15">
        <f>IFERROR(__xludf.DUMMYFUNCTION("""COMPUTED_VALUE"""),1.01)</f>
        <v>1.01</v>
      </c>
      <c r="E3737" s="16">
        <f>IFERROR(__xludf.DUMMYFUNCTION("""COMPUTED_VALUE"""),64.0)</f>
        <v>64</v>
      </c>
      <c r="F3737" s="19" t="str">
        <f>IFERROR(__xludf.DUMMYFUNCTION("""COMPUTED_VALUE"""),"BLACK")</f>
        <v>BLACK</v>
      </c>
      <c r="G3737" s="20" t="str">
        <f>IFERROR(__xludf.DUMMYFUNCTION("""COMPUTED_VALUE"""),"Uncle Sams Cider (11/12/2021) 02")</f>
        <v>Uncle Sams Cider (11/12/2021) 02</v>
      </c>
      <c r="H3737" s="19"/>
    </row>
    <row r="3738">
      <c r="A3738" s="9"/>
      <c r="B3738" s="15"/>
      <c r="C3738" s="9">
        <f>IFERROR(__xludf.DUMMYFUNCTION("""COMPUTED_VALUE"""),44566.5216967129)</f>
        <v>44566.5217</v>
      </c>
      <c r="D3738" s="15">
        <f>IFERROR(__xludf.DUMMYFUNCTION("""COMPUTED_VALUE"""),1.009)</f>
        <v>1.009</v>
      </c>
      <c r="E3738" s="16">
        <f>IFERROR(__xludf.DUMMYFUNCTION("""COMPUTED_VALUE"""),64.0)</f>
        <v>64</v>
      </c>
      <c r="F3738" s="19" t="str">
        <f>IFERROR(__xludf.DUMMYFUNCTION("""COMPUTED_VALUE"""),"BLACK")</f>
        <v>BLACK</v>
      </c>
      <c r="G3738" s="20" t="str">
        <f>IFERROR(__xludf.DUMMYFUNCTION("""COMPUTED_VALUE"""),"Uncle Sams Cider (11/12/2021) 02")</f>
        <v>Uncle Sams Cider (11/12/2021) 02</v>
      </c>
      <c r="H3738" s="19"/>
    </row>
    <row r="3739">
      <c r="A3739" s="9"/>
      <c r="B3739" s="15"/>
      <c r="C3739" s="9">
        <f>IFERROR(__xludf.DUMMYFUNCTION("""COMPUTED_VALUE"""),44566.5112743981)</f>
        <v>44566.51127</v>
      </c>
      <c r="D3739" s="15">
        <f>IFERROR(__xludf.DUMMYFUNCTION("""COMPUTED_VALUE"""),1.01)</f>
        <v>1.01</v>
      </c>
      <c r="E3739" s="16">
        <f>IFERROR(__xludf.DUMMYFUNCTION("""COMPUTED_VALUE"""),64.0)</f>
        <v>64</v>
      </c>
      <c r="F3739" s="19" t="str">
        <f>IFERROR(__xludf.DUMMYFUNCTION("""COMPUTED_VALUE"""),"BLACK")</f>
        <v>BLACK</v>
      </c>
      <c r="G3739" s="20" t="str">
        <f>IFERROR(__xludf.DUMMYFUNCTION("""COMPUTED_VALUE"""),"Uncle Sams Cider (11/12/2021) 02")</f>
        <v>Uncle Sams Cider (11/12/2021) 02</v>
      </c>
      <c r="H3739" s="19"/>
    </row>
    <row r="3740">
      <c r="A3740" s="9"/>
      <c r="B3740" s="15"/>
      <c r="C3740" s="9">
        <f>IFERROR(__xludf.DUMMYFUNCTION("""COMPUTED_VALUE"""),44566.5008534375)</f>
        <v>44566.50085</v>
      </c>
      <c r="D3740" s="15">
        <f>IFERROR(__xludf.DUMMYFUNCTION("""COMPUTED_VALUE"""),1.01)</f>
        <v>1.01</v>
      </c>
      <c r="E3740" s="16">
        <f>IFERROR(__xludf.DUMMYFUNCTION("""COMPUTED_VALUE"""),64.0)</f>
        <v>64</v>
      </c>
      <c r="F3740" s="19" t="str">
        <f>IFERROR(__xludf.DUMMYFUNCTION("""COMPUTED_VALUE"""),"BLACK")</f>
        <v>BLACK</v>
      </c>
      <c r="G3740" s="20" t="str">
        <f>IFERROR(__xludf.DUMMYFUNCTION("""COMPUTED_VALUE"""),"Uncle Sams Cider (11/12/2021) 02")</f>
        <v>Uncle Sams Cider (11/12/2021) 02</v>
      </c>
      <c r="H3740" s="19"/>
    </row>
    <row r="3741">
      <c r="A3741" s="9"/>
      <c r="B3741" s="15"/>
      <c r="C3741" s="9">
        <f>IFERROR(__xludf.DUMMYFUNCTION("""COMPUTED_VALUE"""),44566.4904314351)</f>
        <v>44566.49043</v>
      </c>
      <c r="D3741" s="15">
        <f>IFERROR(__xludf.DUMMYFUNCTION("""COMPUTED_VALUE"""),1.01)</f>
        <v>1.01</v>
      </c>
      <c r="E3741" s="16">
        <f>IFERROR(__xludf.DUMMYFUNCTION("""COMPUTED_VALUE"""),64.0)</f>
        <v>64</v>
      </c>
      <c r="F3741" s="19" t="str">
        <f>IFERROR(__xludf.DUMMYFUNCTION("""COMPUTED_VALUE"""),"BLACK")</f>
        <v>BLACK</v>
      </c>
      <c r="G3741" s="20" t="str">
        <f>IFERROR(__xludf.DUMMYFUNCTION("""COMPUTED_VALUE"""),"Uncle Sams Cider (11/12/2021) 02")</f>
        <v>Uncle Sams Cider (11/12/2021) 02</v>
      </c>
      <c r="H3741" s="19"/>
    </row>
    <row r="3742">
      <c r="A3742" s="9"/>
      <c r="B3742" s="15"/>
      <c r="C3742" s="9">
        <f>IFERROR(__xludf.DUMMYFUNCTION("""COMPUTED_VALUE"""),44566.4800000462)</f>
        <v>44566.48</v>
      </c>
      <c r="D3742" s="15">
        <f>IFERROR(__xludf.DUMMYFUNCTION("""COMPUTED_VALUE"""),1.009)</f>
        <v>1.009</v>
      </c>
      <c r="E3742" s="16">
        <f>IFERROR(__xludf.DUMMYFUNCTION("""COMPUTED_VALUE"""),64.0)</f>
        <v>64</v>
      </c>
      <c r="F3742" s="19" t="str">
        <f>IFERROR(__xludf.DUMMYFUNCTION("""COMPUTED_VALUE"""),"BLACK")</f>
        <v>BLACK</v>
      </c>
      <c r="G3742" s="20" t="str">
        <f>IFERROR(__xludf.DUMMYFUNCTION("""COMPUTED_VALUE"""),"Uncle Sams Cider (11/12/2021) 02")</f>
        <v>Uncle Sams Cider (11/12/2021) 02</v>
      </c>
      <c r="H3742" s="19"/>
    </row>
    <row r="3743">
      <c r="A3743" s="9"/>
      <c r="B3743" s="15"/>
      <c r="C3743" s="9">
        <f>IFERROR(__xludf.DUMMYFUNCTION("""COMPUTED_VALUE"""),44566.4695777314)</f>
        <v>44566.46958</v>
      </c>
      <c r="D3743" s="15">
        <f>IFERROR(__xludf.DUMMYFUNCTION("""COMPUTED_VALUE"""),1.009)</f>
        <v>1.009</v>
      </c>
      <c r="E3743" s="16">
        <f>IFERROR(__xludf.DUMMYFUNCTION("""COMPUTED_VALUE"""),64.0)</f>
        <v>64</v>
      </c>
      <c r="F3743" s="19" t="str">
        <f>IFERROR(__xludf.DUMMYFUNCTION("""COMPUTED_VALUE"""),"BLACK")</f>
        <v>BLACK</v>
      </c>
      <c r="G3743" s="20" t="str">
        <f>IFERROR(__xludf.DUMMYFUNCTION("""COMPUTED_VALUE"""),"Uncle Sams Cider (11/12/2021) 02")</f>
        <v>Uncle Sams Cider (11/12/2021) 02</v>
      </c>
      <c r="H3743" s="19"/>
    </row>
    <row r="3744">
      <c r="A3744" s="9"/>
      <c r="B3744" s="15"/>
      <c r="C3744" s="9">
        <f>IFERROR(__xludf.DUMMYFUNCTION("""COMPUTED_VALUE"""),44566.4591571527)</f>
        <v>44566.45916</v>
      </c>
      <c r="D3744" s="15">
        <f>IFERROR(__xludf.DUMMYFUNCTION("""COMPUTED_VALUE"""),1.01)</f>
        <v>1.01</v>
      </c>
      <c r="E3744" s="16">
        <f>IFERROR(__xludf.DUMMYFUNCTION("""COMPUTED_VALUE"""),64.0)</f>
        <v>64</v>
      </c>
      <c r="F3744" s="19" t="str">
        <f>IFERROR(__xludf.DUMMYFUNCTION("""COMPUTED_VALUE"""),"BLACK")</f>
        <v>BLACK</v>
      </c>
      <c r="G3744" s="20" t="str">
        <f>IFERROR(__xludf.DUMMYFUNCTION("""COMPUTED_VALUE"""),"Uncle Sams Cider (11/12/2021) 02")</f>
        <v>Uncle Sams Cider (11/12/2021) 02</v>
      </c>
      <c r="H3744" s="19"/>
    </row>
    <row r="3745">
      <c r="A3745" s="9"/>
      <c r="B3745" s="15"/>
      <c r="C3745" s="9">
        <f>IFERROR(__xludf.DUMMYFUNCTION("""COMPUTED_VALUE"""),44566.4487232986)</f>
        <v>44566.44872</v>
      </c>
      <c r="D3745" s="15">
        <f>IFERROR(__xludf.DUMMYFUNCTION("""COMPUTED_VALUE"""),1.01)</f>
        <v>1.01</v>
      </c>
      <c r="E3745" s="16">
        <f>IFERROR(__xludf.DUMMYFUNCTION("""COMPUTED_VALUE"""),64.0)</f>
        <v>64</v>
      </c>
      <c r="F3745" s="19" t="str">
        <f>IFERROR(__xludf.DUMMYFUNCTION("""COMPUTED_VALUE"""),"BLACK")</f>
        <v>BLACK</v>
      </c>
      <c r="G3745" s="20" t="str">
        <f>IFERROR(__xludf.DUMMYFUNCTION("""COMPUTED_VALUE"""),"Uncle Sams Cider (11/12/2021) 02")</f>
        <v>Uncle Sams Cider (11/12/2021) 02</v>
      </c>
      <c r="H3745" s="19"/>
    </row>
    <row r="3746">
      <c r="A3746" s="9"/>
      <c r="B3746" s="15"/>
      <c r="C3746" s="9">
        <f>IFERROR(__xludf.DUMMYFUNCTION("""COMPUTED_VALUE"""),44566.4383026388)</f>
        <v>44566.4383</v>
      </c>
      <c r="D3746" s="15">
        <f>IFERROR(__xludf.DUMMYFUNCTION("""COMPUTED_VALUE"""),1.009)</f>
        <v>1.009</v>
      </c>
      <c r="E3746" s="16">
        <f>IFERROR(__xludf.DUMMYFUNCTION("""COMPUTED_VALUE"""),65.0)</f>
        <v>65</v>
      </c>
      <c r="F3746" s="19" t="str">
        <f>IFERROR(__xludf.DUMMYFUNCTION("""COMPUTED_VALUE"""),"BLACK")</f>
        <v>BLACK</v>
      </c>
      <c r="G3746" s="20" t="str">
        <f>IFERROR(__xludf.DUMMYFUNCTION("""COMPUTED_VALUE"""),"Uncle Sams Cider (11/12/2021) 02")</f>
        <v>Uncle Sams Cider (11/12/2021) 02</v>
      </c>
      <c r="H3746" s="19"/>
    </row>
    <row r="3747">
      <c r="A3747" s="9"/>
      <c r="B3747" s="15"/>
      <c r="C3747" s="9">
        <f>IFERROR(__xludf.DUMMYFUNCTION("""COMPUTED_VALUE"""),44566.4278800694)</f>
        <v>44566.42788</v>
      </c>
      <c r="D3747" s="15">
        <f>IFERROR(__xludf.DUMMYFUNCTION("""COMPUTED_VALUE"""),1.009)</f>
        <v>1.009</v>
      </c>
      <c r="E3747" s="16">
        <f>IFERROR(__xludf.DUMMYFUNCTION("""COMPUTED_VALUE"""),65.0)</f>
        <v>65</v>
      </c>
      <c r="F3747" s="19" t="str">
        <f>IFERROR(__xludf.DUMMYFUNCTION("""COMPUTED_VALUE"""),"BLACK")</f>
        <v>BLACK</v>
      </c>
      <c r="G3747" s="20" t="str">
        <f>IFERROR(__xludf.DUMMYFUNCTION("""COMPUTED_VALUE"""),"Uncle Sams Cider (11/12/2021) 02")</f>
        <v>Uncle Sams Cider (11/12/2021) 02</v>
      </c>
      <c r="H3747" s="19"/>
    </row>
    <row r="3748">
      <c r="A3748" s="9"/>
      <c r="B3748" s="15"/>
      <c r="C3748" s="9">
        <f>IFERROR(__xludf.DUMMYFUNCTION("""COMPUTED_VALUE"""),44566.4174112847)</f>
        <v>44566.41741</v>
      </c>
      <c r="D3748" s="15">
        <f>IFERROR(__xludf.DUMMYFUNCTION("""COMPUTED_VALUE"""),1.009)</f>
        <v>1.009</v>
      </c>
      <c r="E3748" s="16">
        <f>IFERROR(__xludf.DUMMYFUNCTION("""COMPUTED_VALUE"""),65.0)</f>
        <v>65</v>
      </c>
      <c r="F3748" s="19" t="str">
        <f>IFERROR(__xludf.DUMMYFUNCTION("""COMPUTED_VALUE"""),"BLACK")</f>
        <v>BLACK</v>
      </c>
      <c r="G3748" s="20" t="str">
        <f>IFERROR(__xludf.DUMMYFUNCTION("""COMPUTED_VALUE"""),"Uncle Sams Cider (11/12/2021) 02")</f>
        <v>Uncle Sams Cider (11/12/2021) 02</v>
      </c>
      <c r="H3748" s="19"/>
    </row>
    <row r="3749">
      <c r="A3749" s="9"/>
      <c r="B3749" s="15"/>
      <c r="C3749" s="9">
        <f>IFERROR(__xludf.DUMMYFUNCTION("""COMPUTED_VALUE"""),44566.4069900925)</f>
        <v>44566.40699</v>
      </c>
      <c r="D3749" s="15">
        <f>IFERROR(__xludf.DUMMYFUNCTION("""COMPUTED_VALUE"""),1.01)</f>
        <v>1.01</v>
      </c>
      <c r="E3749" s="16">
        <f>IFERROR(__xludf.DUMMYFUNCTION("""COMPUTED_VALUE"""),65.0)</f>
        <v>65</v>
      </c>
      <c r="F3749" s="19" t="str">
        <f>IFERROR(__xludf.DUMMYFUNCTION("""COMPUTED_VALUE"""),"BLACK")</f>
        <v>BLACK</v>
      </c>
      <c r="G3749" s="20" t="str">
        <f>IFERROR(__xludf.DUMMYFUNCTION("""COMPUTED_VALUE"""),"Uncle Sams Cider (11/12/2021) 02")</f>
        <v>Uncle Sams Cider (11/12/2021) 02</v>
      </c>
      <c r="H3749" s="19"/>
    </row>
    <row r="3750">
      <c r="A3750" s="9"/>
      <c r="B3750" s="15"/>
      <c r="C3750" s="9">
        <f>IFERROR(__xludf.DUMMYFUNCTION("""COMPUTED_VALUE"""),44566.3965690856)</f>
        <v>44566.39657</v>
      </c>
      <c r="D3750" s="15">
        <f>IFERROR(__xludf.DUMMYFUNCTION("""COMPUTED_VALUE"""),1.01)</f>
        <v>1.01</v>
      </c>
      <c r="E3750" s="16">
        <f>IFERROR(__xludf.DUMMYFUNCTION("""COMPUTED_VALUE"""),65.0)</f>
        <v>65</v>
      </c>
      <c r="F3750" s="19" t="str">
        <f>IFERROR(__xludf.DUMMYFUNCTION("""COMPUTED_VALUE"""),"BLACK")</f>
        <v>BLACK</v>
      </c>
      <c r="G3750" s="20" t="str">
        <f>IFERROR(__xludf.DUMMYFUNCTION("""COMPUTED_VALUE"""),"Uncle Sams Cider (11/12/2021) 02")</f>
        <v>Uncle Sams Cider (11/12/2021) 02</v>
      </c>
      <c r="H3750" s="19"/>
    </row>
    <row r="3751">
      <c r="A3751" s="9"/>
      <c r="B3751" s="15"/>
      <c r="C3751" s="9">
        <f>IFERROR(__xludf.DUMMYFUNCTION("""COMPUTED_VALUE"""),44566.3757239467)</f>
        <v>44566.37572</v>
      </c>
      <c r="D3751" s="15">
        <f>IFERROR(__xludf.DUMMYFUNCTION("""COMPUTED_VALUE"""),1.01)</f>
        <v>1.01</v>
      </c>
      <c r="E3751" s="16">
        <f>IFERROR(__xludf.DUMMYFUNCTION("""COMPUTED_VALUE"""),65.0)</f>
        <v>65</v>
      </c>
      <c r="F3751" s="19" t="str">
        <f>IFERROR(__xludf.DUMMYFUNCTION("""COMPUTED_VALUE"""),"BLACK")</f>
        <v>BLACK</v>
      </c>
      <c r="G3751" s="20" t="str">
        <f>IFERROR(__xludf.DUMMYFUNCTION("""COMPUTED_VALUE"""),"Uncle Sams Cider (11/12/2021) 02")</f>
        <v>Uncle Sams Cider (11/12/2021) 02</v>
      </c>
      <c r="H3751" s="19"/>
    </row>
    <row r="3752">
      <c r="A3752" s="9"/>
      <c r="B3752" s="15"/>
      <c r="C3752" s="9">
        <f>IFERROR(__xludf.DUMMYFUNCTION("""COMPUTED_VALUE"""),44566.3653018634)</f>
        <v>44566.3653</v>
      </c>
      <c r="D3752" s="15">
        <f>IFERROR(__xludf.DUMMYFUNCTION("""COMPUTED_VALUE"""),1.01)</f>
        <v>1.01</v>
      </c>
      <c r="E3752" s="16">
        <f>IFERROR(__xludf.DUMMYFUNCTION("""COMPUTED_VALUE"""),65.0)</f>
        <v>65</v>
      </c>
      <c r="F3752" s="19" t="str">
        <f>IFERROR(__xludf.DUMMYFUNCTION("""COMPUTED_VALUE"""),"BLACK")</f>
        <v>BLACK</v>
      </c>
      <c r="G3752" s="20" t="str">
        <f>IFERROR(__xludf.DUMMYFUNCTION("""COMPUTED_VALUE"""),"Uncle Sams Cider (11/12/2021) 02")</f>
        <v>Uncle Sams Cider (11/12/2021) 02</v>
      </c>
      <c r="H3752" s="19"/>
    </row>
    <row r="3753">
      <c r="A3753" s="9"/>
      <c r="B3753" s="15"/>
      <c r="C3753" s="9">
        <f>IFERROR(__xludf.DUMMYFUNCTION("""COMPUTED_VALUE"""),44566.3548676157)</f>
        <v>44566.35487</v>
      </c>
      <c r="D3753" s="15">
        <f>IFERROR(__xludf.DUMMYFUNCTION("""COMPUTED_VALUE"""),1.01)</f>
        <v>1.01</v>
      </c>
      <c r="E3753" s="16">
        <f>IFERROR(__xludf.DUMMYFUNCTION("""COMPUTED_VALUE"""),65.0)</f>
        <v>65</v>
      </c>
      <c r="F3753" s="19" t="str">
        <f>IFERROR(__xludf.DUMMYFUNCTION("""COMPUTED_VALUE"""),"BLACK")</f>
        <v>BLACK</v>
      </c>
      <c r="G3753" s="20" t="str">
        <f>IFERROR(__xludf.DUMMYFUNCTION("""COMPUTED_VALUE"""),"Uncle Sams Cider (11/12/2021) 02")</f>
        <v>Uncle Sams Cider (11/12/2021) 02</v>
      </c>
      <c r="H3753" s="19"/>
    </row>
    <row r="3754">
      <c r="A3754" s="9"/>
      <c r="B3754" s="15"/>
      <c r="C3754" s="9">
        <f>IFERROR(__xludf.DUMMYFUNCTION("""COMPUTED_VALUE"""),44566.3444246064)</f>
        <v>44566.34442</v>
      </c>
      <c r="D3754" s="15">
        <f>IFERROR(__xludf.DUMMYFUNCTION("""COMPUTED_VALUE"""),1.01)</f>
        <v>1.01</v>
      </c>
      <c r="E3754" s="16">
        <f>IFERROR(__xludf.DUMMYFUNCTION("""COMPUTED_VALUE"""),65.0)</f>
        <v>65</v>
      </c>
      <c r="F3754" s="19" t="str">
        <f>IFERROR(__xludf.DUMMYFUNCTION("""COMPUTED_VALUE"""),"BLACK")</f>
        <v>BLACK</v>
      </c>
      <c r="G3754" s="20" t="str">
        <f>IFERROR(__xludf.DUMMYFUNCTION("""COMPUTED_VALUE"""),"Uncle Sams Cider (11/12/2021) 02")</f>
        <v>Uncle Sams Cider (11/12/2021) 02</v>
      </c>
      <c r="H3754" s="19"/>
    </row>
    <row r="3755">
      <c r="A3755" s="9"/>
      <c r="B3755" s="15"/>
      <c r="C3755" s="9">
        <f>IFERROR(__xludf.DUMMYFUNCTION("""COMPUTED_VALUE"""),44566.3340025)</f>
        <v>44566.334</v>
      </c>
      <c r="D3755" s="15">
        <f>IFERROR(__xludf.DUMMYFUNCTION("""COMPUTED_VALUE"""),1.01)</f>
        <v>1.01</v>
      </c>
      <c r="E3755" s="16">
        <f>IFERROR(__xludf.DUMMYFUNCTION("""COMPUTED_VALUE"""),65.0)</f>
        <v>65</v>
      </c>
      <c r="F3755" s="19" t="str">
        <f>IFERROR(__xludf.DUMMYFUNCTION("""COMPUTED_VALUE"""),"BLACK")</f>
        <v>BLACK</v>
      </c>
      <c r="G3755" s="20" t="str">
        <f>IFERROR(__xludf.DUMMYFUNCTION("""COMPUTED_VALUE"""),"Uncle Sams Cider (11/12/2021) 02")</f>
        <v>Uncle Sams Cider (11/12/2021) 02</v>
      </c>
      <c r="H3755" s="19"/>
    </row>
    <row r="3756">
      <c r="A3756" s="9"/>
      <c r="B3756" s="15"/>
      <c r="C3756" s="9">
        <f>IFERROR(__xludf.DUMMYFUNCTION("""COMPUTED_VALUE"""),44566.3235828703)</f>
        <v>44566.32358</v>
      </c>
      <c r="D3756" s="15">
        <f>IFERROR(__xludf.DUMMYFUNCTION("""COMPUTED_VALUE"""),1.01)</f>
        <v>1.01</v>
      </c>
      <c r="E3756" s="16">
        <f>IFERROR(__xludf.DUMMYFUNCTION("""COMPUTED_VALUE"""),65.0)</f>
        <v>65</v>
      </c>
      <c r="F3756" s="19" t="str">
        <f>IFERROR(__xludf.DUMMYFUNCTION("""COMPUTED_VALUE"""),"BLACK")</f>
        <v>BLACK</v>
      </c>
      <c r="G3756" s="20" t="str">
        <f>IFERROR(__xludf.DUMMYFUNCTION("""COMPUTED_VALUE"""),"Uncle Sams Cider (11/12/2021) 02")</f>
        <v>Uncle Sams Cider (11/12/2021) 02</v>
      </c>
      <c r="H3756" s="19"/>
    </row>
    <row r="3757">
      <c r="A3757" s="9"/>
      <c r="B3757" s="15"/>
      <c r="C3757" s="9">
        <f>IFERROR(__xludf.DUMMYFUNCTION("""COMPUTED_VALUE"""),44566.3131499999)</f>
        <v>44566.31315</v>
      </c>
      <c r="D3757" s="15">
        <f>IFERROR(__xludf.DUMMYFUNCTION("""COMPUTED_VALUE"""),1.01)</f>
        <v>1.01</v>
      </c>
      <c r="E3757" s="16">
        <f>IFERROR(__xludf.DUMMYFUNCTION("""COMPUTED_VALUE"""),65.0)</f>
        <v>65</v>
      </c>
      <c r="F3757" s="19" t="str">
        <f>IFERROR(__xludf.DUMMYFUNCTION("""COMPUTED_VALUE"""),"BLACK")</f>
        <v>BLACK</v>
      </c>
      <c r="G3757" s="20" t="str">
        <f>IFERROR(__xludf.DUMMYFUNCTION("""COMPUTED_VALUE"""),"Uncle Sams Cider (11/12/2021) 02")</f>
        <v>Uncle Sams Cider (11/12/2021) 02</v>
      </c>
      <c r="H3757" s="19"/>
    </row>
    <row r="3758">
      <c r="A3758" s="9"/>
      <c r="B3758" s="15"/>
      <c r="C3758" s="9">
        <f>IFERROR(__xludf.DUMMYFUNCTION("""COMPUTED_VALUE"""),44566.302727662)</f>
        <v>44566.30273</v>
      </c>
      <c r="D3758" s="15">
        <f>IFERROR(__xludf.DUMMYFUNCTION("""COMPUTED_VALUE"""),1.01)</f>
        <v>1.01</v>
      </c>
      <c r="E3758" s="16">
        <f>IFERROR(__xludf.DUMMYFUNCTION("""COMPUTED_VALUE"""),65.0)</f>
        <v>65</v>
      </c>
      <c r="F3758" s="19" t="str">
        <f>IFERROR(__xludf.DUMMYFUNCTION("""COMPUTED_VALUE"""),"BLACK")</f>
        <v>BLACK</v>
      </c>
      <c r="G3758" s="20" t="str">
        <f>IFERROR(__xludf.DUMMYFUNCTION("""COMPUTED_VALUE"""),"Uncle Sams Cider (11/12/2021) 02")</f>
        <v>Uncle Sams Cider (11/12/2021) 02</v>
      </c>
      <c r="H3758" s="19"/>
    </row>
    <row r="3759">
      <c r="A3759" s="9"/>
      <c r="B3759" s="15"/>
      <c r="C3759" s="9">
        <f>IFERROR(__xludf.DUMMYFUNCTION("""COMPUTED_VALUE"""),44566.2923065393)</f>
        <v>44566.29231</v>
      </c>
      <c r="D3759" s="15">
        <f>IFERROR(__xludf.DUMMYFUNCTION("""COMPUTED_VALUE"""),1.01)</f>
        <v>1.01</v>
      </c>
      <c r="E3759" s="16">
        <f>IFERROR(__xludf.DUMMYFUNCTION("""COMPUTED_VALUE"""),65.0)</f>
        <v>65</v>
      </c>
      <c r="F3759" s="19" t="str">
        <f>IFERROR(__xludf.DUMMYFUNCTION("""COMPUTED_VALUE"""),"BLACK")</f>
        <v>BLACK</v>
      </c>
      <c r="G3759" s="20" t="str">
        <f>IFERROR(__xludf.DUMMYFUNCTION("""COMPUTED_VALUE"""),"Uncle Sams Cider (11/12/2021) 02")</f>
        <v>Uncle Sams Cider (11/12/2021) 02</v>
      </c>
      <c r="H3759" s="19"/>
    </row>
    <row r="3760">
      <c r="A3760" s="9"/>
      <c r="B3760" s="15"/>
      <c r="C3760" s="9">
        <f>IFERROR(__xludf.DUMMYFUNCTION("""COMPUTED_VALUE"""),44566.281872824)</f>
        <v>44566.28187</v>
      </c>
      <c r="D3760" s="15">
        <f>IFERROR(__xludf.DUMMYFUNCTION("""COMPUTED_VALUE"""),1.01)</f>
        <v>1.01</v>
      </c>
      <c r="E3760" s="16">
        <f>IFERROR(__xludf.DUMMYFUNCTION("""COMPUTED_VALUE"""),65.0)</f>
        <v>65</v>
      </c>
      <c r="F3760" s="19" t="str">
        <f>IFERROR(__xludf.DUMMYFUNCTION("""COMPUTED_VALUE"""),"BLACK")</f>
        <v>BLACK</v>
      </c>
      <c r="G3760" s="20" t="str">
        <f>IFERROR(__xludf.DUMMYFUNCTION("""COMPUTED_VALUE"""),"Uncle Sams Cider (11/12/2021) 02")</f>
        <v>Uncle Sams Cider (11/12/2021) 02</v>
      </c>
      <c r="H3760" s="19"/>
    </row>
    <row r="3761">
      <c r="A3761" s="9"/>
      <c r="B3761" s="15"/>
      <c r="C3761" s="9">
        <f>IFERROR(__xludf.DUMMYFUNCTION("""COMPUTED_VALUE"""),44566.2714509143)</f>
        <v>44566.27145</v>
      </c>
      <c r="D3761" s="15">
        <f>IFERROR(__xludf.DUMMYFUNCTION("""COMPUTED_VALUE"""),1.01)</f>
        <v>1.01</v>
      </c>
      <c r="E3761" s="16">
        <f>IFERROR(__xludf.DUMMYFUNCTION("""COMPUTED_VALUE"""),65.0)</f>
        <v>65</v>
      </c>
      <c r="F3761" s="19" t="str">
        <f>IFERROR(__xludf.DUMMYFUNCTION("""COMPUTED_VALUE"""),"BLACK")</f>
        <v>BLACK</v>
      </c>
      <c r="G3761" s="20" t="str">
        <f>IFERROR(__xludf.DUMMYFUNCTION("""COMPUTED_VALUE"""),"Uncle Sams Cider (11/12/2021) 02")</f>
        <v>Uncle Sams Cider (11/12/2021) 02</v>
      </c>
      <c r="H3761" s="19"/>
    </row>
    <row r="3762">
      <c r="A3762" s="9"/>
      <c r="B3762" s="15"/>
      <c r="C3762" s="9">
        <f>IFERROR(__xludf.DUMMYFUNCTION("""COMPUTED_VALUE"""),44566.2610186111)</f>
        <v>44566.26102</v>
      </c>
      <c r="D3762" s="15">
        <f>IFERROR(__xludf.DUMMYFUNCTION("""COMPUTED_VALUE"""),1.01)</f>
        <v>1.01</v>
      </c>
      <c r="E3762" s="16">
        <f>IFERROR(__xludf.DUMMYFUNCTION("""COMPUTED_VALUE"""),65.0)</f>
        <v>65</v>
      </c>
      <c r="F3762" s="19" t="str">
        <f>IFERROR(__xludf.DUMMYFUNCTION("""COMPUTED_VALUE"""),"BLACK")</f>
        <v>BLACK</v>
      </c>
      <c r="G3762" s="20" t="str">
        <f>IFERROR(__xludf.DUMMYFUNCTION("""COMPUTED_VALUE"""),"Uncle Sams Cider (11/12/2021) 02")</f>
        <v>Uncle Sams Cider (11/12/2021) 02</v>
      </c>
      <c r="H3762" s="19"/>
    </row>
    <row r="3763">
      <c r="A3763" s="9"/>
      <c r="B3763" s="15"/>
      <c r="C3763" s="9">
        <f>IFERROR(__xludf.DUMMYFUNCTION("""COMPUTED_VALUE"""),44566.25059728)</f>
        <v>44566.2506</v>
      </c>
      <c r="D3763" s="15">
        <f>IFERROR(__xludf.DUMMYFUNCTION("""COMPUTED_VALUE"""),1.01)</f>
        <v>1.01</v>
      </c>
      <c r="E3763" s="16">
        <f>IFERROR(__xludf.DUMMYFUNCTION("""COMPUTED_VALUE"""),65.0)</f>
        <v>65</v>
      </c>
      <c r="F3763" s="19" t="str">
        <f>IFERROR(__xludf.DUMMYFUNCTION("""COMPUTED_VALUE"""),"BLACK")</f>
        <v>BLACK</v>
      </c>
      <c r="G3763" s="20" t="str">
        <f>IFERROR(__xludf.DUMMYFUNCTION("""COMPUTED_VALUE"""),"Uncle Sams Cider (11/12/2021) 02")</f>
        <v>Uncle Sams Cider (11/12/2021) 02</v>
      </c>
      <c r="H3763" s="19"/>
    </row>
    <row r="3764">
      <c r="A3764" s="9"/>
      <c r="B3764" s="15"/>
      <c r="C3764" s="9">
        <f>IFERROR(__xludf.DUMMYFUNCTION("""COMPUTED_VALUE"""),44566.2401650925)</f>
        <v>44566.24017</v>
      </c>
      <c r="D3764" s="15">
        <f>IFERROR(__xludf.DUMMYFUNCTION("""COMPUTED_VALUE"""),1.01)</f>
        <v>1.01</v>
      </c>
      <c r="E3764" s="16">
        <f>IFERROR(__xludf.DUMMYFUNCTION("""COMPUTED_VALUE"""),65.0)</f>
        <v>65</v>
      </c>
      <c r="F3764" s="19" t="str">
        <f>IFERROR(__xludf.DUMMYFUNCTION("""COMPUTED_VALUE"""),"BLACK")</f>
        <v>BLACK</v>
      </c>
      <c r="G3764" s="20" t="str">
        <f>IFERROR(__xludf.DUMMYFUNCTION("""COMPUTED_VALUE"""),"Uncle Sams Cider (11/12/2021) 02")</f>
        <v>Uncle Sams Cider (11/12/2021) 02</v>
      </c>
      <c r="H3764" s="19"/>
    </row>
    <row r="3765">
      <c r="A3765" s="9"/>
      <c r="B3765" s="15"/>
      <c r="C3765" s="9">
        <f>IFERROR(__xludf.DUMMYFUNCTION("""COMPUTED_VALUE"""),44566.2297453125)</f>
        <v>44566.22975</v>
      </c>
      <c r="D3765" s="15">
        <f>IFERROR(__xludf.DUMMYFUNCTION("""COMPUTED_VALUE"""),1.01)</f>
        <v>1.01</v>
      </c>
      <c r="E3765" s="16">
        <f>IFERROR(__xludf.DUMMYFUNCTION("""COMPUTED_VALUE"""),65.0)</f>
        <v>65</v>
      </c>
      <c r="F3765" s="19" t="str">
        <f>IFERROR(__xludf.DUMMYFUNCTION("""COMPUTED_VALUE"""),"BLACK")</f>
        <v>BLACK</v>
      </c>
      <c r="G3765" s="20" t="str">
        <f>IFERROR(__xludf.DUMMYFUNCTION("""COMPUTED_VALUE"""),"Uncle Sams Cider (11/12/2021) 02")</f>
        <v>Uncle Sams Cider (11/12/2021) 02</v>
      </c>
      <c r="H3765" s="19"/>
    </row>
    <row r="3766">
      <c r="A3766" s="9"/>
      <c r="B3766" s="15"/>
      <c r="C3766" s="9">
        <f>IFERROR(__xludf.DUMMYFUNCTION("""COMPUTED_VALUE"""),44566.2193122569)</f>
        <v>44566.21931</v>
      </c>
      <c r="D3766" s="15">
        <f>IFERROR(__xludf.DUMMYFUNCTION("""COMPUTED_VALUE"""),1.01)</f>
        <v>1.01</v>
      </c>
      <c r="E3766" s="16">
        <f>IFERROR(__xludf.DUMMYFUNCTION("""COMPUTED_VALUE"""),65.0)</f>
        <v>65</v>
      </c>
      <c r="F3766" s="19" t="str">
        <f>IFERROR(__xludf.DUMMYFUNCTION("""COMPUTED_VALUE"""),"BLACK")</f>
        <v>BLACK</v>
      </c>
      <c r="G3766" s="20" t="str">
        <f>IFERROR(__xludf.DUMMYFUNCTION("""COMPUTED_VALUE"""),"Uncle Sams Cider (11/12/2021) 02")</f>
        <v>Uncle Sams Cider (11/12/2021) 02</v>
      </c>
      <c r="H3766" s="19"/>
    </row>
    <row r="3767">
      <c r="A3767" s="9"/>
      <c r="B3767" s="15"/>
      <c r="C3767" s="9">
        <f>IFERROR(__xludf.DUMMYFUNCTION("""COMPUTED_VALUE"""),44566.2088914814)</f>
        <v>44566.20889</v>
      </c>
      <c r="D3767" s="15">
        <f>IFERROR(__xludf.DUMMYFUNCTION("""COMPUTED_VALUE"""),1.01)</f>
        <v>1.01</v>
      </c>
      <c r="E3767" s="16">
        <f>IFERROR(__xludf.DUMMYFUNCTION("""COMPUTED_VALUE"""),65.0)</f>
        <v>65</v>
      </c>
      <c r="F3767" s="19" t="str">
        <f>IFERROR(__xludf.DUMMYFUNCTION("""COMPUTED_VALUE"""),"BLACK")</f>
        <v>BLACK</v>
      </c>
      <c r="G3767" s="20" t="str">
        <f>IFERROR(__xludf.DUMMYFUNCTION("""COMPUTED_VALUE"""),"Uncle Sams Cider (11/12/2021) 02")</f>
        <v>Uncle Sams Cider (11/12/2021) 02</v>
      </c>
      <c r="H3767" s="19"/>
    </row>
    <row r="3768">
      <c r="A3768" s="9"/>
      <c r="B3768" s="15"/>
      <c r="C3768" s="9">
        <f>IFERROR(__xludf.DUMMYFUNCTION("""COMPUTED_VALUE"""),44566.1984589583)</f>
        <v>44566.19846</v>
      </c>
      <c r="D3768" s="15">
        <f>IFERROR(__xludf.DUMMYFUNCTION("""COMPUTED_VALUE"""),1.01)</f>
        <v>1.01</v>
      </c>
      <c r="E3768" s="16">
        <f>IFERROR(__xludf.DUMMYFUNCTION("""COMPUTED_VALUE"""),65.0)</f>
        <v>65</v>
      </c>
      <c r="F3768" s="19" t="str">
        <f>IFERROR(__xludf.DUMMYFUNCTION("""COMPUTED_VALUE"""),"BLACK")</f>
        <v>BLACK</v>
      </c>
      <c r="G3768" s="20" t="str">
        <f>IFERROR(__xludf.DUMMYFUNCTION("""COMPUTED_VALUE"""),"Uncle Sams Cider (11/12/2021) 02")</f>
        <v>Uncle Sams Cider (11/12/2021) 02</v>
      </c>
      <c r="H3768" s="19"/>
    </row>
    <row r="3769">
      <c r="A3769" s="9"/>
      <c r="B3769" s="15"/>
      <c r="C3769" s="9">
        <f>IFERROR(__xludf.DUMMYFUNCTION("""COMPUTED_VALUE"""),44566.188037743)</f>
        <v>44566.18804</v>
      </c>
      <c r="D3769" s="15">
        <f>IFERROR(__xludf.DUMMYFUNCTION("""COMPUTED_VALUE"""),1.01)</f>
        <v>1.01</v>
      </c>
      <c r="E3769" s="16">
        <f>IFERROR(__xludf.DUMMYFUNCTION("""COMPUTED_VALUE"""),65.0)</f>
        <v>65</v>
      </c>
      <c r="F3769" s="19" t="str">
        <f>IFERROR(__xludf.DUMMYFUNCTION("""COMPUTED_VALUE"""),"BLACK")</f>
        <v>BLACK</v>
      </c>
      <c r="G3769" s="20" t="str">
        <f>IFERROR(__xludf.DUMMYFUNCTION("""COMPUTED_VALUE"""),"Uncle Sams Cider (11/12/2021) 02")</f>
        <v>Uncle Sams Cider (11/12/2021) 02</v>
      </c>
      <c r="H3769" s="19"/>
    </row>
    <row r="3770">
      <c r="A3770" s="9"/>
      <c r="B3770" s="15"/>
      <c r="C3770" s="9">
        <f>IFERROR(__xludf.DUMMYFUNCTION("""COMPUTED_VALUE"""),44566.177616655)</f>
        <v>44566.17762</v>
      </c>
      <c r="D3770" s="15">
        <f>IFERROR(__xludf.DUMMYFUNCTION("""COMPUTED_VALUE"""),1.01)</f>
        <v>1.01</v>
      </c>
      <c r="E3770" s="16">
        <f>IFERROR(__xludf.DUMMYFUNCTION("""COMPUTED_VALUE"""),65.0)</f>
        <v>65</v>
      </c>
      <c r="F3770" s="19" t="str">
        <f>IFERROR(__xludf.DUMMYFUNCTION("""COMPUTED_VALUE"""),"BLACK")</f>
        <v>BLACK</v>
      </c>
      <c r="G3770" s="20" t="str">
        <f>IFERROR(__xludf.DUMMYFUNCTION("""COMPUTED_VALUE"""),"Uncle Sams Cider (11/12/2021) 02")</f>
        <v>Uncle Sams Cider (11/12/2021) 02</v>
      </c>
      <c r="H3770" s="19"/>
    </row>
    <row r="3771">
      <c r="A3771" s="9"/>
      <c r="B3771" s="15"/>
      <c r="C3771" s="9">
        <f>IFERROR(__xludf.DUMMYFUNCTION("""COMPUTED_VALUE"""),44566.1671858796)</f>
        <v>44566.16719</v>
      </c>
      <c r="D3771" s="15">
        <f>IFERROR(__xludf.DUMMYFUNCTION("""COMPUTED_VALUE"""),1.01)</f>
        <v>1.01</v>
      </c>
      <c r="E3771" s="16">
        <f>IFERROR(__xludf.DUMMYFUNCTION("""COMPUTED_VALUE"""),65.0)</f>
        <v>65</v>
      </c>
      <c r="F3771" s="19" t="str">
        <f>IFERROR(__xludf.DUMMYFUNCTION("""COMPUTED_VALUE"""),"BLACK")</f>
        <v>BLACK</v>
      </c>
      <c r="G3771" s="20" t="str">
        <f>IFERROR(__xludf.DUMMYFUNCTION("""COMPUTED_VALUE"""),"Uncle Sams Cider (11/12/2021) 02")</f>
        <v>Uncle Sams Cider (11/12/2021) 02</v>
      </c>
      <c r="H3771" s="19"/>
    </row>
    <row r="3772">
      <c r="A3772" s="9"/>
      <c r="B3772" s="15"/>
      <c r="C3772" s="9">
        <f>IFERROR(__xludf.DUMMYFUNCTION("""COMPUTED_VALUE"""),44566.1567409953)</f>
        <v>44566.15674</v>
      </c>
      <c r="D3772" s="15">
        <f>IFERROR(__xludf.DUMMYFUNCTION("""COMPUTED_VALUE"""),1.01)</f>
        <v>1.01</v>
      </c>
      <c r="E3772" s="16">
        <f>IFERROR(__xludf.DUMMYFUNCTION("""COMPUTED_VALUE"""),65.0)</f>
        <v>65</v>
      </c>
      <c r="F3772" s="19" t="str">
        <f>IFERROR(__xludf.DUMMYFUNCTION("""COMPUTED_VALUE"""),"BLACK")</f>
        <v>BLACK</v>
      </c>
      <c r="G3772" s="20" t="str">
        <f>IFERROR(__xludf.DUMMYFUNCTION("""COMPUTED_VALUE"""),"Uncle Sams Cider (11/12/2021) 02")</f>
        <v>Uncle Sams Cider (11/12/2021) 02</v>
      </c>
      <c r="H3772" s="19"/>
    </row>
    <row r="3773">
      <c r="A3773" s="9"/>
      <c r="B3773" s="15"/>
      <c r="C3773" s="9">
        <f>IFERROR(__xludf.DUMMYFUNCTION("""COMPUTED_VALUE"""),44566.1463204745)</f>
        <v>44566.14632</v>
      </c>
      <c r="D3773" s="15">
        <f>IFERROR(__xludf.DUMMYFUNCTION("""COMPUTED_VALUE"""),1.01)</f>
        <v>1.01</v>
      </c>
      <c r="E3773" s="16">
        <f>IFERROR(__xludf.DUMMYFUNCTION("""COMPUTED_VALUE"""),65.0)</f>
        <v>65</v>
      </c>
      <c r="F3773" s="19" t="str">
        <f>IFERROR(__xludf.DUMMYFUNCTION("""COMPUTED_VALUE"""),"BLACK")</f>
        <v>BLACK</v>
      </c>
      <c r="G3773" s="20" t="str">
        <f>IFERROR(__xludf.DUMMYFUNCTION("""COMPUTED_VALUE"""),"Uncle Sams Cider (11/12/2021) 02")</f>
        <v>Uncle Sams Cider (11/12/2021) 02</v>
      </c>
      <c r="H3773" s="19"/>
    </row>
    <row r="3774">
      <c r="A3774" s="9"/>
      <c r="B3774" s="15"/>
      <c r="C3774" s="9">
        <f>IFERROR(__xludf.DUMMYFUNCTION("""COMPUTED_VALUE"""),44566.135876655)</f>
        <v>44566.13588</v>
      </c>
      <c r="D3774" s="15">
        <f>IFERROR(__xludf.DUMMYFUNCTION("""COMPUTED_VALUE"""),1.01)</f>
        <v>1.01</v>
      </c>
      <c r="E3774" s="16">
        <f>IFERROR(__xludf.DUMMYFUNCTION("""COMPUTED_VALUE"""),65.0)</f>
        <v>65</v>
      </c>
      <c r="F3774" s="19" t="str">
        <f>IFERROR(__xludf.DUMMYFUNCTION("""COMPUTED_VALUE"""),"BLACK")</f>
        <v>BLACK</v>
      </c>
      <c r="G3774" s="20" t="str">
        <f>IFERROR(__xludf.DUMMYFUNCTION("""COMPUTED_VALUE"""),"Uncle Sams Cider (11/12/2021) 02")</f>
        <v>Uncle Sams Cider (11/12/2021) 02</v>
      </c>
      <c r="H3774" s="19"/>
    </row>
    <row r="3775">
      <c r="A3775" s="9"/>
      <c r="B3775" s="15"/>
      <c r="C3775" s="9">
        <f>IFERROR(__xludf.DUMMYFUNCTION("""COMPUTED_VALUE"""),44566.1254431134)</f>
        <v>44566.12544</v>
      </c>
      <c r="D3775" s="15">
        <f>IFERROR(__xludf.DUMMYFUNCTION("""COMPUTED_VALUE"""),1.01)</f>
        <v>1.01</v>
      </c>
      <c r="E3775" s="16">
        <f>IFERROR(__xludf.DUMMYFUNCTION("""COMPUTED_VALUE"""),65.0)</f>
        <v>65</v>
      </c>
      <c r="F3775" s="19" t="str">
        <f>IFERROR(__xludf.DUMMYFUNCTION("""COMPUTED_VALUE"""),"BLACK")</f>
        <v>BLACK</v>
      </c>
      <c r="G3775" s="20" t="str">
        <f>IFERROR(__xludf.DUMMYFUNCTION("""COMPUTED_VALUE"""),"Uncle Sams Cider (11/12/2021) 02")</f>
        <v>Uncle Sams Cider (11/12/2021) 02</v>
      </c>
      <c r="H3775" s="19"/>
    </row>
    <row r="3776">
      <c r="A3776" s="9"/>
      <c r="B3776" s="15"/>
      <c r="C3776" s="9">
        <f>IFERROR(__xludf.DUMMYFUNCTION("""COMPUTED_VALUE"""),44566.1150223032)</f>
        <v>44566.11502</v>
      </c>
      <c r="D3776" s="15">
        <f>IFERROR(__xludf.DUMMYFUNCTION("""COMPUTED_VALUE"""),1.01)</f>
        <v>1.01</v>
      </c>
      <c r="E3776" s="16">
        <f>IFERROR(__xludf.DUMMYFUNCTION("""COMPUTED_VALUE"""),65.0)</f>
        <v>65</v>
      </c>
      <c r="F3776" s="19" t="str">
        <f>IFERROR(__xludf.DUMMYFUNCTION("""COMPUTED_VALUE"""),"BLACK")</f>
        <v>BLACK</v>
      </c>
      <c r="G3776" s="20" t="str">
        <f>IFERROR(__xludf.DUMMYFUNCTION("""COMPUTED_VALUE"""),"Uncle Sams Cider (11/12/2021) 02")</f>
        <v>Uncle Sams Cider (11/12/2021) 02</v>
      </c>
      <c r="H3776" s="19"/>
    </row>
    <row r="3777">
      <c r="A3777" s="9"/>
      <c r="B3777" s="15"/>
      <c r="C3777" s="9">
        <f>IFERROR(__xludf.DUMMYFUNCTION("""COMPUTED_VALUE"""),44566.1046008796)</f>
        <v>44566.1046</v>
      </c>
      <c r="D3777" s="15">
        <f>IFERROR(__xludf.DUMMYFUNCTION("""COMPUTED_VALUE"""),1.01)</f>
        <v>1.01</v>
      </c>
      <c r="E3777" s="16">
        <f>IFERROR(__xludf.DUMMYFUNCTION("""COMPUTED_VALUE"""),65.0)</f>
        <v>65</v>
      </c>
      <c r="F3777" s="19" t="str">
        <f>IFERROR(__xludf.DUMMYFUNCTION("""COMPUTED_VALUE"""),"BLACK")</f>
        <v>BLACK</v>
      </c>
      <c r="G3777" s="20" t="str">
        <f>IFERROR(__xludf.DUMMYFUNCTION("""COMPUTED_VALUE"""),"Uncle Sams Cider (11/12/2021) 02")</f>
        <v>Uncle Sams Cider (11/12/2021) 02</v>
      </c>
      <c r="H3777" s="19"/>
    </row>
    <row r="3778">
      <c r="A3778" s="9"/>
      <c r="B3778" s="15"/>
      <c r="C3778" s="9">
        <f>IFERROR(__xludf.DUMMYFUNCTION("""COMPUTED_VALUE"""),44566.0941796412)</f>
        <v>44566.09418</v>
      </c>
      <c r="D3778" s="15">
        <f>IFERROR(__xludf.DUMMYFUNCTION("""COMPUTED_VALUE"""),1.01)</f>
        <v>1.01</v>
      </c>
      <c r="E3778" s="16">
        <f>IFERROR(__xludf.DUMMYFUNCTION("""COMPUTED_VALUE"""),65.0)</f>
        <v>65</v>
      </c>
      <c r="F3778" s="19" t="str">
        <f>IFERROR(__xludf.DUMMYFUNCTION("""COMPUTED_VALUE"""),"BLACK")</f>
        <v>BLACK</v>
      </c>
      <c r="G3778" s="20" t="str">
        <f>IFERROR(__xludf.DUMMYFUNCTION("""COMPUTED_VALUE"""),"Uncle Sams Cider (11/12/2021) 02")</f>
        <v>Uncle Sams Cider (11/12/2021) 02</v>
      </c>
      <c r="H3778" s="19"/>
    </row>
    <row r="3779">
      <c r="A3779" s="9"/>
      <c r="B3779" s="15"/>
      <c r="C3779" s="9">
        <f>IFERROR(__xludf.DUMMYFUNCTION("""COMPUTED_VALUE"""),44566.0837574652)</f>
        <v>44566.08376</v>
      </c>
      <c r="D3779" s="15">
        <f>IFERROR(__xludf.DUMMYFUNCTION("""COMPUTED_VALUE"""),1.01)</f>
        <v>1.01</v>
      </c>
      <c r="E3779" s="16">
        <f>IFERROR(__xludf.DUMMYFUNCTION("""COMPUTED_VALUE"""),65.0)</f>
        <v>65</v>
      </c>
      <c r="F3779" s="19" t="str">
        <f>IFERROR(__xludf.DUMMYFUNCTION("""COMPUTED_VALUE"""),"BLACK")</f>
        <v>BLACK</v>
      </c>
      <c r="G3779" s="20" t="str">
        <f>IFERROR(__xludf.DUMMYFUNCTION("""COMPUTED_VALUE"""),"Uncle Sams Cider (11/12/2021) 02")</f>
        <v>Uncle Sams Cider (11/12/2021) 02</v>
      </c>
      <c r="H3779" s="19"/>
    </row>
    <row r="3780">
      <c r="A3780" s="9"/>
      <c r="B3780" s="15"/>
      <c r="C3780" s="9">
        <f>IFERROR(__xludf.DUMMYFUNCTION("""COMPUTED_VALUE"""),44566.0733245023)</f>
        <v>44566.07332</v>
      </c>
      <c r="D3780" s="15">
        <f>IFERROR(__xludf.DUMMYFUNCTION("""COMPUTED_VALUE"""),1.01)</f>
        <v>1.01</v>
      </c>
      <c r="E3780" s="16">
        <f>IFERROR(__xludf.DUMMYFUNCTION("""COMPUTED_VALUE"""),65.0)</f>
        <v>65</v>
      </c>
      <c r="F3780" s="19" t="str">
        <f>IFERROR(__xludf.DUMMYFUNCTION("""COMPUTED_VALUE"""),"BLACK")</f>
        <v>BLACK</v>
      </c>
      <c r="G3780" s="20" t="str">
        <f>IFERROR(__xludf.DUMMYFUNCTION("""COMPUTED_VALUE"""),"Uncle Sams Cider (11/12/2021) 02")</f>
        <v>Uncle Sams Cider (11/12/2021) 02</v>
      </c>
      <c r="H3780" s="19"/>
    </row>
    <row r="3781">
      <c r="A3781" s="9"/>
      <c r="B3781" s="15"/>
      <c r="C3781" s="9">
        <f>IFERROR(__xludf.DUMMYFUNCTION("""COMPUTED_VALUE"""),44566.0629044444)</f>
        <v>44566.0629</v>
      </c>
      <c r="D3781" s="15">
        <f>IFERROR(__xludf.DUMMYFUNCTION("""COMPUTED_VALUE"""),1.01)</f>
        <v>1.01</v>
      </c>
      <c r="E3781" s="16">
        <f>IFERROR(__xludf.DUMMYFUNCTION("""COMPUTED_VALUE"""),65.0)</f>
        <v>65</v>
      </c>
      <c r="F3781" s="19" t="str">
        <f>IFERROR(__xludf.DUMMYFUNCTION("""COMPUTED_VALUE"""),"BLACK")</f>
        <v>BLACK</v>
      </c>
      <c r="G3781" s="20" t="str">
        <f>IFERROR(__xludf.DUMMYFUNCTION("""COMPUTED_VALUE"""),"Uncle Sams Cider (11/12/2021) 02")</f>
        <v>Uncle Sams Cider (11/12/2021) 02</v>
      </c>
      <c r="H3781" s="19"/>
    </row>
    <row r="3782">
      <c r="A3782" s="9"/>
      <c r="B3782" s="15"/>
      <c r="C3782" s="9">
        <f>IFERROR(__xludf.DUMMYFUNCTION("""COMPUTED_VALUE"""),44566.052482905)</f>
        <v>44566.05248</v>
      </c>
      <c r="D3782" s="15">
        <f>IFERROR(__xludf.DUMMYFUNCTION("""COMPUTED_VALUE"""),1.01)</f>
        <v>1.01</v>
      </c>
      <c r="E3782" s="16">
        <f>IFERROR(__xludf.DUMMYFUNCTION("""COMPUTED_VALUE"""),65.0)</f>
        <v>65</v>
      </c>
      <c r="F3782" s="19" t="str">
        <f>IFERROR(__xludf.DUMMYFUNCTION("""COMPUTED_VALUE"""),"BLACK")</f>
        <v>BLACK</v>
      </c>
      <c r="G3782" s="20" t="str">
        <f>IFERROR(__xludf.DUMMYFUNCTION("""COMPUTED_VALUE"""),"Uncle Sams Cider (11/12/2021) 02")</f>
        <v>Uncle Sams Cider (11/12/2021) 02</v>
      </c>
      <c r="H3782" s="19"/>
    </row>
    <row r="3783">
      <c r="A3783" s="9"/>
      <c r="B3783" s="15"/>
      <c r="C3783" s="9">
        <f>IFERROR(__xludf.DUMMYFUNCTION("""COMPUTED_VALUE"""),44566.0420386342)</f>
        <v>44566.04204</v>
      </c>
      <c r="D3783" s="15">
        <f>IFERROR(__xludf.DUMMYFUNCTION("""COMPUTED_VALUE"""),1.01)</f>
        <v>1.01</v>
      </c>
      <c r="E3783" s="16">
        <f>IFERROR(__xludf.DUMMYFUNCTION("""COMPUTED_VALUE"""),66.0)</f>
        <v>66</v>
      </c>
      <c r="F3783" s="19" t="str">
        <f>IFERROR(__xludf.DUMMYFUNCTION("""COMPUTED_VALUE"""),"BLACK")</f>
        <v>BLACK</v>
      </c>
      <c r="G3783" s="20" t="str">
        <f>IFERROR(__xludf.DUMMYFUNCTION("""COMPUTED_VALUE"""),"Uncle Sams Cider (11/12/2021) 02")</f>
        <v>Uncle Sams Cider (11/12/2021) 02</v>
      </c>
      <c r="H3783" s="19"/>
    </row>
    <row r="3784">
      <c r="A3784" s="9"/>
      <c r="B3784" s="15"/>
      <c r="C3784" s="9">
        <f>IFERROR(__xludf.DUMMYFUNCTION("""COMPUTED_VALUE"""),44566.0316044212)</f>
        <v>44566.0316</v>
      </c>
      <c r="D3784" s="15">
        <f>IFERROR(__xludf.DUMMYFUNCTION("""COMPUTED_VALUE"""),1.01)</f>
        <v>1.01</v>
      </c>
      <c r="E3784" s="16">
        <f>IFERROR(__xludf.DUMMYFUNCTION("""COMPUTED_VALUE"""),65.0)</f>
        <v>65</v>
      </c>
      <c r="F3784" s="19" t="str">
        <f>IFERROR(__xludf.DUMMYFUNCTION("""COMPUTED_VALUE"""),"BLACK")</f>
        <v>BLACK</v>
      </c>
      <c r="G3784" s="20" t="str">
        <f>IFERROR(__xludf.DUMMYFUNCTION("""COMPUTED_VALUE"""),"Uncle Sams Cider (11/12/2021) 02")</f>
        <v>Uncle Sams Cider (11/12/2021) 02</v>
      </c>
      <c r="H3784" s="19"/>
    </row>
    <row r="3785">
      <c r="A3785" s="9"/>
      <c r="B3785" s="15"/>
      <c r="C3785" s="9">
        <f>IFERROR(__xludf.DUMMYFUNCTION("""COMPUTED_VALUE"""),44566.0211826967)</f>
        <v>44566.02118</v>
      </c>
      <c r="D3785" s="15">
        <f>IFERROR(__xludf.DUMMYFUNCTION("""COMPUTED_VALUE"""),1.01)</f>
        <v>1.01</v>
      </c>
      <c r="E3785" s="16">
        <f>IFERROR(__xludf.DUMMYFUNCTION("""COMPUTED_VALUE"""),66.0)</f>
        <v>66</v>
      </c>
      <c r="F3785" s="19" t="str">
        <f>IFERROR(__xludf.DUMMYFUNCTION("""COMPUTED_VALUE"""),"BLACK")</f>
        <v>BLACK</v>
      </c>
      <c r="G3785" s="20" t="str">
        <f>IFERROR(__xludf.DUMMYFUNCTION("""COMPUTED_VALUE"""),"Uncle Sams Cider (11/12/2021) 02")</f>
        <v>Uncle Sams Cider (11/12/2021) 02</v>
      </c>
      <c r="H3785" s="19"/>
    </row>
    <row r="3786">
      <c r="A3786" s="9"/>
      <c r="B3786" s="15"/>
      <c r="C3786" s="9">
        <f>IFERROR(__xludf.DUMMYFUNCTION("""COMPUTED_VALUE"""),44566.0107605902)</f>
        <v>44566.01076</v>
      </c>
      <c r="D3786" s="15">
        <f>IFERROR(__xludf.DUMMYFUNCTION("""COMPUTED_VALUE"""),1.01)</f>
        <v>1.01</v>
      </c>
      <c r="E3786" s="16">
        <f>IFERROR(__xludf.DUMMYFUNCTION("""COMPUTED_VALUE"""),66.0)</f>
        <v>66</v>
      </c>
      <c r="F3786" s="19" t="str">
        <f>IFERROR(__xludf.DUMMYFUNCTION("""COMPUTED_VALUE"""),"BLACK")</f>
        <v>BLACK</v>
      </c>
      <c r="G3786" s="20" t="str">
        <f>IFERROR(__xludf.DUMMYFUNCTION("""COMPUTED_VALUE"""),"Uncle Sams Cider (11/12/2021) 02")</f>
        <v>Uncle Sams Cider (11/12/2021) 02</v>
      </c>
      <c r="H3786" s="19"/>
    </row>
    <row r="3787">
      <c r="A3787" s="9"/>
      <c r="B3787" s="15"/>
      <c r="C3787" s="9">
        <f>IFERROR(__xludf.DUMMYFUNCTION("""COMPUTED_VALUE"""),44566.0003406712)</f>
        <v>44566.00034</v>
      </c>
      <c r="D3787" s="15">
        <f>IFERROR(__xludf.DUMMYFUNCTION("""COMPUTED_VALUE"""),1.01)</f>
        <v>1.01</v>
      </c>
      <c r="E3787" s="16">
        <f>IFERROR(__xludf.DUMMYFUNCTION("""COMPUTED_VALUE"""),66.0)</f>
        <v>66</v>
      </c>
      <c r="F3787" s="19" t="str">
        <f>IFERROR(__xludf.DUMMYFUNCTION("""COMPUTED_VALUE"""),"BLACK")</f>
        <v>BLACK</v>
      </c>
      <c r="G3787" s="20" t="str">
        <f>IFERROR(__xludf.DUMMYFUNCTION("""COMPUTED_VALUE"""),"Uncle Sams Cider (11/12/2021) 02")</f>
        <v>Uncle Sams Cider (11/12/2021) 02</v>
      </c>
      <c r="H3787" s="19"/>
    </row>
    <row r="3788">
      <c r="A3788" s="9"/>
      <c r="B3788" s="15"/>
      <c r="C3788" s="9">
        <f>IFERROR(__xludf.DUMMYFUNCTION("""COMPUTED_VALUE"""),44565.9898972453)</f>
        <v>44565.9899</v>
      </c>
      <c r="D3788" s="15">
        <f>IFERROR(__xludf.DUMMYFUNCTION("""COMPUTED_VALUE"""),1.01)</f>
        <v>1.01</v>
      </c>
      <c r="E3788" s="16">
        <f>IFERROR(__xludf.DUMMYFUNCTION("""COMPUTED_VALUE"""),66.0)</f>
        <v>66</v>
      </c>
      <c r="F3788" s="19" t="str">
        <f>IFERROR(__xludf.DUMMYFUNCTION("""COMPUTED_VALUE"""),"BLACK")</f>
        <v>BLACK</v>
      </c>
      <c r="G3788" s="20" t="str">
        <f>IFERROR(__xludf.DUMMYFUNCTION("""COMPUTED_VALUE"""),"Uncle Sams Cider (11/12/2021) 02")</f>
        <v>Uncle Sams Cider (11/12/2021) 02</v>
      </c>
      <c r="H3788" s="19"/>
    </row>
    <row r="3789">
      <c r="A3789" s="9"/>
      <c r="B3789" s="15"/>
      <c r="C3789" s="9">
        <f>IFERROR(__xludf.DUMMYFUNCTION("""COMPUTED_VALUE"""),44565.9794526041)</f>
        <v>44565.97945</v>
      </c>
      <c r="D3789" s="15">
        <f>IFERROR(__xludf.DUMMYFUNCTION("""COMPUTED_VALUE"""),1.01)</f>
        <v>1.01</v>
      </c>
      <c r="E3789" s="16">
        <f>IFERROR(__xludf.DUMMYFUNCTION("""COMPUTED_VALUE"""),66.0)</f>
        <v>66</v>
      </c>
      <c r="F3789" s="19" t="str">
        <f>IFERROR(__xludf.DUMMYFUNCTION("""COMPUTED_VALUE"""),"BLACK")</f>
        <v>BLACK</v>
      </c>
      <c r="G3789" s="20" t="str">
        <f>IFERROR(__xludf.DUMMYFUNCTION("""COMPUTED_VALUE"""),"Uncle Sams Cider (11/12/2021) 02")</f>
        <v>Uncle Sams Cider (11/12/2021) 02</v>
      </c>
      <c r="H3789" s="19"/>
    </row>
    <row r="3790">
      <c r="A3790" s="9"/>
      <c r="B3790" s="15"/>
      <c r="C3790" s="9">
        <f>IFERROR(__xludf.DUMMYFUNCTION("""COMPUTED_VALUE"""),44565.9690319212)</f>
        <v>44565.96903</v>
      </c>
      <c r="D3790" s="15">
        <f>IFERROR(__xludf.DUMMYFUNCTION("""COMPUTED_VALUE"""),1.01)</f>
        <v>1.01</v>
      </c>
      <c r="E3790" s="16">
        <f>IFERROR(__xludf.DUMMYFUNCTION("""COMPUTED_VALUE"""),66.0)</f>
        <v>66</v>
      </c>
      <c r="F3790" s="19" t="str">
        <f>IFERROR(__xludf.DUMMYFUNCTION("""COMPUTED_VALUE"""),"BLACK")</f>
        <v>BLACK</v>
      </c>
      <c r="G3790" s="20" t="str">
        <f>IFERROR(__xludf.DUMMYFUNCTION("""COMPUTED_VALUE"""),"Uncle Sams Cider (11/12/2021) 02")</f>
        <v>Uncle Sams Cider (11/12/2021) 02</v>
      </c>
      <c r="H3790" s="19"/>
    </row>
    <row r="3791">
      <c r="A3791" s="9"/>
      <c r="B3791" s="15"/>
      <c r="C3791" s="9">
        <f>IFERROR(__xludf.DUMMYFUNCTION("""COMPUTED_VALUE"""),44565.9586099652)</f>
        <v>44565.95861</v>
      </c>
      <c r="D3791" s="15">
        <f>IFERROR(__xludf.DUMMYFUNCTION("""COMPUTED_VALUE"""),1.01)</f>
        <v>1.01</v>
      </c>
      <c r="E3791" s="16">
        <f>IFERROR(__xludf.DUMMYFUNCTION("""COMPUTED_VALUE"""),66.0)</f>
        <v>66</v>
      </c>
      <c r="F3791" s="19" t="str">
        <f>IFERROR(__xludf.DUMMYFUNCTION("""COMPUTED_VALUE"""),"BLACK")</f>
        <v>BLACK</v>
      </c>
      <c r="G3791" s="20" t="str">
        <f>IFERROR(__xludf.DUMMYFUNCTION("""COMPUTED_VALUE"""),"Uncle Sams Cider (11/12/2021) 02")</f>
        <v>Uncle Sams Cider (11/12/2021) 02</v>
      </c>
      <c r="H3791" s="19"/>
    </row>
    <row r="3792">
      <c r="A3792" s="9"/>
      <c r="B3792" s="15"/>
      <c r="C3792" s="9">
        <f>IFERROR(__xludf.DUMMYFUNCTION("""COMPUTED_VALUE"""),44565.948189155)</f>
        <v>44565.94819</v>
      </c>
      <c r="D3792" s="15">
        <f>IFERROR(__xludf.DUMMYFUNCTION("""COMPUTED_VALUE"""),1.01)</f>
        <v>1.01</v>
      </c>
      <c r="E3792" s="16">
        <f>IFERROR(__xludf.DUMMYFUNCTION("""COMPUTED_VALUE"""),66.0)</f>
        <v>66</v>
      </c>
      <c r="F3792" s="19" t="str">
        <f>IFERROR(__xludf.DUMMYFUNCTION("""COMPUTED_VALUE"""),"BLACK")</f>
        <v>BLACK</v>
      </c>
      <c r="G3792" s="20" t="str">
        <f>IFERROR(__xludf.DUMMYFUNCTION("""COMPUTED_VALUE"""),"Uncle Sams Cider (11/12/2021) 02")</f>
        <v>Uncle Sams Cider (11/12/2021) 02</v>
      </c>
      <c r="H3792" s="19"/>
    </row>
    <row r="3793">
      <c r="A3793" s="9"/>
      <c r="B3793" s="15"/>
      <c r="C3793" s="9">
        <f>IFERROR(__xludf.DUMMYFUNCTION("""COMPUTED_VALUE"""),44565.937757743)</f>
        <v>44565.93776</v>
      </c>
      <c r="D3793" s="15">
        <f>IFERROR(__xludf.DUMMYFUNCTION("""COMPUTED_VALUE"""),1.01)</f>
        <v>1.01</v>
      </c>
      <c r="E3793" s="16">
        <f>IFERROR(__xludf.DUMMYFUNCTION("""COMPUTED_VALUE"""),66.0)</f>
        <v>66</v>
      </c>
      <c r="F3793" s="19" t="str">
        <f>IFERROR(__xludf.DUMMYFUNCTION("""COMPUTED_VALUE"""),"BLACK")</f>
        <v>BLACK</v>
      </c>
      <c r="G3793" s="20" t="str">
        <f>IFERROR(__xludf.DUMMYFUNCTION("""COMPUTED_VALUE"""),"Uncle Sams Cider (11/12/2021) 02")</f>
        <v>Uncle Sams Cider (11/12/2021) 02</v>
      </c>
      <c r="H3793" s="19"/>
    </row>
    <row r="3794">
      <c r="A3794" s="9"/>
      <c r="B3794" s="15"/>
      <c r="C3794" s="9">
        <f>IFERROR(__xludf.DUMMYFUNCTION("""COMPUTED_VALUE"""),44565.927336331)</f>
        <v>44565.92734</v>
      </c>
      <c r="D3794" s="15">
        <f>IFERROR(__xludf.DUMMYFUNCTION("""COMPUTED_VALUE"""),1.01)</f>
        <v>1.01</v>
      </c>
      <c r="E3794" s="16">
        <f>IFERROR(__xludf.DUMMYFUNCTION("""COMPUTED_VALUE"""),66.0)</f>
        <v>66</v>
      </c>
      <c r="F3794" s="19" t="str">
        <f>IFERROR(__xludf.DUMMYFUNCTION("""COMPUTED_VALUE"""),"BLACK")</f>
        <v>BLACK</v>
      </c>
      <c r="G3794" s="20" t="str">
        <f>IFERROR(__xludf.DUMMYFUNCTION("""COMPUTED_VALUE"""),"Uncle Sams Cider (11/12/2021) 02")</f>
        <v>Uncle Sams Cider (11/12/2021) 02</v>
      </c>
      <c r="H3794" s="19"/>
    </row>
    <row r="3795">
      <c r="A3795" s="9"/>
      <c r="B3795" s="15"/>
      <c r="C3795" s="9">
        <f>IFERROR(__xludf.DUMMYFUNCTION("""COMPUTED_VALUE"""),44565.9169150347)</f>
        <v>44565.91692</v>
      </c>
      <c r="D3795" s="15">
        <f>IFERROR(__xludf.DUMMYFUNCTION("""COMPUTED_VALUE"""),1.01)</f>
        <v>1.01</v>
      </c>
      <c r="E3795" s="16">
        <f>IFERROR(__xludf.DUMMYFUNCTION("""COMPUTED_VALUE"""),66.0)</f>
        <v>66</v>
      </c>
      <c r="F3795" s="19" t="str">
        <f>IFERROR(__xludf.DUMMYFUNCTION("""COMPUTED_VALUE"""),"BLACK")</f>
        <v>BLACK</v>
      </c>
      <c r="G3795" s="20" t="str">
        <f>IFERROR(__xludf.DUMMYFUNCTION("""COMPUTED_VALUE"""),"Uncle Sams Cider (11/12/2021) 02")</f>
        <v>Uncle Sams Cider (11/12/2021) 02</v>
      </c>
      <c r="H3795" s="19"/>
    </row>
    <row r="3796">
      <c r="A3796" s="9"/>
      <c r="B3796" s="15"/>
      <c r="C3796" s="9">
        <f>IFERROR(__xludf.DUMMYFUNCTION("""COMPUTED_VALUE"""),44565.906493912)</f>
        <v>44565.90649</v>
      </c>
      <c r="D3796" s="15">
        <f>IFERROR(__xludf.DUMMYFUNCTION("""COMPUTED_VALUE"""),1.01)</f>
        <v>1.01</v>
      </c>
      <c r="E3796" s="16">
        <f>IFERROR(__xludf.DUMMYFUNCTION("""COMPUTED_VALUE"""),66.0)</f>
        <v>66</v>
      </c>
      <c r="F3796" s="19" t="str">
        <f>IFERROR(__xludf.DUMMYFUNCTION("""COMPUTED_VALUE"""),"BLACK")</f>
        <v>BLACK</v>
      </c>
      <c r="G3796" s="20" t="str">
        <f>IFERROR(__xludf.DUMMYFUNCTION("""COMPUTED_VALUE"""),"Uncle Sams Cider (11/12/2021) 02")</f>
        <v>Uncle Sams Cider (11/12/2021) 02</v>
      </c>
      <c r="H3796" s="19"/>
    </row>
    <row r="3797">
      <c r="A3797" s="9"/>
      <c r="B3797" s="15"/>
      <c r="C3797" s="9">
        <f>IFERROR(__xludf.DUMMYFUNCTION("""COMPUTED_VALUE"""),44565.8960733333)</f>
        <v>44565.89607</v>
      </c>
      <c r="D3797" s="15">
        <f>IFERROR(__xludf.DUMMYFUNCTION("""COMPUTED_VALUE"""),1.01)</f>
        <v>1.01</v>
      </c>
      <c r="E3797" s="16">
        <f>IFERROR(__xludf.DUMMYFUNCTION("""COMPUTED_VALUE"""),66.0)</f>
        <v>66</v>
      </c>
      <c r="F3797" s="19" t="str">
        <f>IFERROR(__xludf.DUMMYFUNCTION("""COMPUTED_VALUE"""),"BLACK")</f>
        <v>BLACK</v>
      </c>
      <c r="G3797" s="20" t="str">
        <f>IFERROR(__xludf.DUMMYFUNCTION("""COMPUTED_VALUE"""),"Uncle Sams Cider (11/12/2021) 02")</f>
        <v>Uncle Sams Cider (11/12/2021) 02</v>
      </c>
      <c r="H3797" s="19"/>
    </row>
    <row r="3798">
      <c r="A3798" s="9"/>
      <c r="B3798" s="15"/>
      <c r="C3798" s="9">
        <f>IFERROR(__xludf.DUMMYFUNCTION("""COMPUTED_VALUE"""),44565.8856396759)</f>
        <v>44565.88564</v>
      </c>
      <c r="D3798" s="15">
        <f>IFERROR(__xludf.DUMMYFUNCTION("""COMPUTED_VALUE"""),1.01)</f>
        <v>1.01</v>
      </c>
      <c r="E3798" s="16">
        <f>IFERROR(__xludf.DUMMYFUNCTION("""COMPUTED_VALUE"""),66.0)</f>
        <v>66</v>
      </c>
      <c r="F3798" s="19" t="str">
        <f>IFERROR(__xludf.DUMMYFUNCTION("""COMPUTED_VALUE"""),"BLACK")</f>
        <v>BLACK</v>
      </c>
      <c r="G3798" s="20" t="str">
        <f>IFERROR(__xludf.DUMMYFUNCTION("""COMPUTED_VALUE"""),"Uncle Sams Cider (11/12/2021) 02")</f>
        <v>Uncle Sams Cider (11/12/2021) 02</v>
      </c>
      <c r="H3798" s="19"/>
    </row>
    <row r="3799">
      <c r="A3799" s="9"/>
      <c r="B3799" s="15"/>
      <c r="C3799" s="9">
        <f>IFERROR(__xludf.DUMMYFUNCTION("""COMPUTED_VALUE"""),44565.8751941898)</f>
        <v>44565.87519</v>
      </c>
      <c r="D3799" s="15">
        <f>IFERROR(__xludf.DUMMYFUNCTION("""COMPUTED_VALUE"""),1.01)</f>
        <v>1.01</v>
      </c>
      <c r="E3799" s="16">
        <f>IFERROR(__xludf.DUMMYFUNCTION("""COMPUTED_VALUE"""),66.0)</f>
        <v>66</v>
      </c>
      <c r="F3799" s="19" t="str">
        <f>IFERROR(__xludf.DUMMYFUNCTION("""COMPUTED_VALUE"""),"BLACK")</f>
        <v>BLACK</v>
      </c>
      <c r="G3799" s="20" t="str">
        <f>IFERROR(__xludf.DUMMYFUNCTION("""COMPUTED_VALUE"""),"Uncle Sams Cider (11/12/2021) 02")</f>
        <v>Uncle Sams Cider (11/12/2021) 02</v>
      </c>
      <c r="H3799" s="19"/>
    </row>
    <row r="3800">
      <c r="A3800" s="9"/>
      <c r="B3800" s="15"/>
      <c r="C3800" s="9">
        <f>IFERROR(__xludf.DUMMYFUNCTION("""COMPUTED_VALUE"""),44565.8647757638)</f>
        <v>44565.86478</v>
      </c>
      <c r="D3800" s="15">
        <f>IFERROR(__xludf.DUMMYFUNCTION("""COMPUTED_VALUE"""),1.01)</f>
        <v>1.01</v>
      </c>
      <c r="E3800" s="16">
        <f>IFERROR(__xludf.DUMMYFUNCTION("""COMPUTED_VALUE"""),66.0)</f>
        <v>66</v>
      </c>
      <c r="F3800" s="19" t="str">
        <f>IFERROR(__xludf.DUMMYFUNCTION("""COMPUTED_VALUE"""),"BLACK")</f>
        <v>BLACK</v>
      </c>
      <c r="G3800" s="20" t="str">
        <f>IFERROR(__xludf.DUMMYFUNCTION("""COMPUTED_VALUE"""),"Uncle Sams Cider (11/12/2021) 02")</f>
        <v>Uncle Sams Cider (11/12/2021) 02</v>
      </c>
      <c r="H3800" s="19"/>
    </row>
    <row r="3801">
      <c r="A3801" s="9"/>
      <c r="B3801" s="15"/>
      <c r="C3801" s="9">
        <f>IFERROR(__xludf.DUMMYFUNCTION("""COMPUTED_VALUE"""),44565.8543538194)</f>
        <v>44565.85435</v>
      </c>
      <c r="D3801" s="15">
        <f>IFERROR(__xludf.DUMMYFUNCTION("""COMPUTED_VALUE"""),1.01)</f>
        <v>1.01</v>
      </c>
      <c r="E3801" s="16">
        <f>IFERROR(__xludf.DUMMYFUNCTION("""COMPUTED_VALUE"""),66.0)</f>
        <v>66</v>
      </c>
      <c r="F3801" s="19" t="str">
        <f>IFERROR(__xludf.DUMMYFUNCTION("""COMPUTED_VALUE"""),"BLACK")</f>
        <v>BLACK</v>
      </c>
      <c r="G3801" s="20" t="str">
        <f>IFERROR(__xludf.DUMMYFUNCTION("""COMPUTED_VALUE"""),"Uncle Sams Cider (11/12/2021) 02")</f>
        <v>Uncle Sams Cider (11/12/2021) 02</v>
      </c>
      <c r="H3801" s="19"/>
    </row>
    <row r="3802">
      <c r="A3802" s="9"/>
      <c r="B3802" s="15"/>
      <c r="C3802" s="9">
        <f>IFERROR(__xludf.DUMMYFUNCTION("""COMPUTED_VALUE"""),44565.8439096759)</f>
        <v>44565.84391</v>
      </c>
      <c r="D3802" s="15">
        <f>IFERROR(__xludf.DUMMYFUNCTION("""COMPUTED_VALUE"""),1.01)</f>
        <v>1.01</v>
      </c>
      <c r="E3802" s="16">
        <f>IFERROR(__xludf.DUMMYFUNCTION("""COMPUTED_VALUE"""),66.0)</f>
        <v>66</v>
      </c>
      <c r="F3802" s="19" t="str">
        <f>IFERROR(__xludf.DUMMYFUNCTION("""COMPUTED_VALUE"""),"BLACK")</f>
        <v>BLACK</v>
      </c>
      <c r="G3802" s="20" t="str">
        <f>IFERROR(__xludf.DUMMYFUNCTION("""COMPUTED_VALUE"""),"Uncle Sams Cider (11/12/2021) 02")</f>
        <v>Uncle Sams Cider (11/12/2021) 02</v>
      </c>
      <c r="H3802" s="19"/>
    </row>
    <row r="3803">
      <c r="A3803" s="9"/>
      <c r="B3803" s="15"/>
      <c r="C3803" s="9">
        <f>IFERROR(__xludf.DUMMYFUNCTION("""COMPUTED_VALUE"""),44565.8334882638)</f>
        <v>44565.83349</v>
      </c>
      <c r="D3803" s="15">
        <f>IFERROR(__xludf.DUMMYFUNCTION("""COMPUTED_VALUE"""),1.01)</f>
        <v>1.01</v>
      </c>
      <c r="E3803" s="16">
        <f>IFERROR(__xludf.DUMMYFUNCTION("""COMPUTED_VALUE"""),66.0)</f>
        <v>66</v>
      </c>
      <c r="F3803" s="19" t="str">
        <f>IFERROR(__xludf.DUMMYFUNCTION("""COMPUTED_VALUE"""),"BLACK")</f>
        <v>BLACK</v>
      </c>
      <c r="G3803" s="20" t="str">
        <f>IFERROR(__xludf.DUMMYFUNCTION("""COMPUTED_VALUE"""),"Uncle Sams Cider (11/12/2021) 02")</f>
        <v>Uncle Sams Cider (11/12/2021) 02</v>
      </c>
      <c r="H3803" s="19"/>
    </row>
    <row r="3804">
      <c r="A3804" s="9"/>
      <c r="B3804" s="15"/>
      <c r="C3804" s="9">
        <f>IFERROR(__xludf.DUMMYFUNCTION("""COMPUTED_VALUE"""),44565.8230662615)</f>
        <v>44565.82307</v>
      </c>
      <c r="D3804" s="15">
        <f>IFERROR(__xludf.DUMMYFUNCTION("""COMPUTED_VALUE"""),1.01)</f>
        <v>1.01</v>
      </c>
      <c r="E3804" s="16">
        <f>IFERROR(__xludf.DUMMYFUNCTION("""COMPUTED_VALUE"""),66.0)</f>
        <v>66</v>
      </c>
      <c r="F3804" s="19" t="str">
        <f>IFERROR(__xludf.DUMMYFUNCTION("""COMPUTED_VALUE"""),"BLACK")</f>
        <v>BLACK</v>
      </c>
      <c r="G3804" s="20" t="str">
        <f>IFERROR(__xludf.DUMMYFUNCTION("""COMPUTED_VALUE"""),"Uncle Sams Cider (11/12/2021) 02")</f>
        <v>Uncle Sams Cider (11/12/2021) 02</v>
      </c>
      <c r="H3804" s="19"/>
    </row>
    <row r="3805">
      <c r="A3805" s="9"/>
      <c r="B3805" s="15"/>
      <c r="C3805" s="9">
        <f>IFERROR(__xludf.DUMMYFUNCTION("""COMPUTED_VALUE"""),44565.8126214583)</f>
        <v>44565.81262</v>
      </c>
      <c r="D3805" s="15">
        <f>IFERROR(__xludf.DUMMYFUNCTION("""COMPUTED_VALUE"""),1.01)</f>
        <v>1.01</v>
      </c>
      <c r="E3805" s="16">
        <f>IFERROR(__xludf.DUMMYFUNCTION("""COMPUTED_VALUE"""),66.0)</f>
        <v>66</v>
      </c>
      <c r="F3805" s="19" t="str">
        <f>IFERROR(__xludf.DUMMYFUNCTION("""COMPUTED_VALUE"""),"BLACK")</f>
        <v>BLACK</v>
      </c>
      <c r="G3805" s="20" t="str">
        <f>IFERROR(__xludf.DUMMYFUNCTION("""COMPUTED_VALUE"""),"Uncle Sams Cider (11/12/2021) 02")</f>
        <v>Uncle Sams Cider (11/12/2021) 02</v>
      </c>
      <c r="H3805" s="19"/>
    </row>
    <row r="3806">
      <c r="A3806" s="9"/>
      <c r="B3806" s="15"/>
      <c r="C3806" s="9">
        <f>IFERROR(__xludf.DUMMYFUNCTION("""COMPUTED_VALUE"""),44565.8022010648)</f>
        <v>44565.8022</v>
      </c>
      <c r="D3806" s="15">
        <f>IFERROR(__xludf.DUMMYFUNCTION("""COMPUTED_VALUE"""),1.01)</f>
        <v>1.01</v>
      </c>
      <c r="E3806" s="16">
        <f>IFERROR(__xludf.DUMMYFUNCTION("""COMPUTED_VALUE"""),66.0)</f>
        <v>66</v>
      </c>
      <c r="F3806" s="19" t="str">
        <f>IFERROR(__xludf.DUMMYFUNCTION("""COMPUTED_VALUE"""),"BLACK")</f>
        <v>BLACK</v>
      </c>
      <c r="G3806" s="20" t="str">
        <f>IFERROR(__xludf.DUMMYFUNCTION("""COMPUTED_VALUE"""),"Uncle Sams Cider (11/12/2021) 02")</f>
        <v>Uncle Sams Cider (11/12/2021) 02</v>
      </c>
      <c r="H3806" s="19"/>
    </row>
    <row r="3807">
      <c r="A3807" s="9"/>
      <c r="B3807" s="15"/>
      <c r="C3807" s="9">
        <f>IFERROR(__xludf.DUMMYFUNCTION("""COMPUTED_VALUE"""),44565.7917798495)</f>
        <v>44565.79178</v>
      </c>
      <c r="D3807" s="15">
        <f>IFERROR(__xludf.DUMMYFUNCTION("""COMPUTED_VALUE"""),1.01)</f>
        <v>1.01</v>
      </c>
      <c r="E3807" s="16">
        <f>IFERROR(__xludf.DUMMYFUNCTION("""COMPUTED_VALUE"""),66.0)</f>
        <v>66</v>
      </c>
      <c r="F3807" s="19" t="str">
        <f>IFERROR(__xludf.DUMMYFUNCTION("""COMPUTED_VALUE"""),"BLACK")</f>
        <v>BLACK</v>
      </c>
      <c r="G3807" s="20" t="str">
        <f>IFERROR(__xludf.DUMMYFUNCTION("""COMPUTED_VALUE"""),"Uncle Sams Cider (11/12/2021) 02")</f>
        <v>Uncle Sams Cider (11/12/2021) 02</v>
      </c>
      <c r="H3807" s="19"/>
    </row>
    <row r="3808">
      <c r="A3808" s="9"/>
      <c r="B3808" s="15"/>
      <c r="C3808" s="9">
        <f>IFERROR(__xludf.DUMMYFUNCTION("""COMPUTED_VALUE"""),44565.7813458101)</f>
        <v>44565.78135</v>
      </c>
      <c r="D3808" s="15">
        <f>IFERROR(__xludf.DUMMYFUNCTION("""COMPUTED_VALUE"""),1.01)</f>
        <v>1.01</v>
      </c>
      <c r="E3808" s="16">
        <f>IFERROR(__xludf.DUMMYFUNCTION("""COMPUTED_VALUE"""),66.0)</f>
        <v>66</v>
      </c>
      <c r="F3808" s="19" t="str">
        <f>IFERROR(__xludf.DUMMYFUNCTION("""COMPUTED_VALUE"""),"BLACK")</f>
        <v>BLACK</v>
      </c>
      <c r="G3808" s="20" t="str">
        <f>IFERROR(__xludf.DUMMYFUNCTION("""COMPUTED_VALUE"""),"Uncle Sams Cider (11/12/2021) 02")</f>
        <v>Uncle Sams Cider (11/12/2021) 02</v>
      </c>
      <c r="H3808" s="19"/>
    </row>
    <row r="3809">
      <c r="A3809" s="9"/>
      <c r="B3809" s="15"/>
      <c r="C3809" s="9">
        <f>IFERROR(__xludf.DUMMYFUNCTION("""COMPUTED_VALUE"""),44565.7709237152)</f>
        <v>44565.77092</v>
      </c>
      <c r="D3809" s="15">
        <f>IFERROR(__xludf.DUMMYFUNCTION("""COMPUTED_VALUE"""),1.01)</f>
        <v>1.01</v>
      </c>
      <c r="E3809" s="16">
        <f>IFERROR(__xludf.DUMMYFUNCTION("""COMPUTED_VALUE"""),66.0)</f>
        <v>66</v>
      </c>
      <c r="F3809" s="19" t="str">
        <f>IFERROR(__xludf.DUMMYFUNCTION("""COMPUTED_VALUE"""),"BLACK")</f>
        <v>BLACK</v>
      </c>
      <c r="G3809" s="20" t="str">
        <f>IFERROR(__xludf.DUMMYFUNCTION("""COMPUTED_VALUE"""),"Uncle Sams Cider (11/12/2021) 02")</f>
        <v>Uncle Sams Cider (11/12/2021) 02</v>
      </c>
      <c r="H3809" s="19"/>
    </row>
    <row r="3810">
      <c r="A3810" s="9"/>
      <c r="B3810" s="15"/>
      <c r="C3810" s="9">
        <f>IFERROR(__xludf.DUMMYFUNCTION("""COMPUTED_VALUE"""),44565.760490243)</f>
        <v>44565.76049</v>
      </c>
      <c r="D3810" s="15">
        <f>IFERROR(__xludf.DUMMYFUNCTION("""COMPUTED_VALUE"""),1.01)</f>
        <v>1.01</v>
      </c>
      <c r="E3810" s="16">
        <f>IFERROR(__xludf.DUMMYFUNCTION("""COMPUTED_VALUE"""),66.0)</f>
        <v>66</v>
      </c>
      <c r="F3810" s="19" t="str">
        <f>IFERROR(__xludf.DUMMYFUNCTION("""COMPUTED_VALUE"""),"BLACK")</f>
        <v>BLACK</v>
      </c>
      <c r="G3810" s="20" t="str">
        <f>IFERROR(__xludf.DUMMYFUNCTION("""COMPUTED_VALUE"""),"Uncle Sams Cider (11/12/2021) 02")</f>
        <v>Uncle Sams Cider (11/12/2021) 02</v>
      </c>
      <c r="H3810" s="19"/>
    </row>
    <row r="3811">
      <c r="A3811" s="9"/>
      <c r="B3811" s="15"/>
      <c r="C3811" s="9">
        <f>IFERROR(__xludf.DUMMYFUNCTION("""COMPUTED_VALUE"""),44565.7500671412)</f>
        <v>44565.75007</v>
      </c>
      <c r="D3811" s="15">
        <f>IFERROR(__xludf.DUMMYFUNCTION("""COMPUTED_VALUE"""),1.01)</f>
        <v>1.01</v>
      </c>
      <c r="E3811" s="16">
        <f>IFERROR(__xludf.DUMMYFUNCTION("""COMPUTED_VALUE"""),66.0)</f>
        <v>66</v>
      </c>
      <c r="F3811" s="19" t="str">
        <f>IFERROR(__xludf.DUMMYFUNCTION("""COMPUTED_VALUE"""),"BLACK")</f>
        <v>BLACK</v>
      </c>
      <c r="G3811" s="20" t="str">
        <f>IFERROR(__xludf.DUMMYFUNCTION("""COMPUTED_VALUE"""),"Uncle Sams Cider (11/12/2021) 02")</f>
        <v>Uncle Sams Cider (11/12/2021) 02</v>
      </c>
      <c r="H3811" s="19"/>
    </row>
    <row r="3812">
      <c r="A3812" s="9"/>
      <c r="B3812" s="15"/>
      <c r="C3812" s="9">
        <f>IFERROR(__xludf.DUMMYFUNCTION("""COMPUTED_VALUE"""),44565.7396454861)</f>
        <v>44565.73965</v>
      </c>
      <c r="D3812" s="15">
        <f>IFERROR(__xludf.DUMMYFUNCTION("""COMPUTED_VALUE"""),1.01)</f>
        <v>1.01</v>
      </c>
      <c r="E3812" s="16">
        <f>IFERROR(__xludf.DUMMYFUNCTION("""COMPUTED_VALUE"""),66.0)</f>
        <v>66</v>
      </c>
      <c r="F3812" s="19" t="str">
        <f>IFERROR(__xludf.DUMMYFUNCTION("""COMPUTED_VALUE"""),"BLACK")</f>
        <v>BLACK</v>
      </c>
      <c r="G3812" s="20" t="str">
        <f>IFERROR(__xludf.DUMMYFUNCTION("""COMPUTED_VALUE"""),"Uncle Sams Cider (11/12/2021) 02")</f>
        <v>Uncle Sams Cider (11/12/2021) 02</v>
      </c>
      <c r="H3812" s="19"/>
    </row>
    <row r="3813">
      <c r="A3813" s="9"/>
      <c r="B3813" s="15"/>
      <c r="C3813" s="9">
        <f>IFERROR(__xludf.DUMMYFUNCTION("""COMPUTED_VALUE"""),44565.729224537)</f>
        <v>44565.72922</v>
      </c>
      <c r="D3813" s="15">
        <f>IFERROR(__xludf.DUMMYFUNCTION("""COMPUTED_VALUE"""),1.01)</f>
        <v>1.01</v>
      </c>
      <c r="E3813" s="16">
        <f>IFERROR(__xludf.DUMMYFUNCTION("""COMPUTED_VALUE"""),66.0)</f>
        <v>66</v>
      </c>
      <c r="F3813" s="19" t="str">
        <f>IFERROR(__xludf.DUMMYFUNCTION("""COMPUTED_VALUE"""),"BLACK")</f>
        <v>BLACK</v>
      </c>
      <c r="G3813" s="20" t="str">
        <f>IFERROR(__xludf.DUMMYFUNCTION("""COMPUTED_VALUE"""),"Uncle Sams Cider (11/12/2021) 02")</f>
        <v>Uncle Sams Cider (11/12/2021) 02</v>
      </c>
      <c r="H3813" s="19"/>
    </row>
    <row r="3814">
      <c r="A3814" s="9"/>
      <c r="B3814" s="15"/>
      <c r="C3814" s="9">
        <f>IFERROR(__xludf.DUMMYFUNCTION("""COMPUTED_VALUE"""),44565.7188035069)</f>
        <v>44565.7188</v>
      </c>
      <c r="D3814" s="15">
        <f>IFERROR(__xludf.DUMMYFUNCTION("""COMPUTED_VALUE"""),1.01)</f>
        <v>1.01</v>
      </c>
      <c r="E3814" s="16">
        <f>IFERROR(__xludf.DUMMYFUNCTION("""COMPUTED_VALUE"""),66.0)</f>
        <v>66</v>
      </c>
      <c r="F3814" s="19" t="str">
        <f>IFERROR(__xludf.DUMMYFUNCTION("""COMPUTED_VALUE"""),"BLACK")</f>
        <v>BLACK</v>
      </c>
      <c r="G3814" s="20" t="str">
        <f>IFERROR(__xludf.DUMMYFUNCTION("""COMPUTED_VALUE"""),"Uncle Sams Cider (11/12/2021) 02")</f>
        <v>Uncle Sams Cider (11/12/2021) 02</v>
      </c>
      <c r="H3814" s="19"/>
    </row>
    <row r="3815">
      <c r="A3815" s="9"/>
      <c r="B3815" s="15"/>
      <c r="C3815" s="9">
        <f>IFERROR(__xludf.DUMMYFUNCTION("""COMPUTED_VALUE"""),44565.7083714236)</f>
        <v>44565.70837</v>
      </c>
      <c r="D3815" s="15">
        <f>IFERROR(__xludf.DUMMYFUNCTION("""COMPUTED_VALUE"""),1.01)</f>
        <v>1.01</v>
      </c>
      <c r="E3815" s="16">
        <f>IFERROR(__xludf.DUMMYFUNCTION("""COMPUTED_VALUE"""),66.0)</f>
        <v>66</v>
      </c>
      <c r="F3815" s="19" t="str">
        <f>IFERROR(__xludf.DUMMYFUNCTION("""COMPUTED_VALUE"""),"BLACK")</f>
        <v>BLACK</v>
      </c>
      <c r="G3815" s="20" t="str">
        <f>IFERROR(__xludf.DUMMYFUNCTION("""COMPUTED_VALUE"""),"Uncle Sams Cider (11/12/2021) 02")</f>
        <v>Uncle Sams Cider (11/12/2021) 02</v>
      </c>
      <c r="H3815" s="19"/>
    </row>
    <row r="3816">
      <c r="A3816" s="9"/>
      <c r="B3816" s="15"/>
      <c r="C3816" s="9">
        <f>IFERROR(__xludf.DUMMYFUNCTION("""COMPUTED_VALUE"""),44565.6979518171)</f>
        <v>44565.69795</v>
      </c>
      <c r="D3816" s="15">
        <f>IFERROR(__xludf.DUMMYFUNCTION("""COMPUTED_VALUE"""),1.01)</f>
        <v>1.01</v>
      </c>
      <c r="E3816" s="16">
        <f>IFERROR(__xludf.DUMMYFUNCTION("""COMPUTED_VALUE"""),66.0)</f>
        <v>66</v>
      </c>
      <c r="F3816" s="19" t="str">
        <f>IFERROR(__xludf.DUMMYFUNCTION("""COMPUTED_VALUE"""),"BLACK")</f>
        <v>BLACK</v>
      </c>
      <c r="G3816" s="20" t="str">
        <f>IFERROR(__xludf.DUMMYFUNCTION("""COMPUTED_VALUE"""),"Uncle Sams Cider (11/12/2021) 02")</f>
        <v>Uncle Sams Cider (11/12/2021) 02</v>
      </c>
      <c r="H3816" s="19"/>
    </row>
    <row r="3817">
      <c r="A3817" s="9"/>
      <c r="B3817" s="15"/>
      <c r="C3817" s="9">
        <f>IFERROR(__xludf.DUMMYFUNCTION("""COMPUTED_VALUE"""),44565.687530706)</f>
        <v>44565.68753</v>
      </c>
      <c r="D3817" s="15">
        <f>IFERROR(__xludf.DUMMYFUNCTION("""COMPUTED_VALUE"""),1.01)</f>
        <v>1.01</v>
      </c>
      <c r="E3817" s="16">
        <f>IFERROR(__xludf.DUMMYFUNCTION("""COMPUTED_VALUE"""),66.0)</f>
        <v>66</v>
      </c>
      <c r="F3817" s="19" t="str">
        <f>IFERROR(__xludf.DUMMYFUNCTION("""COMPUTED_VALUE"""),"BLACK")</f>
        <v>BLACK</v>
      </c>
      <c r="G3817" s="20" t="str">
        <f>IFERROR(__xludf.DUMMYFUNCTION("""COMPUTED_VALUE"""),"Uncle Sams Cider (11/12/2021) 02")</f>
        <v>Uncle Sams Cider (11/12/2021) 02</v>
      </c>
      <c r="H3817" s="19"/>
    </row>
    <row r="3818">
      <c r="A3818" s="9"/>
      <c r="B3818" s="15"/>
      <c r="C3818" s="9">
        <f>IFERROR(__xludf.DUMMYFUNCTION("""COMPUTED_VALUE"""),44565.6771088541)</f>
        <v>44565.67711</v>
      </c>
      <c r="D3818" s="15">
        <f>IFERROR(__xludf.DUMMYFUNCTION("""COMPUTED_VALUE"""),1.01)</f>
        <v>1.01</v>
      </c>
      <c r="E3818" s="16">
        <f>IFERROR(__xludf.DUMMYFUNCTION("""COMPUTED_VALUE"""),66.0)</f>
        <v>66</v>
      </c>
      <c r="F3818" s="19" t="str">
        <f>IFERROR(__xludf.DUMMYFUNCTION("""COMPUTED_VALUE"""),"BLACK")</f>
        <v>BLACK</v>
      </c>
      <c r="G3818" s="20" t="str">
        <f>IFERROR(__xludf.DUMMYFUNCTION("""COMPUTED_VALUE"""),"Uncle Sams Cider (11/12/2021) 02")</f>
        <v>Uncle Sams Cider (11/12/2021) 02</v>
      </c>
      <c r="H3818" s="19"/>
    </row>
    <row r="3819">
      <c r="A3819" s="9"/>
      <c r="B3819" s="15"/>
      <c r="C3819" s="9">
        <f>IFERROR(__xludf.DUMMYFUNCTION("""COMPUTED_VALUE"""),44565.6666887037)</f>
        <v>44565.66669</v>
      </c>
      <c r="D3819" s="15">
        <f>IFERROR(__xludf.DUMMYFUNCTION("""COMPUTED_VALUE"""),1.01)</f>
        <v>1.01</v>
      </c>
      <c r="E3819" s="16">
        <f>IFERROR(__xludf.DUMMYFUNCTION("""COMPUTED_VALUE"""),66.0)</f>
        <v>66</v>
      </c>
      <c r="F3819" s="19" t="str">
        <f>IFERROR(__xludf.DUMMYFUNCTION("""COMPUTED_VALUE"""),"BLACK")</f>
        <v>BLACK</v>
      </c>
      <c r="G3819" s="20" t="str">
        <f>IFERROR(__xludf.DUMMYFUNCTION("""COMPUTED_VALUE"""),"Uncle Sams Cider (11/12/2021) 02")</f>
        <v>Uncle Sams Cider (11/12/2021) 02</v>
      </c>
      <c r="H3819" s="19"/>
    </row>
    <row r="3820">
      <c r="A3820" s="9"/>
      <c r="B3820" s="15"/>
      <c r="C3820" s="9">
        <f>IFERROR(__xludf.DUMMYFUNCTION("""COMPUTED_VALUE"""),44565.6562670717)</f>
        <v>44565.65627</v>
      </c>
      <c r="D3820" s="15">
        <f>IFERROR(__xludf.DUMMYFUNCTION("""COMPUTED_VALUE"""),1.01)</f>
        <v>1.01</v>
      </c>
      <c r="E3820" s="16">
        <f>IFERROR(__xludf.DUMMYFUNCTION("""COMPUTED_VALUE"""),66.0)</f>
        <v>66</v>
      </c>
      <c r="F3820" s="19" t="str">
        <f>IFERROR(__xludf.DUMMYFUNCTION("""COMPUTED_VALUE"""),"BLACK")</f>
        <v>BLACK</v>
      </c>
      <c r="G3820" s="20" t="str">
        <f>IFERROR(__xludf.DUMMYFUNCTION("""COMPUTED_VALUE"""),"Uncle Sams Cider (11/12/2021) 02")</f>
        <v>Uncle Sams Cider (11/12/2021) 02</v>
      </c>
      <c r="H3820" s="19"/>
    </row>
    <row r="3821">
      <c r="A3821" s="9"/>
      <c r="B3821" s="15"/>
      <c r="C3821" s="9">
        <f>IFERROR(__xludf.DUMMYFUNCTION("""COMPUTED_VALUE"""),44565.6458340393)</f>
        <v>44565.64583</v>
      </c>
      <c r="D3821" s="15">
        <f>IFERROR(__xludf.DUMMYFUNCTION("""COMPUTED_VALUE"""),1.01)</f>
        <v>1.01</v>
      </c>
      <c r="E3821" s="16">
        <f>IFERROR(__xludf.DUMMYFUNCTION("""COMPUTED_VALUE"""),66.0)</f>
        <v>66</v>
      </c>
      <c r="F3821" s="19" t="str">
        <f>IFERROR(__xludf.DUMMYFUNCTION("""COMPUTED_VALUE"""),"BLACK")</f>
        <v>BLACK</v>
      </c>
      <c r="G3821" s="20" t="str">
        <f>IFERROR(__xludf.DUMMYFUNCTION("""COMPUTED_VALUE"""),"Uncle Sams Cider (11/12/2021) 02")</f>
        <v>Uncle Sams Cider (11/12/2021) 02</v>
      </c>
      <c r="H3821" s="19"/>
    </row>
    <row r="3822">
      <c r="A3822" s="9"/>
      <c r="B3822" s="15"/>
      <c r="C3822" s="9">
        <f>IFERROR(__xludf.DUMMYFUNCTION("""COMPUTED_VALUE"""),44565.6354132175)</f>
        <v>44565.63541</v>
      </c>
      <c r="D3822" s="15">
        <f>IFERROR(__xludf.DUMMYFUNCTION("""COMPUTED_VALUE"""),1.01)</f>
        <v>1.01</v>
      </c>
      <c r="E3822" s="16">
        <f>IFERROR(__xludf.DUMMYFUNCTION("""COMPUTED_VALUE"""),67.0)</f>
        <v>67</v>
      </c>
      <c r="F3822" s="19" t="str">
        <f>IFERROR(__xludf.DUMMYFUNCTION("""COMPUTED_VALUE"""),"BLACK")</f>
        <v>BLACK</v>
      </c>
      <c r="G3822" s="20" t="str">
        <f>IFERROR(__xludf.DUMMYFUNCTION("""COMPUTED_VALUE"""),"Uncle Sams Cider (11/12/2021) 02")</f>
        <v>Uncle Sams Cider (11/12/2021) 02</v>
      </c>
      <c r="H3822" s="19"/>
    </row>
    <row r="3823">
      <c r="A3823" s="9"/>
      <c r="B3823" s="15"/>
      <c r="C3823" s="9">
        <f>IFERROR(__xludf.DUMMYFUNCTION("""COMPUTED_VALUE"""),44565.6249922569)</f>
        <v>44565.62499</v>
      </c>
      <c r="D3823" s="15">
        <f>IFERROR(__xludf.DUMMYFUNCTION("""COMPUTED_VALUE"""),1.01)</f>
        <v>1.01</v>
      </c>
      <c r="E3823" s="16">
        <f>IFERROR(__xludf.DUMMYFUNCTION("""COMPUTED_VALUE"""),67.0)</f>
        <v>67</v>
      </c>
      <c r="F3823" s="19" t="str">
        <f>IFERROR(__xludf.DUMMYFUNCTION("""COMPUTED_VALUE"""),"BLACK")</f>
        <v>BLACK</v>
      </c>
      <c r="G3823" s="20" t="str">
        <f>IFERROR(__xludf.DUMMYFUNCTION("""COMPUTED_VALUE"""),"Uncle Sams Cider (11/12/2021) 02")</f>
        <v>Uncle Sams Cider (11/12/2021) 02</v>
      </c>
      <c r="H3823" s="19"/>
    </row>
    <row r="3824">
      <c r="A3824" s="9"/>
      <c r="B3824" s="15"/>
      <c r="C3824" s="9">
        <f>IFERROR(__xludf.DUMMYFUNCTION("""COMPUTED_VALUE"""),44565.6145698495)</f>
        <v>44565.61457</v>
      </c>
      <c r="D3824" s="15">
        <f>IFERROR(__xludf.DUMMYFUNCTION("""COMPUTED_VALUE"""),1.01)</f>
        <v>1.01</v>
      </c>
      <c r="E3824" s="16">
        <f>IFERROR(__xludf.DUMMYFUNCTION("""COMPUTED_VALUE"""),67.0)</f>
        <v>67</v>
      </c>
      <c r="F3824" s="19" t="str">
        <f>IFERROR(__xludf.DUMMYFUNCTION("""COMPUTED_VALUE"""),"BLACK")</f>
        <v>BLACK</v>
      </c>
      <c r="G3824" s="20" t="str">
        <f>IFERROR(__xludf.DUMMYFUNCTION("""COMPUTED_VALUE"""),"Uncle Sams Cider (11/12/2021) 02")</f>
        <v>Uncle Sams Cider (11/12/2021) 02</v>
      </c>
      <c r="H3824" s="19"/>
    </row>
    <row r="3825">
      <c r="A3825" s="9"/>
      <c r="B3825" s="15"/>
      <c r="C3825" s="9">
        <f>IFERROR(__xludf.DUMMYFUNCTION("""COMPUTED_VALUE"""),44565.6041135879)</f>
        <v>44565.60411</v>
      </c>
      <c r="D3825" s="15">
        <f>IFERROR(__xludf.DUMMYFUNCTION("""COMPUTED_VALUE"""),1.01)</f>
        <v>1.01</v>
      </c>
      <c r="E3825" s="16">
        <f>IFERROR(__xludf.DUMMYFUNCTION("""COMPUTED_VALUE"""),67.0)</f>
        <v>67</v>
      </c>
      <c r="F3825" s="19" t="str">
        <f>IFERROR(__xludf.DUMMYFUNCTION("""COMPUTED_VALUE"""),"BLACK")</f>
        <v>BLACK</v>
      </c>
      <c r="G3825" s="20" t="str">
        <f>IFERROR(__xludf.DUMMYFUNCTION("""COMPUTED_VALUE"""),"Uncle Sams Cider (11/12/2021) 02")</f>
        <v>Uncle Sams Cider (11/12/2021) 02</v>
      </c>
      <c r="H3825" s="19"/>
    </row>
    <row r="3826">
      <c r="A3826" s="9"/>
      <c r="B3826" s="15"/>
      <c r="C3826" s="9">
        <f>IFERROR(__xludf.DUMMYFUNCTION("""COMPUTED_VALUE"""),44565.5936815277)</f>
        <v>44565.59368</v>
      </c>
      <c r="D3826" s="15">
        <f>IFERROR(__xludf.DUMMYFUNCTION("""COMPUTED_VALUE"""),1.01)</f>
        <v>1.01</v>
      </c>
      <c r="E3826" s="16">
        <f>IFERROR(__xludf.DUMMYFUNCTION("""COMPUTED_VALUE"""),67.0)</f>
        <v>67</v>
      </c>
      <c r="F3826" s="19" t="str">
        <f>IFERROR(__xludf.DUMMYFUNCTION("""COMPUTED_VALUE"""),"BLACK")</f>
        <v>BLACK</v>
      </c>
      <c r="G3826" s="20" t="str">
        <f>IFERROR(__xludf.DUMMYFUNCTION("""COMPUTED_VALUE"""),"Uncle Sams Cider (11/12/2021) 02")</f>
        <v>Uncle Sams Cider (11/12/2021) 02</v>
      </c>
      <c r="H3826" s="19"/>
    </row>
    <row r="3827">
      <c r="A3827" s="9"/>
      <c r="B3827" s="15"/>
      <c r="C3827" s="9">
        <f>IFERROR(__xludf.DUMMYFUNCTION("""COMPUTED_VALUE"""),44565.5832593865)</f>
        <v>44565.58326</v>
      </c>
      <c r="D3827" s="15">
        <f>IFERROR(__xludf.DUMMYFUNCTION("""COMPUTED_VALUE"""),1.01)</f>
        <v>1.01</v>
      </c>
      <c r="E3827" s="16">
        <f>IFERROR(__xludf.DUMMYFUNCTION("""COMPUTED_VALUE"""),67.0)</f>
        <v>67</v>
      </c>
      <c r="F3827" s="19" t="str">
        <f>IFERROR(__xludf.DUMMYFUNCTION("""COMPUTED_VALUE"""),"BLACK")</f>
        <v>BLACK</v>
      </c>
      <c r="G3827" s="20" t="str">
        <f>IFERROR(__xludf.DUMMYFUNCTION("""COMPUTED_VALUE"""),"Uncle Sams Cider (11/12/2021) 02")</f>
        <v>Uncle Sams Cider (11/12/2021) 02</v>
      </c>
      <c r="H3827" s="19"/>
    </row>
    <row r="3828">
      <c r="A3828" s="9"/>
      <c r="B3828" s="15"/>
      <c r="C3828" s="9">
        <f>IFERROR(__xludf.DUMMYFUNCTION("""COMPUTED_VALUE"""),44565.572839074)</f>
        <v>44565.57284</v>
      </c>
      <c r="D3828" s="15">
        <f>IFERROR(__xludf.DUMMYFUNCTION("""COMPUTED_VALUE"""),1.01)</f>
        <v>1.01</v>
      </c>
      <c r="E3828" s="16">
        <f>IFERROR(__xludf.DUMMYFUNCTION("""COMPUTED_VALUE"""),67.0)</f>
        <v>67</v>
      </c>
      <c r="F3828" s="19" t="str">
        <f>IFERROR(__xludf.DUMMYFUNCTION("""COMPUTED_VALUE"""),"BLACK")</f>
        <v>BLACK</v>
      </c>
      <c r="G3828" s="20" t="str">
        <f>IFERROR(__xludf.DUMMYFUNCTION("""COMPUTED_VALUE"""),"Uncle Sams Cider (11/12/2021) 02")</f>
        <v>Uncle Sams Cider (11/12/2021) 02</v>
      </c>
      <c r="H3828" s="19"/>
    </row>
    <row r="3829">
      <c r="A3829" s="9"/>
      <c r="B3829" s="15"/>
      <c r="C3829" s="9">
        <f>IFERROR(__xludf.DUMMYFUNCTION("""COMPUTED_VALUE"""),44565.5624043865)</f>
        <v>44565.5624</v>
      </c>
      <c r="D3829" s="15">
        <f>IFERROR(__xludf.DUMMYFUNCTION("""COMPUTED_VALUE"""),1.01)</f>
        <v>1.01</v>
      </c>
      <c r="E3829" s="16">
        <f>IFERROR(__xludf.DUMMYFUNCTION("""COMPUTED_VALUE"""),67.0)</f>
        <v>67</v>
      </c>
      <c r="F3829" s="19" t="str">
        <f>IFERROR(__xludf.DUMMYFUNCTION("""COMPUTED_VALUE"""),"BLACK")</f>
        <v>BLACK</v>
      </c>
      <c r="G3829" s="20" t="str">
        <f>IFERROR(__xludf.DUMMYFUNCTION("""COMPUTED_VALUE"""),"Uncle Sams Cider (11/12/2021) 02")</f>
        <v>Uncle Sams Cider (11/12/2021) 02</v>
      </c>
      <c r="H3829" s="19"/>
    </row>
    <row r="3830">
      <c r="A3830" s="9"/>
      <c r="B3830" s="15"/>
      <c r="C3830" s="9">
        <f>IFERROR(__xludf.DUMMYFUNCTION("""COMPUTED_VALUE"""),44565.5519591435)</f>
        <v>44565.55196</v>
      </c>
      <c r="D3830" s="15">
        <f>IFERROR(__xludf.DUMMYFUNCTION("""COMPUTED_VALUE"""),1.01)</f>
        <v>1.01</v>
      </c>
      <c r="E3830" s="16">
        <f>IFERROR(__xludf.DUMMYFUNCTION("""COMPUTED_VALUE"""),67.0)</f>
        <v>67</v>
      </c>
      <c r="F3830" s="19" t="str">
        <f>IFERROR(__xludf.DUMMYFUNCTION("""COMPUTED_VALUE"""),"BLACK")</f>
        <v>BLACK</v>
      </c>
      <c r="G3830" s="20" t="str">
        <f>IFERROR(__xludf.DUMMYFUNCTION("""COMPUTED_VALUE"""),"Uncle Sams Cider (11/12/2021) 02")</f>
        <v>Uncle Sams Cider (11/12/2021) 02</v>
      </c>
      <c r="H3830" s="19"/>
    </row>
    <row r="3831">
      <c r="A3831" s="9"/>
      <c r="B3831" s="15"/>
      <c r="C3831" s="9">
        <f>IFERROR(__xludf.DUMMYFUNCTION("""COMPUTED_VALUE"""),44565.5415382175)</f>
        <v>44565.54154</v>
      </c>
      <c r="D3831" s="15">
        <f>IFERROR(__xludf.DUMMYFUNCTION("""COMPUTED_VALUE"""),1.01)</f>
        <v>1.01</v>
      </c>
      <c r="E3831" s="16">
        <f>IFERROR(__xludf.DUMMYFUNCTION("""COMPUTED_VALUE"""),67.0)</f>
        <v>67</v>
      </c>
      <c r="F3831" s="19" t="str">
        <f>IFERROR(__xludf.DUMMYFUNCTION("""COMPUTED_VALUE"""),"BLACK")</f>
        <v>BLACK</v>
      </c>
      <c r="G3831" s="20" t="str">
        <f>IFERROR(__xludf.DUMMYFUNCTION("""COMPUTED_VALUE"""),"Uncle Sams Cider (11/12/2021) 02")</f>
        <v>Uncle Sams Cider (11/12/2021) 02</v>
      </c>
      <c r="H3831" s="19"/>
    </row>
    <row r="3832">
      <c r="A3832" s="9"/>
      <c r="B3832" s="15"/>
      <c r="C3832" s="9">
        <f>IFERROR(__xludf.DUMMYFUNCTION("""COMPUTED_VALUE"""),44565.5311171875)</f>
        <v>44565.53112</v>
      </c>
      <c r="D3832" s="15">
        <f>IFERROR(__xludf.DUMMYFUNCTION("""COMPUTED_VALUE"""),1.01)</f>
        <v>1.01</v>
      </c>
      <c r="E3832" s="16">
        <f>IFERROR(__xludf.DUMMYFUNCTION("""COMPUTED_VALUE"""),67.0)</f>
        <v>67</v>
      </c>
      <c r="F3832" s="19" t="str">
        <f>IFERROR(__xludf.DUMMYFUNCTION("""COMPUTED_VALUE"""),"BLACK")</f>
        <v>BLACK</v>
      </c>
      <c r="G3832" s="20" t="str">
        <f>IFERROR(__xludf.DUMMYFUNCTION("""COMPUTED_VALUE"""),"Uncle Sams Cider (11/12/2021) 02")</f>
        <v>Uncle Sams Cider (11/12/2021) 02</v>
      </c>
      <c r="H3832" s="19"/>
    </row>
    <row r="3833">
      <c r="A3833" s="9"/>
      <c r="B3833" s="15"/>
      <c r="C3833" s="9">
        <f>IFERROR(__xludf.DUMMYFUNCTION("""COMPUTED_VALUE"""),44565.5206963425)</f>
        <v>44565.5207</v>
      </c>
      <c r="D3833" s="15">
        <f>IFERROR(__xludf.DUMMYFUNCTION("""COMPUTED_VALUE"""),1.01)</f>
        <v>1.01</v>
      </c>
      <c r="E3833" s="16">
        <f>IFERROR(__xludf.DUMMYFUNCTION("""COMPUTED_VALUE"""),67.0)</f>
        <v>67</v>
      </c>
      <c r="F3833" s="19" t="str">
        <f>IFERROR(__xludf.DUMMYFUNCTION("""COMPUTED_VALUE"""),"BLACK")</f>
        <v>BLACK</v>
      </c>
      <c r="G3833" s="20" t="str">
        <f>IFERROR(__xludf.DUMMYFUNCTION("""COMPUTED_VALUE"""),"Uncle Sams Cider (11/12/2021) 02")</f>
        <v>Uncle Sams Cider (11/12/2021) 02</v>
      </c>
      <c r="H3833" s="19"/>
    </row>
    <row r="3834">
      <c r="A3834" s="9"/>
      <c r="B3834" s="15"/>
      <c r="C3834" s="9">
        <f>IFERROR(__xludf.DUMMYFUNCTION("""COMPUTED_VALUE"""),44565.5102649421)</f>
        <v>44565.51026</v>
      </c>
      <c r="D3834" s="15">
        <f>IFERROR(__xludf.DUMMYFUNCTION("""COMPUTED_VALUE"""),1.01)</f>
        <v>1.01</v>
      </c>
      <c r="E3834" s="16">
        <f>IFERROR(__xludf.DUMMYFUNCTION("""COMPUTED_VALUE"""),67.0)</f>
        <v>67</v>
      </c>
      <c r="F3834" s="19" t="str">
        <f>IFERROR(__xludf.DUMMYFUNCTION("""COMPUTED_VALUE"""),"BLACK")</f>
        <v>BLACK</v>
      </c>
      <c r="G3834" s="20" t="str">
        <f>IFERROR(__xludf.DUMMYFUNCTION("""COMPUTED_VALUE"""),"Uncle Sams Cider (11/12/2021) 02")</f>
        <v>Uncle Sams Cider (11/12/2021) 02</v>
      </c>
      <c r="H3834" s="19"/>
    </row>
    <row r="3835">
      <c r="A3835" s="9"/>
      <c r="B3835" s="15"/>
      <c r="C3835" s="9">
        <f>IFERROR(__xludf.DUMMYFUNCTION("""COMPUTED_VALUE"""),44565.4998432986)</f>
        <v>44565.49984</v>
      </c>
      <c r="D3835" s="15">
        <f>IFERROR(__xludf.DUMMYFUNCTION("""COMPUTED_VALUE"""),1.01)</f>
        <v>1.01</v>
      </c>
      <c r="E3835" s="16">
        <f>IFERROR(__xludf.DUMMYFUNCTION("""COMPUTED_VALUE"""),67.0)</f>
        <v>67</v>
      </c>
      <c r="F3835" s="19" t="str">
        <f>IFERROR(__xludf.DUMMYFUNCTION("""COMPUTED_VALUE"""),"BLACK")</f>
        <v>BLACK</v>
      </c>
      <c r="G3835" s="20" t="str">
        <f>IFERROR(__xludf.DUMMYFUNCTION("""COMPUTED_VALUE"""),"Uncle Sams Cider (11/12/2021) 02")</f>
        <v>Uncle Sams Cider (11/12/2021) 02</v>
      </c>
      <c r="H3835" s="19"/>
    </row>
    <row r="3836">
      <c r="A3836" s="9"/>
      <c r="B3836" s="15"/>
      <c r="C3836" s="9">
        <f>IFERROR(__xludf.DUMMYFUNCTION("""COMPUTED_VALUE"""),44565.4894212847)</f>
        <v>44565.48942</v>
      </c>
      <c r="D3836" s="15">
        <f>IFERROR(__xludf.DUMMYFUNCTION("""COMPUTED_VALUE"""),1.01)</f>
        <v>1.01</v>
      </c>
      <c r="E3836" s="16">
        <f>IFERROR(__xludf.DUMMYFUNCTION("""COMPUTED_VALUE"""),67.0)</f>
        <v>67</v>
      </c>
      <c r="F3836" s="19" t="str">
        <f>IFERROR(__xludf.DUMMYFUNCTION("""COMPUTED_VALUE"""),"BLACK")</f>
        <v>BLACK</v>
      </c>
      <c r="G3836" s="20" t="str">
        <f>IFERROR(__xludf.DUMMYFUNCTION("""COMPUTED_VALUE"""),"Uncle Sams Cider (11/12/2021) 02")</f>
        <v>Uncle Sams Cider (11/12/2021) 02</v>
      </c>
      <c r="H3836" s="19"/>
    </row>
    <row r="3837">
      <c r="A3837" s="9"/>
      <c r="B3837" s="15"/>
      <c r="C3837" s="9">
        <f>IFERROR(__xludf.DUMMYFUNCTION("""COMPUTED_VALUE"""),44565.47898853)</f>
        <v>44565.47899</v>
      </c>
      <c r="D3837" s="15">
        <f>IFERROR(__xludf.DUMMYFUNCTION("""COMPUTED_VALUE"""),1.01)</f>
        <v>1.01</v>
      </c>
      <c r="E3837" s="16">
        <f>IFERROR(__xludf.DUMMYFUNCTION("""COMPUTED_VALUE"""),67.0)</f>
        <v>67</v>
      </c>
      <c r="F3837" s="19" t="str">
        <f>IFERROR(__xludf.DUMMYFUNCTION("""COMPUTED_VALUE"""),"BLACK")</f>
        <v>BLACK</v>
      </c>
      <c r="G3837" s="20" t="str">
        <f>IFERROR(__xludf.DUMMYFUNCTION("""COMPUTED_VALUE"""),"Uncle Sams Cider (11/12/2021) 02")</f>
        <v>Uncle Sams Cider (11/12/2021) 02</v>
      </c>
      <c r="H3837" s="19"/>
    </row>
    <row r="3838">
      <c r="A3838" s="9"/>
      <c r="B3838" s="15"/>
      <c r="C3838" s="9">
        <f>IFERROR(__xludf.DUMMYFUNCTION("""COMPUTED_VALUE"""),44565.4685436111)</f>
        <v>44565.46854</v>
      </c>
      <c r="D3838" s="15">
        <f>IFERROR(__xludf.DUMMYFUNCTION("""COMPUTED_VALUE"""),1.01)</f>
        <v>1.01</v>
      </c>
      <c r="E3838" s="16">
        <f>IFERROR(__xludf.DUMMYFUNCTION("""COMPUTED_VALUE"""),67.0)</f>
        <v>67</v>
      </c>
      <c r="F3838" s="19" t="str">
        <f>IFERROR(__xludf.DUMMYFUNCTION("""COMPUTED_VALUE"""),"BLACK")</f>
        <v>BLACK</v>
      </c>
      <c r="G3838" s="20" t="str">
        <f>IFERROR(__xludf.DUMMYFUNCTION("""COMPUTED_VALUE"""),"Uncle Sams Cider (11/12/2021) 02")</f>
        <v>Uncle Sams Cider (11/12/2021) 02</v>
      </c>
      <c r="H3838" s="19"/>
    </row>
    <row r="3839">
      <c r="A3839" s="9"/>
      <c r="B3839" s="15"/>
      <c r="C3839" s="9">
        <f>IFERROR(__xludf.DUMMYFUNCTION("""COMPUTED_VALUE"""),44565.4581237152)</f>
        <v>44565.45812</v>
      </c>
      <c r="D3839" s="15">
        <f>IFERROR(__xludf.DUMMYFUNCTION("""COMPUTED_VALUE"""),1.01)</f>
        <v>1.01</v>
      </c>
      <c r="E3839" s="16">
        <f>IFERROR(__xludf.DUMMYFUNCTION("""COMPUTED_VALUE"""),67.0)</f>
        <v>67</v>
      </c>
      <c r="F3839" s="19" t="str">
        <f>IFERROR(__xludf.DUMMYFUNCTION("""COMPUTED_VALUE"""),"BLACK")</f>
        <v>BLACK</v>
      </c>
      <c r="G3839" s="20" t="str">
        <f>IFERROR(__xludf.DUMMYFUNCTION("""COMPUTED_VALUE"""),"Uncle Sams Cider (11/12/2021) 02")</f>
        <v>Uncle Sams Cider (11/12/2021) 02</v>
      </c>
      <c r="H3839" s="19"/>
    </row>
    <row r="3840">
      <c r="A3840" s="9"/>
      <c r="B3840" s="15"/>
      <c r="C3840" s="9">
        <f>IFERROR(__xludf.DUMMYFUNCTION("""COMPUTED_VALUE"""),44565.4476901504)</f>
        <v>44565.44769</v>
      </c>
      <c r="D3840" s="15">
        <f>IFERROR(__xludf.DUMMYFUNCTION("""COMPUTED_VALUE"""),1.009)</f>
        <v>1.009</v>
      </c>
      <c r="E3840" s="16">
        <f>IFERROR(__xludf.DUMMYFUNCTION("""COMPUTED_VALUE"""),67.0)</f>
        <v>67</v>
      </c>
      <c r="F3840" s="19" t="str">
        <f>IFERROR(__xludf.DUMMYFUNCTION("""COMPUTED_VALUE"""),"BLACK")</f>
        <v>BLACK</v>
      </c>
      <c r="G3840" s="20" t="str">
        <f>IFERROR(__xludf.DUMMYFUNCTION("""COMPUTED_VALUE"""),"Uncle Sams Cider (11/12/2021) 02")</f>
        <v>Uncle Sams Cider (11/12/2021) 02</v>
      </c>
      <c r="H3840" s="19"/>
    </row>
    <row r="3841">
      <c r="A3841" s="9"/>
      <c r="B3841" s="15"/>
      <c r="C3841" s="9">
        <f>IFERROR(__xludf.DUMMYFUNCTION("""COMPUTED_VALUE"""),44565.4372689004)</f>
        <v>44565.43727</v>
      </c>
      <c r="D3841" s="15">
        <f>IFERROR(__xludf.DUMMYFUNCTION("""COMPUTED_VALUE"""),1.01)</f>
        <v>1.01</v>
      </c>
      <c r="E3841" s="16">
        <f>IFERROR(__xludf.DUMMYFUNCTION("""COMPUTED_VALUE"""),67.0)</f>
        <v>67</v>
      </c>
      <c r="F3841" s="19" t="str">
        <f>IFERROR(__xludf.DUMMYFUNCTION("""COMPUTED_VALUE"""),"BLACK")</f>
        <v>BLACK</v>
      </c>
      <c r="G3841" s="20" t="str">
        <f>IFERROR(__xludf.DUMMYFUNCTION("""COMPUTED_VALUE"""),"Uncle Sams Cider (11/12/2021) 02")</f>
        <v>Uncle Sams Cider (11/12/2021) 02</v>
      </c>
      <c r="H3841" s="19"/>
    </row>
    <row r="3842">
      <c r="A3842" s="9"/>
      <c r="B3842" s="15"/>
      <c r="C3842" s="9">
        <f>IFERROR(__xludf.DUMMYFUNCTION("""COMPUTED_VALUE"""),44565.4268463888)</f>
        <v>44565.42685</v>
      </c>
      <c r="D3842" s="15">
        <f>IFERROR(__xludf.DUMMYFUNCTION("""COMPUTED_VALUE"""),1.01)</f>
        <v>1.01</v>
      </c>
      <c r="E3842" s="16">
        <f>IFERROR(__xludf.DUMMYFUNCTION("""COMPUTED_VALUE"""),67.0)</f>
        <v>67</v>
      </c>
      <c r="F3842" s="19" t="str">
        <f>IFERROR(__xludf.DUMMYFUNCTION("""COMPUTED_VALUE"""),"BLACK")</f>
        <v>BLACK</v>
      </c>
      <c r="G3842" s="20" t="str">
        <f>IFERROR(__xludf.DUMMYFUNCTION("""COMPUTED_VALUE"""),"Uncle Sams Cider (11/12/2021) 02")</f>
        <v>Uncle Sams Cider (11/12/2021) 02</v>
      </c>
      <c r="H3842" s="19"/>
    </row>
    <row r="3843">
      <c r="A3843" s="9"/>
      <c r="B3843" s="15"/>
      <c r="C3843" s="9">
        <f>IFERROR(__xludf.DUMMYFUNCTION("""COMPUTED_VALUE"""),44565.4164143402)</f>
        <v>44565.41641</v>
      </c>
      <c r="D3843" s="15">
        <f>IFERROR(__xludf.DUMMYFUNCTION("""COMPUTED_VALUE"""),1.01)</f>
        <v>1.01</v>
      </c>
      <c r="E3843" s="16">
        <f>IFERROR(__xludf.DUMMYFUNCTION("""COMPUTED_VALUE"""),67.0)</f>
        <v>67</v>
      </c>
      <c r="F3843" s="19" t="str">
        <f>IFERROR(__xludf.DUMMYFUNCTION("""COMPUTED_VALUE"""),"BLACK")</f>
        <v>BLACK</v>
      </c>
      <c r="G3843" s="20" t="str">
        <f>IFERROR(__xludf.DUMMYFUNCTION("""COMPUTED_VALUE"""),"Uncle Sams Cider (11/12/2021) 02")</f>
        <v>Uncle Sams Cider (11/12/2021) 02</v>
      </c>
      <c r="H3843" s="19"/>
    </row>
    <row r="3844">
      <c r="A3844" s="9"/>
      <c r="B3844" s="15"/>
      <c r="C3844" s="9">
        <f>IFERROR(__xludf.DUMMYFUNCTION("""COMPUTED_VALUE"""),44565.4059944328)</f>
        <v>44565.40599</v>
      </c>
      <c r="D3844" s="15">
        <f>IFERROR(__xludf.DUMMYFUNCTION("""COMPUTED_VALUE"""),1.01)</f>
        <v>1.01</v>
      </c>
      <c r="E3844" s="16">
        <f>IFERROR(__xludf.DUMMYFUNCTION("""COMPUTED_VALUE"""),67.0)</f>
        <v>67</v>
      </c>
      <c r="F3844" s="19" t="str">
        <f>IFERROR(__xludf.DUMMYFUNCTION("""COMPUTED_VALUE"""),"BLACK")</f>
        <v>BLACK</v>
      </c>
      <c r="G3844" s="20" t="str">
        <f>IFERROR(__xludf.DUMMYFUNCTION("""COMPUTED_VALUE"""),"Uncle Sams Cider (11/12/2021) 02")</f>
        <v>Uncle Sams Cider (11/12/2021) 02</v>
      </c>
      <c r="H3844" s="19"/>
    </row>
    <row r="3845">
      <c r="A3845" s="9"/>
      <c r="B3845" s="15"/>
      <c r="C3845" s="9">
        <f>IFERROR(__xludf.DUMMYFUNCTION("""COMPUTED_VALUE"""),44565.3955624884)</f>
        <v>44565.39556</v>
      </c>
      <c r="D3845" s="15">
        <f>IFERROR(__xludf.DUMMYFUNCTION("""COMPUTED_VALUE"""),1.01)</f>
        <v>1.01</v>
      </c>
      <c r="E3845" s="16">
        <f>IFERROR(__xludf.DUMMYFUNCTION("""COMPUTED_VALUE"""),67.0)</f>
        <v>67</v>
      </c>
      <c r="F3845" s="19" t="str">
        <f>IFERROR(__xludf.DUMMYFUNCTION("""COMPUTED_VALUE"""),"BLACK")</f>
        <v>BLACK</v>
      </c>
      <c r="G3845" s="20" t="str">
        <f>IFERROR(__xludf.DUMMYFUNCTION("""COMPUTED_VALUE"""),"Uncle Sams Cider (11/12/2021) 02")</f>
        <v>Uncle Sams Cider (11/12/2021) 02</v>
      </c>
      <c r="H3845" s="19"/>
    </row>
    <row r="3846">
      <c r="A3846" s="9"/>
      <c r="B3846" s="15"/>
      <c r="C3846" s="9">
        <f>IFERROR(__xludf.DUMMYFUNCTION("""COMPUTED_VALUE"""),44565.3851392939)</f>
        <v>44565.38514</v>
      </c>
      <c r="D3846" s="15">
        <f>IFERROR(__xludf.DUMMYFUNCTION("""COMPUTED_VALUE"""),1.01)</f>
        <v>1.01</v>
      </c>
      <c r="E3846" s="16">
        <f>IFERROR(__xludf.DUMMYFUNCTION("""COMPUTED_VALUE"""),67.0)</f>
        <v>67</v>
      </c>
      <c r="F3846" s="19" t="str">
        <f>IFERROR(__xludf.DUMMYFUNCTION("""COMPUTED_VALUE"""),"BLACK")</f>
        <v>BLACK</v>
      </c>
      <c r="G3846" s="20" t="str">
        <f>IFERROR(__xludf.DUMMYFUNCTION("""COMPUTED_VALUE"""),"Uncle Sams Cider (11/12/2021) 02")</f>
        <v>Uncle Sams Cider (11/12/2021) 02</v>
      </c>
      <c r="H3846" s="19"/>
    </row>
    <row r="3847">
      <c r="A3847" s="9"/>
      <c r="B3847" s="15"/>
      <c r="C3847" s="9">
        <f>IFERROR(__xludf.DUMMYFUNCTION("""COMPUTED_VALUE"""),44565.3747168171)</f>
        <v>44565.37472</v>
      </c>
      <c r="D3847" s="15">
        <f>IFERROR(__xludf.DUMMYFUNCTION("""COMPUTED_VALUE"""),1.01)</f>
        <v>1.01</v>
      </c>
      <c r="E3847" s="16">
        <f>IFERROR(__xludf.DUMMYFUNCTION("""COMPUTED_VALUE"""),67.0)</f>
        <v>67</v>
      </c>
      <c r="F3847" s="19" t="str">
        <f>IFERROR(__xludf.DUMMYFUNCTION("""COMPUTED_VALUE"""),"BLACK")</f>
        <v>BLACK</v>
      </c>
      <c r="G3847" s="20" t="str">
        <f>IFERROR(__xludf.DUMMYFUNCTION("""COMPUTED_VALUE"""),"Uncle Sams Cider (11/12/2021) 02")</f>
        <v>Uncle Sams Cider (11/12/2021) 02</v>
      </c>
      <c r="H3847" s="19"/>
    </row>
    <row r="3848">
      <c r="A3848" s="9"/>
      <c r="B3848" s="15"/>
      <c r="C3848" s="9">
        <f>IFERROR(__xludf.DUMMYFUNCTION("""COMPUTED_VALUE"""),44565.3642944675)</f>
        <v>44565.36429</v>
      </c>
      <c r="D3848" s="15">
        <f>IFERROR(__xludf.DUMMYFUNCTION("""COMPUTED_VALUE"""),1.01)</f>
        <v>1.01</v>
      </c>
      <c r="E3848" s="16">
        <f>IFERROR(__xludf.DUMMYFUNCTION("""COMPUTED_VALUE"""),67.0)</f>
        <v>67</v>
      </c>
      <c r="F3848" s="19" t="str">
        <f>IFERROR(__xludf.DUMMYFUNCTION("""COMPUTED_VALUE"""),"BLACK")</f>
        <v>BLACK</v>
      </c>
      <c r="G3848" s="20" t="str">
        <f>IFERROR(__xludf.DUMMYFUNCTION("""COMPUTED_VALUE"""),"Uncle Sams Cider (11/12/2021) 02")</f>
        <v>Uncle Sams Cider (11/12/2021) 02</v>
      </c>
      <c r="H3848" s="19"/>
    </row>
    <row r="3849">
      <c r="A3849" s="9"/>
      <c r="B3849" s="15"/>
      <c r="C3849" s="9">
        <f>IFERROR(__xludf.DUMMYFUNCTION("""COMPUTED_VALUE"""),44565.3538717592)</f>
        <v>44565.35387</v>
      </c>
      <c r="D3849" s="15">
        <f>IFERROR(__xludf.DUMMYFUNCTION("""COMPUTED_VALUE"""),1.01)</f>
        <v>1.01</v>
      </c>
      <c r="E3849" s="16">
        <f>IFERROR(__xludf.DUMMYFUNCTION("""COMPUTED_VALUE"""),67.0)</f>
        <v>67</v>
      </c>
      <c r="F3849" s="19" t="str">
        <f>IFERROR(__xludf.DUMMYFUNCTION("""COMPUTED_VALUE"""),"BLACK")</f>
        <v>BLACK</v>
      </c>
      <c r="G3849" s="20" t="str">
        <f>IFERROR(__xludf.DUMMYFUNCTION("""COMPUTED_VALUE"""),"Uncle Sams Cider (11/12/2021) 02")</f>
        <v>Uncle Sams Cider (11/12/2021) 02</v>
      </c>
      <c r="H3849" s="19"/>
    </row>
    <row r="3850">
      <c r="A3850" s="9"/>
      <c r="B3850" s="15"/>
      <c r="C3850" s="9">
        <f>IFERROR(__xludf.DUMMYFUNCTION("""COMPUTED_VALUE"""),44565.3434509722)</f>
        <v>44565.34345</v>
      </c>
      <c r="D3850" s="15">
        <f>IFERROR(__xludf.DUMMYFUNCTION("""COMPUTED_VALUE"""),1.01)</f>
        <v>1.01</v>
      </c>
      <c r="E3850" s="16">
        <f>IFERROR(__xludf.DUMMYFUNCTION("""COMPUTED_VALUE"""),67.0)</f>
        <v>67</v>
      </c>
      <c r="F3850" s="19" t="str">
        <f>IFERROR(__xludf.DUMMYFUNCTION("""COMPUTED_VALUE"""),"BLACK")</f>
        <v>BLACK</v>
      </c>
      <c r="G3850" s="20" t="str">
        <f>IFERROR(__xludf.DUMMYFUNCTION("""COMPUTED_VALUE"""),"Uncle Sams Cider (11/12/2021) 02")</f>
        <v>Uncle Sams Cider (11/12/2021) 02</v>
      </c>
      <c r="H3850" s="19"/>
    </row>
    <row r="3851">
      <c r="A3851" s="9"/>
      <c r="B3851" s="15"/>
      <c r="C3851" s="9">
        <f>IFERROR(__xludf.DUMMYFUNCTION("""COMPUTED_VALUE"""),44565.3330298958)</f>
        <v>44565.33303</v>
      </c>
      <c r="D3851" s="15">
        <f>IFERROR(__xludf.DUMMYFUNCTION("""COMPUTED_VALUE"""),1.01)</f>
        <v>1.01</v>
      </c>
      <c r="E3851" s="16">
        <f>IFERROR(__xludf.DUMMYFUNCTION("""COMPUTED_VALUE"""),68.0)</f>
        <v>68</v>
      </c>
      <c r="F3851" s="19" t="str">
        <f>IFERROR(__xludf.DUMMYFUNCTION("""COMPUTED_VALUE"""),"BLACK")</f>
        <v>BLACK</v>
      </c>
      <c r="G3851" s="20" t="str">
        <f>IFERROR(__xludf.DUMMYFUNCTION("""COMPUTED_VALUE"""),"Uncle Sams Cider (11/12/2021) 02")</f>
        <v>Uncle Sams Cider (11/12/2021) 02</v>
      </c>
      <c r="H3851" s="19"/>
    </row>
    <row r="3852">
      <c r="A3852" s="9"/>
      <c r="B3852" s="15"/>
      <c r="C3852" s="9">
        <f>IFERROR(__xludf.DUMMYFUNCTION("""COMPUTED_VALUE"""),44565.3226074537)</f>
        <v>44565.32261</v>
      </c>
      <c r="D3852" s="15">
        <f>IFERROR(__xludf.DUMMYFUNCTION("""COMPUTED_VALUE"""),1.01)</f>
        <v>1.01</v>
      </c>
      <c r="E3852" s="16">
        <f>IFERROR(__xludf.DUMMYFUNCTION("""COMPUTED_VALUE"""),68.0)</f>
        <v>68</v>
      </c>
      <c r="F3852" s="19" t="str">
        <f>IFERROR(__xludf.DUMMYFUNCTION("""COMPUTED_VALUE"""),"BLACK")</f>
        <v>BLACK</v>
      </c>
      <c r="G3852" s="20" t="str">
        <f>IFERROR(__xludf.DUMMYFUNCTION("""COMPUTED_VALUE"""),"Uncle Sams Cider (11/12/2021) 02")</f>
        <v>Uncle Sams Cider (11/12/2021) 02</v>
      </c>
      <c r="H3852" s="19"/>
    </row>
    <row r="3853">
      <c r="A3853" s="9"/>
      <c r="B3853" s="15"/>
      <c r="C3853" s="9">
        <f>IFERROR(__xludf.DUMMYFUNCTION("""COMPUTED_VALUE"""),44565.3121628703)</f>
        <v>44565.31216</v>
      </c>
      <c r="D3853" s="15">
        <f>IFERROR(__xludf.DUMMYFUNCTION("""COMPUTED_VALUE"""),1.01)</f>
        <v>1.01</v>
      </c>
      <c r="E3853" s="16">
        <f>IFERROR(__xludf.DUMMYFUNCTION("""COMPUTED_VALUE"""),68.0)</f>
        <v>68</v>
      </c>
      <c r="F3853" s="19" t="str">
        <f>IFERROR(__xludf.DUMMYFUNCTION("""COMPUTED_VALUE"""),"BLACK")</f>
        <v>BLACK</v>
      </c>
      <c r="G3853" s="20" t="str">
        <f>IFERROR(__xludf.DUMMYFUNCTION("""COMPUTED_VALUE"""),"Uncle Sams Cider (11/12/2021) 02")</f>
        <v>Uncle Sams Cider (11/12/2021) 02</v>
      </c>
      <c r="H3853" s="19"/>
    </row>
    <row r="3854">
      <c r="A3854" s="9"/>
      <c r="B3854" s="15"/>
      <c r="C3854" s="9">
        <f>IFERROR(__xludf.DUMMYFUNCTION("""COMPUTED_VALUE"""),44565.3017410532)</f>
        <v>44565.30174</v>
      </c>
      <c r="D3854" s="15">
        <f>IFERROR(__xludf.DUMMYFUNCTION("""COMPUTED_VALUE"""),1.01)</f>
        <v>1.01</v>
      </c>
      <c r="E3854" s="16">
        <f>IFERROR(__xludf.DUMMYFUNCTION("""COMPUTED_VALUE"""),68.0)</f>
        <v>68</v>
      </c>
      <c r="F3854" s="19" t="str">
        <f>IFERROR(__xludf.DUMMYFUNCTION("""COMPUTED_VALUE"""),"BLACK")</f>
        <v>BLACK</v>
      </c>
      <c r="G3854" s="20" t="str">
        <f>IFERROR(__xludf.DUMMYFUNCTION("""COMPUTED_VALUE"""),"Uncle Sams Cider (11/12/2021) 02")</f>
        <v>Uncle Sams Cider (11/12/2021) 02</v>
      </c>
      <c r="H3854" s="19"/>
    </row>
    <row r="3855">
      <c r="A3855" s="9"/>
      <c r="B3855" s="15"/>
      <c r="C3855" s="9">
        <f>IFERROR(__xludf.DUMMYFUNCTION("""COMPUTED_VALUE"""),44565.2912847916)</f>
        <v>44565.29128</v>
      </c>
      <c r="D3855" s="15">
        <f>IFERROR(__xludf.DUMMYFUNCTION("""COMPUTED_VALUE"""),1.01)</f>
        <v>1.01</v>
      </c>
      <c r="E3855" s="16">
        <f>IFERROR(__xludf.DUMMYFUNCTION("""COMPUTED_VALUE"""),68.0)</f>
        <v>68</v>
      </c>
      <c r="F3855" s="19" t="str">
        <f>IFERROR(__xludf.DUMMYFUNCTION("""COMPUTED_VALUE"""),"BLACK")</f>
        <v>BLACK</v>
      </c>
      <c r="G3855" s="20" t="str">
        <f>IFERROR(__xludf.DUMMYFUNCTION("""COMPUTED_VALUE"""),"Uncle Sams Cider (11/12/2021) 02")</f>
        <v>Uncle Sams Cider (11/12/2021) 02</v>
      </c>
      <c r="H3855" s="19"/>
    </row>
    <row r="3856">
      <c r="A3856" s="9"/>
      <c r="B3856" s="15"/>
      <c r="C3856" s="9">
        <f>IFERROR(__xludf.DUMMYFUNCTION("""COMPUTED_VALUE"""),44565.2808617939)</f>
        <v>44565.28086</v>
      </c>
      <c r="D3856" s="15">
        <f>IFERROR(__xludf.DUMMYFUNCTION("""COMPUTED_VALUE"""),1.01)</f>
        <v>1.01</v>
      </c>
      <c r="E3856" s="16">
        <f>IFERROR(__xludf.DUMMYFUNCTION("""COMPUTED_VALUE"""),68.0)</f>
        <v>68</v>
      </c>
      <c r="F3856" s="19" t="str">
        <f>IFERROR(__xludf.DUMMYFUNCTION("""COMPUTED_VALUE"""),"BLACK")</f>
        <v>BLACK</v>
      </c>
      <c r="G3856" s="20" t="str">
        <f>IFERROR(__xludf.DUMMYFUNCTION("""COMPUTED_VALUE"""),"Uncle Sams Cider (11/12/2021) 02")</f>
        <v>Uncle Sams Cider (11/12/2021) 02</v>
      </c>
      <c r="H3856" s="19"/>
    </row>
    <row r="3857">
      <c r="A3857" s="9"/>
      <c r="B3857" s="15"/>
      <c r="C3857" s="9">
        <f>IFERROR(__xludf.DUMMYFUNCTION("""COMPUTED_VALUE"""),44565.2704409606)</f>
        <v>44565.27044</v>
      </c>
      <c r="D3857" s="15">
        <f>IFERROR(__xludf.DUMMYFUNCTION("""COMPUTED_VALUE"""),1.01)</f>
        <v>1.01</v>
      </c>
      <c r="E3857" s="16">
        <f>IFERROR(__xludf.DUMMYFUNCTION("""COMPUTED_VALUE"""),68.0)</f>
        <v>68</v>
      </c>
      <c r="F3857" s="19" t="str">
        <f>IFERROR(__xludf.DUMMYFUNCTION("""COMPUTED_VALUE"""),"BLACK")</f>
        <v>BLACK</v>
      </c>
      <c r="G3857" s="20" t="str">
        <f>IFERROR(__xludf.DUMMYFUNCTION("""COMPUTED_VALUE"""),"Uncle Sams Cider (11/12/2021) 02")</f>
        <v>Uncle Sams Cider (11/12/2021) 02</v>
      </c>
      <c r="H3857" s="19"/>
    </row>
    <row r="3858">
      <c r="A3858" s="9"/>
      <c r="B3858" s="15"/>
      <c r="C3858" s="9">
        <f>IFERROR(__xludf.DUMMYFUNCTION("""COMPUTED_VALUE"""),44565.2600205439)</f>
        <v>44565.26002</v>
      </c>
      <c r="D3858" s="15">
        <f>IFERROR(__xludf.DUMMYFUNCTION("""COMPUTED_VALUE"""),1.01)</f>
        <v>1.01</v>
      </c>
      <c r="E3858" s="16">
        <f>IFERROR(__xludf.DUMMYFUNCTION("""COMPUTED_VALUE"""),68.0)</f>
        <v>68</v>
      </c>
      <c r="F3858" s="19" t="str">
        <f>IFERROR(__xludf.DUMMYFUNCTION("""COMPUTED_VALUE"""),"BLACK")</f>
        <v>BLACK</v>
      </c>
      <c r="G3858" s="20" t="str">
        <f>IFERROR(__xludf.DUMMYFUNCTION("""COMPUTED_VALUE"""),"Uncle Sams Cider (11/12/2021) 02")</f>
        <v>Uncle Sams Cider (11/12/2021) 02</v>
      </c>
      <c r="H3858" s="19"/>
    </row>
    <row r="3859">
      <c r="A3859" s="9"/>
      <c r="B3859" s="15"/>
      <c r="C3859" s="9">
        <f>IFERROR(__xludf.DUMMYFUNCTION("""COMPUTED_VALUE"""),44565.2496020023)</f>
        <v>44565.2496</v>
      </c>
      <c r="D3859" s="15">
        <f>IFERROR(__xludf.DUMMYFUNCTION("""COMPUTED_VALUE"""),1.01)</f>
        <v>1.01</v>
      </c>
      <c r="E3859" s="16">
        <f>IFERROR(__xludf.DUMMYFUNCTION("""COMPUTED_VALUE"""),68.0)</f>
        <v>68</v>
      </c>
      <c r="F3859" s="19" t="str">
        <f>IFERROR(__xludf.DUMMYFUNCTION("""COMPUTED_VALUE"""),"BLACK")</f>
        <v>BLACK</v>
      </c>
      <c r="G3859" s="20" t="str">
        <f>IFERROR(__xludf.DUMMYFUNCTION("""COMPUTED_VALUE"""),"Uncle Sams Cider (11/12/2021) 02")</f>
        <v>Uncle Sams Cider (11/12/2021) 02</v>
      </c>
      <c r="H3859" s="19"/>
    </row>
    <row r="3860">
      <c r="A3860" s="9"/>
      <c r="B3860" s="15"/>
      <c r="C3860" s="9">
        <f>IFERROR(__xludf.DUMMYFUNCTION("""COMPUTED_VALUE"""),44565.2391809375)</f>
        <v>44565.23918</v>
      </c>
      <c r="D3860" s="15">
        <f>IFERROR(__xludf.DUMMYFUNCTION("""COMPUTED_VALUE"""),1.01)</f>
        <v>1.01</v>
      </c>
      <c r="E3860" s="16">
        <f>IFERROR(__xludf.DUMMYFUNCTION("""COMPUTED_VALUE"""),68.0)</f>
        <v>68</v>
      </c>
      <c r="F3860" s="19" t="str">
        <f>IFERROR(__xludf.DUMMYFUNCTION("""COMPUTED_VALUE"""),"BLACK")</f>
        <v>BLACK</v>
      </c>
      <c r="G3860" s="20" t="str">
        <f>IFERROR(__xludf.DUMMYFUNCTION("""COMPUTED_VALUE"""),"Uncle Sams Cider (11/12/2021) 02")</f>
        <v>Uncle Sams Cider (11/12/2021) 02</v>
      </c>
      <c r="H3860" s="19"/>
    </row>
    <row r="3861">
      <c r="A3861" s="9"/>
      <c r="B3861" s="15"/>
      <c r="C3861" s="9">
        <f>IFERROR(__xludf.DUMMYFUNCTION("""COMPUTED_VALUE"""),44565.2287596296)</f>
        <v>44565.22876</v>
      </c>
      <c r="D3861" s="15">
        <f>IFERROR(__xludf.DUMMYFUNCTION("""COMPUTED_VALUE"""),1.01)</f>
        <v>1.01</v>
      </c>
      <c r="E3861" s="16">
        <f>IFERROR(__xludf.DUMMYFUNCTION("""COMPUTED_VALUE"""),68.0)</f>
        <v>68</v>
      </c>
      <c r="F3861" s="19" t="str">
        <f>IFERROR(__xludf.DUMMYFUNCTION("""COMPUTED_VALUE"""),"BLACK")</f>
        <v>BLACK</v>
      </c>
      <c r="G3861" s="20" t="str">
        <f>IFERROR(__xludf.DUMMYFUNCTION("""COMPUTED_VALUE"""),"Uncle Sams Cider (11/12/2021) 02")</f>
        <v>Uncle Sams Cider (11/12/2021) 02</v>
      </c>
      <c r="H3861" s="19"/>
    </row>
    <row r="3862">
      <c r="A3862" s="9"/>
      <c r="B3862" s="15"/>
      <c r="C3862" s="9">
        <f>IFERROR(__xludf.DUMMYFUNCTION("""COMPUTED_VALUE"""),44565.2183384375)</f>
        <v>44565.21834</v>
      </c>
      <c r="D3862" s="15">
        <f>IFERROR(__xludf.DUMMYFUNCTION("""COMPUTED_VALUE"""),1.01)</f>
        <v>1.01</v>
      </c>
      <c r="E3862" s="16">
        <f>IFERROR(__xludf.DUMMYFUNCTION("""COMPUTED_VALUE"""),68.0)</f>
        <v>68</v>
      </c>
      <c r="F3862" s="19" t="str">
        <f>IFERROR(__xludf.DUMMYFUNCTION("""COMPUTED_VALUE"""),"BLACK")</f>
        <v>BLACK</v>
      </c>
      <c r="G3862" s="20" t="str">
        <f>IFERROR(__xludf.DUMMYFUNCTION("""COMPUTED_VALUE"""),"Uncle Sams Cider (11/12/2021) 02")</f>
        <v>Uncle Sams Cider (11/12/2021) 02</v>
      </c>
      <c r="H3862" s="19"/>
    </row>
    <row r="3863">
      <c r="A3863" s="9"/>
      <c r="B3863" s="15"/>
      <c r="C3863" s="9">
        <f>IFERROR(__xludf.DUMMYFUNCTION("""COMPUTED_VALUE"""),44565.2079171412)</f>
        <v>44565.20792</v>
      </c>
      <c r="D3863" s="15">
        <f>IFERROR(__xludf.DUMMYFUNCTION("""COMPUTED_VALUE"""),1.009)</f>
        <v>1.009</v>
      </c>
      <c r="E3863" s="16">
        <f>IFERROR(__xludf.DUMMYFUNCTION("""COMPUTED_VALUE"""),68.0)</f>
        <v>68</v>
      </c>
      <c r="F3863" s="19" t="str">
        <f>IFERROR(__xludf.DUMMYFUNCTION("""COMPUTED_VALUE"""),"BLACK")</f>
        <v>BLACK</v>
      </c>
      <c r="G3863" s="20" t="str">
        <f>IFERROR(__xludf.DUMMYFUNCTION("""COMPUTED_VALUE"""),"Uncle Sams Cider (11/12/2021) 02")</f>
        <v>Uncle Sams Cider (11/12/2021) 02</v>
      </c>
      <c r="H3863" s="19"/>
    </row>
    <row r="3864">
      <c r="A3864" s="9"/>
      <c r="B3864" s="15"/>
      <c r="C3864" s="9">
        <f>IFERROR(__xludf.DUMMYFUNCTION("""COMPUTED_VALUE"""),44565.1974842013)</f>
        <v>44565.19748</v>
      </c>
      <c r="D3864" s="15">
        <f>IFERROR(__xludf.DUMMYFUNCTION("""COMPUTED_VALUE"""),1.01)</f>
        <v>1.01</v>
      </c>
      <c r="E3864" s="16">
        <f>IFERROR(__xludf.DUMMYFUNCTION("""COMPUTED_VALUE"""),68.0)</f>
        <v>68</v>
      </c>
      <c r="F3864" s="19" t="str">
        <f>IFERROR(__xludf.DUMMYFUNCTION("""COMPUTED_VALUE"""),"BLACK")</f>
        <v>BLACK</v>
      </c>
      <c r="G3864" s="20" t="str">
        <f>IFERROR(__xludf.DUMMYFUNCTION("""COMPUTED_VALUE"""),"Uncle Sams Cider (11/12/2021) 02")</f>
        <v>Uncle Sams Cider (11/12/2021) 02</v>
      </c>
      <c r="H3864" s="19"/>
    </row>
    <row r="3865">
      <c r="A3865" s="9"/>
      <c r="B3865" s="15"/>
      <c r="C3865" s="9">
        <f>IFERROR(__xludf.DUMMYFUNCTION("""COMPUTED_VALUE"""),44565.1869941666)</f>
        <v>44565.18699</v>
      </c>
      <c r="D3865" s="15">
        <f>IFERROR(__xludf.DUMMYFUNCTION("""COMPUTED_VALUE"""),1.01)</f>
        <v>1.01</v>
      </c>
      <c r="E3865" s="16">
        <f>IFERROR(__xludf.DUMMYFUNCTION("""COMPUTED_VALUE"""),67.0)</f>
        <v>67</v>
      </c>
      <c r="F3865" s="19" t="str">
        <f>IFERROR(__xludf.DUMMYFUNCTION("""COMPUTED_VALUE"""),"BLACK")</f>
        <v>BLACK</v>
      </c>
      <c r="G3865" s="20" t="str">
        <f>IFERROR(__xludf.DUMMYFUNCTION("""COMPUTED_VALUE"""),"Uncle Sams Cider (11/12/2021) 02")</f>
        <v>Uncle Sams Cider (11/12/2021) 02</v>
      </c>
      <c r="H3865" s="19"/>
    </row>
    <row r="3866">
      <c r="A3866" s="9"/>
      <c r="B3866" s="15"/>
      <c r="C3866" s="9">
        <f>IFERROR(__xludf.DUMMYFUNCTION("""COMPUTED_VALUE"""),44565.1765505555)</f>
        <v>44565.17655</v>
      </c>
      <c r="D3866" s="15">
        <f>IFERROR(__xludf.DUMMYFUNCTION("""COMPUTED_VALUE"""),1.01)</f>
        <v>1.01</v>
      </c>
      <c r="E3866" s="16">
        <f>IFERROR(__xludf.DUMMYFUNCTION("""COMPUTED_VALUE"""),67.0)</f>
        <v>67</v>
      </c>
      <c r="F3866" s="19" t="str">
        <f>IFERROR(__xludf.DUMMYFUNCTION("""COMPUTED_VALUE"""),"BLACK")</f>
        <v>BLACK</v>
      </c>
      <c r="G3866" s="20" t="str">
        <f>IFERROR(__xludf.DUMMYFUNCTION("""COMPUTED_VALUE"""),"Uncle Sams Cider (11/12/2021) 02")</f>
        <v>Uncle Sams Cider (11/12/2021) 02</v>
      </c>
      <c r="H3866" s="19"/>
    </row>
    <row r="3867">
      <c r="A3867" s="9"/>
      <c r="B3867" s="15"/>
      <c r="C3867" s="9">
        <f>IFERROR(__xludf.DUMMYFUNCTION("""COMPUTED_VALUE"""),44565.1660933217)</f>
        <v>44565.16609</v>
      </c>
      <c r="D3867" s="15">
        <f>IFERROR(__xludf.DUMMYFUNCTION("""COMPUTED_VALUE"""),1.01)</f>
        <v>1.01</v>
      </c>
      <c r="E3867" s="16">
        <f>IFERROR(__xludf.DUMMYFUNCTION("""COMPUTED_VALUE"""),67.0)</f>
        <v>67</v>
      </c>
      <c r="F3867" s="19" t="str">
        <f>IFERROR(__xludf.DUMMYFUNCTION("""COMPUTED_VALUE"""),"BLACK")</f>
        <v>BLACK</v>
      </c>
      <c r="G3867" s="20" t="str">
        <f>IFERROR(__xludf.DUMMYFUNCTION("""COMPUTED_VALUE"""),"Uncle Sams Cider (11/12/2021) 02")</f>
        <v>Uncle Sams Cider (11/12/2021) 02</v>
      </c>
      <c r="H3867" s="19"/>
    </row>
    <row r="3868">
      <c r="A3868" s="9"/>
      <c r="B3868" s="15"/>
      <c r="C3868" s="9">
        <f>IFERROR(__xludf.DUMMYFUNCTION("""COMPUTED_VALUE"""),44565.1556719212)</f>
        <v>44565.15567</v>
      </c>
      <c r="D3868" s="15">
        <f>IFERROR(__xludf.DUMMYFUNCTION("""COMPUTED_VALUE"""),1.01)</f>
        <v>1.01</v>
      </c>
      <c r="E3868" s="16">
        <f>IFERROR(__xludf.DUMMYFUNCTION("""COMPUTED_VALUE"""),66.0)</f>
        <v>66</v>
      </c>
      <c r="F3868" s="19" t="str">
        <f>IFERROR(__xludf.DUMMYFUNCTION("""COMPUTED_VALUE"""),"BLACK")</f>
        <v>BLACK</v>
      </c>
      <c r="G3868" s="20" t="str">
        <f>IFERROR(__xludf.DUMMYFUNCTION("""COMPUTED_VALUE"""),"Uncle Sams Cider (11/12/2021) 02")</f>
        <v>Uncle Sams Cider (11/12/2021) 02</v>
      </c>
      <c r="H3868" s="19"/>
    </row>
    <row r="3869">
      <c r="A3869" s="9"/>
      <c r="B3869" s="15"/>
      <c r="C3869" s="9">
        <f>IFERROR(__xludf.DUMMYFUNCTION("""COMPUTED_VALUE"""),44565.1452393518)</f>
        <v>44565.14524</v>
      </c>
      <c r="D3869" s="15">
        <f>IFERROR(__xludf.DUMMYFUNCTION("""COMPUTED_VALUE"""),1.01)</f>
        <v>1.01</v>
      </c>
      <c r="E3869" s="16">
        <f>IFERROR(__xludf.DUMMYFUNCTION("""COMPUTED_VALUE"""),66.0)</f>
        <v>66</v>
      </c>
      <c r="F3869" s="19" t="str">
        <f>IFERROR(__xludf.DUMMYFUNCTION("""COMPUTED_VALUE"""),"BLACK")</f>
        <v>BLACK</v>
      </c>
      <c r="G3869" s="20" t="str">
        <f>IFERROR(__xludf.DUMMYFUNCTION("""COMPUTED_VALUE"""),"Uncle Sams Cider (11/12/2021) 02")</f>
        <v>Uncle Sams Cider (11/12/2021) 02</v>
      </c>
      <c r="H3869" s="19"/>
    </row>
    <row r="3870">
      <c r="A3870" s="9"/>
      <c r="B3870" s="15"/>
      <c r="C3870" s="9">
        <f>IFERROR(__xludf.DUMMYFUNCTION("""COMPUTED_VALUE"""),44565.1347964351)</f>
        <v>44565.1348</v>
      </c>
      <c r="D3870" s="15">
        <f>IFERROR(__xludf.DUMMYFUNCTION("""COMPUTED_VALUE"""),1.01)</f>
        <v>1.01</v>
      </c>
      <c r="E3870" s="16">
        <f>IFERROR(__xludf.DUMMYFUNCTION("""COMPUTED_VALUE"""),65.0)</f>
        <v>65</v>
      </c>
      <c r="F3870" s="19" t="str">
        <f>IFERROR(__xludf.DUMMYFUNCTION("""COMPUTED_VALUE"""),"BLACK")</f>
        <v>BLACK</v>
      </c>
      <c r="G3870" s="20" t="str">
        <f>IFERROR(__xludf.DUMMYFUNCTION("""COMPUTED_VALUE"""),"Uncle Sams Cider (11/12/2021) 02")</f>
        <v>Uncle Sams Cider (11/12/2021) 02</v>
      </c>
      <c r="H3870" s="19"/>
    </row>
    <row r="3871">
      <c r="A3871" s="9"/>
      <c r="B3871" s="15"/>
      <c r="C3871" s="9">
        <f>IFERROR(__xludf.DUMMYFUNCTION("""COMPUTED_VALUE"""),44565.1243744791)</f>
        <v>44565.12437</v>
      </c>
      <c r="D3871" s="15">
        <f>IFERROR(__xludf.DUMMYFUNCTION("""COMPUTED_VALUE"""),1.01)</f>
        <v>1.01</v>
      </c>
      <c r="E3871" s="16">
        <f>IFERROR(__xludf.DUMMYFUNCTION("""COMPUTED_VALUE"""),65.0)</f>
        <v>65</v>
      </c>
      <c r="F3871" s="19" t="str">
        <f>IFERROR(__xludf.DUMMYFUNCTION("""COMPUTED_VALUE"""),"BLACK")</f>
        <v>BLACK</v>
      </c>
      <c r="G3871" s="20" t="str">
        <f>IFERROR(__xludf.DUMMYFUNCTION("""COMPUTED_VALUE"""),"Uncle Sams Cider (11/12/2021) 02")</f>
        <v>Uncle Sams Cider (11/12/2021) 02</v>
      </c>
      <c r="H3871" s="19"/>
    </row>
    <row r="3872">
      <c r="A3872" s="9"/>
      <c r="B3872" s="15"/>
      <c r="C3872" s="9">
        <f>IFERROR(__xludf.DUMMYFUNCTION("""COMPUTED_VALUE"""),44565.1139553935)</f>
        <v>44565.11396</v>
      </c>
      <c r="D3872" s="15">
        <f>IFERROR(__xludf.DUMMYFUNCTION("""COMPUTED_VALUE"""),1.01)</f>
        <v>1.01</v>
      </c>
      <c r="E3872" s="16">
        <f>IFERROR(__xludf.DUMMYFUNCTION("""COMPUTED_VALUE"""),65.0)</f>
        <v>65</v>
      </c>
      <c r="F3872" s="19" t="str">
        <f>IFERROR(__xludf.DUMMYFUNCTION("""COMPUTED_VALUE"""),"BLACK")</f>
        <v>BLACK</v>
      </c>
      <c r="G3872" s="20" t="str">
        <f>IFERROR(__xludf.DUMMYFUNCTION("""COMPUTED_VALUE"""),"Uncle Sams Cider (11/12/2021) 02")</f>
        <v>Uncle Sams Cider (11/12/2021) 02</v>
      </c>
      <c r="H3872" s="19"/>
    </row>
    <row r="3873">
      <c r="A3873" s="9"/>
      <c r="B3873" s="15"/>
      <c r="C3873" s="9">
        <f>IFERROR(__xludf.DUMMYFUNCTION("""COMPUTED_VALUE"""),44565.1035344675)</f>
        <v>44565.10353</v>
      </c>
      <c r="D3873" s="15">
        <f>IFERROR(__xludf.DUMMYFUNCTION("""COMPUTED_VALUE"""),1.01)</f>
        <v>1.01</v>
      </c>
      <c r="E3873" s="16">
        <f>IFERROR(__xludf.DUMMYFUNCTION("""COMPUTED_VALUE"""),64.0)</f>
        <v>64</v>
      </c>
      <c r="F3873" s="19" t="str">
        <f>IFERROR(__xludf.DUMMYFUNCTION("""COMPUTED_VALUE"""),"BLACK")</f>
        <v>BLACK</v>
      </c>
      <c r="G3873" s="20" t="str">
        <f>IFERROR(__xludf.DUMMYFUNCTION("""COMPUTED_VALUE"""),"Uncle Sams Cider (11/12/2021) 02")</f>
        <v>Uncle Sams Cider (11/12/2021) 02</v>
      </c>
      <c r="H3873" s="19"/>
    </row>
    <row r="3874">
      <c r="A3874" s="9"/>
      <c r="B3874" s="15"/>
      <c r="C3874" s="9">
        <f>IFERROR(__xludf.DUMMYFUNCTION("""COMPUTED_VALUE"""),44565.0931021412)</f>
        <v>44565.0931</v>
      </c>
      <c r="D3874" s="15">
        <f>IFERROR(__xludf.DUMMYFUNCTION("""COMPUTED_VALUE"""),1.01)</f>
        <v>1.01</v>
      </c>
      <c r="E3874" s="16">
        <f>IFERROR(__xludf.DUMMYFUNCTION("""COMPUTED_VALUE"""),64.0)</f>
        <v>64</v>
      </c>
      <c r="F3874" s="19" t="str">
        <f>IFERROR(__xludf.DUMMYFUNCTION("""COMPUTED_VALUE"""),"BLACK")</f>
        <v>BLACK</v>
      </c>
      <c r="G3874" s="20" t="str">
        <f>IFERROR(__xludf.DUMMYFUNCTION("""COMPUTED_VALUE"""),"Uncle Sams Cider (11/12/2021) 02")</f>
        <v>Uncle Sams Cider (11/12/2021) 02</v>
      </c>
      <c r="H3874" s="19"/>
    </row>
    <row r="3875">
      <c r="A3875" s="9"/>
      <c r="B3875" s="15"/>
      <c r="C3875" s="9">
        <f>IFERROR(__xludf.DUMMYFUNCTION("""COMPUTED_VALUE"""),44565.0826687152)</f>
        <v>44565.08267</v>
      </c>
      <c r="D3875" s="15">
        <f>IFERROR(__xludf.DUMMYFUNCTION("""COMPUTED_VALUE"""),1.011)</f>
        <v>1.011</v>
      </c>
      <c r="E3875" s="16">
        <f>IFERROR(__xludf.DUMMYFUNCTION("""COMPUTED_VALUE"""),63.0)</f>
        <v>63</v>
      </c>
      <c r="F3875" s="19" t="str">
        <f>IFERROR(__xludf.DUMMYFUNCTION("""COMPUTED_VALUE"""),"BLACK")</f>
        <v>BLACK</v>
      </c>
      <c r="G3875" s="20" t="str">
        <f>IFERROR(__xludf.DUMMYFUNCTION("""COMPUTED_VALUE"""),"Uncle Sams Cider (11/12/2021) 02")</f>
        <v>Uncle Sams Cider (11/12/2021) 02</v>
      </c>
      <c r="H3875" s="19"/>
    </row>
    <row r="3876">
      <c r="A3876" s="9"/>
      <c r="B3876" s="15"/>
      <c r="C3876" s="9">
        <f>IFERROR(__xludf.DUMMYFUNCTION("""COMPUTED_VALUE"""),44565.0722238425)</f>
        <v>44565.07222</v>
      </c>
      <c r="D3876" s="15">
        <f>IFERROR(__xludf.DUMMYFUNCTION("""COMPUTED_VALUE"""),1.01)</f>
        <v>1.01</v>
      </c>
      <c r="E3876" s="16">
        <f>IFERROR(__xludf.DUMMYFUNCTION("""COMPUTED_VALUE"""),63.0)</f>
        <v>63</v>
      </c>
      <c r="F3876" s="19" t="str">
        <f>IFERROR(__xludf.DUMMYFUNCTION("""COMPUTED_VALUE"""),"BLACK")</f>
        <v>BLACK</v>
      </c>
      <c r="G3876" s="20" t="str">
        <f>IFERROR(__xludf.DUMMYFUNCTION("""COMPUTED_VALUE"""),"Uncle Sams Cider (11/12/2021) 02")</f>
        <v>Uncle Sams Cider (11/12/2021) 02</v>
      </c>
      <c r="H3876" s="19"/>
    </row>
    <row r="3877">
      <c r="A3877" s="9"/>
      <c r="B3877" s="15"/>
      <c r="C3877" s="9">
        <f>IFERROR(__xludf.DUMMYFUNCTION("""COMPUTED_VALUE"""),44565.0618022453)</f>
        <v>44565.0618</v>
      </c>
      <c r="D3877" s="15">
        <f>IFERROR(__xludf.DUMMYFUNCTION("""COMPUTED_VALUE"""),1.011)</f>
        <v>1.011</v>
      </c>
      <c r="E3877" s="16">
        <f>IFERROR(__xludf.DUMMYFUNCTION("""COMPUTED_VALUE"""),63.0)</f>
        <v>63</v>
      </c>
      <c r="F3877" s="19" t="str">
        <f>IFERROR(__xludf.DUMMYFUNCTION("""COMPUTED_VALUE"""),"BLACK")</f>
        <v>BLACK</v>
      </c>
      <c r="G3877" s="20" t="str">
        <f>IFERROR(__xludf.DUMMYFUNCTION("""COMPUTED_VALUE"""),"Uncle Sams Cider (11/12/2021) 02")</f>
        <v>Uncle Sams Cider (11/12/2021) 02</v>
      </c>
      <c r="H3877" s="19"/>
    </row>
    <row r="3878">
      <c r="A3878" s="9"/>
      <c r="B3878" s="15"/>
      <c r="C3878" s="9">
        <f>IFERROR(__xludf.DUMMYFUNCTION("""COMPUTED_VALUE"""),44565.0513822222)</f>
        <v>44565.05138</v>
      </c>
      <c r="D3878" s="15">
        <f>IFERROR(__xludf.DUMMYFUNCTION("""COMPUTED_VALUE"""),1.011)</f>
        <v>1.011</v>
      </c>
      <c r="E3878" s="16">
        <f>IFERROR(__xludf.DUMMYFUNCTION("""COMPUTED_VALUE"""),63.0)</f>
        <v>63</v>
      </c>
      <c r="F3878" s="19" t="str">
        <f>IFERROR(__xludf.DUMMYFUNCTION("""COMPUTED_VALUE"""),"BLACK")</f>
        <v>BLACK</v>
      </c>
      <c r="G3878" s="20" t="str">
        <f>IFERROR(__xludf.DUMMYFUNCTION("""COMPUTED_VALUE"""),"Uncle Sams Cider (11/12/2021) 02")</f>
        <v>Uncle Sams Cider (11/12/2021) 02</v>
      </c>
      <c r="H3878" s="19"/>
    </row>
    <row r="3879">
      <c r="A3879" s="9"/>
      <c r="B3879" s="15"/>
      <c r="C3879" s="9">
        <f>IFERROR(__xludf.DUMMYFUNCTION("""COMPUTED_VALUE"""),44565.0409371296)</f>
        <v>44565.04094</v>
      </c>
      <c r="D3879" s="15">
        <f>IFERROR(__xludf.DUMMYFUNCTION("""COMPUTED_VALUE"""),1.01)</f>
        <v>1.01</v>
      </c>
      <c r="E3879" s="16">
        <f>IFERROR(__xludf.DUMMYFUNCTION("""COMPUTED_VALUE"""),63.0)</f>
        <v>63</v>
      </c>
      <c r="F3879" s="19" t="str">
        <f>IFERROR(__xludf.DUMMYFUNCTION("""COMPUTED_VALUE"""),"BLACK")</f>
        <v>BLACK</v>
      </c>
      <c r="G3879" s="20" t="str">
        <f>IFERROR(__xludf.DUMMYFUNCTION("""COMPUTED_VALUE"""),"Uncle Sams Cider (11/12/2021) 02")</f>
        <v>Uncle Sams Cider (11/12/2021) 02</v>
      </c>
      <c r="H3879" s="19"/>
    </row>
    <row r="3880">
      <c r="A3880" s="9"/>
      <c r="B3880" s="15"/>
      <c r="C3880" s="9">
        <f>IFERROR(__xludf.DUMMYFUNCTION("""COMPUTED_VALUE"""),44565.0304914351)</f>
        <v>44565.03049</v>
      </c>
      <c r="D3880" s="15">
        <f>IFERROR(__xludf.DUMMYFUNCTION("""COMPUTED_VALUE"""),1.011)</f>
        <v>1.011</v>
      </c>
      <c r="E3880" s="16">
        <f>IFERROR(__xludf.DUMMYFUNCTION("""COMPUTED_VALUE"""),63.0)</f>
        <v>63</v>
      </c>
      <c r="F3880" s="19" t="str">
        <f>IFERROR(__xludf.DUMMYFUNCTION("""COMPUTED_VALUE"""),"BLACK")</f>
        <v>BLACK</v>
      </c>
      <c r="G3880" s="20" t="str">
        <f>IFERROR(__xludf.DUMMYFUNCTION("""COMPUTED_VALUE"""),"Uncle Sams Cider (11/12/2021) 02")</f>
        <v>Uncle Sams Cider (11/12/2021) 02</v>
      </c>
      <c r="H3880" s="19"/>
    </row>
    <row r="3881">
      <c r="A3881" s="9"/>
      <c r="B3881" s="15"/>
      <c r="C3881" s="9">
        <f>IFERROR(__xludf.DUMMYFUNCTION("""COMPUTED_VALUE"""),44565.0200708796)</f>
        <v>44565.02007</v>
      </c>
      <c r="D3881" s="15">
        <f>IFERROR(__xludf.DUMMYFUNCTION("""COMPUTED_VALUE"""),1.01)</f>
        <v>1.01</v>
      </c>
      <c r="E3881" s="16">
        <f>IFERROR(__xludf.DUMMYFUNCTION("""COMPUTED_VALUE"""),63.0)</f>
        <v>63</v>
      </c>
      <c r="F3881" s="19" t="str">
        <f>IFERROR(__xludf.DUMMYFUNCTION("""COMPUTED_VALUE"""),"BLACK")</f>
        <v>BLACK</v>
      </c>
      <c r="G3881" s="20" t="str">
        <f>IFERROR(__xludf.DUMMYFUNCTION("""COMPUTED_VALUE"""),"Uncle Sams Cider (11/12/2021) 02")</f>
        <v>Uncle Sams Cider (11/12/2021) 02</v>
      </c>
      <c r="H3881" s="19"/>
    </row>
    <row r="3882">
      <c r="A3882" s="9"/>
      <c r="B3882" s="15"/>
      <c r="C3882" s="9">
        <f>IFERROR(__xludf.DUMMYFUNCTION("""COMPUTED_VALUE"""),44565.0096500694)</f>
        <v>44565.00965</v>
      </c>
      <c r="D3882" s="15">
        <f>IFERROR(__xludf.DUMMYFUNCTION("""COMPUTED_VALUE"""),1.011)</f>
        <v>1.011</v>
      </c>
      <c r="E3882" s="16">
        <f>IFERROR(__xludf.DUMMYFUNCTION("""COMPUTED_VALUE"""),63.0)</f>
        <v>63</v>
      </c>
      <c r="F3882" s="19" t="str">
        <f>IFERROR(__xludf.DUMMYFUNCTION("""COMPUTED_VALUE"""),"BLACK")</f>
        <v>BLACK</v>
      </c>
      <c r="G3882" s="20" t="str">
        <f>IFERROR(__xludf.DUMMYFUNCTION("""COMPUTED_VALUE"""),"Uncle Sams Cider (11/12/2021) 02")</f>
        <v>Uncle Sams Cider (11/12/2021) 02</v>
      </c>
      <c r="H3882" s="19"/>
    </row>
    <row r="3883">
      <c r="A3883" s="9"/>
      <c r="B3883" s="15"/>
      <c r="C3883" s="9">
        <f>IFERROR(__xludf.DUMMYFUNCTION("""COMPUTED_VALUE"""),44564.999229375)</f>
        <v>44564.99923</v>
      </c>
      <c r="D3883" s="15">
        <f>IFERROR(__xludf.DUMMYFUNCTION("""COMPUTED_VALUE"""),1.011)</f>
        <v>1.011</v>
      </c>
      <c r="E3883" s="16">
        <f>IFERROR(__xludf.DUMMYFUNCTION("""COMPUTED_VALUE"""),63.0)</f>
        <v>63</v>
      </c>
      <c r="F3883" s="19" t="str">
        <f>IFERROR(__xludf.DUMMYFUNCTION("""COMPUTED_VALUE"""),"BLACK")</f>
        <v>BLACK</v>
      </c>
      <c r="G3883" s="20" t="str">
        <f>IFERROR(__xludf.DUMMYFUNCTION("""COMPUTED_VALUE"""),"Uncle Sams Cider (11/12/2021) 02")</f>
        <v>Uncle Sams Cider (11/12/2021) 02</v>
      </c>
      <c r="H3883" s="19"/>
    </row>
    <row r="3884">
      <c r="A3884" s="9"/>
      <c r="B3884" s="15"/>
      <c r="C3884" s="9">
        <f>IFERROR(__xludf.DUMMYFUNCTION("""COMPUTED_VALUE"""),44564.9888072222)</f>
        <v>44564.98881</v>
      </c>
      <c r="D3884" s="15">
        <f>IFERROR(__xludf.DUMMYFUNCTION("""COMPUTED_VALUE"""),1.01)</f>
        <v>1.01</v>
      </c>
      <c r="E3884" s="16">
        <f>IFERROR(__xludf.DUMMYFUNCTION("""COMPUTED_VALUE"""),63.0)</f>
        <v>63</v>
      </c>
      <c r="F3884" s="19" t="str">
        <f>IFERROR(__xludf.DUMMYFUNCTION("""COMPUTED_VALUE"""),"BLACK")</f>
        <v>BLACK</v>
      </c>
      <c r="G3884" s="20" t="str">
        <f>IFERROR(__xludf.DUMMYFUNCTION("""COMPUTED_VALUE"""),"Uncle Sams Cider (11/12/2021) 02")</f>
        <v>Uncle Sams Cider (11/12/2021) 02</v>
      </c>
      <c r="H3884" s="19"/>
    </row>
    <row r="3885">
      <c r="A3885" s="9"/>
      <c r="B3885" s="15"/>
      <c r="C3885" s="9">
        <f>IFERROR(__xludf.DUMMYFUNCTION("""COMPUTED_VALUE"""),44564.9783616087)</f>
        <v>44564.97836</v>
      </c>
      <c r="D3885" s="15">
        <f>IFERROR(__xludf.DUMMYFUNCTION("""COMPUTED_VALUE"""),1.01)</f>
        <v>1.01</v>
      </c>
      <c r="E3885" s="16">
        <f>IFERROR(__xludf.DUMMYFUNCTION("""COMPUTED_VALUE"""),63.0)</f>
        <v>63</v>
      </c>
      <c r="F3885" s="19" t="str">
        <f>IFERROR(__xludf.DUMMYFUNCTION("""COMPUTED_VALUE"""),"BLACK")</f>
        <v>BLACK</v>
      </c>
      <c r="G3885" s="20" t="str">
        <f>IFERROR(__xludf.DUMMYFUNCTION("""COMPUTED_VALUE"""),"Uncle Sams Cider (11/12/2021) 02")</f>
        <v>Uncle Sams Cider (11/12/2021) 02</v>
      </c>
      <c r="H3885" s="19"/>
    </row>
    <row r="3886">
      <c r="A3886" s="9"/>
      <c r="B3886" s="15"/>
      <c r="C3886" s="9">
        <f>IFERROR(__xludf.DUMMYFUNCTION("""COMPUTED_VALUE"""),44564.967917581)</f>
        <v>44564.96792</v>
      </c>
      <c r="D3886" s="15">
        <f>IFERROR(__xludf.DUMMYFUNCTION("""COMPUTED_VALUE"""),1.01)</f>
        <v>1.01</v>
      </c>
      <c r="E3886" s="16">
        <f>IFERROR(__xludf.DUMMYFUNCTION("""COMPUTED_VALUE"""),63.0)</f>
        <v>63</v>
      </c>
      <c r="F3886" s="19" t="str">
        <f>IFERROR(__xludf.DUMMYFUNCTION("""COMPUTED_VALUE"""),"BLACK")</f>
        <v>BLACK</v>
      </c>
      <c r="G3886" s="20" t="str">
        <f>IFERROR(__xludf.DUMMYFUNCTION("""COMPUTED_VALUE"""),"Uncle Sams Cider (11/12/2021) 02")</f>
        <v>Uncle Sams Cider (11/12/2021) 02</v>
      </c>
      <c r="H3886" s="19"/>
    </row>
    <row r="3887">
      <c r="A3887" s="9"/>
      <c r="B3887" s="15"/>
      <c r="C3887" s="9">
        <f>IFERROR(__xludf.DUMMYFUNCTION("""COMPUTED_VALUE"""),44564.9574960416)</f>
        <v>44564.9575</v>
      </c>
      <c r="D3887" s="15">
        <f>IFERROR(__xludf.DUMMYFUNCTION("""COMPUTED_VALUE"""),1.01)</f>
        <v>1.01</v>
      </c>
      <c r="E3887" s="16">
        <f>IFERROR(__xludf.DUMMYFUNCTION("""COMPUTED_VALUE"""),63.0)</f>
        <v>63</v>
      </c>
      <c r="F3887" s="19" t="str">
        <f>IFERROR(__xludf.DUMMYFUNCTION("""COMPUTED_VALUE"""),"BLACK")</f>
        <v>BLACK</v>
      </c>
      <c r="G3887" s="20" t="str">
        <f>IFERROR(__xludf.DUMMYFUNCTION("""COMPUTED_VALUE"""),"Uncle Sams Cider (11/12/2021) 02")</f>
        <v>Uncle Sams Cider (11/12/2021) 02</v>
      </c>
      <c r="H3887" s="19"/>
    </row>
    <row r="3888">
      <c r="A3888" s="9"/>
      <c r="B3888" s="15"/>
      <c r="C3888" s="9">
        <f>IFERROR(__xludf.DUMMYFUNCTION("""COMPUTED_VALUE"""),44564.9470768634)</f>
        <v>44564.94708</v>
      </c>
      <c r="D3888" s="15">
        <f>IFERROR(__xludf.DUMMYFUNCTION("""COMPUTED_VALUE"""),1.011)</f>
        <v>1.011</v>
      </c>
      <c r="E3888" s="16">
        <f>IFERROR(__xludf.DUMMYFUNCTION("""COMPUTED_VALUE"""),63.0)</f>
        <v>63</v>
      </c>
      <c r="F3888" s="19" t="str">
        <f>IFERROR(__xludf.DUMMYFUNCTION("""COMPUTED_VALUE"""),"BLACK")</f>
        <v>BLACK</v>
      </c>
      <c r="G3888" s="20" t="str">
        <f>IFERROR(__xludf.DUMMYFUNCTION("""COMPUTED_VALUE"""),"Uncle Sams Cider (11/12/2021) 02")</f>
        <v>Uncle Sams Cider (11/12/2021) 02</v>
      </c>
      <c r="H3888" s="19"/>
    </row>
    <row r="3889">
      <c r="A3889" s="9"/>
      <c r="B3889" s="15"/>
      <c r="C3889" s="9">
        <f>IFERROR(__xludf.DUMMYFUNCTION("""COMPUTED_VALUE"""),44564.9366573263)</f>
        <v>44564.93666</v>
      </c>
      <c r="D3889" s="15">
        <f>IFERROR(__xludf.DUMMYFUNCTION("""COMPUTED_VALUE"""),1.01)</f>
        <v>1.01</v>
      </c>
      <c r="E3889" s="16">
        <f>IFERROR(__xludf.DUMMYFUNCTION("""COMPUTED_VALUE"""),63.0)</f>
        <v>63</v>
      </c>
      <c r="F3889" s="19" t="str">
        <f>IFERROR(__xludf.DUMMYFUNCTION("""COMPUTED_VALUE"""),"BLACK")</f>
        <v>BLACK</v>
      </c>
      <c r="G3889" s="20" t="str">
        <f>IFERROR(__xludf.DUMMYFUNCTION("""COMPUTED_VALUE"""),"Uncle Sams Cider (11/12/2021) 02")</f>
        <v>Uncle Sams Cider (11/12/2021) 02</v>
      </c>
      <c r="H3889" s="19"/>
    </row>
    <row r="3890">
      <c r="A3890" s="9"/>
      <c r="B3890" s="15"/>
      <c r="C3890" s="9">
        <f>IFERROR(__xludf.DUMMYFUNCTION("""COMPUTED_VALUE"""),44564.9262363541)</f>
        <v>44564.92624</v>
      </c>
      <c r="D3890" s="15">
        <f>IFERROR(__xludf.DUMMYFUNCTION("""COMPUTED_VALUE"""),1.01)</f>
        <v>1.01</v>
      </c>
      <c r="E3890" s="16">
        <f>IFERROR(__xludf.DUMMYFUNCTION("""COMPUTED_VALUE"""),63.0)</f>
        <v>63</v>
      </c>
      <c r="F3890" s="19" t="str">
        <f>IFERROR(__xludf.DUMMYFUNCTION("""COMPUTED_VALUE"""),"BLACK")</f>
        <v>BLACK</v>
      </c>
      <c r="G3890" s="20" t="str">
        <f>IFERROR(__xludf.DUMMYFUNCTION("""COMPUTED_VALUE"""),"Uncle Sams Cider (11/12/2021) 02")</f>
        <v>Uncle Sams Cider (11/12/2021) 02</v>
      </c>
      <c r="H3890" s="19"/>
    </row>
    <row r="3891">
      <c r="A3891" s="9"/>
      <c r="B3891" s="15"/>
      <c r="C3891" s="9">
        <f>IFERROR(__xludf.DUMMYFUNCTION("""COMPUTED_VALUE"""),44564.9158040625)</f>
        <v>44564.9158</v>
      </c>
      <c r="D3891" s="15">
        <f>IFERROR(__xludf.DUMMYFUNCTION("""COMPUTED_VALUE"""),1.01)</f>
        <v>1.01</v>
      </c>
      <c r="E3891" s="16">
        <f>IFERROR(__xludf.DUMMYFUNCTION("""COMPUTED_VALUE"""),63.0)</f>
        <v>63</v>
      </c>
      <c r="F3891" s="19" t="str">
        <f>IFERROR(__xludf.DUMMYFUNCTION("""COMPUTED_VALUE"""),"BLACK")</f>
        <v>BLACK</v>
      </c>
      <c r="G3891" s="20" t="str">
        <f>IFERROR(__xludf.DUMMYFUNCTION("""COMPUTED_VALUE"""),"Uncle Sams Cider (11/12/2021) 02")</f>
        <v>Uncle Sams Cider (11/12/2021) 02</v>
      </c>
      <c r="H3891" s="19"/>
    </row>
    <row r="3892">
      <c r="A3892" s="9"/>
      <c r="B3892" s="15"/>
      <c r="C3892" s="9">
        <f>IFERROR(__xludf.DUMMYFUNCTION("""COMPUTED_VALUE"""),44564.9053842129)</f>
        <v>44564.90538</v>
      </c>
      <c r="D3892" s="15">
        <f>IFERROR(__xludf.DUMMYFUNCTION("""COMPUTED_VALUE"""),1.011)</f>
        <v>1.011</v>
      </c>
      <c r="E3892" s="16">
        <f>IFERROR(__xludf.DUMMYFUNCTION("""COMPUTED_VALUE"""),63.0)</f>
        <v>63</v>
      </c>
      <c r="F3892" s="19" t="str">
        <f>IFERROR(__xludf.DUMMYFUNCTION("""COMPUTED_VALUE"""),"BLACK")</f>
        <v>BLACK</v>
      </c>
      <c r="G3892" s="20" t="str">
        <f>IFERROR(__xludf.DUMMYFUNCTION("""COMPUTED_VALUE"""),"Uncle Sams Cider (11/12/2021) 02")</f>
        <v>Uncle Sams Cider (11/12/2021) 02</v>
      </c>
      <c r="H3892" s="19"/>
    </row>
    <row r="3893">
      <c r="A3893" s="9"/>
      <c r="B3893" s="15"/>
      <c r="C3893" s="9">
        <f>IFERROR(__xludf.DUMMYFUNCTION("""COMPUTED_VALUE"""),44564.8949509143)</f>
        <v>44564.89495</v>
      </c>
      <c r="D3893" s="15">
        <f>IFERROR(__xludf.DUMMYFUNCTION("""COMPUTED_VALUE"""),1.01)</f>
        <v>1.01</v>
      </c>
      <c r="E3893" s="16">
        <f>IFERROR(__xludf.DUMMYFUNCTION("""COMPUTED_VALUE"""),63.0)</f>
        <v>63</v>
      </c>
      <c r="F3893" s="19" t="str">
        <f>IFERROR(__xludf.DUMMYFUNCTION("""COMPUTED_VALUE"""),"BLACK")</f>
        <v>BLACK</v>
      </c>
      <c r="G3893" s="20" t="str">
        <f>IFERROR(__xludf.DUMMYFUNCTION("""COMPUTED_VALUE"""),"Uncle Sams Cider (11/12/2021) 02")</f>
        <v>Uncle Sams Cider (11/12/2021) 02</v>
      </c>
      <c r="H3893" s="19"/>
    </row>
    <row r="3894">
      <c r="A3894" s="9"/>
      <c r="B3894" s="15"/>
      <c r="C3894" s="9">
        <f>IFERROR(__xludf.DUMMYFUNCTION("""COMPUTED_VALUE"""),44564.8845293287)</f>
        <v>44564.88453</v>
      </c>
      <c r="D3894" s="15">
        <f>IFERROR(__xludf.DUMMYFUNCTION("""COMPUTED_VALUE"""),1.01)</f>
        <v>1.01</v>
      </c>
      <c r="E3894" s="16">
        <f>IFERROR(__xludf.DUMMYFUNCTION("""COMPUTED_VALUE"""),63.0)</f>
        <v>63</v>
      </c>
      <c r="F3894" s="19" t="str">
        <f>IFERROR(__xludf.DUMMYFUNCTION("""COMPUTED_VALUE"""),"BLACK")</f>
        <v>BLACK</v>
      </c>
      <c r="G3894" s="20" t="str">
        <f>IFERROR(__xludf.DUMMYFUNCTION("""COMPUTED_VALUE"""),"Uncle Sams Cider (11/12/2021) 02")</f>
        <v>Uncle Sams Cider (11/12/2021) 02</v>
      </c>
      <c r="H3894" s="19"/>
    </row>
    <row r="3895">
      <c r="A3895" s="9"/>
      <c r="B3895" s="15"/>
      <c r="C3895" s="9">
        <f>IFERROR(__xludf.DUMMYFUNCTION("""COMPUTED_VALUE"""),44564.8741092129)</f>
        <v>44564.87411</v>
      </c>
      <c r="D3895" s="15">
        <f>IFERROR(__xludf.DUMMYFUNCTION("""COMPUTED_VALUE"""),1.011)</f>
        <v>1.011</v>
      </c>
      <c r="E3895" s="16">
        <f>IFERROR(__xludf.DUMMYFUNCTION("""COMPUTED_VALUE"""),63.0)</f>
        <v>63</v>
      </c>
      <c r="F3895" s="19" t="str">
        <f>IFERROR(__xludf.DUMMYFUNCTION("""COMPUTED_VALUE"""),"BLACK")</f>
        <v>BLACK</v>
      </c>
      <c r="G3895" s="20" t="str">
        <f>IFERROR(__xludf.DUMMYFUNCTION("""COMPUTED_VALUE"""),"Uncle Sams Cider (11/12/2021) 02")</f>
        <v>Uncle Sams Cider (11/12/2021) 02</v>
      </c>
      <c r="H3895" s="19"/>
    </row>
    <row r="3896">
      <c r="A3896" s="9"/>
      <c r="B3896" s="15"/>
      <c r="C3896" s="9">
        <f>IFERROR(__xludf.DUMMYFUNCTION("""COMPUTED_VALUE"""),44564.8636866435)</f>
        <v>44564.86369</v>
      </c>
      <c r="D3896" s="15">
        <f>IFERROR(__xludf.DUMMYFUNCTION("""COMPUTED_VALUE"""),1.01)</f>
        <v>1.01</v>
      </c>
      <c r="E3896" s="16">
        <f>IFERROR(__xludf.DUMMYFUNCTION("""COMPUTED_VALUE"""),63.0)</f>
        <v>63</v>
      </c>
      <c r="F3896" s="19" t="str">
        <f>IFERROR(__xludf.DUMMYFUNCTION("""COMPUTED_VALUE"""),"BLACK")</f>
        <v>BLACK</v>
      </c>
      <c r="G3896" s="20" t="str">
        <f>IFERROR(__xludf.DUMMYFUNCTION("""COMPUTED_VALUE"""),"Uncle Sams Cider (11/12/2021) 02")</f>
        <v>Uncle Sams Cider (11/12/2021) 02</v>
      </c>
      <c r="H3896" s="19"/>
    </row>
    <row r="3897">
      <c r="A3897" s="9"/>
      <c r="B3897" s="15"/>
      <c r="C3897" s="9">
        <f>IFERROR(__xludf.DUMMYFUNCTION("""COMPUTED_VALUE"""),44564.8532649652)</f>
        <v>44564.85326</v>
      </c>
      <c r="D3897" s="15">
        <f>IFERROR(__xludf.DUMMYFUNCTION("""COMPUTED_VALUE"""),1.01)</f>
        <v>1.01</v>
      </c>
      <c r="E3897" s="16">
        <f>IFERROR(__xludf.DUMMYFUNCTION("""COMPUTED_VALUE"""),63.0)</f>
        <v>63</v>
      </c>
      <c r="F3897" s="19" t="str">
        <f>IFERROR(__xludf.DUMMYFUNCTION("""COMPUTED_VALUE"""),"BLACK")</f>
        <v>BLACK</v>
      </c>
      <c r="G3897" s="20" t="str">
        <f>IFERROR(__xludf.DUMMYFUNCTION("""COMPUTED_VALUE"""),"Uncle Sams Cider (11/12/2021) 02")</f>
        <v>Uncle Sams Cider (11/12/2021) 02</v>
      </c>
      <c r="H3897" s="19"/>
    </row>
    <row r="3898">
      <c r="A3898" s="9"/>
      <c r="B3898" s="15"/>
      <c r="C3898" s="9">
        <f>IFERROR(__xludf.DUMMYFUNCTION("""COMPUTED_VALUE"""),44564.842843125)</f>
        <v>44564.84284</v>
      </c>
      <c r="D3898" s="15">
        <f>IFERROR(__xludf.DUMMYFUNCTION("""COMPUTED_VALUE"""),1.011)</f>
        <v>1.011</v>
      </c>
      <c r="E3898" s="16">
        <f>IFERROR(__xludf.DUMMYFUNCTION("""COMPUTED_VALUE"""),63.0)</f>
        <v>63</v>
      </c>
      <c r="F3898" s="19" t="str">
        <f>IFERROR(__xludf.DUMMYFUNCTION("""COMPUTED_VALUE"""),"BLACK")</f>
        <v>BLACK</v>
      </c>
      <c r="G3898" s="20" t="str">
        <f>IFERROR(__xludf.DUMMYFUNCTION("""COMPUTED_VALUE"""),"Uncle Sams Cider (11/12/2021) 02")</f>
        <v>Uncle Sams Cider (11/12/2021) 02</v>
      </c>
      <c r="H3898" s="19"/>
    </row>
    <row r="3899">
      <c r="A3899" s="9"/>
      <c r="B3899" s="15"/>
      <c r="C3899" s="9">
        <f>IFERROR(__xludf.DUMMYFUNCTION("""COMPUTED_VALUE"""),44564.8324084722)</f>
        <v>44564.83241</v>
      </c>
      <c r="D3899" s="15">
        <f>IFERROR(__xludf.DUMMYFUNCTION("""COMPUTED_VALUE"""),1.01)</f>
        <v>1.01</v>
      </c>
      <c r="E3899" s="16">
        <f>IFERROR(__xludf.DUMMYFUNCTION("""COMPUTED_VALUE"""),63.0)</f>
        <v>63</v>
      </c>
      <c r="F3899" s="19" t="str">
        <f>IFERROR(__xludf.DUMMYFUNCTION("""COMPUTED_VALUE"""),"BLACK")</f>
        <v>BLACK</v>
      </c>
      <c r="G3899" s="20" t="str">
        <f>IFERROR(__xludf.DUMMYFUNCTION("""COMPUTED_VALUE"""),"Uncle Sams Cider (11/12/2021) 02")</f>
        <v>Uncle Sams Cider (11/12/2021) 02</v>
      </c>
      <c r="H3899" s="19"/>
    </row>
    <row r="3900">
      <c r="A3900" s="9"/>
      <c r="B3900" s="15"/>
      <c r="C3900" s="9">
        <f>IFERROR(__xludf.DUMMYFUNCTION("""COMPUTED_VALUE"""),44564.8219756134)</f>
        <v>44564.82198</v>
      </c>
      <c r="D3900" s="15">
        <f>IFERROR(__xludf.DUMMYFUNCTION("""COMPUTED_VALUE"""),1.01)</f>
        <v>1.01</v>
      </c>
      <c r="E3900" s="16">
        <f>IFERROR(__xludf.DUMMYFUNCTION("""COMPUTED_VALUE"""),63.0)</f>
        <v>63</v>
      </c>
      <c r="F3900" s="19" t="str">
        <f>IFERROR(__xludf.DUMMYFUNCTION("""COMPUTED_VALUE"""),"BLACK")</f>
        <v>BLACK</v>
      </c>
      <c r="G3900" s="20" t="str">
        <f>IFERROR(__xludf.DUMMYFUNCTION("""COMPUTED_VALUE"""),"Uncle Sams Cider (11/12/2021) 02")</f>
        <v>Uncle Sams Cider (11/12/2021) 02</v>
      </c>
      <c r="H3900" s="19"/>
    </row>
    <row r="3901">
      <c r="A3901" s="9"/>
      <c r="B3901" s="15"/>
      <c r="C3901" s="9">
        <f>IFERROR(__xludf.DUMMYFUNCTION("""COMPUTED_VALUE"""),44564.811553125)</f>
        <v>44564.81155</v>
      </c>
      <c r="D3901" s="15">
        <f>IFERROR(__xludf.DUMMYFUNCTION("""COMPUTED_VALUE"""),1.01)</f>
        <v>1.01</v>
      </c>
      <c r="E3901" s="16">
        <f>IFERROR(__xludf.DUMMYFUNCTION("""COMPUTED_VALUE"""),63.0)</f>
        <v>63</v>
      </c>
      <c r="F3901" s="19" t="str">
        <f>IFERROR(__xludf.DUMMYFUNCTION("""COMPUTED_VALUE"""),"BLACK")</f>
        <v>BLACK</v>
      </c>
      <c r="G3901" s="20" t="str">
        <f>IFERROR(__xludf.DUMMYFUNCTION("""COMPUTED_VALUE"""),"Uncle Sams Cider (11/12/2021) 02")</f>
        <v>Uncle Sams Cider (11/12/2021) 02</v>
      </c>
      <c r="H3901" s="19"/>
    </row>
    <row r="3902">
      <c r="A3902" s="9"/>
      <c r="B3902" s="15"/>
      <c r="C3902" s="9">
        <f>IFERROR(__xludf.DUMMYFUNCTION("""COMPUTED_VALUE"""),44564.8011337731)</f>
        <v>44564.80113</v>
      </c>
      <c r="D3902" s="15">
        <f>IFERROR(__xludf.DUMMYFUNCTION("""COMPUTED_VALUE"""),1.01)</f>
        <v>1.01</v>
      </c>
      <c r="E3902" s="16">
        <f>IFERROR(__xludf.DUMMYFUNCTION("""COMPUTED_VALUE"""),63.0)</f>
        <v>63</v>
      </c>
      <c r="F3902" s="19" t="str">
        <f>IFERROR(__xludf.DUMMYFUNCTION("""COMPUTED_VALUE"""),"BLACK")</f>
        <v>BLACK</v>
      </c>
      <c r="G3902" s="20" t="str">
        <f>IFERROR(__xludf.DUMMYFUNCTION("""COMPUTED_VALUE"""),"Uncle Sams Cider (11/12/2021) 02")</f>
        <v>Uncle Sams Cider (11/12/2021) 02</v>
      </c>
      <c r="H3902" s="19"/>
    </row>
    <row r="3903">
      <c r="A3903" s="9"/>
      <c r="B3903" s="15"/>
      <c r="C3903" s="9">
        <f>IFERROR(__xludf.DUMMYFUNCTION("""COMPUTED_VALUE"""),44564.7907118171)</f>
        <v>44564.79071</v>
      </c>
      <c r="D3903" s="15">
        <f>IFERROR(__xludf.DUMMYFUNCTION("""COMPUTED_VALUE"""),1.01)</f>
        <v>1.01</v>
      </c>
      <c r="E3903" s="16">
        <f>IFERROR(__xludf.DUMMYFUNCTION("""COMPUTED_VALUE"""),63.0)</f>
        <v>63</v>
      </c>
      <c r="F3903" s="19" t="str">
        <f>IFERROR(__xludf.DUMMYFUNCTION("""COMPUTED_VALUE"""),"BLACK")</f>
        <v>BLACK</v>
      </c>
      <c r="G3903" s="20" t="str">
        <f>IFERROR(__xludf.DUMMYFUNCTION("""COMPUTED_VALUE"""),"Uncle Sams Cider (11/12/2021) 02")</f>
        <v>Uncle Sams Cider (11/12/2021) 02</v>
      </c>
      <c r="H3903" s="19"/>
    </row>
    <row r="3904">
      <c r="A3904" s="9"/>
      <c r="B3904" s="15"/>
      <c r="C3904" s="9">
        <f>IFERROR(__xludf.DUMMYFUNCTION("""COMPUTED_VALUE"""),44564.7802904398)</f>
        <v>44564.78029</v>
      </c>
      <c r="D3904" s="15">
        <f>IFERROR(__xludf.DUMMYFUNCTION("""COMPUTED_VALUE"""),1.01)</f>
        <v>1.01</v>
      </c>
      <c r="E3904" s="16">
        <f>IFERROR(__xludf.DUMMYFUNCTION("""COMPUTED_VALUE"""),63.0)</f>
        <v>63</v>
      </c>
      <c r="F3904" s="19" t="str">
        <f>IFERROR(__xludf.DUMMYFUNCTION("""COMPUTED_VALUE"""),"BLACK")</f>
        <v>BLACK</v>
      </c>
      <c r="G3904" s="20" t="str">
        <f>IFERROR(__xludf.DUMMYFUNCTION("""COMPUTED_VALUE"""),"Uncle Sams Cider (11/12/2021) 02")</f>
        <v>Uncle Sams Cider (11/12/2021) 02</v>
      </c>
      <c r="H3904" s="19"/>
    </row>
    <row r="3905">
      <c r="A3905" s="9"/>
      <c r="B3905" s="15"/>
      <c r="C3905" s="9">
        <f>IFERROR(__xludf.DUMMYFUNCTION("""COMPUTED_VALUE"""),44564.7698579861)</f>
        <v>44564.76986</v>
      </c>
      <c r="D3905" s="15">
        <f>IFERROR(__xludf.DUMMYFUNCTION("""COMPUTED_VALUE"""),1.01)</f>
        <v>1.01</v>
      </c>
      <c r="E3905" s="16">
        <f>IFERROR(__xludf.DUMMYFUNCTION("""COMPUTED_VALUE"""),63.0)</f>
        <v>63</v>
      </c>
      <c r="F3905" s="19" t="str">
        <f>IFERROR(__xludf.DUMMYFUNCTION("""COMPUTED_VALUE"""),"BLACK")</f>
        <v>BLACK</v>
      </c>
      <c r="G3905" s="20" t="str">
        <f>IFERROR(__xludf.DUMMYFUNCTION("""COMPUTED_VALUE"""),"Uncle Sams Cider (11/12/2021) 02")</f>
        <v>Uncle Sams Cider (11/12/2021) 02</v>
      </c>
      <c r="H3905" s="19"/>
    </row>
    <row r="3906">
      <c r="A3906" s="9"/>
      <c r="B3906" s="15"/>
      <c r="C3906" s="9">
        <f>IFERROR(__xludf.DUMMYFUNCTION("""COMPUTED_VALUE"""),44564.7594356944)</f>
        <v>44564.75944</v>
      </c>
      <c r="D3906" s="15">
        <f>IFERROR(__xludf.DUMMYFUNCTION("""COMPUTED_VALUE"""),1.01)</f>
        <v>1.01</v>
      </c>
      <c r="E3906" s="16">
        <f>IFERROR(__xludf.DUMMYFUNCTION("""COMPUTED_VALUE"""),63.0)</f>
        <v>63</v>
      </c>
      <c r="F3906" s="19" t="str">
        <f>IFERROR(__xludf.DUMMYFUNCTION("""COMPUTED_VALUE"""),"BLACK")</f>
        <v>BLACK</v>
      </c>
      <c r="G3906" s="20" t="str">
        <f>IFERROR(__xludf.DUMMYFUNCTION("""COMPUTED_VALUE"""),"Uncle Sams Cider (11/12/2021) 02")</f>
        <v>Uncle Sams Cider (11/12/2021) 02</v>
      </c>
      <c r="H3906" s="19"/>
    </row>
    <row r="3907">
      <c r="A3907" s="9"/>
      <c r="B3907" s="15"/>
      <c r="C3907" s="9">
        <f>IFERROR(__xludf.DUMMYFUNCTION("""COMPUTED_VALUE"""),44564.7490025463)</f>
        <v>44564.749</v>
      </c>
      <c r="D3907" s="15">
        <f>IFERROR(__xludf.DUMMYFUNCTION("""COMPUTED_VALUE"""),1.011)</f>
        <v>1.011</v>
      </c>
      <c r="E3907" s="16">
        <f>IFERROR(__xludf.DUMMYFUNCTION("""COMPUTED_VALUE"""),63.0)</f>
        <v>63</v>
      </c>
      <c r="F3907" s="19" t="str">
        <f>IFERROR(__xludf.DUMMYFUNCTION("""COMPUTED_VALUE"""),"BLACK")</f>
        <v>BLACK</v>
      </c>
      <c r="G3907" s="20" t="str">
        <f>IFERROR(__xludf.DUMMYFUNCTION("""COMPUTED_VALUE"""),"Uncle Sams Cider (11/12/2021) 02")</f>
        <v>Uncle Sams Cider (11/12/2021) 02</v>
      </c>
      <c r="H3907" s="19"/>
    </row>
    <row r="3908">
      <c r="A3908" s="9"/>
      <c r="B3908" s="15"/>
      <c r="C3908" s="9">
        <f>IFERROR(__xludf.DUMMYFUNCTION("""COMPUTED_VALUE"""),44564.738582037)</f>
        <v>44564.73858</v>
      </c>
      <c r="D3908" s="15">
        <f>IFERROR(__xludf.DUMMYFUNCTION("""COMPUTED_VALUE"""),1.011)</f>
        <v>1.011</v>
      </c>
      <c r="E3908" s="16">
        <f>IFERROR(__xludf.DUMMYFUNCTION("""COMPUTED_VALUE"""),63.0)</f>
        <v>63</v>
      </c>
      <c r="F3908" s="19" t="str">
        <f>IFERROR(__xludf.DUMMYFUNCTION("""COMPUTED_VALUE"""),"BLACK")</f>
        <v>BLACK</v>
      </c>
      <c r="G3908" s="20" t="str">
        <f>IFERROR(__xludf.DUMMYFUNCTION("""COMPUTED_VALUE"""),"Uncle Sams Cider (11/12/2021) 02")</f>
        <v>Uncle Sams Cider (11/12/2021) 02</v>
      </c>
      <c r="H3908" s="19"/>
    </row>
    <row r="3909">
      <c r="A3909" s="9"/>
      <c r="B3909" s="15"/>
      <c r="C3909" s="9">
        <f>IFERROR(__xludf.DUMMYFUNCTION("""COMPUTED_VALUE"""),44564.7281601851)</f>
        <v>44564.72816</v>
      </c>
      <c r="D3909" s="15">
        <f>IFERROR(__xludf.DUMMYFUNCTION("""COMPUTED_VALUE"""),1.01)</f>
        <v>1.01</v>
      </c>
      <c r="E3909" s="16">
        <f>IFERROR(__xludf.DUMMYFUNCTION("""COMPUTED_VALUE"""),63.0)</f>
        <v>63</v>
      </c>
      <c r="F3909" s="19" t="str">
        <f>IFERROR(__xludf.DUMMYFUNCTION("""COMPUTED_VALUE"""),"BLACK")</f>
        <v>BLACK</v>
      </c>
      <c r="G3909" s="20" t="str">
        <f>IFERROR(__xludf.DUMMYFUNCTION("""COMPUTED_VALUE"""),"Uncle Sams Cider (11/12/2021) 02")</f>
        <v>Uncle Sams Cider (11/12/2021) 02</v>
      </c>
      <c r="H3909" s="19"/>
    </row>
    <row r="3910">
      <c r="A3910" s="9"/>
      <c r="B3910" s="15"/>
      <c r="C3910" s="9">
        <f>IFERROR(__xludf.DUMMYFUNCTION("""COMPUTED_VALUE"""),44564.7177383912)</f>
        <v>44564.71774</v>
      </c>
      <c r="D3910" s="15">
        <f>IFERROR(__xludf.DUMMYFUNCTION("""COMPUTED_VALUE"""),1.01)</f>
        <v>1.01</v>
      </c>
      <c r="E3910" s="16">
        <f>IFERROR(__xludf.DUMMYFUNCTION("""COMPUTED_VALUE"""),63.0)</f>
        <v>63</v>
      </c>
      <c r="F3910" s="19" t="str">
        <f>IFERROR(__xludf.DUMMYFUNCTION("""COMPUTED_VALUE"""),"BLACK")</f>
        <v>BLACK</v>
      </c>
      <c r="G3910" s="20" t="str">
        <f>IFERROR(__xludf.DUMMYFUNCTION("""COMPUTED_VALUE"""),"Uncle Sams Cider (11/12/2021) 02")</f>
        <v>Uncle Sams Cider (11/12/2021) 02</v>
      </c>
      <c r="H3910" s="19"/>
    </row>
    <row r="3911">
      <c r="A3911" s="9"/>
      <c r="B3911" s="15"/>
      <c r="C3911" s="9">
        <f>IFERROR(__xludf.DUMMYFUNCTION("""COMPUTED_VALUE"""),44564.7073183217)</f>
        <v>44564.70732</v>
      </c>
      <c r="D3911" s="15">
        <f>IFERROR(__xludf.DUMMYFUNCTION("""COMPUTED_VALUE"""),1.01)</f>
        <v>1.01</v>
      </c>
      <c r="E3911" s="16">
        <f>IFERROR(__xludf.DUMMYFUNCTION("""COMPUTED_VALUE"""),63.0)</f>
        <v>63</v>
      </c>
      <c r="F3911" s="19" t="str">
        <f>IFERROR(__xludf.DUMMYFUNCTION("""COMPUTED_VALUE"""),"BLACK")</f>
        <v>BLACK</v>
      </c>
      <c r="G3911" s="20" t="str">
        <f>IFERROR(__xludf.DUMMYFUNCTION("""COMPUTED_VALUE"""),"Uncle Sams Cider (11/12/2021) 02")</f>
        <v>Uncle Sams Cider (11/12/2021) 02</v>
      </c>
      <c r="H3911" s="19"/>
    </row>
    <row r="3912">
      <c r="A3912" s="9"/>
      <c r="B3912" s="15"/>
      <c r="C3912" s="9">
        <f>IFERROR(__xludf.DUMMYFUNCTION("""COMPUTED_VALUE"""),44564.6968954398)</f>
        <v>44564.6969</v>
      </c>
      <c r="D3912" s="15">
        <f>IFERROR(__xludf.DUMMYFUNCTION("""COMPUTED_VALUE"""),1.01)</f>
        <v>1.01</v>
      </c>
      <c r="E3912" s="16">
        <f>IFERROR(__xludf.DUMMYFUNCTION("""COMPUTED_VALUE"""),63.0)</f>
        <v>63</v>
      </c>
      <c r="F3912" s="19" t="str">
        <f>IFERROR(__xludf.DUMMYFUNCTION("""COMPUTED_VALUE"""),"BLACK")</f>
        <v>BLACK</v>
      </c>
      <c r="G3912" s="20" t="str">
        <f>IFERROR(__xludf.DUMMYFUNCTION("""COMPUTED_VALUE"""),"Uncle Sams Cider (11/12/2021) 02")</f>
        <v>Uncle Sams Cider (11/12/2021) 02</v>
      </c>
      <c r="H3912" s="19"/>
    </row>
    <row r="3913">
      <c r="A3913" s="9"/>
      <c r="B3913" s="15"/>
      <c r="C3913" s="9">
        <f>IFERROR(__xludf.DUMMYFUNCTION("""COMPUTED_VALUE"""),44564.686465243)</f>
        <v>44564.68647</v>
      </c>
      <c r="D3913" s="15">
        <f>IFERROR(__xludf.DUMMYFUNCTION("""COMPUTED_VALUE"""),1.01)</f>
        <v>1.01</v>
      </c>
      <c r="E3913" s="16">
        <f>IFERROR(__xludf.DUMMYFUNCTION("""COMPUTED_VALUE"""),63.0)</f>
        <v>63</v>
      </c>
      <c r="F3913" s="19" t="str">
        <f>IFERROR(__xludf.DUMMYFUNCTION("""COMPUTED_VALUE"""),"BLACK")</f>
        <v>BLACK</v>
      </c>
      <c r="G3913" s="20" t="str">
        <f>IFERROR(__xludf.DUMMYFUNCTION("""COMPUTED_VALUE"""),"Uncle Sams Cider (11/12/2021) 02")</f>
        <v>Uncle Sams Cider (11/12/2021) 02</v>
      </c>
      <c r="H3913" s="19"/>
    </row>
    <row r="3914">
      <c r="A3914" s="9"/>
      <c r="B3914" s="15"/>
      <c r="C3914" s="9">
        <f>IFERROR(__xludf.DUMMYFUNCTION("""COMPUTED_VALUE"""),44564.6760434722)</f>
        <v>44564.67604</v>
      </c>
      <c r="D3914" s="15">
        <f>IFERROR(__xludf.DUMMYFUNCTION("""COMPUTED_VALUE"""),1.01)</f>
        <v>1.01</v>
      </c>
      <c r="E3914" s="16">
        <f>IFERROR(__xludf.DUMMYFUNCTION("""COMPUTED_VALUE"""),63.0)</f>
        <v>63</v>
      </c>
      <c r="F3914" s="19" t="str">
        <f>IFERROR(__xludf.DUMMYFUNCTION("""COMPUTED_VALUE"""),"BLACK")</f>
        <v>BLACK</v>
      </c>
      <c r="G3914" s="20" t="str">
        <f>IFERROR(__xludf.DUMMYFUNCTION("""COMPUTED_VALUE"""),"Uncle Sams Cider (11/12/2021) 02")</f>
        <v>Uncle Sams Cider (11/12/2021) 02</v>
      </c>
      <c r="H3914" s="19"/>
    </row>
    <row r="3915">
      <c r="A3915" s="9"/>
      <c r="B3915" s="15"/>
      <c r="C3915" s="9">
        <f>IFERROR(__xludf.DUMMYFUNCTION("""COMPUTED_VALUE"""),44564.6656232754)</f>
        <v>44564.66562</v>
      </c>
      <c r="D3915" s="15">
        <f>IFERROR(__xludf.DUMMYFUNCTION("""COMPUTED_VALUE"""),1.01)</f>
        <v>1.01</v>
      </c>
      <c r="E3915" s="16">
        <f>IFERROR(__xludf.DUMMYFUNCTION("""COMPUTED_VALUE"""),63.0)</f>
        <v>63</v>
      </c>
      <c r="F3915" s="19" t="str">
        <f>IFERROR(__xludf.DUMMYFUNCTION("""COMPUTED_VALUE"""),"BLACK")</f>
        <v>BLACK</v>
      </c>
      <c r="G3915" s="20" t="str">
        <f>IFERROR(__xludf.DUMMYFUNCTION("""COMPUTED_VALUE"""),"Uncle Sams Cider (11/12/2021) 02")</f>
        <v>Uncle Sams Cider (11/12/2021) 02</v>
      </c>
      <c r="H3915" s="19"/>
    </row>
    <row r="3916">
      <c r="A3916" s="9"/>
      <c r="B3916" s="15"/>
      <c r="C3916" s="9">
        <f>IFERROR(__xludf.DUMMYFUNCTION("""COMPUTED_VALUE"""),44564.6551895486)</f>
        <v>44564.65519</v>
      </c>
      <c r="D3916" s="15">
        <f>IFERROR(__xludf.DUMMYFUNCTION("""COMPUTED_VALUE"""),1.01)</f>
        <v>1.01</v>
      </c>
      <c r="E3916" s="16">
        <f>IFERROR(__xludf.DUMMYFUNCTION("""COMPUTED_VALUE"""),63.0)</f>
        <v>63</v>
      </c>
      <c r="F3916" s="19" t="str">
        <f>IFERROR(__xludf.DUMMYFUNCTION("""COMPUTED_VALUE"""),"BLACK")</f>
        <v>BLACK</v>
      </c>
      <c r="G3916" s="20" t="str">
        <f>IFERROR(__xludf.DUMMYFUNCTION("""COMPUTED_VALUE"""),"Uncle Sams Cider (11/12/2021) 02")</f>
        <v>Uncle Sams Cider (11/12/2021) 02</v>
      </c>
      <c r="H3916" s="19"/>
    </row>
    <row r="3917">
      <c r="A3917" s="9"/>
      <c r="B3917" s="15"/>
      <c r="C3917" s="9">
        <f>IFERROR(__xludf.DUMMYFUNCTION("""COMPUTED_VALUE"""),44564.6447351504)</f>
        <v>44564.64474</v>
      </c>
      <c r="D3917" s="15">
        <f>IFERROR(__xludf.DUMMYFUNCTION("""COMPUTED_VALUE"""),1.01)</f>
        <v>1.01</v>
      </c>
      <c r="E3917" s="16">
        <f>IFERROR(__xludf.DUMMYFUNCTION("""COMPUTED_VALUE"""),63.0)</f>
        <v>63</v>
      </c>
      <c r="F3917" s="19" t="str">
        <f>IFERROR(__xludf.DUMMYFUNCTION("""COMPUTED_VALUE"""),"BLACK")</f>
        <v>BLACK</v>
      </c>
      <c r="G3917" s="20" t="str">
        <f>IFERROR(__xludf.DUMMYFUNCTION("""COMPUTED_VALUE"""),"Uncle Sams Cider (11/12/2021) 02")</f>
        <v>Uncle Sams Cider (11/12/2021) 02</v>
      </c>
      <c r="H3917" s="19"/>
    </row>
    <row r="3918">
      <c r="A3918" s="9"/>
      <c r="B3918" s="15"/>
      <c r="C3918" s="9">
        <f>IFERROR(__xludf.DUMMYFUNCTION("""COMPUTED_VALUE"""),44564.6343024537)</f>
        <v>44564.6343</v>
      </c>
      <c r="D3918" s="15">
        <f>IFERROR(__xludf.DUMMYFUNCTION("""COMPUTED_VALUE"""),1.01)</f>
        <v>1.01</v>
      </c>
      <c r="E3918" s="16">
        <f>IFERROR(__xludf.DUMMYFUNCTION("""COMPUTED_VALUE"""),63.0)</f>
        <v>63</v>
      </c>
      <c r="F3918" s="19" t="str">
        <f>IFERROR(__xludf.DUMMYFUNCTION("""COMPUTED_VALUE"""),"BLACK")</f>
        <v>BLACK</v>
      </c>
      <c r="G3918" s="20" t="str">
        <f>IFERROR(__xludf.DUMMYFUNCTION("""COMPUTED_VALUE"""),"Uncle Sams Cider (11/12/2021) 02")</f>
        <v>Uncle Sams Cider (11/12/2021) 02</v>
      </c>
      <c r="H3918" s="19"/>
    </row>
    <row r="3919">
      <c r="A3919" s="9"/>
      <c r="B3919" s="15"/>
      <c r="C3919" s="9">
        <f>IFERROR(__xludf.DUMMYFUNCTION("""COMPUTED_VALUE"""),44564.6238808564)</f>
        <v>44564.62388</v>
      </c>
      <c r="D3919" s="15">
        <f>IFERROR(__xludf.DUMMYFUNCTION("""COMPUTED_VALUE"""),1.01)</f>
        <v>1.01</v>
      </c>
      <c r="E3919" s="16">
        <f>IFERROR(__xludf.DUMMYFUNCTION("""COMPUTED_VALUE"""),63.0)</f>
        <v>63</v>
      </c>
      <c r="F3919" s="19" t="str">
        <f>IFERROR(__xludf.DUMMYFUNCTION("""COMPUTED_VALUE"""),"BLACK")</f>
        <v>BLACK</v>
      </c>
      <c r="G3919" s="20" t="str">
        <f>IFERROR(__xludf.DUMMYFUNCTION("""COMPUTED_VALUE"""),"Uncle Sams Cider (11/12/2021) 02")</f>
        <v>Uncle Sams Cider (11/12/2021) 02</v>
      </c>
      <c r="H3919" s="19"/>
    </row>
    <row r="3920">
      <c r="A3920" s="9"/>
      <c r="B3920" s="15"/>
      <c r="C3920" s="9">
        <f>IFERROR(__xludf.DUMMYFUNCTION("""COMPUTED_VALUE"""),44564.6134481365)</f>
        <v>44564.61345</v>
      </c>
      <c r="D3920" s="15">
        <f>IFERROR(__xludf.DUMMYFUNCTION("""COMPUTED_VALUE"""),1.01)</f>
        <v>1.01</v>
      </c>
      <c r="E3920" s="16">
        <f>IFERROR(__xludf.DUMMYFUNCTION("""COMPUTED_VALUE"""),63.0)</f>
        <v>63</v>
      </c>
      <c r="F3920" s="19" t="str">
        <f>IFERROR(__xludf.DUMMYFUNCTION("""COMPUTED_VALUE"""),"BLACK")</f>
        <v>BLACK</v>
      </c>
      <c r="G3920" s="20" t="str">
        <f>IFERROR(__xludf.DUMMYFUNCTION("""COMPUTED_VALUE"""),"Uncle Sams Cider (11/12/2021) 02")</f>
        <v>Uncle Sams Cider (11/12/2021) 02</v>
      </c>
      <c r="H3920" s="19"/>
    </row>
    <row r="3921">
      <c r="A3921" s="9"/>
      <c r="B3921" s="15"/>
      <c r="C3921" s="9">
        <f>IFERROR(__xludf.DUMMYFUNCTION("""COMPUTED_VALUE"""),44564.6030270717)</f>
        <v>44564.60303</v>
      </c>
      <c r="D3921" s="15">
        <f>IFERROR(__xludf.DUMMYFUNCTION("""COMPUTED_VALUE"""),1.01)</f>
        <v>1.01</v>
      </c>
      <c r="E3921" s="16">
        <f>IFERROR(__xludf.DUMMYFUNCTION("""COMPUTED_VALUE"""),63.0)</f>
        <v>63</v>
      </c>
      <c r="F3921" s="19" t="str">
        <f>IFERROR(__xludf.DUMMYFUNCTION("""COMPUTED_VALUE"""),"BLACK")</f>
        <v>BLACK</v>
      </c>
      <c r="G3921" s="20" t="str">
        <f>IFERROR(__xludf.DUMMYFUNCTION("""COMPUTED_VALUE"""),"Uncle Sams Cider (11/12/2021) 02")</f>
        <v>Uncle Sams Cider (11/12/2021) 02</v>
      </c>
      <c r="H3921" s="19"/>
    </row>
    <row r="3922">
      <c r="A3922" s="9"/>
      <c r="B3922" s="15"/>
      <c r="C3922" s="9">
        <f>IFERROR(__xludf.DUMMYFUNCTION("""COMPUTED_VALUE"""),44564.5925841666)</f>
        <v>44564.59258</v>
      </c>
      <c r="D3922" s="15">
        <f>IFERROR(__xludf.DUMMYFUNCTION("""COMPUTED_VALUE"""),1.011)</f>
        <v>1.011</v>
      </c>
      <c r="E3922" s="16">
        <f>IFERROR(__xludf.DUMMYFUNCTION("""COMPUTED_VALUE"""),63.0)</f>
        <v>63</v>
      </c>
      <c r="F3922" s="19" t="str">
        <f>IFERROR(__xludf.DUMMYFUNCTION("""COMPUTED_VALUE"""),"BLACK")</f>
        <v>BLACK</v>
      </c>
      <c r="G3922" s="20" t="str">
        <f>IFERROR(__xludf.DUMMYFUNCTION("""COMPUTED_VALUE"""),"Uncle Sams Cider (11/12/2021) 02")</f>
        <v>Uncle Sams Cider (11/12/2021) 02</v>
      </c>
      <c r="H3922" s="19"/>
    </row>
    <row r="3923">
      <c r="A3923" s="9"/>
      <c r="B3923" s="15"/>
      <c r="C3923" s="9">
        <f>IFERROR(__xludf.DUMMYFUNCTION("""COMPUTED_VALUE"""),44564.5821626273)</f>
        <v>44564.58216</v>
      </c>
      <c r="D3923" s="15">
        <f>IFERROR(__xludf.DUMMYFUNCTION("""COMPUTED_VALUE"""),1.011)</f>
        <v>1.011</v>
      </c>
      <c r="E3923" s="16">
        <f>IFERROR(__xludf.DUMMYFUNCTION("""COMPUTED_VALUE"""),63.0)</f>
        <v>63</v>
      </c>
      <c r="F3923" s="19" t="str">
        <f>IFERROR(__xludf.DUMMYFUNCTION("""COMPUTED_VALUE"""),"BLACK")</f>
        <v>BLACK</v>
      </c>
      <c r="G3923" s="20" t="str">
        <f>IFERROR(__xludf.DUMMYFUNCTION("""COMPUTED_VALUE"""),"Uncle Sams Cider (11/12/2021) 02")</f>
        <v>Uncle Sams Cider (11/12/2021) 02</v>
      </c>
      <c r="H3923" s="19"/>
    </row>
    <row r="3924">
      <c r="A3924" s="9"/>
      <c r="B3924" s="15"/>
      <c r="C3924" s="9">
        <f>IFERROR(__xludf.DUMMYFUNCTION("""COMPUTED_VALUE"""),44564.5716936458)</f>
        <v>44564.57169</v>
      </c>
      <c r="D3924" s="15">
        <f>IFERROR(__xludf.DUMMYFUNCTION("""COMPUTED_VALUE"""),1.011)</f>
        <v>1.011</v>
      </c>
      <c r="E3924" s="16">
        <f>IFERROR(__xludf.DUMMYFUNCTION("""COMPUTED_VALUE"""),63.0)</f>
        <v>63</v>
      </c>
      <c r="F3924" s="19" t="str">
        <f>IFERROR(__xludf.DUMMYFUNCTION("""COMPUTED_VALUE"""),"BLACK")</f>
        <v>BLACK</v>
      </c>
      <c r="G3924" s="20" t="str">
        <f>IFERROR(__xludf.DUMMYFUNCTION("""COMPUTED_VALUE"""),"Uncle Sams Cider (11/12/2021) 02")</f>
        <v>Uncle Sams Cider (11/12/2021) 02</v>
      </c>
      <c r="H3924" s="19"/>
    </row>
    <row r="3925">
      <c r="A3925" s="9"/>
      <c r="B3925" s="15"/>
      <c r="C3925" s="9">
        <f>IFERROR(__xludf.DUMMYFUNCTION("""COMPUTED_VALUE"""),44564.5612614583)</f>
        <v>44564.56126</v>
      </c>
      <c r="D3925" s="15">
        <f>IFERROR(__xludf.DUMMYFUNCTION("""COMPUTED_VALUE"""),1.01)</f>
        <v>1.01</v>
      </c>
      <c r="E3925" s="16">
        <f>IFERROR(__xludf.DUMMYFUNCTION("""COMPUTED_VALUE"""),63.0)</f>
        <v>63</v>
      </c>
      <c r="F3925" s="19" t="str">
        <f>IFERROR(__xludf.DUMMYFUNCTION("""COMPUTED_VALUE"""),"BLACK")</f>
        <v>BLACK</v>
      </c>
      <c r="G3925" s="20" t="str">
        <f>IFERROR(__xludf.DUMMYFUNCTION("""COMPUTED_VALUE"""),"Uncle Sams Cider (11/12/2021) 02")</f>
        <v>Uncle Sams Cider (11/12/2021) 02</v>
      </c>
      <c r="H3925" s="19"/>
    </row>
    <row r="3926">
      <c r="A3926" s="9"/>
      <c r="B3926" s="15"/>
      <c r="C3926" s="9">
        <f>IFERROR(__xludf.DUMMYFUNCTION("""COMPUTED_VALUE"""),44564.550840405)</f>
        <v>44564.55084</v>
      </c>
      <c r="D3926" s="15">
        <f>IFERROR(__xludf.DUMMYFUNCTION("""COMPUTED_VALUE"""),1.011)</f>
        <v>1.011</v>
      </c>
      <c r="E3926" s="16">
        <f>IFERROR(__xludf.DUMMYFUNCTION("""COMPUTED_VALUE"""),63.0)</f>
        <v>63</v>
      </c>
      <c r="F3926" s="19" t="str">
        <f>IFERROR(__xludf.DUMMYFUNCTION("""COMPUTED_VALUE"""),"BLACK")</f>
        <v>BLACK</v>
      </c>
      <c r="G3926" s="20" t="str">
        <f>IFERROR(__xludf.DUMMYFUNCTION("""COMPUTED_VALUE"""),"Uncle Sams Cider (11/12/2021) 02")</f>
        <v>Uncle Sams Cider (11/12/2021) 02</v>
      </c>
      <c r="H3926" s="19"/>
    </row>
    <row r="3927">
      <c r="A3927" s="9"/>
      <c r="B3927" s="15"/>
      <c r="C3927" s="9">
        <f>IFERROR(__xludf.DUMMYFUNCTION("""COMPUTED_VALUE"""),44564.540407662)</f>
        <v>44564.54041</v>
      </c>
      <c r="D3927" s="15">
        <f>IFERROR(__xludf.DUMMYFUNCTION("""COMPUTED_VALUE"""),1.011)</f>
        <v>1.011</v>
      </c>
      <c r="E3927" s="16">
        <f>IFERROR(__xludf.DUMMYFUNCTION("""COMPUTED_VALUE"""),63.0)</f>
        <v>63</v>
      </c>
      <c r="F3927" s="19" t="str">
        <f>IFERROR(__xludf.DUMMYFUNCTION("""COMPUTED_VALUE"""),"BLACK")</f>
        <v>BLACK</v>
      </c>
      <c r="G3927" s="20" t="str">
        <f>IFERROR(__xludf.DUMMYFUNCTION("""COMPUTED_VALUE"""),"Uncle Sams Cider (11/12/2021) 02")</f>
        <v>Uncle Sams Cider (11/12/2021) 02</v>
      </c>
      <c r="H3927" s="19"/>
    </row>
    <row r="3928">
      <c r="A3928" s="9"/>
      <c r="B3928" s="15"/>
      <c r="C3928" s="9">
        <f>IFERROR(__xludf.DUMMYFUNCTION("""COMPUTED_VALUE"""),44564.5299742824)</f>
        <v>44564.52997</v>
      </c>
      <c r="D3928" s="15">
        <f>IFERROR(__xludf.DUMMYFUNCTION("""COMPUTED_VALUE"""),1.011)</f>
        <v>1.011</v>
      </c>
      <c r="E3928" s="16">
        <f>IFERROR(__xludf.DUMMYFUNCTION("""COMPUTED_VALUE"""),63.0)</f>
        <v>63</v>
      </c>
      <c r="F3928" s="19" t="str">
        <f>IFERROR(__xludf.DUMMYFUNCTION("""COMPUTED_VALUE"""),"BLACK")</f>
        <v>BLACK</v>
      </c>
      <c r="G3928" s="20" t="str">
        <f>IFERROR(__xludf.DUMMYFUNCTION("""COMPUTED_VALUE"""),"Uncle Sams Cider (11/12/2021) 02")</f>
        <v>Uncle Sams Cider (11/12/2021) 02</v>
      </c>
      <c r="H3928" s="19"/>
    </row>
    <row r="3929">
      <c r="A3929" s="9"/>
      <c r="B3929" s="15"/>
      <c r="C3929" s="9">
        <f>IFERROR(__xludf.DUMMYFUNCTION("""COMPUTED_VALUE"""),44564.5195424421)</f>
        <v>44564.51954</v>
      </c>
      <c r="D3929" s="15">
        <f>IFERROR(__xludf.DUMMYFUNCTION("""COMPUTED_VALUE"""),1.011)</f>
        <v>1.011</v>
      </c>
      <c r="E3929" s="16">
        <f>IFERROR(__xludf.DUMMYFUNCTION("""COMPUTED_VALUE"""),63.0)</f>
        <v>63</v>
      </c>
      <c r="F3929" s="19" t="str">
        <f>IFERROR(__xludf.DUMMYFUNCTION("""COMPUTED_VALUE"""),"BLACK")</f>
        <v>BLACK</v>
      </c>
      <c r="G3929" s="20" t="str">
        <f>IFERROR(__xludf.DUMMYFUNCTION("""COMPUTED_VALUE"""),"Uncle Sams Cider (11/12/2021) 02")</f>
        <v>Uncle Sams Cider (11/12/2021) 02</v>
      </c>
      <c r="H3929" s="19"/>
    </row>
    <row r="3930">
      <c r="A3930" s="9"/>
      <c r="B3930" s="15"/>
      <c r="C3930" s="9">
        <f>IFERROR(__xludf.DUMMYFUNCTION("""COMPUTED_VALUE"""),44564.5091233796)</f>
        <v>44564.50912</v>
      </c>
      <c r="D3930" s="15">
        <f>IFERROR(__xludf.DUMMYFUNCTION("""COMPUTED_VALUE"""),1.01)</f>
        <v>1.01</v>
      </c>
      <c r="E3930" s="16">
        <f>IFERROR(__xludf.DUMMYFUNCTION("""COMPUTED_VALUE"""),63.0)</f>
        <v>63</v>
      </c>
      <c r="F3930" s="19" t="str">
        <f>IFERROR(__xludf.DUMMYFUNCTION("""COMPUTED_VALUE"""),"BLACK")</f>
        <v>BLACK</v>
      </c>
      <c r="G3930" s="20" t="str">
        <f>IFERROR(__xludf.DUMMYFUNCTION("""COMPUTED_VALUE"""),"Uncle Sams Cider (11/12/2021) 02")</f>
        <v>Uncle Sams Cider (11/12/2021) 02</v>
      </c>
      <c r="H3930" s="19"/>
    </row>
    <row r="3931">
      <c r="A3931" s="9"/>
      <c r="B3931" s="15"/>
      <c r="C3931" s="9">
        <f>IFERROR(__xludf.DUMMYFUNCTION("""COMPUTED_VALUE"""),44564.4986809143)</f>
        <v>44564.49868</v>
      </c>
      <c r="D3931" s="15">
        <f>IFERROR(__xludf.DUMMYFUNCTION("""COMPUTED_VALUE"""),1.011)</f>
        <v>1.011</v>
      </c>
      <c r="E3931" s="16">
        <f>IFERROR(__xludf.DUMMYFUNCTION("""COMPUTED_VALUE"""),63.0)</f>
        <v>63</v>
      </c>
      <c r="F3931" s="19" t="str">
        <f>IFERROR(__xludf.DUMMYFUNCTION("""COMPUTED_VALUE"""),"BLACK")</f>
        <v>BLACK</v>
      </c>
      <c r="G3931" s="20" t="str">
        <f>IFERROR(__xludf.DUMMYFUNCTION("""COMPUTED_VALUE"""),"Uncle Sams Cider (11/12/2021) 02")</f>
        <v>Uncle Sams Cider (11/12/2021) 02</v>
      </c>
      <c r="H3931" s="19"/>
    </row>
    <row r="3932">
      <c r="A3932" s="9"/>
      <c r="B3932" s="15"/>
      <c r="C3932" s="9">
        <f>IFERROR(__xludf.DUMMYFUNCTION("""COMPUTED_VALUE"""),44564.4882360069)</f>
        <v>44564.48824</v>
      </c>
      <c r="D3932" s="15">
        <f>IFERROR(__xludf.DUMMYFUNCTION("""COMPUTED_VALUE"""),1.011)</f>
        <v>1.011</v>
      </c>
      <c r="E3932" s="16">
        <f>IFERROR(__xludf.DUMMYFUNCTION("""COMPUTED_VALUE"""),63.0)</f>
        <v>63</v>
      </c>
      <c r="F3932" s="19" t="str">
        <f>IFERROR(__xludf.DUMMYFUNCTION("""COMPUTED_VALUE"""),"BLACK")</f>
        <v>BLACK</v>
      </c>
      <c r="G3932" s="20" t="str">
        <f>IFERROR(__xludf.DUMMYFUNCTION("""COMPUTED_VALUE"""),"Uncle Sams Cider (11/12/2021) 02")</f>
        <v>Uncle Sams Cider (11/12/2021) 02</v>
      </c>
      <c r="H3932" s="19"/>
    </row>
    <row r="3933">
      <c r="A3933" s="9"/>
      <c r="B3933" s="15"/>
      <c r="C3933" s="9">
        <f>IFERROR(__xludf.DUMMYFUNCTION("""COMPUTED_VALUE"""),44564.4777918865)</f>
        <v>44564.47779</v>
      </c>
      <c r="D3933" s="15">
        <f>IFERROR(__xludf.DUMMYFUNCTION("""COMPUTED_VALUE"""),1.01)</f>
        <v>1.01</v>
      </c>
      <c r="E3933" s="16">
        <f>IFERROR(__xludf.DUMMYFUNCTION("""COMPUTED_VALUE"""),63.0)</f>
        <v>63</v>
      </c>
      <c r="F3933" s="19" t="str">
        <f>IFERROR(__xludf.DUMMYFUNCTION("""COMPUTED_VALUE"""),"BLACK")</f>
        <v>BLACK</v>
      </c>
      <c r="G3933" s="20" t="str">
        <f>IFERROR(__xludf.DUMMYFUNCTION("""COMPUTED_VALUE"""),"Uncle Sams Cider (11/12/2021) 02")</f>
        <v>Uncle Sams Cider (11/12/2021) 02</v>
      </c>
      <c r="H3933" s="19"/>
    </row>
    <row r="3934">
      <c r="A3934" s="9"/>
      <c r="B3934" s="15"/>
      <c r="C3934" s="9">
        <f>IFERROR(__xludf.DUMMYFUNCTION("""COMPUTED_VALUE"""),44564.4673366435)</f>
        <v>44564.46734</v>
      </c>
      <c r="D3934" s="15">
        <f>IFERROR(__xludf.DUMMYFUNCTION("""COMPUTED_VALUE"""),1.011)</f>
        <v>1.011</v>
      </c>
      <c r="E3934" s="16">
        <f>IFERROR(__xludf.DUMMYFUNCTION("""COMPUTED_VALUE"""),63.0)</f>
        <v>63</v>
      </c>
      <c r="F3934" s="19" t="str">
        <f>IFERROR(__xludf.DUMMYFUNCTION("""COMPUTED_VALUE"""),"BLACK")</f>
        <v>BLACK</v>
      </c>
      <c r="G3934" s="20" t="str">
        <f>IFERROR(__xludf.DUMMYFUNCTION("""COMPUTED_VALUE"""),"Uncle Sams Cider (11/12/2021) 02")</f>
        <v>Uncle Sams Cider (11/12/2021) 02</v>
      </c>
      <c r="H3934" s="19"/>
    </row>
    <row r="3935">
      <c r="A3935" s="9"/>
      <c r="B3935" s="15"/>
      <c r="C3935" s="9">
        <f>IFERROR(__xludf.DUMMYFUNCTION("""COMPUTED_VALUE"""),44564.4568924421)</f>
        <v>44564.45689</v>
      </c>
      <c r="D3935" s="15">
        <f>IFERROR(__xludf.DUMMYFUNCTION("""COMPUTED_VALUE"""),1.011)</f>
        <v>1.011</v>
      </c>
      <c r="E3935" s="16">
        <f>IFERROR(__xludf.DUMMYFUNCTION("""COMPUTED_VALUE"""),63.0)</f>
        <v>63</v>
      </c>
      <c r="F3935" s="19" t="str">
        <f>IFERROR(__xludf.DUMMYFUNCTION("""COMPUTED_VALUE"""),"BLACK")</f>
        <v>BLACK</v>
      </c>
      <c r="G3935" s="20" t="str">
        <f>IFERROR(__xludf.DUMMYFUNCTION("""COMPUTED_VALUE"""),"Uncle Sams Cider (11/12/2021) 02")</f>
        <v>Uncle Sams Cider (11/12/2021) 02</v>
      </c>
      <c r="H3935" s="19"/>
    </row>
    <row r="3936">
      <c r="A3936" s="9"/>
      <c r="B3936" s="15"/>
      <c r="C3936" s="9">
        <f>IFERROR(__xludf.DUMMYFUNCTION("""COMPUTED_VALUE"""),44564.4464246527)</f>
        <v>44564.44642</v>
      </c>
      <c r="D3936" s="15">
        <f>IFERROR(__xludf.DUMMYFUNCTION("""COMPUTED_VALUE"""),1.011)</f>
        <v>1.011</v>
      </c>
      <c r="E3936" s="16">
        <f>IFERROR(__xludf.DUMMYFUNCTION("""COMPUTED_VALUE"""),63.0)</f>
        <v>63</v>
      </c>
      <c r="F3936" s="19" t="str">
        <f>IFERROR(__xludf.DUMMYFUNCTION("""COMPUTED_VALUE"""),"BLACK")</f>
        <v>BLACK</v>
      </c>
      <c r="G3936" s="20" t="str">
        <f>IFERROR(__xludf.DUMMYFUNCTION("""COMPUTED_VALUE"""),"Uncle Sams Cider (11/12/2021) 02")</f>
        <v>Uncle Sams Cider (11/12/2021) 02</v>
      </c>
      <c r="H3936" s="19"/>
    </row>
    <row r="3937">
      <c r="A3937" s="9"/>
      <c r="B3937" s="15"/>
      <c r="C3937" s="9">
        <f>IFERROR(__xludf.DUMMYFUNCTION("""COMPUTED_VALUE"""),44564.4359443634)</f>
        <v>44564.43594</v>
      </c>
      <c r="D3937" s="15">
        <f>IFERROR(__xludf.DUMMYFUNCTION("""COMPUTED_VALUE"""),1.011)</f>
        <v>1.011</v>
      </c>
      <c r="E3937" s="16">
        <f>IFERROR(__xludf.DUMMYFUNCTION("""COMPUTED_VALUE"""),63.0)</f>
        <v>63</v>
      </c>
      <c r="F3937" s="19" t="str">
        <f>IFERROR(__xludf.DUMMYFUNCTION("""COMPUTED_VALUE"""),"BLACK")</f>
        <v>BLACK</v>
      </c>
      <c r="G3937" s="20" t="str">
        <f>IFERROR(__xludf.DUMMYFUNCTION("""COMPUTED_VALUE"""),"Uncle Sams Cider (11/12/2021) 02")</f>
        <v>Uncle Sams Cider (11/12/2021) 02</v>
      </c>
      <c r="H3937" s="19"/>
    </row>
    <row r="3938">
      <c r="A3938" s="9"/>
      <c r="B3938" s="15"/>
      <c r="C3938" s="9">
        <f>IFERROR(__xludf.DUMMYFUNCTION("""COMPUTED_VALUE"""),44564.4254755208)</f>
        <v>44564.42548</v>
      </c>
      <c r="D3938" s="15">
        <f>IFERROR(__xludf.DUMMYFUNCTION("""COMPUTED_VALUE"""),1.011)</f>
        <v>1.011</v>
      </c>
      <c r="E3938" s="16">
        <f>IFERROR(__xludf.DUMMYFUNCTION("""COMPUTED_VALUE"""),63.0)</f>
        <v>63</v>
      </c>
      <c r="F3938" s="19" t="str">
        <f>IFERROR(__xludf.DUMMYFUNCTION("""COMPUTED_VALUE"""),"BLACK")</f>
        <v>BLACK</v>
      </c>
      <c r="G3938" s="20" t="str">
        <f>IFERROR(__xludf.DUMMYFUNCTION("""COMPUTED_VALUE"""),"Uncle Sams Cider (11/12/2021) 02")</f>
        <v>Uncle Sams Cider (11/12/2021) 02</v>
      </c>
      <c r="H3938" s="19"/>
    </row>
    <row r="3939">
      <c r="A3939" s="9"/>
      <c r="B3939" s="15"/>
      <c r="C3939" s="9">
        <f>IFERROR(__xludf.DUMMYFUNCTION("""COMPUTED_VALUE"""),44564.4150328125)</f>
        <v>44564.41503</v>
      </c>
      <c r="D3939" s="15">
        <f>IFERROR(__xludf.DUMMYFUNCTION("""COMPUTED_VALUE"""),1.011)</f>
        <v>1.011</v>
      </c>
      <c r="E3939" s="16">
        <f>IFERROR(__xludf.DUMMYFUNCTION("""COMPUTED_VALUE"""),63.0)</f>
        <v>63</v>
      </c>
      <c r="F3939" s="19" t="str">
        <f>IFERROR(__xludf.DUMMYFUNCTION("""COMPUTED_VALUE"""),"BLACK")</f>
        <v>BLACK</v>
      </c>
      <c r="G3939" s="20" t="str">
        <f>IFERROR(__xludf.DUMMYFUNCTION("""COMPUTED_VALUE"""),"Uncle Sams Cider (11/12/2021) 02")</f>
        <v>Uncle Sams Cider (11/12/2021) 02</v>
      </c>
      <c r="H3939" s="19"/>
    </row>
    <row r="3940">
      <c r="A3940" s="9"/>
      <c r="B3940" s="15"/>
      <c r="C3940" s="9">
        <f>IFERROR(__xludf.DUMMYFUNCTION("""COMPUTED_VALUE"""),44564.4046144097)</f>
        <v>44564.40461</v>
      </c>
      <c r="D3940" s="15">
        <f>IFERROR(__xludf.DUMMYFUNCTION("""COMPUTED_VALUE"""),1.011)</f>
        <v>1.011</v>
      </c>
      <c r="E3940" s="16">
        <f>IFERROR(__xludf.DUMMYFUNCTION("""COMPUTED_VALUE"""),63.0)</f>
        <v>63</v>
      </c>
      <c r="F3940" s="19" t="str">
        <f>IFERROR(__xludf.DUMMYFUNCTION("""COMPUTED_VALUE"""),"BLACK")</f>
        <v>BLACK</v>
      </c>
      <c r="G3940" s="20" t="str">
        <f>IFERROR(__xludf.DUMMYFUNCTION("""COMPUTED_VALUE"""),"Uncle Sams Cider (11/12/2021) 02")</f>
        <v>Uncle Sams Cider (11/12/2021) 02</v>
      </c>
      <c r="H3940" s="19"/>
    </row>
    <row r="3941">
      <c r="A3941" s="9"/>
      <c r="B3941" s="15"/>
      <c r="C3941" s="9">
        <f>IFERROR(__xludf.DUMMYFUNCTION("""COMPUTED_VALUE"""),44564.3941937962)</f>
        <v>44564.39419</v>
      </c>
      <c r="D3941" s="15">
        <f>IFERROR(__xludf.DUMMYFUNCTION("""COMPUTED_VALUE"""),1.011)</f>
        <v>1.011</v>
      </c>
      <c r="E3941" s="16">
        <f>IFERROR(__xludf.DUMMYFUNCTION("""COMPUTED_VALUE"""),63.0)</f>
        <v>63</v>
      </c>
      <c r="F3941" s="19" t="str">
        <f>IFERROR(__xludf.DUMMYFUNCTION("""COMPUTED_VALUE"""),"BLACK")</f>
        <v>BLACK</v>
      </c>
      <c r="G3941" s="20" t="str">
        <f>IFERROR(__xludf.DUMMYFUNCTION("""COMPUTED_VALUE"""),"Uncle Sams Cider (11/12/2021) 02")</f>
        <v>Uncle Sams Cider (11/12/2021) 02</v>
      </c>
      <c r="H3941" s="19"/>
    </row>
    <row r="3942">
      <c r="A3942" s="9"/>
      <c r="B3942" s="15"/>
      <c r="C3942" s="9">
        <f>IFERROR(__xludf.DUMMYFUNCTION("""COMPUTED_VALUE"""),44564.3837711342)</f>
        <v>44564.38377</v>
      </c>
      <c r="D3942" s="15">
        <f>IFERROR(__xludf.DUMMYFUNCTION("""COMPUTED_VALUE"""),1.011)</f>
        <v>1.011</v>
      </c>
      <c r="E3942" s="16">
        <f>IFERROR(__xludf.DUMMYFUNCTION("""COMPUTED_VALUE"""),63.0)</f>
        <v>63</v>
      </c>
      <c r="F3942" s="19" t="str">
        <f>IFERROR(__xludf.DUMMYFUNCTION("""COMPUTED_VALUE"""),"BLACK")</f>
        <v>BLACK</v>
      </c>
      <c r="G3942" s="20" t="str">
        <f>IFERROR(__xludf.DUMMYFUNCTION("""COMPUTED_VALUE"""),"Uncle Sams Cider (11/12/2021) 02")</f>
        <v>Uncle Sams Cider (11/12/2021) 02</v>
      </c>
      <c r="H3942" s="19"/>
    </row>
    <row r="3943">
      <c r="A3943" s="9"/>
      <c r="B3943" s="15"/>
      <c r="C3943" s="9">
        <f>IFERROR(__xludf.DUMMYFUNCTION("""COMPUTED_VALUE"""),44564.3733507523)</f>
        <v>44564.37335</v>
      </c>
      <c r="D3943" s="15">
        <f>IFERROR(__xludf.DUMMYFUNCTION("""COMPUTED_VALUE"""),1.011)</f>
        <v>1.011</v>
      </c>
      <c r="E3943" s="16">
        <f>IFERROR(__xludf.DUMMYFUNCTION("""COMPUTED_VALUE"""),63.0)</f>
        <v>63</v>
      </c>
      <c r="F3943" s="19" t="str">
        <f>IFERROR(__xludf.DUMMYFUNCTION("""COMPUTED_VALUE"""),"BLACK")</f>
        <v>BLACK</v>
      </c>
      <c r="G3943" s="20" t="str">
        <f>IFERROR(__xludf.DUMMYFUNCTION("""COMPUTED_VALUE"""),"Uncle Sams Cider (11/12/2021) 02")</f>
        <v>Uncle Sams Cider (11/12/2021) 02</v>
      </c>
      <c r="H3943" s="19"/>
    </row>
    <row r="3944">
      <c r="A3944" s="9"/>
      <c r="B3944" s="15"/>
      <c r="C3944" s="9">
        <f>IFERROR(__xludf.DUMMYFUNCTION("""COMPUTED_VALUE"""),44564.3629301388)</f>
        <v>44564.36293</v>
      </c>
      <c r="D3944" s="15">
        <f>IFERROR(__xludf.DUMMYFUNCTION("""COMPUTED_VALUE"""),1.011)</f>
        <v>1.011</v>
      </c>
      <c r="E3944" s="16">
        <f>IFERROR(__xludf.DUMMYFUNCTION("""COMPUTED_VALUE"""),63.0)</f>
        <v>63</v>
      </c>
      <c r="F3944" s="19" t="str">
        <f>IFERROR(__xludf.DUMMYFUNCTION("""COMPUTED_VALUE"""),"BLACK")</f>
        <v>BLACK</v>
      </c>
      <c r="G3944" s="20" t="str">
        <f>IFERROR(__xludf.DUMMYFUNCTION("""COMPUTED_VALUE"""),"Uncle Sams Cider (11/12/2021) 02")</f>
        <v>Uncle Sams Cider (11/12/2021) 02</v>
      </c>
      <c r="H3944" s="19"/>
    </row>
    <row r="3945">
      <c r="A3945" s="9"/>
      <c r="B3945" s="15"/>
      <c r="C3945" s="9">
        <f>IFERROR(__xludf.DUMMYFUNCTION("""COMPUTED_VALUE"""),44564.3524854861)</f>
        <v>44564.35249</v>
      </c>
      <c r="D3945" s="15">
        <f>IFERROR(__xludf.DUMMYFUNCTION("""COMPUTED_VALUE"""),1.011)</f>
        <v>1.011</v>
      </c>
      <c r="E3945" s="16">
        <f>IFERROR(__xludf.DUMMYFUNCTION("""COMPUTED_VALUE"""),63.0)</f>
        <v>63</v>
      </c>
      <c r="F3945" s="19" t="str">
        <f>IFERROR(__xludf.DUMMYFUNCTION("""COMPUTED_VALUE"""),"BLACK")</f>
        <v>BLACK</v>
      </c>
      <c r="G3945" s="20" t="str">
        <f>IFERROR(__xludf.DUMMYFUNCTION("""COMPUTED_VALUE"""),"Uncle Sams Cider (11/12/2021) 02")</f>
        <v>Uncle Sams Cider (11/12/2021) 02</v>
      </c>
      <c r="H3945" s="19"/>
    </row>
    <row r="3946">
      <c r="A3946" s="9"/>
      <c r="B3946" s="15"/>
      <c r="C3946" s="9">
        <f>IFERROR(__xludf.DUMMYFUNCTION("""COMPUTED_VALUE"""),44564.3420534259)</f>
        <v>44564.34205</v>
      </c>
      <c r="D3946" s="15">
        <f>IFERROR(__xludf.DUMMYFUNCTION("""COMPUTED_VALUE"""),1.011)</f>
        <v>1.011</v>
      </c>
      <c r="E3946" s="16">
        <f>IFERROR(__xludf.DUMMYFUNCTION("""COMPUTED_VALUE"""),63.0)</f>
        <v>63</v>
      </c>
      <c r="F3946" s="19" t="str">
        <f>IFERROR(__xludf.DUMMYFUNCTION("""COMPUTED_VALUE"""),"BLACK")</f>
        <v>BLACK</v>
      </c>
      <c r="G3946" s="20" t="str">
        <f>IFERROR(__xludf.DUMMYFUNCTION("""COMPUTED_VALUE"""),"Uncle Sams Cider (11/12/2021) 02")</f>
        <v>Uncle Sams Cider (11/12/2021) 02</v>
      </c>
      <c r="H3946" s="19"/>
    </row>
    <row r="3947">
      <c r="A3947" s="9"/>
      <c r="B3947" s="15"/>
      <c r="C3947" s="9">
        <f>IFERROR(__xludf.DUMMYFUNCTION("""COMPUTED_VALUE"""),44564.3316336574)</f>
        <v>44564.33163</v>
      </c>
      <c r="D3947" s="15">
        <f>IFERROR(__xludf.DUMMYFUNCTION("""COMPUTED_VALUE"""),1.011)</f>
        <v>1.011</v>
      </c>
      <c r="E3947" s="16">
        <f>IFERROR(__xludf.DUMMYFUNCTION("""COMPUTED_VALUE"""),63.0)</f>
        <v>63</v>
      </c>
      <c r="F3947" s="19" t="str">
        <f>IFERROR(__xludf.DUMMYFUNCTION("""COMPUTED_VALUE"""),"BLACK")</f>
        <v>BLACK</v>
      </c>
      <c r="G3947" s="20" t="str">
        <f>IFERROR(__xludf.DUMMYFUNCTION("""COMPUTED_VALUE"""),"Uncle Sams Cider (11/12/2021) 02")</f>
        <v>Uncle Sams Cider (11/12/2021) 02</v>
      </c>
      <c r="H3947" s="19"/>
    </row>
    <row r="3948">
      <c r="A3948" s="9"/>
      <c r="B3948" s="15"/>
      <c r="C3948" s="9">
        <f>IFERROR(__xludf.DUMMYFUNCTION("""COMPUTED_VALUE"""),44564.3212014351)</f>
        <v>44564.3212</v>
      </c>
      <c r="D3948" s="15">
        <f>IFERROR(__xludf.DUMMYFUNCTION("""COMPUTED_VALUE"""),1.011)</f>
        <v>1.011</v>
      </c>
      <c r="E3948" s="16">
        <f>IFERROR(__xludf.DUMMYFUNCTION("""COMPUTED_VALUE"""),63.0)</f>
        <v>63</v>
      </c>
      <c r="F3948" s="19" t="str">
        <f>IFERROR(__xludf.DUMMYFUNCTION("""COMPUTED_VALUE"""),"BLACK")</f>
        <v>BLACK</v>
      </c>
      <c r="G3948" s="20" t="str">
        <f>IFERROR(__xludf.DUMMYFUNCTION("""COMPUTED_VALUE"""),"Uncle Sams Cider (11/12/2021) 02")</f>
        <v>Uncle Sams Cider (11/12/2021) 02</v>
      </c>
      <c r="H3948" s="19"/>
    </row>
    <row r="3949">
      <c r="A3949" s="9"/>
      <c r="B3949" s="15"/>
      <c r="C3949" s="9">
        <f>IFERROR(__xludf.DUMMYFUNCTION("""COMPUTED_VALUE"""),44564.3107794907)</f>
        <v>44564.31078</v>
      </c>
      <c r="D3949" s="15">
        <f>IFERROR(__xludf.DUMMYFUNCTION("""COMPUTED_VALUE"""),1.011)</f>
        <v>1.011</v>
      </c>
      <c r="E3949" s="16">
        <f>IFERROR(__xludf.DUMMYFUNCTION("""COMPUTED_VALUE"""),63.0)</f>
        <v>63</v>
      </c>
      <c r="F3949" s="19" t="str">
        <f>IFERROR(__xludf.DUMMYFUNCTION("""COMPUTED_VALUE"""),"BLACK")</f>
        <v>BLACK</v>
      </c>
      <c r="G3949" s="20" t="str">
        <f>IFERROR(__xludf.DUMMYFUNCTION("""COMPUTED_VALUE"""),"Uncle Sams Cider (11/12/2021) 02")</f>
        <v>Uncle Sams Cider (11/12/2021) 02</v>
      </c>
      <c r="H3949" s="19"/>
    </row>
    <row r="3950">
      <c r="A3950" s="9"/>
      <c r="B3950" s="15"/>
      <c r="C3950" s="9">
        <f>IFERROR(__xludf.DUMMYFUNCTION("""COMPUTED_VALUE"""),44564.3003571412)</f>
        <v>44564.30036</v>
      </c>
      <c r="D3950" s="15">
        <f>IFERROR(__xludf.DUMMYFUNCTION("""COMPUTED_VALUE"""),1.011)</f>
        <v>1.011</v>
      </c>
      <c r="E3950" s="16">
        <f>IFERROR(__xludf.DUMMYFUNCTION("""COMPUTED_VALUE"""),63.0)</f>
        <v>63</v>
      </c>
      <c r="F3950" s="19" t="str">
        <f>IFERROR(__xludf.DUMMYFUNCTION("""COMPUTED_VALUE"""),"BLACK")</f>
        <v>BLACK</v>
      </c>
      <c r="G3950" s="20" t="str">
        <f>IFERROR(__xludf.DUMMYFUNCTION("""COMPUTED_VALUE"""),"Uncle Sams Cider (11/12/2021) 02")</f>
        <v>Uncle Sams Cider (11/12/2021) 02</v>
      </c>
      <c r="H3950" s="19"/>
    </row>
    <row r="3951">
      <c r="A3951" s="9"/>
      <c r="B3951" s="15"/>
      <c r="C3951" s="9">
        <f>IFERROR(__xludf.DUMMYFUNCTION("""COMPUTED_VALUE"""),44564.2899349652)</f>
        <v>44564.28993</v>
      </c>
      <c r="D3951" s="15">
        <f>IFERROR(__xludf.DUMMYFUNCTION("""COMPUTED_VALUE"""),1.011)</f>
        <v>1.011</v>
      </c>
      <c r="E3951" s="16">
        <f>IFERROR(__xludf.DUMMYFUNCTION("""COMPUTED_VALUE"""),63.0)</f>
        <v>63</v>
      </c>
      <c r="F3951" s="19" t="str">
        <f>IFERROR(__xludf.DUMMYFUNCTION("""COMPUTED_VALUE"""),"BLACK")</f>
        <v>BLACK</v>
      </c>
      <c r="G3951" s="20" t="str">
        <f>IFERROR(__xludf.DUMMYFUNCTION("""COMPUTED_VALUE"""),"Uncle Sams Cider (11/12/2021) 02")</f>
        <v>Uncle Sams Cider (11/12/2021) 02</v>
      </c>
      <c r="H3951" s="19"/>
    </row>
    <row r="3952">
      <c r="A3952" s="9"/>
      <c r="B3952" s="15"/>
      <c r="C3952" s="9">
        <f>IFERROR(__xludf.DUMMYFUNCTION("""COMPUTED_VALUE"""),44564.2795125)</f>
        <v>44564.27951</v>
      </c>
      <c r="D3952" s="15">
        <f>IFERROR(__xludf.DUMMYFUNCTION("""COMPUTED_VALUE"""),1.011)</f>
        <v>1.011</v>
      </c>
      <c r="E3952" s="16">
        <f>IFERROR(__xludf.DUMMYFUNCTION("""COMPUTED_VALUE"""),63.0)</f>
        <v>63</v>
      </c>
      <c r="F3952" s="19" t="str">
        <f>IFERROR(__xludf.DUMMYFUNCTION("""COMPUTED_VALUE"""),"BLACK")</f>
        <v>BLACK</v>
      </c>
      <c r="G3952" s="20" t="str">
        <f>IFERROR(__xludf.DUMMYFUNCTION("""COMPUTED_VALUE"""),"Uncle Sams Cider (11/12/2021) 02")</f>
        <v>Uncle Sams Cider (11/12/2021) 02</v>
      </c>
      <c r="H3952" s="19"/>
    </row>
    <row r="3953">
      <c r="A3953" s="9"/>
      <c r="B3953" s="15"/>
      <c r="C3953" s="9">
        <f>IFERROR(__xludf.DUMMYFUNCTION("""COMPUTED_VALUE"""),44564.2690550925)</f>
        <v>44564.26906</v>
      </c>
      <c r="D3953" s="15">
        <f>IFERROR(__xludf.DUMMYFUNCTION("""COMPUTED_VALUE"""),1.011)</f>
        <v>1.011</v>
      </c>
      <c r="E3953" s="16">
        <f>IFERROR(__xludf.DUMMYFUNCTION("""COMPUTED_VALUE"""),63.0)</f>
        <v>63</v>
      </c>
      <c r="F3953" s="19" t="str">
        <f>IFERROR(__xludf.DUMMYFUNCTION("""COMPUTED_VALUE"""),"BLACK")</f>
        <v>BLACK</v>
      </c>
      <c r="G3953" s="20" t="str">
        <f>IFERROR(__xludf.DUMMYFUNCTION("""COMPUTED_VALUE"""),"Uncle Sams Cider (11/12/2021) 02")</f>
        <v>Uncle Sams Cider (11/12/2021) 02</v>
      </c>
      <c r="H3953" s="19"/>
    </row>
    <row r="3954">
      <c r="A3954" s="9"/>
      <c r="B3954" s="15"/>
      <c r="C3954" s="9">
        <f>IFERROR(__xludf.DUMMYFUNCTION("""COMPUTED_VALUE"""),44564.2586337268)</f>
        <v>44564.25863</v>
      </c>
      <c r="D3954" s="15">
        <f>IFERROR(__xludf.DUMMYFUNCTION("""COMPUTED_VALUE"""),1.011)</f>
        <v>1.011</v>
      </c>
      <c r="E3954" s="16">
        <f>IFERROR(__xludf.DUMMYFUNCTION("""COMPUTED_VALUE"""),63.0)</f>
        <v>63</v>
      </c>
      <c r="F3954" s="19" t="str">
        <f>IFERROR(__xludf.DUMMYFUNCTION("""COMPUTED_VALUE"""),"BLACK")</f>
        <v>BLACK</v>
      </c>
      <c r="G3954" s="20" t="str">
        <f>IFERROR(__xludf.DUMMYFUNCTION("""COMPUTED_VALUE"""),"Uncle Sams Cider (11/12/2021) 02")</f>
        <v>Uncle Sams Cider (11/12/2021) 02</v>
      </c>
      <c r="H3954" s="19"/>
    </row>
    <row r="3955">
      <c r="A3955" s="9"/>
      <c r="B3955" s="15"/>
      <c r="C3955" s="9">
        <f>IFERROR(__xludf.DUMMYFUNCTION("""COMPUTED_VALUE"""),44564.248210787)</f>
        <v>44564.24821</v>
      </c>
      <c r="D3955" s="15">
        <f>IFERROR(__xludf.DUMMYFUNCTION("""COMPUTED_VALUE"""),1.011)</f>
        <v>1.011</v>
      </c>
      <c r="E3955" s="16">
        <f>IFERROR(__xludf.DUMMYFUNCTION("""COMPUTED_VALUE"""),63.0)</f>
        <v>63</v>
      </c>
      <c r="F3955" s="19" t="str">
        <f>IFERROR(__xludf.DUMMYFUNCTION("""COMPUTED_VALUE"""),"BLACK")</f>
        <v>BLACK</v>
      </c>
      <c r="G3955" s="20" t="str">
        <f>IFERROR(__xludf.DUMMYFUNCTION("""COMPUTED_VALUE"""),"Uncle Sams Cider (11/12/2021) 02")</f>
        <v>Uncle Sams Cider (11/12/2021) 02</v>
      </c>
      <c r="H3955" s="19"/>
    </row>
    <row r="3956">
      <c r="A3956" s="9"/>
      <c r="B3956" s="15"/>
      <c r="C3956" s="9">
        <f>IFERROR(__xludf.DUMMYFUNCTION("""COMPUTED_VALUE"""),44564.2377908217)</f>
        <v>44564.23779</v>
      </c>
      <c r="D3956" s="15">
        <f>IFERROR(__xludf.DUMMYFUNCTION("""COMPUTED_VALUE"""),1.011)</f>
        <v>1.011</v>
      </c>
      <c r="E3956" s="16">
        <f>IFERROR(__xludf.DUMMYFUNCTION("""COMPUTED_VALUE"""),63.0)</f>
        <v>63</v>
      </c>
      <c r="F3956" s="19" t="str">
        <f>IFERROR(__xludf.DUMMYFUNCTION("""COMPUTED_VALUE"""),"BLACK")</f>
        <v>BLACK</v>
      </c>
      <c r="G3956" s="20" t="str">
        <f>IFERROR(__xludf.DUMMYFUNCTION("""COMPUTED_VALUE"""),"Uncle Sams Cider (11/12/2021) 02")</f>
        <v>Uncle Sams Cider (11/12/2021) 02</v>
      </c>
      <c r="H3956" s="19"/>
    </row>
    <row r="3957">
      <c r="A3957" s="9"/>
      <c r="B3957" s="15"/>
      <c r="C3957" s="9">
        <f>IFERROR(__xludf.DUMMYFUNCTION("""COMPUTED_VALUE"""),44564.227358125)</f>
        <v>44564.22736</v>
      </c>
      <c r="D3957" s="15">
        <f>IFERROR(__xludf.DUMMYFUNCTION("""COMPUTED_VALUE"""),1.011)</f>
        <v>1.011</v>
      </c>
      <c r="E3957" s="16">
        <f>IFERROR(__xludf.DUMMYFUNCTION("""COMPUTED_VALUE"""),63.0)</f>
        <v>63</v>
      </c>
      <c r="F3957" s="19" t="str">
        <f>IFERROR(__xludf.DUMMYFUNCTION("""COMPUTED_VALUE"""),"BLACK")</f>
        <v>BLACK</v>
      </c>
      <c r="G3957" s="20" t="str">
        <f>IFERROR(__xludf.DUMMYFUNCTION("""COMPUTED_VALUE"""),"Uncle Sams Cider (11/12/2021) 02")</f>
        <v>Uncle Sams Cider (11/12/2021) 02</v>
      </c>
      <c r="H3957" s="19"/>
    </row>
    <row r="3958">
      <c r="A3958" s="9"/>
      <c r="B3958" s="15"/>
      <c r="C3958" s="9">
        <f>IFERROR(__xludf.DUMMYFUNCTION("""COMPUTED_VALUE"""),44564.2169358796)</f>
        <v>44564.21694</v>
      </c>
      <c r="D3958" s="15">
        <f>IFERROR(__xludf.DUMMYFUNCTION("""COMPUTED_VALUE"""),1.011)</f>
        <v>1.011</v>
      </c>
      <c r="E3958" s="16">
        <f>IFERROR(__xludf.DUMMYFUNCTION("""COMPUTED_VALUE"""),63.0)</f>
        <v>63</v>
      </c>
      <c r="F3958" s="19" t="str">
        <f>IFERROR(__xludf.DUMMYFUNCTION("""COMPUTED_VALUE"""),"BLACK")</f>
        <v>BLACK</v>
      </c>
      <c r="G3958" s="20" t="str">
        <f>IFERROR(__xludf.DUMMYFUNCTION("""COMPUTED_VALUE"""),"Uncle Sams Cider (11/12/2021) 02")</f>
        <v>Uncle Sams Cider (11/12/2021) 02</v>
      </c>
      <c r="H3958" s="19"/>
    </row>
    <row r="3959">
      <c r="A3959" s="9"/>
      <c r="B3959" s="15"/>
      <c r="C3959" s="9">
        <f>IFERROR(__xludf.DUMMYFUNCTION("""COMPUTED_VALUE"""),44564.2065178472)</f>
        <v>44564.20652</v>
      </c>
      <c r="D3959" s="15">
        <f>IFERROR(__xludf.DUMMYFUNCTION("""COMPUTED_VALUE"""),1.011)</f>
        <v>1.011</v>
      </c>
      <c r="E3959" s="16">
        <f>IFERROR(__xludf.DUMMYFUNCTION("""COMPUTED_VALUE"""),63.0)</f>
        <v>63</v>
      </c>
      <c r="F3959" s="19" t="str">
        <f>IFERROR(__xludf.DUMMYFUNCTION("""COMPUTED_VALUE"""),"BLACK")</f>
        <v>BLACK</v>
      </c>
      <c r="G3959" s="20" t="str">
        <f>IFERROR(__xludf.DUMMYFUNCTION("""COMPUTED_VALUE"""),"Uncle Sams Cider (11/12/2021) 02")</f>
        <v>Uncle Sams Cider (11/12/2021) 02</v>
      </c>
      <c r="H3959" s="19"/>
    </row>
    <row r="3960">
      <c r="A3960" s="9"/>
      <c r="B3960" s="15"/>
      <c r="C3960" s="9">
        <f>IFERROR(__xludf.DUMMYFUNCTION("""COMPUTED_VALUE"""),44564.1960976851)</f>
        <v>44564.1961</v>
      </c>
      <c r="D3960" s="15">
        <f>IFERROR(__xludf.DUMMYFUNCTION("""COMPUTED_VALUE"""),1.011)</f>
        <v>1.011</v>
      </c>
      <c r="E3960" s="16">
        <f>IFERROR(__xludf.DUMMYFUNCTION("""COMPUTED_VALUE"""),63.0)</f>
        <v>63</v>
      </c>
      <c r="F3960" s="19" t="str">
        <f>IFERROR(__xludf.DUMMYFUNCTION("""COMPUTED_VALUE"""),"BLACK")</f>
        <v>BLACK</v>
      </c>
      <c r="G3960" s="20" t="str">
        <f>IFERROR(__xludf.DUMMYFUNCTION("""COMPUTED_VALUE"""),"Uncle Sams Cider (11/12/2021) 02")</f>
        <v>Uncle Sams Cider (11/12/2021) 02</v>
      </c>
      <c r="H3960" s="19"/>
    </row>
    <row r="3961">
      <c r="A3961" s="9"/>
      <c r="B3961" s="15"/>
      <c r="C3961" s="9">
        <f>IFERROR(__xludf.DUMMYFUNCTION("""COMPUTED_VALUE"""),44564.1856768634)</f>
        <v>44564.18568</v>
      </c>
      <c r="D3961" s="15">
        <f>IFERROR(__xludf.DUMMYFUNCTION("""COMPUTED_VALUE"""),1.011)</f>
        <v>1.011</v>
      </c>
      <c r="E3961" s="16">
        <f>IFERROR(__xludf.DUMMYFUNCTION("""COMPUTED_VALUE"""),63.0)</f>
        <v>63</v>
      </c>
      <c r="F3961" s="19" t="str">
        <f>IFERROR(__xludf.DUMMYFUNCTION("""COMPUTED_VALUE"""),"BLACK")</f>
        <v>BLACK</v>
      </c>
      <c r="G3961" s="20" t="str">
        <f>IFERROR(__xludf.DUMMYFUNCTION("""COMPUTED_VALUE"""),"Uncle Sams Cider (11/12/2021) 02")</f>
        <v>Uncle Sams Cider (11/12/2021) 02</v>
      </c>
      <c r="H3961" s="19"/>
    </row>
    <row r="3962">
      <c r="A3962" s="9"/>
      <c r="B3962" s="15"/>
      <c r="C3962" s="9">
        <f>IFERROR(__xludf.DUMMYFUNCTION("""COMPUTED_VALUE"""),44564.1752552893)</f>
        <v>44564.17526</v>
      </c>
      <c r="D3962" s="15">
        <f>IFERROR(__xludf.DUMMYFUNCTION("""COMPUTED_VALUE"""),1.011)</f>
        <v>1.011</v>
      </c>
      <c r="E3962" s="16">
        <f>IFERROR(__xludf.DUMMYFUNCTION("""COMPUTED_VALUE"""),63.0)</f>
        <v>63</v>
      </c>
      <c r="F3962" s="19" t="str">
        <f>IFERROR(__xludf.DUMMYFUNCTION("""COMPUTED_VALUE"""),"BLACK")</f>
        <v>BLACK</v>
      </c>
      <c r="G3962" s="20" t="str">
        <f>IFERROR(__xludf.DUMMYFUNCTION("""COMPUTED_VALUE"""),"Uncle Sams Cider (11/12/2021) 02")</f>
        <v>Uncle Sams Cider (11/12/2021) 02</v>
      </c>
      <c r="H3962" s="19"/>
    </row>
    <row r="3963">
      <c r="A3963" s="9"/>
      <c r="B3963" s="15"/>
      <c r="C3963" s="9">
        <f>IFERROR(__xludf.DUMMYFUNCTION("""COMPUTED_VALUE"""),44564.1648122453)</f>
        <v>44564.16481</v>
      </c>
      <c r="D3963" s="15">
        <f>IFERROR(__xludf.DUMMYFUNCTION("""COMPUTED_VALUE"""),1.011)</f>
        <v>1.011</v>
      </c>
      <c r="E3963" s="16">
        <f>IFERROR(__xludf.DUMMYFUNCTION("""COMPUTED_VALUE"""),63.0)</f>
        <v>63</v>
      </c>
      <c r="F3963" s="19" t="str">
        <f>IFERROR(__xludf.DUMMYFUNCTION("""COMPUTED_VALUE"""),"BLACK")</f>
        <v>BLACK</v>
      </c>
      <c r="G3963" s="20" t="str">
        <f>IFERROR(__xludf.DUMMYFUNCTION("""COMPUTED_VALUE"""),"Uncle Sams Cider (11/12/2021) 02")</f>
        <v>Uncle Sams Cider (11/12/2021) 02</v>
      </c>
      <c r="H3963" s="19"/>
    </row>
    <row r="3964">
      <c r="A3964" s="9"/>
      <c r="B3964" s="15"/>
      <c r="C3964" s="9">
        <f>IFERROR(__xludf.DUMMYFUNCTION("""COMPUTED_VALUE"""),44564.1543899421)</f>
        <v>44564.15439</v>
      </c>
      <c r="D3964" s="15">
        <f>IFERROR(__xludf.DUMMYFUNCTION("""COMPUTED_VALUE"""),1.011)</f>
        <v>1.011</v>
      </c>
      <c r="E3964" s="16">
        <f>IFERROR(__xludf.DUMMYFUNCTION("""COMPUTED_VALUE"""),63.0)</f>
        <v>63</v>
      </c>
      <c r="F3964" s="19" t="str">
        <f>IFERROR(__xludf.DUMMYFUNCTION("""COMPUTED_VALUE"""),"BLACK")</f>
        <v>BLACK</v>
      </c>
      <c r="G3964" s="20" t="str">
        <f>IFERROR(__xludf.DUMMYFUNCTION("""COMPUTED_VALUE"""),"Uncle Sams Cider (11/12/2021) 02")</f>
        <v>Uncle Sams Cider (11/12/2021) 02</v>
      </c>
      <c r="H3964" s="19"/>
    </row>
    <row r="3965">
      <c r="A3965" s="9"/>
      <c r="B3965" s="15"/>
      <c r="C3965" s="9">
        <f>IFERROR(__xludf.DUMMYFUNCTION("""COMPUTED_VALUE"""),44564.1439466319)</f>
        <v>44564.14395</v>
      </c>
      <c r="D3965" s="15">
        <f>IFERROR(__xludf.DUMMYFUNCTION("""COMPUTED_VALUE"""),1.011)</f>
        <v>1.011</v>
      </c>
      <c r="E3965" s="16">
        <f>IFERROR(__xludf.DUMMYFUNCTION("""COMPUTED_VALUE"""),63.0)</f>
        <v>63</v>
      </c>
      <c r="F3965" s="19" t="str">
        <f>IFERROR(__xludf.DUMMYFUNCTION("""COMPUTED_VALUE"""),"BLACK")</f>
        <v>BLACK</v>
      </c>
      <c r="G3965" s="20" t="str">
        <f>IFERROR(__xludf.DUMMYFUNCTION("""COMPUTED_VALUE"""),"Uncle Sams Cider (11/12/2021) 02")</f>
        <v>Uncle Sams Cider (11/12/2021) 02</v>
      </c>
      <c r="H3965" s="19"/>
    </row>
    <row r="3966">
      <c r="A3966" s="9"/>
      <c r="B3966" s="15"/>
      <c r="C3966" s="9">
        <f>IFERROR(__xludf.DUMMYFUNCTION("""COMPUTED_VALUE"""),44564.1335145486)</f>
        <v>44564.13351</v>
      </c>
      <c r="D3966" s="15">
        <f>IFERROR(__xludf.DUMMYFUNCTION("""COMPUTED_VALUE"""),1.011)</f>
        <v>1.011</v>
      </c>
      <c r="E3966" s="16">
        <f>IFERROR(__xludf.DUMMYFUNCTION("""COMPUTED_VALUE"""),63.0)</f>
        <v>63</v>
      </c>
      <c r="F3966" s="19" t="str">
        <f>IFERROR(__xludf.DUMMYFUNCTION("""COMPUTED_VALUE"""),"BLACK")</f>
        <v>BLACK</v>
      </c>
      <c r="G3966" s="20" t="str">
        <f>IFERROR(__xludf.DUMMYFUNCTION("""COMPUTED_VALUE"""),"Uncle Sams Cider (11/12/2021) 02")</f>
        <v>Uncle Sams Cider (11/12/2021) 02</v>
      </c>
      <c r="H3966" s="19"/>
    </row>
    <row r="3967">
      <c r="A3967" s="9"/>
      <c r="B3967" s="15"/>
      <c r="C3967" s="9">
        <f>IFERROR(__xludf.DUMMYFUNCTION("""COMPUTED_VALUE"""),44564.1230832175)</f>
        <v>44564.12308</v>
      </c>
      <c r="D3967" s="15">
        <f>IFERROR(__xludf.DUMMYFUNCTION("""COMPUTED_VALUE"""),1.011)</f>
        <v>1.011</v>
      </c>
      <c r="E3967" s="16">
        <f>IFERROR(__xludf.DUMMYFUNCTION("""COMPUTED_VALUE"""),63.0)</f>
        <v>63</v>
      </c>
      <c r="F3967" s="19" t="str">
        <f>IFERROR(__xludf.DUMMYFUNCTION("""COMPUTED_VALUE"""),"BLACK")</f>
        <v>BLACK</v>
      </c>
      <c r="G3967" s="20" t="str">
        <f>IFERROR(__xludf.DUMMYFUNCTION("""COMPUTED_VALUE"""),"Uncle Sams Cider (11/12/2021) 02")</f>
        <v>Uncle Sams Cider (11/12/2021) 02</v>
      </c>
      <c r="H3967" s="19"/>
    </row>
    <row r="3968">
      <c r="A3968" s="9"/>
      <c r="B3968" s="15"/>
      <c r="C3968" s="9">
        <f>IFERROR(__xludf.DUMMYFUNCTION("""COMPUTED_VALUE"""),44564.1126613541)</f>
        <v>44564.11266</v>
      </c>
      <c r="D3968" s="15">
        <f>IFERROR(__xludf.DUMMYFUNCTION("""COMPUTED_VALUE"""),1.011)</f>
        <v>1.011</v>
      </c>
      <c r="E3968" s="16">
        <f>IFERROR(__xludf.DUMMYFUNCTION("""COMPUTED_VALUE"""),63.0)</f>
        <v>63</v>
      </c>
      <c r="F3968" s="19" t="str">
        <f>IFERROR(__xludf.DUMMYFUNCTION("""COMPUTED_VALUE"""),"BLACK")</f>
        <v>BLACK</v>
      </c>
      <c r="G3968" s="20" t="str">
        <f>IFERROR(__xludf.DUMMYFUNCTION("""COMPUTED_VALUE"""),"Uncle Sams Cider (11/12/2021) 02")</f>
        <v>Uncle Sams Cider (11/12/2021) 02</v>
      </c>
      <c r="H3968" s="19"/>
    </row>
    <row r="3969">
      <c r="A3969" s="9"/>
      <c r="B3969" s="15"/>
      <c r="C3969" s="9">
        <f>IFERROR(__xludf.DUMMYFUNCTION("""COMPUTED_VALUE"""),44564.1022404629)</f>
        <v>44564.10224</v>
      </c>
      <c r="D3969" s="15">
        <f>IFERROR(__xludf.DUMMYFUNCTION("""COMPUTED_VALUE"""),1.011)</f>
        <v>1.011</v>
      </c>
      <c r="E3969" s="16">
        <f>IFERROR(__xludf.DUMMYFUNCTION("""COMPUTED_VALUE"""),63.0)</f>
        <v>63</v>
      </c>
      <c r="F3969" s="19" t="str">
        <f>IFERROR(__xludf.DUMMYFUNCTION("""COMPUTED_VALUE"""),"BLACK")</f>
        <v>BLACK</v>
      </c>
      <c r="G3969" s="20" t="str">
        <f>IFERROR(__xludf.DUMMYFUNCTION("""COMPUTED_VALUE"""),"Uncle Sams Cider (11/12/2021) 02")</f>
        <v>Uncle Sams Cider (11/12/2021) 02</v>
      </c>
      <c r="H3969" s="19"/>
    </row>
    <row r="3970">
      <c r="A3970" s="9"/>
      <c r="B3970" s="15"/>
      <c r="C3970" s="9">
        <f>IFERROR(__xludf.DUMMYFUNCTION("""COMPUTED_VALUE"""),44564.0918215624)</f>
        <v>44564.09182</v>
      </c>
      <c r="D3970" s="15">
        <f>IFERROR(__xludf.DUMMYFUNCTION("""COMPUTED_VALUE"""),1.011)</f>
        <v>1.011</v>
      </c>
      <c r="E3970" s="16">
        <f>IFERROR(__xludf.DUMMYFUNCTION("""COMPUTED_VALUE"""),63.0)</f>
        <v>63</v>
      </c>
      <c r="F3970" s="19" t="str">
        <f>IFERROR(__xludf.DUMMYFUNCTION("""COMPUTED_VALUE"""),"BLACK")</f>
        <v>BLACK</v>
      </c>
      <c r="G3970" s="20" t="str">
        <f>IFERROR(__xludf.DUMMYFUNCTION("""COMPUTED_VALUE"""),"Uncle Sams Cider (11/12/2021) 02")</f>
        <v>Uncle Sams Cider (11/12/2021) 02</v>
      </c>
      <c r="H3970" s="19"/>
    </row>
    <row r="3971">
      <c r="A3971" s="9"/>
      <c r="B3971" s="15"/>
      <c r="C3971" s="9">
        <f>IFERROR(__xludf.DUMMYFUNCTION("""COMPUTED_VALUE"""),44564.0814005787)</f>
        <v>44564.0814</v>
      </c>
      <c r="D3971" s="15">
        <f>IFERROR(__xludf.DUMMYFUNCTION("""COMPUTED_VALUE"""),1.011)</f>
        <v>1.011</v>
      </c>
      <c r="E3971" s="16">
        <f>IFERROR(__xludf.DUMMYFUNCTION("""COMPUTED_VALUE"""),63.0)</f>
        <v>63</v>
      </c>
      <c r="F3971" s="19" t="str">
        <f>IFERROR(__xludf.DUMMYFUNCTION("""COMPUTED_VALUE"""),"BLACK")</f>
        <v>BLACK</v>
      </c>
      <c r="G3971" s="20" t="str">
        <f>IFERROR(__xludf.DUMMYFUNCTION("""COMPUTED_VALUE"""),"Uncle Sams Cider (11/12/2021) 02")</f>
        <v>Uncle Sams Cider (11/12/2021) 02</v>
      </c>
      <c r="H3971" s="19"/>
    </row>
    <row r="3972">
      <c r="A3972" s="9"/>
      <c r="B3972" s="15"/>
      <c r="C3972" s="9">
        <f>IFERROR(__xludf.DUMMYFUNCTION("""COMPUTED_VALUE"""),44564.0709662615)</f>
        <v>44564.07097</v>
      </c>
      <c r="D3972" s="15">
        <f>IFERROR(__xludf.DUMMYFUNCTION("""COMPUTED_VALUE"""),1.011)</f>
        <v>1.011</v>
      </c>
      <c r="E3972" s="16">
        <f>IFERROR(__xludf.DUMMYFUNCTION("""COMPUTED_VALUE"""),63.0)</f>
        <v>63</v>
      </c>
      <c r="F3972" s="19" t="str">
        <f>IFERROR(__xludf.DUMMYFUNCTION("""COMPUTED_VALUE"""),"BLACK")</f>
        <v>BLACK</v>
      </c>
      <c r="G3972" s="20" t="str">
        <f>IFERROR(__xludf.DUMMYFUNCTION("""COMPUTED_VALUE"""),"Uncle Sams Cider (11/12/2021) 02")</f>
        <v>Uncle Sams Cider (11/12/2021) 02</v>
      </c>
      <c r="H3972" s="19"/>
    </row>
    <row r="3973">
      <c r="A3973" s="9"/>
      <c r="B3973" s="15"/>
      <c r="C3973" s="9">
        <f>IFERROR(__xludf.DUMMYFUNCTION("""COMPUTED_VALUE"""),44564.0605239814)</f>
        <v>44564.06052</v>
      </c>
      <c r="D3973" s="15">
        <f>IFERROR(__xludf.DUMMYFUNCTION("""COMPUTED_VALUE"""),1.011)</f>
        <v>1.011</v>
      </c>
      <c r="E3973" s="16">
        <f>IFERROR(__xludf.DUMMYFUNCTION("""COMPUTED_VALUE"""),63.0)</f>
        <v>63</v>
      </c>
      <c r="F3973" s="19" t="str">
        <f>IFERROR(__xludf.DUMMYFUNCTION("""COMPUTED_VALUE"""),"BLACK")</f>
        <v>BLACK</v>
      </c>
      <c r="G3973" s="20" t="str">
        <f>IFERROR(__xludf.DUMMYFUNCTION("""COMPUTED_VALUE"""),"Uncle Sams Cider (11/12/2021) 02")</f>
        <v>Uncle Sams Cider (11/12/2021) 02</v>
      </c>
      <c r="H3973" s="19"/>
    </row>
    <row r="3974">
      <c r="A3974" s="9"/>
      <c r="B3974" s="15"/>
      <c r="C3974" s="9">
        <f>IFERROR(__xludf.DUMMYFUNCTION("""COMPUTED_VALUE"""),44564.0501025925)</f>
        <v>44564.0501</v>
      </c>
      <c r="D3974" s="15">
        <f>IFERROR(__xludf.DUMMYFUNCTION("""COMPUTED_VALUE"""),1.011)</f>
        <v>1.011</v>
      </c>
      <c r="E3974" s="16">
        <f>IFERROR(__xludf.DUMMYFUNCTION("""COMPUTED_VALUE"""),63.0)</f>
        <v>63</v>
      </c>
      <c r="F3974" s="19" t="str">
        <f>IFERROR(__xludf.DUMMYFUNCTION("""COMPUTED_VALUE"""),"BLACK")</f>
        <v>BLACK</v>
      </c>
      <c r="G3974" s="20" t="str">
        <f>IFERROR(__xludf.DUMMYFUNCTION("""COMPUTED_VALUE"""),"Uncle Sams Cider (11/12/2021) 02")</f>
        <v>Uncle Sams Cider (11/12/2021) 02</v>
      </c>
      <c r="H3974" s="19"/>
    </row>
    <row r="3975">
      <c r="A3975" s="9"/>
      <c r="B3975" s="15"/>
      <c r="C3975" s="9">
        <f>IFERROR(__xludf.DUMMYFUNCTION("""COMPUTED_VALUE"""),44564.0396803587)</f>
        <v>44564.03968</v>
      </c>
      <c r="D3975" s="15">
        <f>IFERROR(__xludf.DUMMYFUNCTION("""COMPUTED_VALUE"""),1.011)</f>
        <v>1.011</v>
      </c>
      <c r="E3975" s="16">
        <f>IFERROR(__xludf.DUMMYFUNCTION("""COMPUTED_VALUE"""),63.0)</f>
        <v>63</v>
      </c>
      <c r="F3975" s="19" t="str">
        <f>IFERROR(__xludf.DUMMYFUNCTION("""COMPUTED_VALUE"""),"BLACK")</f>
        <v>BLACK</v>
      </c>
      <c r="G3975" s="20" t="str">
        <f>IFERROR(__xludf.DUMMYFUNCTION("""COMPUTED_VALUE"""),"Uncle Sams Cider (11/12/2021) 02")</f>
        <v>Uncle Sams Cider (11/12/2021) 02</v>
      </c>
      <c r="H3975" s="19"/>
    </row>
    <row r="3976">
      <c r="A3976" s="9"/>
      <c r="B3976" s="15"/>
      <c r="C3976" s="9">
        <f>IFERROR(__xludf.DUMMYFUNCTION("""COMPUTED_VALUE"""),44564.0292572569)</f>
        <v>44564.02926</v>
      </c>
      <c r="D3976" s="15">
        <f>IFERROR(__xludf.DUMMYFUNCTION("""COMPUTED_VALUE"""),1.011)</f>
        <v>1.011</v>
      </c>
      <c r="E3976" s="16">
        <f>IFERROR(__xludf.DUMMYFUNCTION("""COMPUTED_VALUE"""),63.0)</f>
        <v>63</v>
      </c>
      <c r="F3976" s="19" t="str">
        <f>IFERROR(__xludf.DUMMYFUNCTION("""COMPUTED_VALUE"""),"BLACK")</f>
        <v>BLACK</v>
      </c>
      <c r="G3976" s="20" t="str">
        <f>IFERROR(__xludf.DUMMYFUNCTION("""COMPUTED_VALUE"""),"Uncle Sams Cider (11/12/2021) 02")</f>
        <v>Uncle Sams Cider (11/12/2021) 02</v>
      </c>
      <c r="H3976" s="19"/>
    </row>
    <row r="3977">
      <c r="A3977" s="9"/>
      <c r="B3977" s="15"/>
      <c r="C3977" s="9">
        <f>IFERROR(__xludf.DUMMYFUNCTION("""COMPUTED_VALUE"""),44564.0188237615)</f>
        <v>44564.01882</v>
      </c>
      <c r="D3977" s="15">
        <f>IFERROR(__xludf.DUMMYFUNCTION("""COMPUTED_VALUE"""),1.011)</f>
        <v>1.011</v>
      </c>
      <c r="E3977" s="16">
        <f>IFERROR(__xludf.DUMMYFUNCTION("""COMPUTED_VALUE"""),63.0)</f>
        <v>63</v>
      </c>
      <c r="F3977" s="19" t="str">
        <f>IFERROR(__xludf.DUMMYFUNCTION("""COMPUTED_VALUE"""),"BLACK")</f>
        <v>BLACK</v>
      </c>
      <c r="G3977" s="20" t="str">
        <f>IFERROR(__xludf.DUMMYFUNCTION("""COMPUTED_VALUE"""),"Uncle Sams Cider (11/12/2021) 02")</f>
        <v>Uncle Sams Cider (11/12/2021) 02</v>
      </c>
      <c r="H3977" s="19"/>
    </row>
    <row r="3978">
      <c r="A3978" s="9"/>
      <c r="B3978" s="15"/>
      <c r="C3978" s="9">
        <f>IFERROR(__xludf.DUMMYFUNCTION("""COMPUTED_VALUE"""),44564.00839125)</f>
        <v>44564.00839</v>
      </c>
      <c r="D3978" s="15">
        <f>IFERROR(__xludf.DUMMYFUNCTION("""COMPUTED_VALUE"""),1.011)</f>
        <v>1.011</v>
      </c>
      <c r="E3978" s="16">
        <f>IFERROR(__xludf.DUMMYFUNCTION("""COMPUTED_VALUE"""),63.0)</f>
        <v>63</v>
      </c>
      <c r="F3978" s="19" t="str">
        <f>IFERROR(__xludf.DUMMYFUNCTION("""COMPUTED_VALUE"""),"BLACK")</f>
        <v>BLACK</v>
      </c>
      <c r="G3978" s="20" t="str">
        <f>IFERROR(__xludf.DUMMYFUNCTION("""COMPUTED_VALUE"""),"Uncle Sams Cider (11/12/2021) 02")</f>
        <v>Uncle Sams Cider (11/12/2021) 02</v>
      </c>
      <c r="H3978" s="19"/>
    </row>
    <row r="3979">
      <c r="A3979" s="9"/>
      <c r="B3979" s="15"/>
      <c r="C3979" s="9">
        <f>IFERROR(__xludf.DUMMYFUNCTION("""COMPUTED_VALUE"""),44563.9979710879)</f>
        <v>44563.99797</v>
      </c>
      <c r="D3979" s="15">
        <f>IFERROR(__xludf.DUMMYFUNCTION("""COMPUTED_VALUE"""),1.011)</f>
        <v>1.011</v>
      </c>
      <c r="E3979" s="16">
        <f>IFERROR(__xludf.DUMMYFUNCTION("""COMPUTED_VALUE"""),63.0)</f>
        <v>63</v>
      </c>
      <c r="F3979" s="19" t="str">
        <f>IFERROR(__xludf.DUMMYFUNCTION("""COMPUTED_VALUE"""),"BLACK")</f>
        <v>BLACK</v>
      </c>
      <c r="G3979" s="20" t="str">
        <f>IFERROR(__xludf.DUMMYFUNCTION("""COMPUTED_VALUE"""),"Uncle Sams Cider (11/12/2021) 02")</f>
        <v>Uncle Sams Cider (11/12/2021) 02</v>
      </c>
      <c r="H3979" s="19"/>
    </row>
    <row r="3980">
      <c r="A3980" s="9"/>
      <c r="B3980" s="15"/>
      <c r="C3980" s="9">
        <f>IFERROR(__xludf.DUMMYFUNCTION("""COMPUTED_VALUE"""),44563.9875379513)</f>
        <v>44563.98754</v>
      </c>
      <c r="D3980" s="15">
        <f>IFERROR(__xludf.DUMMYFUNCTION("""COMPUTED_VALUE"""),1.011)</f>
        <v>1.011</v>
      </c>
      <c r="E3980" s="16">
        <f>IFERROR(__xludf.DUMMYFUNCTION("""COMPUTED_VALUE"""),63.0)</f>
        <v>63</v>
      </c>
      <c r="F3980" s="19" t="str">
        <f>IFERROR(__xludf.DUMMYFUNCTION("""COMPUTED_VALUE"""),"BLACK")</f>
        <v>BLACK</v>
      </c>
      <c r="G3980" s="20" t="str">
        <f>IFERROR(__xludf.DUMMYFUNCTION("""COMPUTED_VALUE"""),"Uncle Sams Cider (11/12/2021) 02")</f>
        <v>Uncle Sams Cider (11/12/2021) 02</v>
      </c>
      <c r="H3980" s="19"/>
    </row>
    <row r="3981">
      <c r="A3981" s="9"/>
      <c r="B3981" s="15"/>
      <c r="C3981" s="9">
        <f>IFERROR(__xludf.DUMMYFUNCTION("""COMPUTED_VALUE"""),44563.9771168055)</f>
        <v>44563.97712</v>
      </c>
      <c r="D3981" s="15">
        <f>IFERROR(__xludf.DUMMYFUNCTION("""COMPUTED_VALUE"""),1.011)</f>
        <v>1.011</v>
      </c>
      <c r="E3981" s="16">
        <f>IFERROR(__xludf.DUMMYFUNCTION("""COMPUTED_VALUE"""),63.0)</f>
        <v>63</v>
      </c>
      <c r="F3981" s="19" t="str">
        <f>IFERROR(__xludf.DUMMYFUNCTION("""COMPUTED_VALUE"""),"BLACK")</f>
        <v>BLACK</v>
      </c>
      <c r="G3981" s="20" t="str">
        <f>IFERROR(__xludf.DUMMYFUNCTION("""COMPUTED_VALUE"""),"Uncle Sams Cider (11/12/2021) 02")</f>
        <v>Uncle Sams Cider (11/12/2021) 02</v>
      </c>
      <c r="H3981" s="19"/>
    </row>
    <row r="3982">
      <c r="A3982" s="9"/>
      <c r="B3982" s="15"/>
      <c r="C3982" s="9">
        <f>IFERROR(__xludf.DUMMYFUNCTION("""COMPUTED_VALUE"""),44563.9666848148)</f>
        <v>44563.96668</v>
      </c>
      <c r="D3982" s="15">
        <f>IFERROR(__xludf.DUMMYFUNCTION("""COMPUTED_VALUE"""),1.011)</f>
        <v>1.011</v>
      </c>
      <c r="E3982" s="16">
        <f>IFERROR(__xludf.DUMMYFUNCTION("""COMPUTED_VALUE"""),63.0)</f>
        <v>63</v>
      </c>
      <c r="F3982" s="19" t="str">
        <f>IFERROR(__xludf.DUMMYFUNCTION("""COMPUTED_VALUE"""),"BLACK")</f>
        <v>BLACK</v>
      </c>
      <c r="G3982" s="20" t="str">
        <f>IFERROR(__xludf.DUMMYFUNCTION("""COMPUTED_VALUE"""),"Uncle Sams Cider (11/12/2021) 02")</f>
        <v>Uncle Sams Cider (11/12/2021) 02</v>
      </c>
      <c r="H3982" s="19"/>
    </row>
    <row r="3983">
      <c r="A3983" s="9"/>
      <c r="B3983" s="15"/>
      <c r="C3983" s="9">
        <f>IFERROR(__xludf.DUMMYFUNCTION("""COMPUTED_VALUE"""),44563.9562648263)</f>
        <v>44563.95626</v>
      </c>
      <c r="D3983" s="15">
        <f>IFERROR(__xludf.DUMMYFUNCTION("""COMPUTED_VALUE"""),1.011)</f>
        <v>1.011</v>
      </c>
      <c r="E3983" s="16">
        <f>IFERROR(__xludf.DUMMYFUNCTION("""COMPUTED_VALUE"""),63.0)</f>
        <v>63</v>
      </c>
      <c r="F3983" s="19" t="str">
        <f>IFERROR(__xludf.DUMMYFUNCTION("""COMPUTED_VALUE"""),"BLACK")</f>
        <v>BLACK</v>
      </c>
      <c r="G3983" s="20" t="str">
        <f>IFERROR(__xludf.DUMMYFUNCTION("""COMPUTED_VALUE"""),"Uncle Sams Cider (11/12/2021) 02")</f>
        <v>Uncle Sams Cider (11/12/2021) 02</v>
      </c>
      <c r="H3983" s="19"/>
    </row>
    <row r="3984">
      <c r="A3984" s="9"/>
      <c r="B3984" s="15"/>
      <c r="C3984" s="9">
        <f>IFERROR(__xludf.DUMMYFUNCTION("""COMPUTED_VALUE"""),44563.9458435879)</f>
        <v>44563.94584</v>
      </c>
      <c r="D3984" s="15">
        <f>IFERROR(__xludf.DUMMYFUNCTION("""COMPUTED_VALUE"""),1.011)</f>
        <v>1.011</v>
      </c>
      <c r="E3984" s="16">
        <f>IFERROR(__xludf.DUMMYFUNCTION("""COMPUTED_VALUE"""),63.0)</f>
        <v>63</v>
      </c>
      <c r="F3984" s="19" t="str">
        <f>IFERROR(__xludf.DUMMYFUNCTION("""COMPUTED_VALUE"""),"BLACK")</f>
        <v>BLACK</v>
      </c>
      <c r="G3984" s="20" t="str">
        <f>IFERROR(__xludf.DUMMYFUNCTION("""COMPUTED_VALUE"""),"Uncle Sams Cider (11/12/2021) 02")</f>
        <v>Uncle Sams Cider (11/12/2021) 02</v>
      </c>
      <c r="H3984" s="19"/>
    </row>
    <row r="3985">
      <c r="A3985" s="9"/>
      <c r="B3985" s="15"/>
      <c r="C3985" s="9">
        <f>IFERROR(__xludf.DUMMYFUNCTION("""COMPUTED_VALUE"""),44563.9354079282)</f>
        <v>44563.93541</v>
      </c>
      <c r="D3985" s="15">
        <f>IFERROR(__xludf.DUMMYFUNCTION("""COMPUTED_VALUE"""),1.011)</f>
        <v>1.011</v>
      </c>
      <c r="E3985" s="16">
        <f>IFERROR(__xludf.DUMMYFUNCTION("""COMPUTED_VALUE"""),63.0)</f>
        <v>63</v>
      </c>
      <c r="F3985" s="19" t="str">
        <f>IFERROR(__xludf.DUMMYFUNCTION("""COMPUTED_VALUE"""),"BLACK")</f>
        <v>BLACK</v>
      </c>
      <c r="G3985" s="20" t="str">
        <f>IFERROR(__xludf.DUMMYFUNCTION("""COMPUTED_VALUE"""),"Uncle Sams Cider (11/12/2021) 02")</f>
        <v>Uncle Sams Cider (11/12/2021) 02</v>
      </c>
      <c r="H3985" s="19"/>
    </row>
    <row r="3986">
      <c r="A3986" s="9"/>
      <c r="B3986" s="15"/>
      <c r="C3986" s="9">
        <f>IFERROR(__xludf.DUMMYFUNCTION("""COMPUTED_VALUE"""),44563.9249741782)</f>
        <v>44563.92497</v>
      </c>
      <c r="D3986" s="15">
        <f>IFERROR(__xludf.DUMMYFUNCTION("""COMPUTED_VALUE"""),1.011)</f>
        <v>1.011</v>
      </c>
      <c r="E3986" s="16">
        <f>IFERROR(__xludf.DUMMYFUNCTION("""COMPUTED_VALUE"""),63.0)</f>
        <v>63</v>
      </c>
      <c r="F3986" s="19" t="str">
        <f>IFERROR(__xludf.DUMMYFUNCTION("""COMPUTED_VALUE"""),"BLACK")</f>
        <v>BLACK</v>
      </c>
      <c r="G3986" s="20" t="str">
        <f>IFERROR(__xludf.DUMMYFUNCTION("""COMPUTED_VALUE"""),"Uncle Sams Cider (11/12/2021) 02")</f>
        <v>Uncle Sams Cider (11/12/2021) 02</v>
      </c>
      <c r="H3986" s="19"/>
    </row>
    <row r="3987">
      <c r="A3987" s="9"/>
      <c r="B3987" s="15"/>
      <c r="C3987" s="9">
        <f>IFERROR(__xludf.DUMMYFUNCTION("""COMPUTED_VALUE"""),44563.914542118)</f>
        <v>44563.91454</v>
      </c>
      <c r="D3987" s="15">
        <f>IFERROR(__xludf.DUMMYFUNCTION("""COMPUTED_VALUE"""),1.011)</f>
        <v>1.011</v>
      </c>
      <c r="E3987" s="16">
        <f>IFERROR(__xludf.DUMMYFUNCTION("""COMPUTED_VALUE"""),63.0)</f>
        <v>63</v>
      </c>
      <c r="F3987" s="19" t="str">
        <f>IFERROR(__xludf.DUMMYFUNCTION("""COMPUTED_VALUE"""),"BLACK")</f>
        <v>BLACK</v>
      </c>
      <c r="G3987" s="20" t="str">
        <f>IFERROR(__xludf.DUMMYFUNCTION("""COMPUTED_VALUE"""),"Uncle Sams Cider (11/12/2021) 02")</f>
        <v>Uncle Sams Cider (11/12/2021) 02</v>
      </c>
      <c r="H3987" s="19"/>
    </row>
    <row r="3988">
      <c r="A3988" s="9"/>
      <c r="B3988" s="15"/>
      <c r="C3988" s="9">
        <f>IFERROR(__xludf.DUMMYFUNCTION("""COMPUTED_VALUE"""),44563.9041088078)</f>
        <v>44563.90411</v>
      </c>
      <c r="D3988" s="15">
        <f>IFERROR(__xludf.DUMMYFUNCTION("""COMPUTED_VALUE"""),1.011)</f>
        <v>1.011</v>
      </c>
      <c r="E3988" s="16">
        <f>IFERROR(__xludf.DUMMYFUNCTION("""COMPUTED_VALUE"""),63.0)</f>
        <v>63</v>
      </c>
      <c r="F3988" s="19" t="str">
        <f>IFERROR(__xludf.DUMMYFUNCTION("""COMPUTED_VALUE"""),"BLACK")</f>
        <v>BLACK</v>
      </c>
      <c r="G3988" s="20" t="str">
        <f>IFERROR(__xludf.DUMMYFUNCTION("""COMPUTED_VALUE"""),"Uncle Sams Cider (11/12/2021) 02")</f>
        <v>Uncle Sams Cider (11/12/2021) 02</v>
      </c>
      <c r="H3988" s="19"/>
    </row>
    <row r="3989">
      <c r="A3989" s="9"/>
      <c r="B3989" s="15"/>
      <c r="C3989" s="9">
        <f>IFERROR(__xludf.DUMMYFUNCTION("""COMPUTED_VALUE"""),44563.8936864814)</f>
        <v>44563.89369</v>
      </c>
      <c r="D3989" s="15">
        <f>IFERROR(__xludf.DUMMYFUNCTION("""COMPUTED_VALUE"""),1.011)</f>
        <v>1.011</v>
      </c>
      <c r="E3989" s="16">
        <f>IFERROR(__xludf.DUMMYFUNCTION("""COMPUTED_VALUE"""),63.0)</f>
        <v>63</v>
      </c>
      <c r="F3989" s="19" t="str">
        <f>IFERROR(__xludf.DUMMYFUNCTION("""COMPUTED_VALUE"""),"BLACK")</f>
        <v>BLACK</v>
      </c>
      <c r="G3989" s="20" t="str">
        <f>IFERROR(__xludf.DUMMYFUNCTION("""COMPUTED_VALUE"""),"Uncle Sams Cider (11/12/2021) 02")</f>
        <v>Uncle Sams Cider (11/12/2021) 02</v>
      </c>
      <c r="H3989" s="19"/>
    </row>
    <row r="3990">
      <c r="A3990" s="9"/>
      <c r="B3990" s="15"/>
      <c r="C3990" s="9">
        <f>IFERROR(__xludf.DUMMYFUNCTION("""COMPUTED_VALUE"""),44563.8832646412)</f>
        <v>44563.88326</v>
      </c>
      <c r="D3990" s="15">
        <f>IFERROR(__xludf.DUMMYFUNCTION("""COMPUTED_VALUE"""),1.011)</f>
        <v>1.011</v>
      </c>
      <c r="E3990" s="16">
        <f>IFERROR(__xludf.DUMMYFUNCTION("""COMPUTED_VALUE"""),63.0)</f>
        <v>63</v>
      </c>
      <c r="F3990" s="19" t="str">
        <f>IFERROR(__xludf.DUMMYFUNCTION("""COMPUTED_VALUE"""),"BLACK")</f>
        <v>BLACK</v>
      </c>
      <c r="G3990" s="20" t="str">
        <f>IFERROR(__xludf.DUMMYFUNCTION("""COMPUTED_VALUE"""),"Uncle Sams Cider (11/12/2021) 02")</f>
        <v>Uncle Sams Cider (11/12/2021) 02</v>
      </c>
      <c r="H3990" s="19"/>
    </row>
    <row r="3991">
      <c r="A3991" s="9"/>
      <c r="B3991" s="15"/>
      <c r="C3991" s="9">
        <f>IFERROR(__xludf.DUMMYFUNCTION("""COMPUTED_VALUE"""),44563.8728440277)</f>
        <v>44563.87284</v>
      </c>
      <c r="D3991" s="15">
        <f>IFERROR(__xludf.DUMMYFUNCTION("""COMPUTED_VALUE"""),1.011)</f>
        <v>1.011</v>
      </c>
      <c r="E3991" s="16">
        <f>IFERROR(__xludf.DUMMYFUNCTION("""COMPUTED_VALUE"""),63.0)</f>
        <v>63</v>
      </c>
      <c r="F3991" s="19" t="str">
        <f>IFERROR(__xludf.DUMMYFUNCTION("""COMPUTED_VALUE"""),"BLACK")</f>
        <v>BLACK</v>
      </c>
      <c r="G3991" s="20" t="str">
        <f>IFERROR(__xludf.DUMMYFUNCTION("""COMPUTED_VALUE"""),"Uncle Sams Cider (11/12/2021) 02")</f>
        <v>Uncle Sams Cider (11/12/2021) 02</v>
      </c>
      <c r="H3991" s="19"/>
    </row>
    <row r="3992">
      <c r="A3992" s="9"/>
      <c r="B3992" s="15"/>
      <c r="C3992" s="9">
        <f>IFERROR(__xludf.DUMMYFUNCTION("""COMPUTED_VALUE"""),44563.8624109027)</f>
        <v>44563.86241</v>
      </c>
      <c r="D3992" s="15">
        <f>IFERROR(__xludf.DUMMYFUNCTION("""COMPUTED_VALUE"""),1.011)</f>
        <v>1.011</v>
      </c>
      <c r="E3992" s="16">
        <f>IFERROR(__xludf.DUMMYFUNCTION("""COMPUTED_VALUE"""),63.0)</f>
        <v>63</v>
      </c>
      <c r="F3992" s="19" t="str">
        <f>IFERROR(__xludf.DUMMYFUNCTION("""COMPUTED_VALUE"""),"BLACK")</f>
        <v>BLACK</v>
      </c>
      <c r="G3992" s="20" t="str">
        <f>IFERROR(__xludf.DUMMYFUNCTION("""COMPUTED_VALUE"""),"Uncle Sams Cider (11/12/2021) 02")</f>
        <v>Uncle Sams Cider (11/12/2021) 02</v>
      </c>
      <c r="H3992" s="19"/>
    </row>
    <row r="3993">
      <c r="A3993" s="9"/>
      <c r="B3993" s="15"/>
      <c r="C3993" s="9">
        <f>IFERROR(__xludf.DUMMYFUNCTION("""COMPUTED_VALUE"""),44563.8519778935)</f>
        <v>44563.85198</v>
      </c>
      <c r="D3993" s="15">
        <f>IFERROR(__xludf.DUMMYFUNCTION("""COMPUTED_VALUE"""),1.011)</f>
        <v>1.011</v>
      </c>
      <c r="E3993" s="16">
        <f>IFERROR(__xludf.DUMMYFUNCTION("""COMPUTED_VALUE"""),63.0)</f>
        <v>63</v>
      </c>
      <c r="F3993" s="19" t="str">
        <f>IFERROR(__xludf.DUMMYFUNCTION("""COMPUTED_VALUE"""),"BLACK")</f>
        <v>BLACK</v>
      </c>
      <c r="G3993" s="20" t="str">
        <f>IFERROR(__xludf.DUMMYFUNCTION("""COMPUTED_VALUE"""),"Uncle Sams Cider (11/12/2021) 02")</f>
        <v>Uncle Sams Cider (11/12/2021) 02</v>
      </c>
      <c r="H3993" s="19"/>
    </row>
    <row r="3994">
      <c r="A3994" s="9"/>
      <c r="B3994" s="15"/>
      <c r="C3994" s="9">
        <f>IFERROR(__xludf.DUMMYFUNCTION("""COMPUTED_VALUE"""),44563.8415576041)</f>
        <v>44563.84156</v>
      </c>
      <c r="D3994" s="15">
        <f>IFERROR(__xludf.DUMMYFUNCTION("""COMPUTED_VALUE"""),1.011)</f>
        <v>1.011</v>
      </c>
      <c r="E3994" s="16">
        <f>IFERROR(__xludf.DUMMYFUNCTION("""COMPUTED_VALUE"""),63.0)</f>
        <v>63</v>
      </c>
      <c r="F3994" s="19" t="str">
        <f>IFERROR(__xludf.DUMMYFUNCTION("""COMPUTED_VALUE"""),"BLACK")</f>
        <v>BLACK</v>
      </c>
      <c r="G3994" s="20" t="str">
        <f>IFERROR(__xludf.DUMMYFUNCTION("""COMPUTED_VALUE"""),"Uncle Sams Cider (11/12/2021) 02")</f>
        <v>Uncle Sams Cider (11/12/2021) 02</v>
      </c>
      <c r="H3994" s="19"/>
    </row>
    <row r="3995">
      <c r="A3995" s="9"/>
      <c r="B3995" s="15"/>
      <c r="C3995" s="9">
        <f>IFERROR(__xludf.DUMMYFUNCTION("""COMPUTED_VALUE"""),44563.8311345949)</f>
        <v>44563.83113</v>
      </c>
      <c r="D3995" s="15">
        <f>IFERROR(__xludf.DUMMYFUNCTION("""COMPUTED_VALUE"""),1.011)</f>
        <v>1.011</v>
      </c>
      <c r="E3995" s="16">
        <f>IFERROR(__xludf.DUMMYFUNCTION("""COMPUTED_VALUE"""),63.0)</f>
        <v>63</v>
      </c>
      <c r="F3995" s="19" t="str">
        <f>IFERROR(__xludf.DUMMYFUNCTION("""COMPUTED_VALUE"""),"BLACK")</f>
        <v>BLACK</v>
      </c>
      <c r="G3995" s="20" t="str">
        <f>IFERROR(__xludf.DUMMYFUNCTION("""COMPUTED_VALUE"""),"Uncle Sams Cider (11/12/2021) 02")</f>
        <v>Uncle Sams Cider (11/12/2021) 02</v>
      </c>
      <c r="H3995" s="19"/>
    </row>
    <row r="3996">
      <c r="A3996" s="9"/>
      <c r="B3996" s="15"/>
      <c r="C3996" s="9">
        <f>IFERROR(__xludf.DUMMYFUNCTION("""COMPUTED_VALUE"""),44563.820712662)</f>
        <v>44563.82071</v>
      </c>
      <c r="D3996" s="15">
        <f>IFERROR(__xludf.DUMMYFUNCTION("""COMPUTED_VALUE"""),1.011)</f>
        <v>1.011</v>
      </c>
      <c r="E3996" s="16">
        <f>IFERROR(__xludf.DUMMYFUNCTION("""COMPUTED_VALUE"""),63.0)</f>
        <v>63</v>
      </c>
      <c r="F3996" s="19" t="str">
        <f>IFERROR(__xludf.DUMMYFUNCTION("""COMPUTED_VALUE"""),"BLACK")</f>
        <v>BLACK</v>
      </c>
      <c r="G3996" s="20" t="str">
        <f>IFERROR(__xludf.DUMMYFUNCTION("""COMPUTED_VALUE"""),"Uncle Sams Cider (11/12/2021) 02")</f>
        <v>Uncle Sams Cider (11/12/2021) 02</v>
      </c>
      <c r="H3996" s="19"/>
    </row>
    <row r="3997">
      <c r="A3997" s="9"/>
      <c r="B3997" s="15"/>
      <c r="C3997" s="9">
        <f>IFERROR(__xludf.DUMMYFUNCTION("""COMPUTED_VALUE"""),44563.810280324)</f>
        <v>44563.81028</v>
      </c>
      <c r="D3997" s="15">
        <f>IFERROR(__xludf.DUMMYFUNCTION("""COMPUTED_VALUE"""),1.011)</f>
        <v>1.011</v>
      </c>
      <c r="E3997" s="16">
        <f>IFERROR(__xludf.DUMMYFUNCTION("""COMPUTED_VALUE"""),63.0)</f>
        <v>63</v>
      </c>
      <c r="F3997" s="19" t="str">
        <f>IFERROR(__xludf.DUMMYFUNCTION("""COMPUTED_VALUE"""),"BLACK")</f>
        <v>BLACK</v>
      </c>
      <c r="G3997" s="20" t="str">
        <f>IFERROR(__xludf.DUMMYFUNCTION("""COMPUTED_VALUE"""),"Uncle Sams Cider (11/12/2021) 02")</f>
        <v>Uncle Sams Cider (11/12/2021) 02</v>
      </c>
      <c r="H3997" s="19"/>
    </row>
    <row r="3998">
      <c r="A3998" s="9"/>
      <c r="B3998" s="15"/>
      <c r="C3998" s="9">
        <f>IFERROR(__xludf.DUMMYFUNCTION("""COMPUTED_VALUE"""),44563.7998564583)</f>
        <v>44563.79986</v>
      </c>
      <c r="D3998" s="15">
        <f>IFERROR(__xludf.DUMMYFUNCTION("""COMPUTED_VALUE"""),1.011)</f>
        <v>1.011</v>
      </c>
      <c r="E3998" s="16">
        <f>IFERROR(__xludf.DUMMYFUNCTION("""COMPUTED_VALUE"""),63.0)</f>
        <v>63</v>
      </c>
      <c r="F3998" s="19" t="str">
        <f>IFERROR(__xludf.DUMMYFUNCTION("""COMPUTED_VALUE"""),"BLACK")</f>
        <v>BLACK</v>
      </c>
      <c r="G3998" s="20" t="str">
        <f>IFERROR(__xludf.DUMMYFUNCTION("""COMPUTED_VALUE"""),"Uncle Sams Cider (11/12/2021) 02")</f>
        <v>Uncle Sams Cider (11/12/2021) 02</v>
      </c>
      <c r="H3998" s="19"/>
    </row>
    <row r="3999">
      <c r="A3999" s="9"/>
      <c r="B3999" s="15"/>
      <c r="C3999" s="9">
        <f>IFERROR(__xludf.DUMMYFUNCTION("""COMPUTED_VALUE"""),44563.7894229398)</f>
        <v>44563.78942</v>
      </c>
      <c r="D3999" s="15">
        <f>IFERROR(__xludf.DUMMYFUNCTION("""COMPUTED_VALUE"""),1.011)</f>
        <v>1.011</v>
      </c>
      <c r="E3999" s="16">
        <f>IFERROR(__xludf.DUMMYFUNCTION("""COMPUTED_VALUE"""),63.0)</f>
        <v>63</v>
      </c>
      <c r="F3999" s="19" t="str">
        <f>IFERROR(__xludf.DUMMYFUNCTION("""COMPUTED_VALUE"""),"BLACK")</f>
        <v>BLACK</v>
      </c>
      <c r="G3999" s="20" t="str">
        <f>IFERROR(__xludf.DUMMYFUNCTION("""COMPUTED_VALUE"""),"Uncle Sams Cider (11/12/2021) 02")</f>
        <v>Uncle Sams Cider (11/12/2021) 02</v>
      </c>
      <c r="H3999" s="19"/>
    </row>
    <row r="4000">
      <c r="A4000" s="9"/>
      <c r="B4000" s="15"/>
      <c r="C4000" s="9">
        <f>IFERROR(__xludf.DUMMYFUNCTION("""COMPUTED_VALUE"""),44563.7789998379)</f>
        <v>44563.779</v>
      </c>
      <c r="D4000" s="15">
        <f>IFERROR(__xludf.DUMMYFUNCTION("""COMPUTED_VALUE"""),1.011)</f>
        <v>1.011</v>
      </c>
      <c r="E4000" s="16">
        <f>IFERROR(__xludf.DUMMYFUNCTION("""COMPUTED_VALUE"""),63.0)</f>
        <v>63</v>
      </c>
      <c r="F4000" s="19" t="str">
        <f>IFERROR(__xludf.DUMMYFUNCTION("""COMPUTED_VALUE"""),"BLACK")</f>
        <v>BLACK</v>
      </c>
      <c r="G4000" s="20" t="str">
        <f>IFERROR(__xludf.DUMMYFUNCTION("""COMPUTED_VALUE"""),"Uncle Sams Cider (11/12/2021) 02")</f>
        <v>Uncle Sams Cider (11/12/2021) 02</v>
      </c>
      <c r="H4000" s="19"/>
    </row>
    <row r="4001">
      <c r="A4001" s="9"/>
      <c r="B4001" s="15"/>
      <c r="C4001" s="9">
        <f>IFERROR(__xludf.DUMMYFUNCTION("""COMPUTED_VALUE"""),44563.7685767708)</f>
        <v>44563.76858</v>
      </c>
      <c r="D4001" s="15">
        <f>IFERROR(__xludf.DUMMYFUNCTION("""COMPUTED_VALUE"""),1.011)</f>
        <v>1.011</v>
      </c>
      <c r="E4001" s="16">
        <f>IFERROR(__xludf.DUMMYFUNCTION("""COMPUTED_VALUE"""),63.0)</f>
        <v>63</v>
      </c>
      <c r="F4001" s="19" t="str">
        <f>IFERROR(__xludf.DUMMYFUNCTION("""COMPUTED_VALUE"""),"BLACK")</f>
        <v>BLACK</v>
      </c>
      <c r="G4001" s="20" t="str">
        <f>IFERROR(__xludf.DUMMYFUNCTION("""COMPUTED_VALUE"""),"Uncle Sams Cider (11/12/2021) 02")</f>
        <v>Uncle Sams Cider (11/12/2021) 02</v>
      </c>
      <c r="H4001" s="19"/>
    </row>
    <row r="4002">
      <c r="A4002" s="9"/>
      <c r="B4002" s="15"/>
      <c r="C4002" s="9">
        <f>IFERROR(__xludf.DUMMYFUNCTION("""COMPUTED_VALUE"""),44563.7581572916)</f>
        <v>44563.75816</v>
      </c>
      <c r="D4002" s="15">
        <f>IFERROR(__xludf.DUMMYFUNCTION("""COMPUTED_VALUE"""),1.011)</f>
        <v>1.011</v>
      </c>
      <c r="E4002" s="16">
        <f>IFERROR(__xludf.DUMMYFUNCTION("""COMPUTED_VALUE"""),63.0)</f>
        <v>63</v>
      </c>
      <c r="F4002" s="19" t="str">
        <f>IFERROR(__xludf.DUMMYFUNCTION("""COMPUTED_VALUE"""),"BLACK")</f>
        <v>BLACK</v>
      </c>
      <c r="G4002" s="20" t="str">
        <f>IFERROR(__xludf.DUMMYFUNCTION("""COMPUTED_VALUE"""),"Uncle Sams Cider (11/12/2021) 02")</f>
        <v>Uncle Sams Cider (11/12/2021) 02</v>
      </c>
      <c r="H4002" s="19"/>
    </row>
    <row r="4003">
      <c r="A4003" s="9"/>
      <c r="B4003" s="15"/>
      <c r="C4003" s="9">
        <f>IFERROR(__xludf.DUMMYFUNCTION("""COMPUTED_VALUE"""),44563.7477247106)</f>
        <v>44563.74772</v>
      </c>
      <c r="D4003" s="15">
        <f>IFERROR(__xludf.DUMMYFUNCTION("""COMPUTED_VALUE"""),1.011)</f>
        <v>1.011</v>
      </c>
      <c r="E4003" s="16">
        <f>IFERROR(__xludf.DUMMYFUNCTION("""COMPUTED_VALUE"""),63.0)</f>
        <v>63</v>
      </c>
      <c r="F4003" s="19" t="str">
        <f>IFERROR(__xludf.DUMMYFUNCTION("""COMPUTED_VALUE"""),"BLACK")</f>
        <v>BLACK</v>
      </c>
      <c r="G4003" s="20" t="str">
        <f>IFERROR(__xludf.DUMMYFUNCTION("""COMPUTED_VALUE"""),"Uncle Sams Cider (11/12/2021) 02")</f>
        <v>Uncle Sams Cider (11/12/2021) 02</v>
      </c>
      <c r="H4003" s="19"/>
    </row>
    <row r="4004">
      <c r="A4004" s="9"/>
      <c r="B4004" s="15"/>
      <c r="C4004" s="9">
        <f>IFERROR(__xludf.DUMMYFUNCTION("""COMPUTED_VALUE"""),44563.7373035648)</f>
        <v>44563.7373</v>
      </c>
      <c r="D4004" s="15">
        <f>IFERROR(__xludf.DUMMYFUNCTION("""COMPUTED_VALUE"""),1.011)</f>
        <v>1.011</v>
      </c>
      <c r="E4004" s="16">
        <f>IFERROR(__xludf.DUMMYFUNCTION("""COMPUTED_VALUE"""),63.0)</f>
        <v>63</v>
      </c>
      <c r="F4004" s="19" t="str">
        <f>IFERROR(__xludf.DUMMYFUNCTION("""COMPUTED_VALUE"""),"BLACK")</f>
        <v>BLACK</v>
      </c>
      <c r="G4004" s="20" t="str">
        <f>IFERROR(__xludf.DUMMYFUNCTION("""COMPUTED_VALUE"""),"Uncle Sams Cider (11/12/2021) 02")</f>
        <v>Uncle Sams Cider (11/12/2021) 02</v>
      </c>
      <c r="H4004" s="19"/>
    </row>
    <row r="4005">
      <c r="A4005" s="9"/>
      <c r="B4005" s="15"/>
      <c r="C4005" s="9">
        <f>IFERROR(__xludf.DUMMYFUNCTION("""COMPUTED_VALUE"""),44563.7268830671)</f>
        <v>44563.72688</v>
      </c>
      <c r="D4005" s="15">
        <f>IFERROR(__xludf.DUMMYFUNCTION("""COMPUTED_VALUE"""),1.011)</f>
        <v>1.011</v>
      </c>
      <c r="E4005" s="16">
        <f>IFERROR(__xludf.DUMMYFUNCTION("""COMPUTED_VALUE"""),63.0)</f>
        <v>63</v>
      </c>
      <c r="F4005" s="19" t="str">
        <f>IFERROR(__xludf.DUMMYFUNCTION("""COMPUTED_VALUE"""),"BLACK")</f>
        <v>BLACK</v>
      </c>
      <c r="G4005" s="20" t="str">
        <f>IFERROR(__xludf.DUMMYFUNCTION("""COMPUTED_VALUE"""),"Uncle Sams Cider (11/12/2021) 02")</f>
        <v>Uncle Sams Cider (11/12/2021) 02</v>
      </c>
      <c r="H4005" s="19"/>
    </row>
    <row r="4006">
      <c r="A4006" s="9"/>
      <c r="B4006" s="15"/>
      <c r="C4006" s="9">
        <f>IFERROR(__xludf.DUMMYFUNCTION("""COMPUTED_VALUE"""),44563.7164509722)</f>
        <v>44563.71645</v>
      </c>
      <c r="D4006" s="15">
        <f>IFERROR(__xludf.DUMMYFUNCTION("""COMPUTED_VALUE"""),1.011)</f>
        <v>1.011</v>
      </c>
      <c r="E4006" s="16">
        <f>IFERROR(__xludf.DUMMYFUNCTION("""COMPUTED_VALUE"""),63.0)</f>
        <v>63</v>
      </c>
      <c r="F4006" s="19" t="str">
        <f>IFERROR(__xludf.DUMMYFUNCTION("""COMPUTED_VALUE"""),"BLACK")</f>
        <v>BLACK</v>
      </c>
      <c r="G4006" s="20" t="str">
        <f>IFERROR(__xludf.DUMMYFUNCTION("""COMPUTED_VALUE"""),"Uncle Sams Cider (11/12/2021) 02")</f>
        <v>Uncle Sams Cider (11/12/2021) 02</v>
      </c>
      <c r="H4006" s="19"/>
    </row>
    <row r="4007">
      <c r="A4007" s="9"/>
      <c r="B4007" s="15"/>
      <c r="C4007" s="9">
        <f>IFERROR(__xludf.DUMMYFUNCTION("""COMPUTED_VALUE"""),44563.7060185763)</f>
        <v>44563.70602</v>
      </c>
      <c r="D4007" s="15">
        <f>IFERROR(__xludf.DUMMYFUNCTION("""COMPUTED_VALUE"""),1.011)</f>
        <v>1.011</v>
      </c>
      <c r="E4007" s="16">
        <f>IFERROR(__xludf.DUMMYFUNCTION("""COMPUTED_VALUE"""),63.0)</f>
        <v>63</v>
      </c>
      <c r="F4007" s="19" t="str">
        <f>IFERROR(__xludf.DUMMYFUNCTION("""COMPUTED_VALUE"""),"BLACK")</f>
        <v>BLACK</v>
      </c>
      <c r="G4007" s="20" t="str">
        <f>IFERROR(__xludf.DUMMYFUNCTION("""COMPUTED_VALUE"""),"Uncle Sams Cider (11/12/2021) 02")</f>
        <v>Uncle Sams Cider (11/12/2021) 02</v>
      </c>
      <c r="H4007" s="19"/>
    </row>
    <row r="4008">
      <c r="A4008" s="9"/>
      <c r="B4008" s="15"/>
      <c r="C4008" s="9">
        <f>IFERROR(__xludf.DUMMYFUNCTION("""COMPUTED_VALUE"""),44563.6955867245)</f>
        <v>44563.69559</v>
      </c>
      <c r="D4008" s="15">
        <f>IFERROR(__xludf.DUMMYFUNCTION("""COMPUTED_VALUE"""),1.011)</f>
        <v>1.011</v>
      </c>
      <c r="E4008" s="16">
        <f>IFERROR(__xludf.DUMMYFUNCTION("""COMPUTED_VALUE"""),63.0)</f>
        <v>63</v>
      </c>
      <c r="F4008" s="19" t="str">
        <f>IFERROR(__xludf.DUMMYFUNCTION("""COMPUTED_VALUE"""),"BLACK")</f>
        <v>BLACK</v>
      </c>
      <c r="G4008" s="20" t="str">
        <f>IFERROR(__xludf.DUMMYFUNCTION("""COMPUTED_VALUE"""),"Uncle Sams Cider (11/12/2021) 02")</f>
        <v>Uncle Sams Cider (11/12/2021) 02</v>
      </c>
      <c r="H4008" s="19"/>
    </row>
    <row r="4009">
      <c r="A4009" s="9"/>
      <c r="B4009" s="15"/>
      <c r="C4009" s="9">
        <f>IFERROR(__xludf.DUMMYFUNCTION("""COMPUTED_VALUE"""),44563.6851426157)</f>
        <v>44563.68514</v>
      </c>
      <c r="D4009" s="15">
        <f>IFERROR(__xludf.DUMMYFUNCTION("""COMPUTED_VALUE"""),1.011)</f>
        <v>1.011</v>
      </c>
      <c r="E4009" s="16">
        <f>IFERROR(__xludf.DUMMYFUNCTION("""COMPUTED_VALUE"""),63.0)</f>
        <v>63</v>
      </c>
      <c r="F4009" s="19" t="str">
        <f>IFERROR(__xludf.DUMMYFUNCTION("""COMPUTED_VALUE"""),"BLACK")</f>
        <v>BLACK</v>
      </c>
      <c r="G4009" s="20" t="str">
        <f>IFERROR(__xludf.DUMMYFUNCTION("""COMPUTED_VALUE"""),"Uncle Sams Cider (11/12/2021) 02")</f>
        <v>Uncle Sams Cider (11/12/2021) 02</v>
      </c>
      <c r="H4009" s="19"/>
    </row>
    <row r="4010">
      <c r="A4010" s="9"/>
      <c r="B4010" s="15"/>
      <c r="C4010" s="9">
        <f>IFERROR(__xludf.DUMMYFUNCTION("""COMPUTED_VALUE"""),44563.6747234143)</f>
        <v>44563.67472</v>
      </c>
      <c r="D4010" s="15">
        <f>IFERROR(__xludf.DUMMYFUNCTION("""COMPUTED_VALUE"""),1.011)</f>
        <v>1.011</v>
      </c>
      <c r="E4010" s="16">
        <f>IFERROR(__xludf.DUMMYFUNCTION("""COMPUTED_VALUE"""),63.0)</f>
        <v>63</v>
      </c>
      <c r="F4010" s="19" t="str">
        <f>IFERROR(__xludf.DUMMYFUNCTION("""COMPUTED_VALUE"""),"BLACK")</f>
        <v>BLACK</v>
      </c>
      <c r="G4010" s="20" t="str">
        <f>IFERROR(__xludf.DUMMYFUNCTION("""COMPUTED_VALUE"""),"Uncle Sams Cider (11/12/2021) 02")</f>
        <v>Uncle Sams Cider (11/12/2021) 02</v>
      </c>
      <c r="H4010" s="19"/>
    </row>
    <row r="4011">
      <c r="A4011" s="9"/>
      <c r="B4011" s="15"/>
      <c r="C4011" s="9">
        <f>IFERROR(__xludf.DUMMYFUNCTION("""COMPUTED_VALUE"""),44563.6643026504)</f>
        <v>44563.6643</v>
      </c>
      <c r="D4011" s="15">
        <f>IFERROR(__xludf.DUMMYFUNCTION("""COMPUTED_VALUE"""),1.011)</f>
        <v>1.011</v>
      </c>
      <c r="E4011" s="16">
        <f>IFERROR(__xludf.DUMMYFUNCTION("""COMPUTED_VALUE"""),63.0)</f>
        <v>63</v>
      </c>
      <c r="F4011" s="19" t="str">
        <f>IFERROR(__xludf.DUMMYFUNCTION("""COMPUTED_VALUE"""),"BLACK")</f>
        <v>BLACK</v>
      </c>
      <c r="G4011" s="20" t="str">
        <f>IFERROR(__xludf.DUMMYFUNCTION("""COMPUTED_VALUE"""),"Uncle Sams Cider (11/12/2021) 02")</f>
        <v>Uncle Sams Cider (11/12/2021) 02</v>
      </c>
      <c r="H4011" s="19"/>
    </row>
    <row r="4012">
      <c r="A4012" s="9"/>
      <c r="B4012" s="15"/>
      <c r="C4012" s="9">
        <f>IFERROR(__xludf.DUMMYFUNCTION("""COMPUTED_VALUE"""),44563.6538828703)</f>
        <v>44563.65388</v>
      </c>
      <c r="D4012" s="15">
        <f>IFERROR(__xludf.DUMMYFUNCTION("""COMPUTED_VALUE"""),1.011)</f>
        <v>1.011</v>
      </c>
      <c r="E4012" s="16">
        <f>IFERROR(__xludf.DUMMYFUNCTION("""COMPUTED_VALUE"""),63.0)</f>
        <v>63</v>
      </c>
      <c r="F4012" s="19" t="str">
        <f>IFERROR(__xludf.DUMMYFUNCTION("""COMPUTED_VALUE"""),"BLACK")</f>
        <v>BLACK</v>
      </c>
      <c r="G4012" s="20" t="str">
        <f>IFERROR(__xludf.DUMMYFUNCTION("""COMPUTED_VALUE"""),"Uncle Sams Cider (11/12/2021) 02")</f>
        <v>Uncle Sams Cider (11/12/2021) 02</v>
      </c>
      <c r="H4012" s="19"/>
    </row>
    <row r="4013">
      <c r="A4013" s="9"/>
      <c r="B4013" s="15"/>
      <c r="C4013" s="9">
        <f>IFERROR(__xludf.DUMMYFUNCTION("""COMPUTED_VALUE"""),44563.6434629166)</f>
        <v>44563.64346</v>
      </c>
      <c r="D4013" s="15">
        <f>IFERROR(__xludf.DUMMYFUNCTION("""COMPUTED_VALUE"""),1.011)</f>
        <v>1.011</v>
      </c>
      <c r="E4013" s="16">
        <f>IFERROR(__xludf.DUMMYFUNCTION("""COMPUTED_VALUE"""),63.0)</f>
        <v>63</v>
      </c>
      <c r="F4013" s="19" t="str">
        <f>IFERROR(__xludf.DUMMYFUNCTION("""COMPUTED_VALUE"""),"BLACK")</f>
        <v>BLACK</v>
      </c>
      <c r="G4013" s="20" t="str">
        <f>IFERROR(__xludf.DUMMYFUNCTION("""COMPUTED_VALUE"""),"Uncle Sams Cider (11/12/2021) 02")</f>
        <v>Uncle Sams Cider (11/12/2021) 02</v>
      </c>
      <c r="H4013" s="19"/>
    </row>
    <row r="4014">
      <c r="A4014" s="9"/>
      <c r="B4014" s="15"/>
      <c r="C4014" s="9">
        <f>IFERROR(__xludf.DUMMYFUNCTION("""COMPUTED_VALUE"""),44563.6330410763)</f>
        <v>44563.63304</v>
      </c>
      <c r="D4014" s="15">
        <f>IFERROR(__xludf.DUMMYFUNCTION("""COMPUTED_VALUE"""),1.011)</f>
        <v>1.011</v>
      </c>
      <c r="E4014" s="16">
        <f>IFERROR(__xludf.DUMMYFUNCTION("""COMPUTED_VALUE"""),63.0)</f>
        <v>63</v>
      </c>
      <c r="F4014" s="19" t="str">
        <f>IFERROR(__xludf.DUMMYFUNCTION("""COMPUTED_VALUE"""),"BLACK")</f>
        <v>BLACK</v>
      </c>
      <c r="G4014" s="20" t="str">
        <f>IFERROR(__xludf.DUMMYFUNCTION("""COMPUTED_VALUE"""),"Uncle Sams Cider (11/12/2021) 02")</f>
        <v>Uncle Sams Cider (11/12/2021) 02</v>
      </c>
      <c r="H4014" s="19"/>
    </row>
    <row r="4015">
      <c r="A4015" s="9"/>
      <c r="B4015" s="15"/>
      <c r="C4015" s="9">
        <f>IFERROR(__xludf.DUMMYFUNCTION("""COMPUTED_VALUE"""),44563.6226201851)</f>
        <v>44563.62262</v>
      </c>
      <c r="D4015" s="15">
        <f>IFERROR(__xludf.DUMMYFUNCTION("""COMPUTED_VALUE"""),1.011)</f>
        <v>1.011</v>
      </c>
      <c r="E4015" s="16">
        <f>IFERROR(__xludf.DUMMYFUNCTION("""COMPUTED_VALUE"""),63.0)</f>
        <v>63</v>
      </c>
      <c r="F4015" s="19" t="str">
        <f>IFERROR(__xludf.DUMMYFUNCTION("""COMPUTED_VALUE"""),"BLACK")</f>
        <v>BLACK</v>
      </c>
      <c r="G4015" s="20" t="str">
        <f>IFERROR(__xludf.DUMMYFUNCTION("""COMPUTED_VALUE"""),"Uncle Sams Cider (11/12/2021) 02")</f>
        <v>Uncle Sams Cider (11/12/2021) 02</v>
      </c>
      <c r="H4015" s="19"/>
    </row>
    <row r="4016">
      <c r="A4016" s="9"/>
      <c r="B4016" s="15"/>
      <c r="C4016" s="9">
        <f>IFERROR(__xludf.DUMMYFUNCTION("""COMPUTED_VALUE"""),44563.6122002314)</f>
        <v>44563.6122</v>
      </c>
      <c r="D4016" s="15">
        <f>IFERROR(__xludf.DUMMYFUNCTION("""COMPUTED_VALUE"""),1.011)</f>
        <v>1.011</v>
      </c>
      <c r="E4016" s="16">
        <f>IFERROR(__xludf.DUMMYFUNCTION("""COMPUTED_VALUE"""),63.0)</f>
        <v>63</v>
      </c>
      <c r="F4016" s="19" t="str">
        <f>IFERROR(__xludf.DUMMYFUNCTION("""COMPUTED_VALUE"""),"BLACK")</f>
        <v>BLACK</v>
      </c>
      <c r="G4016" s="20" t="str">
        <f>IFERROR(__xludf.DUMMYFUNCTION("""COMPUTED_VALUE"""),"Uncle Sams Cider (11/12/2021) 02")</f>
        <v>Uncle Sams Cider (11/12/2021) 02</v>
      </c>
      <c r="H4016" s="19"/>
    </row>
    <row r="4017">
      <c r="A4017" s="9"/>
      <c r="B4017" s="15"/>
      <c r="C4017" s="9">
        <f>IFERROR(__xludf.DUMMYFUNCTION("""COMPUTED_VALUE"""),44563.6017571296)</f>
        <v>44563.60176</v>
      </c>
      <c r="D4017" s="15">
        <f>IFERROR(__xludf.DUMMYFUNCTION("""COMPUTED_VALUE"""),1.011)</f>
        <v>1.011</v>
      </c>
      <c r="E4017" s="16">
        <f>IFERROR(__xludf.DUMMYFUNCTION("""COMPUTED_VALUE"""),63.0)</f>
        <v>63</v>
      </c>
      <c r="F4017" s="19" t="str">
        <f>IFERROR(__xludf.DUMMYFUNCTION("""COMPUTED_VALUE"""),"BLACK")</f>
        <v>BLACK</v>
      </c>
      <c r="G4017" s="20" t="str">
        <f>IFERROR(__xludf.DUMMYFUNCTION("""COMPUTED_VALUE"""),"Uncle Sams Cider (11/12/2021) 02")</f>
        <v>Uncle Sams Cider (11/12/2021) 02</v>
      </c>
      <c r="H4017" s="19"/>
    </row>
    <row r="4018">
      <c r="A4018" s="9"/>
      <c r="B4018" s="15"/>
      <c r="C4018" s="9">
        <f>IFERROR(__xludf.DUMMYFUNCTION("""COMPUTED_VALUE"""),44563.5913357638)</f>
        <v>44563.59134</v>
      </c>
      <c r="D4018" s="15">
        <f>IFERROR(__xludf.DUMMYFUNCTION("""COMPUTED_VALUE"""),1.011)</f>
        <v>1.011</v>
      </c>
      <c r="E4018" s="16">
        <f>IFERROR(__xludf.DUMMYFUNCTION("""COMPUTED_VALUE"""),63.0)</f>
        <v>63</v>
      </c>
      <c r="F4018" s="19" t="str">
        <f>IFERROR(__xludf.DUMMYFUNCTION("""COMPUTED_VALUE"""),"BLACK")</f>
        <v>BLACK</v>
      </c>
      <c r="G4018" s="20" t="str">
        <f>IFERROR(__xludf.DUMMYFUNCTION("""COMPUTED_VALUE"""),"Uncle Sams Cider (11/12/2021) 02")</f>
        <v>Uncle Sams Cider (11/12/2021) 02</v>
      </c>
      <c r="H4018" s="19"/>
    </row>
    <row r="4019">
      <c r="A4019" s="9"/>
      <c r="B4019" s="15"/>
      <c r="C4019" s="9">
        <f>IFERROR(__xludf.DUMMYFUNCTION("""COMPUTED_VALUE"""),44563.5809153009)</f>
        <v>44563.58092</v>
      </c>
      <c r="D4019" s="15">
        <f>IFERROR(__xludf.DUMMYFUNCTION("""COMPUTED_VALUE"""),1.011)</f>
        <v>1.011</v>
      </c>
      <c r="E4019" s="16">
        <f>IFERROR(__xludf.DUMMYFUNCTION("""COMPUTED_VALUE"""),63.0)</f>
        <v>63</v>
      </c>
      <c r="F4019" s="19" t="str">
        <f>IFERROR(__xludf.DUMMYFUNCTION("""COMPUTED_VALUE"""),"BLACK")</f>
        <v>BLACK</v>
      </c>
      <c r="G4019" s="20" t="str">
        <f>IFERROR(__xludf.DUMMYFUNCTION("""COMPUTED_VALUE"""),"Uncle Sams Cider (11/12/2021) 02")</f>
        <v>Uncle Sams Cider (11/12/2021) 02</v>
      </c>
      <c r="H4019" s="19"/>
    </row>
    <row r="4020">
      <c r="A4020" s="9"/>
      <c r="B4020" s="15"/>
      <c r="C4020" s="9">
        <f>IFERROR(__xludf.DUMMYFUNCTION("""COMPUTED_VALUE"""),44563.5704946875)</f>
        <v>44563.57049</v>
      </c>
      <c r="D4020" s="15">
        <f>IFERROR(__xludf.DUMMYFUNCTION("""COMPUTED_VALUE"""),1.011)</f>
        <v>1.011</v>
      </c>
      <c r="E4020" s="16">
        <f>IFERROR(__xludf.DUMMYFUNCTION("""COMPUTED_VALUE"""),63.0)</f>
        <v>63</v>
      </c>
      <c r="F4020" s="19" t="str">
        <f>IFERROR(__xludf.DUMMYFUNCTION("""COMPUTED_VALUE"""),"BLACK")</f>
        <v>BLACK</v>
      </c>
      <c r="G4020" s="20" t="str">
        <f>IFERROR(__xludf.DUMMYFUNCTION("""COMPUTED_VALUE"""),"Uncle Sams Cider (11/12/2021) 02")</f>
        <v>Uncle Sams Cider (11/12/2021) 02</v>
      </c>
      <c r="H4020" s="19"/>
    </row>
    <row r="4021">
      <c r="A4021" s="9"/>
      <c r="B4021" s="15"/>
      <c r="C4021" s="9">
        <f>IFERROR(__xludf.DUMMYFUNCTION("""COMPUTED_VALUE"""),44563.5600733912)</f>
        <v>44563.56007</v>
      </c>
      <c r="D4021" s="15">
        <f>IFERROR(__xludf.DUMMYFUNCTION("""COMPUTED_VALUE"""),1.011)</f>
        <v>1.011</v>
      </c>
      <c r="E4021" s="16">
        <f>IFERROR(__xludf.DUMMYFUNCTION("""COMPUTED_VALUE"""),63.0)</f>
        <v>63</v>
      </c>
      <c r="F4021" s="19" t="str">
        <f>IFERROR(__xludf.DUMMYFUNCTION("""COMPUTED_VALUE"""),"BLACK")</f>
        <v>BLACK</v>
      </c>
      <c r="G4021" s="20" t="str">
        <f>IFERROR(__xludf.DUMMYFUNCTION("""COMPUTED_VALUE"""),"Uncle Sams Cider (11/12/2021) 02")</f>
        <v>Uncle Sams Cider (11/12/2021) 02</v>
      </c>
      <c r="H4021" s="19"/>
    </row>
    <row r="4022">
      <c r="A4022" s="9"/>
      <c r="B4022" s="15"/>
      <c r="C4022" s="9">
        <f>IFERROR(__xludf.DUMMYFUNCTION("""COMPUTED_VALUE"""),44563.5496529398)</f>
        <v>44563.54965</v>
      </c>
      <c r="D4022" s="15">
        <f>IFERROR(__xludf.DUMMYFUNCTION("""COMPUTED_VALUE"""),1.011)</f>
        <v>1.011</v>
      </c>
      <c r="E4022" s="16">
        <f>IFERROR(__xludf.DUMMYFUNCTION("""COMPUTED_VALUE"""),63.0)</f>
        <v>63</v>
      </c>
      <c r="F4022" s="19" t="str">
        <f>IFERROR(__xludf.DUMMYFUNCTION("""COMPUTED_VALUE"""),"BLACK")</f>
        <v>BLACK</v>
      </c>
      <c r="G4022" s="20" t="str">
        <f>IFERROR(__xludf.DUMMYFUNCTION("""COMPUTED_VALUE"""),"Uncle Sams Cider (11/12/2021) 02")</f>
        <v>Uncle Sams Cider (11/12/2021) 02</v>
      </c>
      <c r="H4022" s="19"/>
    </row>
    <row r="4023">
      <c r="A4023" s="9"/>
      <c r="B4023" s="15"/>
      <c r="C4023" s="9">
        <f>IFERROR(__xludf.DUMMYFUNCTION("""COMPUTED_VALUE"""),44563.5392307291)</f>
        <v>44563.53923</v>
      </c>
      <c r="D4023" s="15">
        <f>IFERROR(__xludf.DUMMYFUNCTION("""COMPUTED_VALUE"""),1.011)</f>
        <v>1.011</v>
      </c>
      <c r="E4023" s="16">
        <f>IFERROR(__xludf.DUMMYFUNCTION("""COMPUTED_VALUE"""),63.0)</f>
        <v>63</v>
      </c>
      <c r="F4023" s="19" t="str">
        <f>IFERROR(__xludf.DUMMYFUNCTION("""COMPUTED_VALUE"""),"BLACK")</f>
        <v>BLACK</v>
      </c>
      <c r="G4023" s="20" t="str">
        <f>IFERROR(__xludf.DUMMYFUNCTION("""COMPUTED_VALUE"""),"Uncle Sams Cider (11/12/2021) 02")</f>
        <v>Uncle Sams Cider (11/12/2021) 02</v>
      </c>
      <c r="H4023" s="19"/>
    </row>
    <row r="4024">
      <c r="A4024" s="9"/>
      <c r="B4024" s="15"/>
      <c r="C4024" s="9">
        <f>IFERROR(__xludf.DUMMYFUNCTION("""COMPUTED_VALUE"""),44563.5287987847)</f>
        <v>44563.5288</v>
      </c>
      <c r="D4024" s="15">
        <f>IFERROR(__xludf.DUMMYFUNCTION("""COMPUTED_VALUE"""),1.011)</f>
        <v>1.011</v>
      </c>
      <c r="E4024" s="16">
        <f>IFERROR(__xludf.DUMMYFUNCTION("""COMPUTED_VALUE"""),63.0)</f>
        <v>63</v>
      </c>
      <c r="F4024" s="19" t="str">
        <f>IFERROR(__xludf.DUMMYFUNCTION("""COMPUTED_VALUE"""),"BLACK")</f>
        <v>BLACK</v>
      </c>
      <c r="G4024" s="20" t="str">
        <f>IFERROR(__xludf.DUMMYFUNCTION("""COMPUTED_VALUE"""),"Uncle Sams Cider (11/12/2021) 02")</f>
        <v>Uncle Sams Cider (11/12/2021) 02</v>
      </c>
      <c r="H4024" s="19"/>
    </row>
    <row r="4025">
      <c r="A4025" s="9"/>
      <c r="B4025" s="15"/>
      <c r="C4025" s="9">
        <f>IFERROR(__xludf.DUMMYFUNCTION("""COMPUTED_VALUE"""),44563.5183767245)</f>
        <v>44563.51838</v>
      </c>
      <c r="D4025" s="15">
        <f>IFERROR(__xludf.DUMMYFUNCTION("""COMPUTED_VALUE"""),1.011)</f>
        <v>1.011</v>
      </c>
      <c r="E4025" s="16">
        <f>IFERROR(__xludf.DUMMYFUNCTION("""COMPUTED_VALUE"""),63.0)</f>
        <v>63</v>
      </c>
      <c r="F4025" s="19" t="str">
        <f>IFERROR(__xludf.DUMMYFUNCTION("""COMPUTED_VALUE"""),"BLACK")</f>
        <v>BLACK</v>
      </c>
      <c r="G4025" s="20" t="str">
        <f>IFERROR(__xludf.DUMMYFUNCTION("""COMPUTED_VALUE"""),"Uncle Sams Cider (11/12/2021) 02")</f>
        <v>Uncle Sams Cider (11/12/2021) 02</v>
      </c>
      <c r="H4025" s="19"/>
    </row>
    <row r="4026">
      <c r="A4026" s="9"/>
      <c r="B4026" s="15"/>
      <c r="C4026" s="9">
        <f>IFERROR(__xludf.DUMMYFUNCTION("""COMPUTED_VALUE"""),44563.5079562731)</f>
        <v>44563.50796</v>
      </c>
      <c r="D4026" s="15">
        <f>IFERROR(__xludf.DUMMYFUNCTION("""COMPUTED_VALUE"""),1.011)</f>
        <v>1.011</v>
      </c>
      <c r="E4026" s="16">
        <f>IFERROR(__xludf.DUMMYFUNCTION("""COMPUTED_VALUE"""),63.0)</f>
        <v>63</v>
      </c>
      <c r="F4026" s="19" t="str">
        <f>IFERROR(__xludf.DUMMYFUNCTION("""COMPUTED_VALUE"""),"BLACK")</f>
        <v>BLACK</v>
      </c>
      <c r="G4026" s="20" t="str">
        <f>IFERROR(__xludf.DUMMYFUNCTION("""COMPUTED_VALUE"""),"Uncle Sams Cider (11/12/2021) 02")</f>
        <v>Uncle Sams Cider (11/12/2021) 02</v>
      </c>
      <c r="H4026" s="19"/>
    </row>
    <row r="4027">
      <c r="A4027" s="9"/>
      <c r="B4027" s="15"/>
      <c r="C4027" s="9">
        <f>IFERROR(__xludf.DUMMYFUNCTION("""COMPUTED_VALUE"""),44563.4975357291)</f>
        <v>44563.49754</v>
      </c>
      <c r="D4027" s="15">
        <f>IFERROR(__xludf.DUMMYFUNCTION("""COMPUTED_VALUE"""),1.011)</f>
        <v>1.011</v>
      </c>
      <c r="E4027" s="16">
        <f>IFERROR(__xludf.DUMMYFUNCTION("""COMPUTED_VALUE"""),63.0)</f>
        <v>63</v>
      </c>
      <c r="F4027" s="19" t="str">
        <f>IFERROR(__xludf.DUMMYFUNCTION("""COMPUTED_VALUE"""),"BLACK")</f>
        <v>BLACK</v>
      </c>
      <c r="G4027" s="20" t="str">
        <f>IFERROR(__xludf.DUMMYFUNCTION("""COMPUTED_VALUE"""),"Uncle Sams Cider (11/12/2021) 02")</f>
        <v>Uncle Sams Cider (11/12/2021) 02</v>
      </c>
      <c r="H4027" s="19"/>
    </row>
    <row r="4028">
      <c r="A4028" s="9"/>
      <c r="B4028" s="15"/>
      <c r="C4028" s="9">
        <f>IFERROR(__xludf.DUMMYFUNCTION("""COMPUTED_VALUE"""),44563.4871163888)</f>
        <v>44563.48712</v>
      </c>
      <c r="D4028" s="15">
        <f>IFERROR(__xludf.DUMMYFUNCTION("""COMPUTED_VALUE"""),1.011)</f>
        <v>1.011</v>
      </c>
      <c r="E4028" s="16">
        <f>IFERROR(__xludf.DUMMYFUNCTION("""COMPUTED_VALUE"""),63.0)</f>
        <v>63</v>
      </c>
      <c r="F4028" s="19" t="str">
        <f>IFERROR(__xludf.DUMMYFUNCTION("""COMPUTED_VALUE"""),"BLACK")</f>
        <v>BLACK</v>
      </c>
      <c r="G4028" s="20" t="str">
        <f>IFERROR(__xludf.DUMMYFUNCTION("""COMPUTED_VALUE"""),"Uncle Sams Cider (11/12/2021) 02")</f>
        <v>Uncle Sams Cider (11/12/2021) 02</v>
      </c>
      <c r="H4028" s="19"/>
    </row>
    <row r="4029">
      <c r="A4029" s="9"/>
      <c r="B4029" s="15"/>
      <c r="C4029" s="9">
        <f>IFERROR(__xludf.DUMMYFUNCTION("""COMPUTED_VALUE"""),44563.4766828819)</f>
        <v>44563.47668</v>
      </c>
      <c r="D4029" s="15">
        <f>IFERROR(__xludf.DUMMYFUNCTION("""COMPUTED_VALUE"""),1.011)</f>
        <v>1.011</v>
      </c>
      <c r="E4029" s="16">
        <f>IFERROR(__xludf.DUMMYFUNCTION("""COMPUTED_VALUE"""),63.0)</f>
        <v>63</v>
      </c>
      <c r="F4029" s="19" t="str">
        <f>IFERROR(__xludf.DUMMYFUNCTION("""COMPUTED_VALUE"""),"BLACK")</f>
        <v>BLACK</v>
      </c>
      <c r="G4029" s="20" t="str">
        <f>IFERROR(__xludf.DUMMYFUNCTION("""COMPUTED_VALUE"""),"Uncle Sams Cider (11/12/2021) 02")</f>
        <v>Uncle Sams Cider (11/12/2021) 02</v>
      </c>
      <c r="H4029" s="19"/>
    </row>
    <row r="4030">
      <c r="A4030" s="9"/>
      <c r="B4030" s="15"/>
      <c r="C4030" s="9">
        <f>IFERROR(__xludf.DUMMYFUNCTION("""COMPUTED_VALUE"""),44563.4662605671)</f>
        <v>44563.46626</v>
      </c>
      <c r="D4030" s="15">
        <f>IFERROR(__xludf.DUMMYFUNCTION("""COMPUTED_VALUE"""),1.011)</f>
        <v>1.011</v>
      </c>
      <c r="E4030" s="16">
        <f>IFERROR(__xludf.DUMMYFUNCTION("""COMPUTED_VALUE"""),63.0)</f>
        <v>63</v>
      </c>
      <c r="F4030" s="19" t="str">
        <f>IFERROR(__xludf.DUMMYFUNCTION("""COMPUTED_VALUE"""),"BLACK")</f>
        <v>BLACK</v>
      </c>
      <c r="G4030" s="20" t="str">
        <f>IFERROR(__xludf.DUMMYFUNCTION("""COMPUTED_VALUE"""),"Uncle Sams Cider (11/12/2021) 02")</f>
        <v>Uncle Sams Cider (11/12/2021) 02</v>
      </c>
      <c r="H4030" s="19"/>
    </row>
    <row r="4031">
      <c r="A4031" s="9"/>
      <c r="B4031" s="15"/>
      <c r="C4031" s="9">
        <f>IFERROR(__xludf.DUMMYFUNCTION("""COMPUTED_VALUE"""),44563.4558393865)</f>
        <v>44563.45584</v>
      </c>
      <c r="D4031" s="15">
        <f>IFERROR(__xludf.DUMMYFUNCTION("""COMPUTED_VALUE"""),1.011)</f>
        <v>1.011</v>
      </c>
      <c r="E4031" s="16">
        <f>IFERROR(__xludf.DUMMYFUNCTION("""COMPUTED_VALUE"""),63.0)</f>
        <v>63</v>
      </c>
      <c r="F4031" s="19" t="str">
        <f>IFERROR(__xludf.DUMMYFUNCTION("""COMPUTED_VALUE"""),"BLACK")</f>
        <v>BLACK</v>
      </c>
      <c r="G4031" s="20" t="str">
        <f>IFERROR(__xludf.DUMMYFUNCTION("""COMPUTED_VALUE"""),"Uncle Sams Cider (11/12/2021) 02")</f>
        <v>Uncle Sams Cider (11/12/2021) 02</v>
      </c>
      <c r="H4031" s="19"/>
    </row>
    <row r="4032">
      <c r="A4032" s="9"/>
      <c r="B4032" s="15"/>
      <c r="C4032" s="9">
        <f>IFERROR(__xludf.DUMMYFUNCTION("""COMPUTED_VALUE"""),44563.4453966088)</f>
        <v>44563.4454</v>
      </c>
      <c r="D4032" s="15">
        <f>IFERROR(__xludf.DUMMYFUNCTION("""COMPUTED_VALUE"""),1.011)</f>
        <v>1.011</v>
      </c>
      <c r="E4032" s="16">
        <f>IFERROR(__xludf.DUMMYFUNCTION("""COMPUTED_VALUE"""),63.0)</f>
        <v>63</v>
      </c>
      <c r="F4032" s="19" t="str">
        <f>IFERROR(__xludf.DUMMYFUNCTION("""COMPUTED_VALUE"""),"BLACK")</f>
        <v>BLACK</v>
      </c>
      <c r="G4032" s="20" t="str">
        <f>IFERROR(__xludf.DUMMYFUNCTION("""COMPUTED_VALUE"""),"Uncle Sams Cider (11/12/2021) 02")</f>
        <v>Uncle Sams Cider (11/12/2021) 02</v>
      </c>
      <c r="H4032" s="19"/>
    </row>
    <row r="4033">
      <c r="A4033" s="9"/>
      <c r="B4033" s="15"/>
      <c r="C4033" s="9">
        <f>IFERROR(__xludf.DUMMYFUNCTION("""COMPUTED_VALUE"""),44563.4349749768)</f>
        <v>44563.43497</v>
      </c>
      <c r="D4033" s="15">
        <f>IFERROR(__xludf.DUMMYFUNCTION("""COMPUTED_VALUE"""),1.011)</f>
        <v>1.011</v>
      </c>
      <c r="E4033" s="16">
        <f>IFERROR(__xludf.DUMMYFUNCTION("""COMPUTED_VALUE"""),63.0)</f>
        <v>63</v>
      </c>
      <c r="F4033" s="19" t="str">
        <f>IFERROR(__xludf.DUMMYFUNCTION("""COMPUTED_VALUE"""),"BLACK")</f>
        <v>BLACK</v>
      </c>
      <c r="G4033" s="20" t="str">
        <f>IFERROR(__xludf.DUMMYFUNCTION("""COMPUTED_VALUE"""),"Uncle Sams Cider (11/12/2021) 02")</f>
        <v>Uncle Sams Cider (11/12/2021) 02</v>
      </c>
      <c r="H4033" s="19"/>
    </row>
    <row r="4034">
      <c r="A4034" s="9"/>
      <c r="B4034" s="15"/>
      <c r="C4034" s="9">
        <f>IFERROR(__xludf.DUMMYFUNCTION("""COMPUTED_VALUE"""),44563.4245201273)</f>
        <v>44563.42452</v>
      </c>
      <c r="D4034" s="15">
        <f>IFERROR(__xludf.DUMMYFUNCTION("""COMPUTED_VALUE"""),1.011)</f>
        <v>1.011</v>
      </c>
      <c r="E4034" s="16">
        <f>IFERROR(__xludf.DUMMYFUNCTION("""COMPUTED_VALUE"""),63.0)</f>
        <v>63</v>
      </c>
      <c r="F4034" s="19" t="str">
        <f>IFERROR(__xludf.DUMMYFUNCTION("""COMPUTED_VALUE"""),"BLACK")</f>
        <v>BLACK</v>
      </c>
      <c r="G4034" s="20" t="str">
        <f>IFERROR(__xludf.DUMMYFUNCTION("""COMPUTED_VALUE"""),"Uncle Sams Cider (11/12/2021) 02")</f>
        <v>Uncle Sams Cider (11/12/2021) 02</v>
      </c>
      <c r="H4034" s="19"/>
    </row>
    <row r="4035">
      <c r="A4035" s="9"/>
      <c r="B4035" s="15"/>
      <c r="C4035" s="9">
        <f>IFERROR(__xludf.DUMMYFUNCTION("""COMPUTED_VALUE"""),44563.4140760532)</f>
        <v>44563.41408</v>
      </c>
      <c r="D4035" s="15">
        <f>IFERROR(__xludf.DUMMYFUNCTION("""COMPUTED_VALUE"""),1.011)</f>
        <v>1.011</v>
      </c>
      <c r="E4035" s="16">
        <f>IFERROR(__xludf.DUMMYFUNCTION("""COMPUTED_VALUE"""),63.0)</f>
        <v>63</v>
      </c>
      <c r="F4035" s="19" t="str">
        <f>IFERROR(__xludf.DUMMYFUNCTION("""COMPUTED_VALUE"""),"BLACK")</f>
        <v>BLACK</v>
      </c>
      <c r="G4035" s="20" t="str">
        <f>IFERROR(__xludf.DUMMYFUNCTION("""COMPUTED_VALUE"""),"Uncle Sams Cider (11/12/2021) 02")</f>
        <v>Uncle Sams Cider (11/12/2021) 02</v>
      </c>
      <c r="H4035" s="19"/>
    </row>
    <row r="4036">
      <c r="A4036" s="9"/>
      <c r="B4036" s="15"/>
      <c r="C4036" s="9">
        <f>IFERROR(__xludf.DUMMYFUNCTION("""COMPUTED_VALUE"""),44563.403608368)</f>
        <v>44563.40361</v>
      </c>
      <c r="D4036" s="15">
        <f>IFERROR(__xludf.DUMMYFUNCTION("""COMPUTED_VALUE"""),1.011)</f>
        <v>1.011</v>
      </c>
      <c r="E4036" s="16">
        <f>IFERROR(__xludf.DUMMYFUNCTION("""COMPUTED_VALUE"""),63.0)</f>
        <v>63</v>
      </c>
      <c r="F4036" s="19" t="str">
        <f>IFERROR(__xludf.DUMMYFUNCTION("""COMPUTED_VALUE"""),"BLACK")</f>
        <v>BLACK</v>
      </c>
      <c r="G4036" s="20" t="str">
        <f>IFERROR(__xludf.DUMMYFUNCTION("""COMPUTED_VALUE"""),"Uncle Sams Cider (11/12/2021) 02")</f>
        <v>Uncle Sams Cider (11/12/2021) 02</v>
      </c>
      <c r="H4036" s="19"/>
    </row>
    <row r="4037">
      <c r="A4037" s="9"/>
      <c r="B4037" s="15"/>
      <c r="C4037" s="9">
        <f>IFERROR(__xludf.DUMMYFUNCTION("""COMPUTED_VALUE"""),44563.3931875115)</f>
        <v>44563.39319</v>
      </c>
      <c r="D4037" s="15">
        <f>IFERROR(__xludf.DUMMYFUNCTION("""COMPUTED_VALUE"""),1.011)</f>
        <v>1.011</v>
      </c>
      <c r="E4037" s="16">
        <f>IFERROR(__xludf.DUMMYFUNCTION("""COMPUTED_VALUE"""),63.0)</f>
        <v>63</v>
      </c>
      <c r="F4037" s="19" t="str">
        <f>IFERROR(__xludf.DUMMYFUNCTION("""COMPUTED_VALUE"""),"BLACK")</f>
        <v>BLACK</v>
      </c>
      <c r="G4037" s="20" t="str">
        <f>IFERROR(__xludf.DUMMYFUNCTION("""COMPUTED_VALUE"""),"Uncle Sams Cider (11/12/2021) 02")</f>
        <v>Uncle Sams Cider (11/12/2021) 02</v>
      </c>
      <c r="H4037" s="19"/>
    </row>
    <row r="4038">
      <c r="A4038" s="9"/>
      <c r="B4038" s="15"/>
      <c r="C4038" s="9">
        <f>IFERROR(__xludf.DUMMYFUNCTION("""COMPUTED_VALUE"""),44563.3827418981)</f>
        <v>44563.38274</v>
      </c>
      <c r="D4038" s="15">
        <f>IFERROR(__xludf.DUMMYFUNCTION("""COMPUTED_VALUE"""),1.011)</f>
        <v>1.011</v>
      </c>
      <c r="E4038" s="16">
        <f>IFERROR(__xludf.DUMMYFUNCTION("""COMPUTED_VALUE"""),63.0)</f>
        <v>63</v>
      </c>
      <c r="F4038" s="19" t="str">
        <f>IFERROR(__xludf.DUMMYFUNCTION("""COMPUTED_VALUE"""),"BLACK")</f>
        <v>BLACK</v>
      </c>
      <c r="G4038" s="20" t="str">
        <f>IFERROR(__xludf.DUMMYFUNCTION("""COMPUTED_VALUE"""),"Uncle Sams Cider (11/12/2021) 02")</f>
        <v>Uncle Sams Cider (11/12/2021) 02</v>
      </c>
      <c r="H4038" s="19"/>
    </row>
    <row r="4039">
      <c r="A4039" s="9"/>
      <c r="B4039" s="15"/>
      <c r="C4039" s="9">
        <f>IFERROR(__xludf.DUMMYFUNCTION("""COMPUTED_VALUE"""),44563.3723203125)</f>
        <v>44563.37232</v>
      </c>
      <c r="D4039" s="15">
        <f>IFERROR(__xludf.DUMMYFUNCTION("""COMPUTED_VALUE"""),1.011)</f>
        <v>1.011</v>
      </c>
      <c r="E4039" s="16">
        <f>IFERROR(__xludf.DUMMYFUNCTION("""COMPUTED_VALUE"""),63.0)</f>
        <v>63</v>
      </c>
      <c r="F4039" s="19" t="str">
        <f>IFERROR(__xludf.DUMMYFUNCTION("""COMPUTED_VALUE"""),"BLACK")</f>
        <v>BLACK</v>
      </c>
      <c r="G4039" s="20" t="str">
        <f>IFERROR(__xludf.DUMMYFUNCTION("""COMPUTED_VALUE"""),"Uncle Sams Cider (11/12/2021) 02")</f>
        <v>Uncle Sams Cider (11/12/2021) 02</v>
      </c>
      <c r="H4039" s="19"/>
    </row>
    <row r="4040">
      <c r="A4040" s="9"/>
      <c r="B4040" s="15"/>
      <c r="C4040" s="9">
        <f>IFERROR(__xludf.DUMMYFUNCTION("""COMPUTED_VALUE"""),44563.3618992476)</f>
        <v>44563.3619</v>
      </c>
      <c r="D4040" s="15">
        <f>IFERROR(__xludf.DUMMYFUNCTION("""COMPUTED_VALUE"""),1.011)</f>
        <v>1.011</v>
      </c>
      <c r="E4040" s="16">
        <f>IFERROR(__xludf.DUMMYFUNCTION("""COMPUTED_VALUE"""),63.0)</f>
        <v>63</v>
      </c>
      <c r="F4040" s="19" t="str">
        <f>IFERROR(__xludf.DUMMYFUNCTION("""COMPUTED_VALUE"""),"BLACK")</f>
        <v>BLACK</v>
      </c>
      <c r="G4040" s="20" t="str">
        <f>IFERROR(__xludf.DUMMYFUNCTION("""COMPUTED_VALUE"""),"Uncle Sams Cider (11/12/2021) 02")</f>
        <v>Uncle Sams Cider (11/12/2021) 02</v>
      </c>
      <c r="H4040" s="19"/>
    </row>
    <row r="4041">
      <c r="A4041" s="9"/>
      <c r="B4041" s="15"/>
      <c r="C4041" s="9">
        <f>IFERROR(__xludf.DUMMYFUNCTION("""COMPUTED_VALUE"""),44563.3514530555)</f>
        <v>44563.35145</v>
      </c>
      <c r="D4041" s="15">
        <f>IFERROR(__xludf.DUMMYFUNCTION("""COMPUTED_VALUE"""),1.011)</f>
        <v>1.011</v>
      </c>
      <c r="E4041" s="16">
        <f>IFERROR(__xludf.DUMMYFUNCTION("""COMPUTED_VALUE"""),63.0)</f>
        <v>63</v>
      </c>
      <c r="F4041" s="19" t="str">
        <f>IFERROR(__xludf.DUMMYFUNCTION("""COMPUTED_VALUE"""),"BLACK")</f>
        <v>BLACK</v>
      </c>
      <c r="G4041" s="20" t="str">
        <f>IFERROR(__xludf.DUMMYFUNCTION("""COMPUTED_VALUE"""),"Uncle Sams Cider (11/12/2021) 02")</f>
        <v>Uncle Sams Cider (11/12/2021) 02</v>
      </c>
      <c r="H4041" s="19"/>
    </row>
    <row r="4042">
      <c r="A4042" s="9"/>
      <c r="B4042" s="15"/>
      <c r="C4042" s="9">
        <f>IFERROR(__xludf.DUMMYFUNCTION("""COMPUTED_VALUE"""),44563.3410312152)</f>
        <v>44563.34103</v>
      </c>
      <c r="D4042" s="15">
        <f>IFERROR(__xludf.DUMMYFUNCTION("""COMPUTED_VALUE"""),1.011)</f>
        <v>1.011</v>
      </c>
      <c r="E4042" s="16">
        <f>IFERROR(__xludf.DUMMYFUNCTION("""COMPUTED_VALUE"""),63.0)</f>
        <v>63</v>
      </c>
      <c r="F4042" s="19" t="str">
        <f>IFERROR(__xludf.DUMMYFUNCTION("""COMPUTED_VALUE"""),"BLACK")</f>
        <v>BLACK</v>
      </c>
      <c r="G4042" s="20" t="str">
        <f>IFERROR(__xludf.DUMMYFUNCTION("""COMPUTED_VALUE"""),"Uncle Sams Cider (11/12/2021) 02")</f>
        <v>Uncle Sams Cider (11/12/2021) 02</v>
      </c>
      <c r="H4042" s="19"/>
    </row>
    <row r="4043">
      <c r="A4043" s="9"/>
      <c r="B4043" s="15"/>
      <c r="C4043" s="9">
        <f>IFERROR(__xludf.DUMMYFUNCTION("""COMPUTED_VALUE"""),44563.3305975578)</f>
        <v>44563.3306</v>
      </c>
      <c r="D4043" s="15">
        <f>IFERROR(__xludf.DUMMYFUNCTION("""COMPUTED_VALUE"""),1.011)</f>
        <v>1.011</v>
      </c>
      <c r="E4043" s="16">
        <f>IFERROR(__xludf.DUMMYFUNCTION("""COMPUTED_VALUE"""),63.0)</f>
        <v>63</v>
      </c>
      <c r="F4043" s="19" t="str">
        <f>IFERROR(__xludf.DUMMYFUNCTION("""COMPUTED_VALUE"""),"BLACK")</f>
        <v>BLACK</v>
      </c>
      <c r="G4043" s="20" t="str">
        <f>IFERROR(__xludf.DUMMYFUNCTION("""COMPUTED_VALUE"""),"Uncle Sams Cider (11/12/2021) 02")</f>
        <v>Uncle Sams Cider (11/12/2021) 02</v>
      </c>
      <c r="H4043" s="19"/>
    </row>
    <row r="4044">
      <c r="A4044" s="9"/>
      <c r="B4044" s="15"/>
      <c r="C4044" s="9">
        <f>IFERROR(__xludf.DUMMYFUNCTION("""COMPUTED_VALUE"""),44563.32017728)</f>
        <v>44563.32018</v>
      </c>
      <c r="D4044" s="15">
        <f>IFERROR(__xludf.DUMMYFUNCTION("""COMPUTED_VALUE"""),1.011)</f>
        <v>1.011</v>
      </c>
      <c r="E4044" s="16">
        <f>IFERROR(__xludf.DUMMYFUNCTION("""COMPUTED_VALUE"""),63.0)</f>
        <v>63</v>
      </c>
      <c r="F4044" s="19" t="str">
        <f>IFERROR(__xludf.DUMMYFUNCTION("""COMPUTED_VALUE"""),"BLACK")</f>
        <v>BLACK</v>
      </c>
      <c r="G4044" s="20" t="str">
        <f>IFERROR(__xludf.DUMMYFUNCTION("""COMPUTED_VALUE"""),"Uncle Sams Cider (11/12/2021) 02")</f>
        <v>Uncle Sams Cider (11/12/2021) 02</v>
      </c>
      <c r="H4044" s="19"/>
    </row>
    <row r="4045">
      <c r="A4045" s="9"/>
      <c r="B4045" s="15"/>
      <c r="C4045" s="9">
        <f>IFERROR(__xludf.DUMMYFUNCTION("""COMPUTED_VALUE"""),44563.3097563425)</f>
        <v>44563.30976</v>
      </c>
      <c r="D4045" s="15">
        <f>IFERROR(__xludf.DUMMYFUNCTION("""COMPUTED_VALUE"""),1.011)</f>
        <v>1.011</v>
      </c>
      <c r="E4045" s="16">
        <f>IFERROR(__xludf.DUMMYFUNCTION("""COMPUTED_VALUE"""),63.0)</f>
        <v>63</v>
      </c>
      <c r="F4045" s="19" t="str">
        <f>IFERROR(__xludf.DUMMYFUNCTION("""COMPUTED_VALUE"""),"BLACK")</f>
        <v>BLACK</v>
      </c>
      <c r="G4045" s="20" t="str">
        <f>IFERROR(__xludf.DUMMYFUNCTION("""COMPUTED_VALUE"""),"Uncle Sams Cider (11/12/2021) 02")</f>
        <v>Uncle Sams Cider (11/12/2021) 02</v>
      </c>
      <c r="H4045" s="19"/>
    </row>
    <row r="4046">
      <c r="A4046" s="9"/>
      <c r="B4046" s="15"/>
      <c r="C4046" s="9">
        <f>IFERROR(__xludf.DUMMYFUNCTION("""COMPUTED_VALUE"""),44563.2993219097)</f>
        <v>44563.29932</v>
      </c>
      <c r="D4046" s="15">
        <f>IFERROR(__xludf.DUMMYFUNCTION("""COMPUTED_VALUE"""),1.011)</f>
        <v>1.011</v>
      </c>
      <c r="E4046" s="16">
        <f>IFERROR(__xludf.DUMMYFUNCTION("""COMPUTED_VALUE"""),63.0)</f>
        <v>63</v>
      </c>
      <c r="F4046" s="19" t="str">
        <f>IFERROR(__xludf.DUMMYFUNCTION("""COMPUTED_VALUE"""),"BLACK")</f>
        <v>BLACK</v>
      </c>
      <c r="G4046" s="20" t="str">
        <f>IFERROR(__xludf.DUMMYFUNCTION("""COMPUTED_VALUE"""),"Uncle Sams Cider (11/12/2021) 02")</f>
        <v>Uncle Sams Cider (11/12/2021) 02</v>
      </c>
      <c r="H4046" s="19"/>
    </row>
    <row r="4047">
      <c r="A4047" s="9"/>
      <c r="B4047" s="15"/>
      <c r="C4047" s="9">
        <f>IFERROR(__xludf.DUMMYFUNCTION("""COMPUTED_VALUE"""),44563.2889006134)</f>
        <v>44563.2889</v>
      </c>
      <c r="D4047" s="15">
        <f>IFERROR(__xludf.DUMMYFUNCTION("""COMPUTED_VALUE"""),1.011)</f>
        <v>1.011</v>
      </c>
      <c r="E4047" s="16">
        <f>IFERROR(__xludf.DUMMYFUNCTION("""COMPUTED_VALUE"""),63.0)</f>
        <v>63</v>
      </c>
      <c r="F4047" s="19" t="str">
        <f>IFERROR(__xludf.DUMMYFUNCTION("""COMPUTED_VALUE"""),"BLACK")</f>
        <v>BLACK</v>
      </c>
      <c r="G4047" s="20" t="str">
        <f>IFERROR(__xludf.DUMMYFUNCTION("""COMPUTED_VALUE"""),"Uncle Sams Cider (11/12/2021) 02")</f>
        <v>Uncle Sams Cider (11/12/2021) 02</v>
      </c>
      <c r="H4047" s="19"/>
    </row>
    <row r="4048">
      <c r="A4048" s="9"/>
      <c r="B4048" s="15"/>
      <c r="C4048" s="9">
        <f>IFERROR(__xludf.DUMMYFUNCTION("""COMPUTED_VALUE"""),44563.2784793981)</f>
        <v>44563.27848</v>
      </c>
      <c r="D4048" s="15">
        <f>IFERROR(__xludf.DUMMYFUNCTION("""COMPUTED_VALUE"""),1.011)</f>
        <v>1.011</v>
      </c>
      <c r="E4048" s="16">
        <f>IFERROR(__xludf.DUMMYFUNCTION("""COMPUTED_VALUE"""),63.0)</f>
        <v>63</v>
      </c>
      <c r="F4048" s="19" t="str">
        <f>IFERROR(__xludf.DUMMYFUNCTION("""COMPUTED_VALUE"""),"BLACK")</f>
        <v>BLACK</v>
      </c>
      <c r="G4048" s="20" t="str">
        <f>IFERROR(__xludf.DUMMYFUNCTION("""COMPUTED_VALUE"""),"Uncle Sams Cider (11/12/2021) 02")</f>
        <v>Uncle Sams Cider (11/12/2021) 02</v>
      </c>
      <c r="H4048" s="19"/>
    </row>
    <row r="4049">
      <c r="A4049" s="9"/>
      <c r="B4049" s="15"/>
      <c r="C4049" s="9">
        <f>IFERROR(__xludf.DUMMYFUNCTION("""COMPUTED_VALUE"""),44563.2680580208)</f>
        <v>44563.26806</v>
      </c>
      <c r="D4049" s="15">
        <f>IFERROR(__xludf.DUMMYFUNCTION("""COMPUTED_VALUE"""),1.011)</f>
        <v>1.011</v>
      </c>
      <c r="E4049" s="16">
        <f>IFERROR(__xludf.DUMMYFUNCTION("""COMPUTED_VALUE"""),63.0)</f>
        <v>63</v>
      </c>
      <c r="F4049" s="19" t="str">
        <f>IFERROR(__xludf.DUMMYFUNCTION("""COMPUTED_VALUE"""),"BLACK")</f>
        <v>BLACK</v>
      </c>
      <c r="G4049" s="20" t="str">
        <f>IFERROR(__xludf.DUMMYFUNCTION("""COMPUTED_VALUE"""),"Uncle Sams Cider (11/12/2021) 02")</f>
        <v>Uncle Sams Cider (11/12/2021) 02</v>
      </c>
      <c r="H4049" s="19"/>
    </row>
    <row r="4050">
      <c r="A4050" s="9"/>
      <c r="B4050" s="15"/>
      <c r="C4050" s="9">
        <f>IFERROR(__xludf.DUMMYFUNCTION("""COMPUTED_VALUE"""),44563.2576375)</f>
        <v>44563.25764</v>
      </c>
      <c r="D4050" s="15">
        <f>IFERROR(__xludf.DUMMYFUNCTION("""COMPUTED_VALUE"""),1.011)</f>
        <v>1.011</v>
      </c>
      <c r="E4050" s="16">
        <f>IFERROR(__xludf.DUMMYFUNCTION("""COMPUTED_VALUE"""),63.0)</f>
        <v>63</v>
      </c>
      <c r="F4050" s="19" t="str">
        <f>IFERROR(__xludf.DUMMYFUNCTION("""COMPUTED_VALUE"""),"BLACK")</f>
        <v>BLACK</v>
      </c>
      <c r="G4050" s="20" t="str">
        <f>IFERROR(__xludf.DUMMYFUNCTION("""COMPUTED_VALUE"""),"Uncle Sams Cider (11/12/2021) 02")</f>
        <v>Uncle Sams Cider (11/12/2021) 02</v>
      </c>
      <c r="H4050" s="19"/>
    </row>
    <row r="4051">
      <c r="A4051" s="9"/>
      <c r="B4051" s="15"/>
      <c r="C4051" s="9">
        <f>IFERROR(__xludf.DUMMYFUNCTION("""COMPUTED_VALUE"""),44563.2472161458)</f>
        <v>44563.24722</v>
      </c>
      <c r="D4051" s="15">
        <f>IFERROR(__xludf.DUMMYFUNCTION("""COMPUTED_VALUE"""),1.011)</f>
        <v>1.011</v>
      </c>
      <c r="E4051" s="16">
        <f>IFERROR(__xludf.DUMMYFUNCTION("""COMPUTED_VALUE"""),63.0)</f>
        <v>63</v>
      </c>
      <c r="F4051" s="19" t="str">
        <f>IFERROR(__xludf.DUMMYFUNCTION("""COMPUTED_VALUE"""),"BLACK")</f>
        <v>BLACK</v>
      </c>
      <c r="G4051" s="20" t="str">
        <f>IFERROR(__xludf.DUMMYFUNCTION("""COMPUTED_VALUE"""),"Uncle Sams Cider (11/12/2021) 02")</f>
        <v>Uncle Sams Cider (11/12/2021) 02</v>
      </c>
      <c r="H4051" s="19"/>
    </row>
    <row r="4052">
      <c r="A4052" s="9"/>
      <c r="B4052" s="15"/>
      <c r="C4052" s="9">
        <f>IFERROR(__xludf.DUMMYFUNCTION("""COMPUTED_VALUE"""),44563.2263745949)</f>
        <v>44563.22637</v>
      </c>
      <c r="D4052" s="15">
        <f>IFERROR(__xludf.DUMMYFUNCTION("""COMPUTED_VALUE"""),1.011)</f>
        <v>1.011</v>
      </c>
      <c r="E4052" s="16">
        <f>IFERROR(__xludf.DUMMYFUNCTION("""COMPUTED_VALUE"""),63.0)</f>
        <v>63</v>
      </c>
      <c r="F4052" s="19" t="str">
        <f>IFERROR(__xludf.DUMMYFUNCTION("""COMPUTED_VALUE"""),"BLACK")</f>
        <v>BLACK</v>
      </c>
      <c r="G4052" s="20" t="str">
        <f>IFERROR(__xludf.DUMMYFUNCTION("""COMPUTED_VALUE"""),"Uncle Sams Cider (11/12/2021) 02")</f>
        <v>Uncle Sams Cider (11/12/2021) 02</v>
      </c>
      <c r="H4052" s="19"/>
    </row>
    <row r="4053">
      <c r="A4053" s="9"/>
      <c r="B4053" s="15"/>
      <c r="C4053" s="9">
        <f>IFERROR(__xludf.DUMMYFUNCTION("""COMPUTED_VALUE"""),44563.2159523611)</f>
        <v>44563.21595</v>
      </c>
      <c r="D4053" s="15">
        <f>IFERROR(__xludf.DUMMYFUNCTION("""COMPUTED_VALUE"""),1.011)</f>
        <v>1.011</v>
      </c>
      <c r="E4053" s="16">
        <f>IFERROR(__xludf.DUMMYFUNCTION("""COMPUTED_VALUE"""),63.0)</f>
        <v>63</v>
      </c>
      <c r="F4053" s="19" t="str">
        <f>IFERROR(__xludf.DUMMYFUNCTION("""COMPUTED_VALUE"""),"BLACK")</f>
        <v>BLACK</v>
      </c>
      <c r="G4053" s="20" t="str">
        <f>IFERROR(__xludf.DUMMYFUNCTION("""COMPUTED_VALUE"""),"Uncle Sams Cider (11/12/2021) 02")</f>
        <v>Uncle Sams Cider (11/12/2021) 02</v>
      </c>
      <c r="H4053" s="19"/>
    </row>
    <row r="4054">
      <c r="A4054" s="9"/>
      <c r="B4054" s="15"/>
      <c r="C4054" s="9">
        <f>IFERROR(__xludf.DUMMYFUNCTION("""COMPUTED_VALUE"""),44563.2055319212)</f>
        <v>44563.20553</v>
      </c>
      <c r="D4054" s="15">
        <f>IFERROR(__xludf.DUMMYFUNCTION("""COMPUTED_VALUE"""),1.011)</f>
        <v>1.011</v>
      </c>
      <c r="E4054" s="16">
        <f>IFERROR(__xludf.DUMMYFUNCTION("""COMPUTED_VALUE"""),63.0)</f>
        <v>63</v>
      </c>
      <c r="F4054" s="19" t="str">
        <f>IFERROR(__xludf.DUMMYFUNCTION("""COMPUTED_VALUE"""),"BLACK")</f>
        <v>BLACK</v>
      </c>
      <c r="G4054" s="20" t="str">
        <f>IFERROR(__xludf.DUMMYFUNCTION("""COMPUTED_VALUE"""),"Uncle Sams Cider (11/12/2021) 02")</f>
        <v>Uncle Sams Cider (11/12/2021) 02</v>
      </c>
      <c r="H4054" s="19"/>
    </row>
    <row r="4055">
      <c r="A4055" s="9"/>
      <c r="B4055" s="15"/>
      <c r="C4055" s="9">
        <f>IFERROR(__xludf.DUMMYFUNCTION("""COMPUTED_VALUE"""),44563.1950980787)</f>
        <v>44563.1951</v>
      </c>
      <c r="D4055" s="15">
        <f>IFERROR(__xludf.DUMMYFUNCTION("""COMPUTED_VALUE"""),1.011)</f>
        <v>1.011</v>
      </c>
      <c r="E4055" s="16">
        <f>IFERROR(__xludf.DUMMYFUNCTION("""COMPUTED_VALUE"""),63.0)</f>
        <v>63</v>
      </c>
      <c r="F4055" s="19" t="str">
        <f>IFERROR(__xludf.DUMMYFUNCTION("""COMPUTED_VALUE"""),"BLACK")</f>
        <v>BLACK</v>
      </c>
      <c r="G4055" s="20" t="str">
        <f>IFERROR(__xludf.DUMMYFUNCTION("""COMPUTED_VALUE"""),"Uncle Sams Cider (11/12/2021) 02")</f>
        <v>Uncle Sams Cider (11/12/2021) 02</v>
      </c>
      <c r="H4055" s="19"/>
    </row>
    <row r="4056">
      <c r="A4056" s="9"/>
      <c r="B4056" s="15"/>
      <c r="C4056" s="9">
        <f>IFERROR(__xludf.DUMMYFUNCTION("""COMPUTED_VALUE"""),44563.1846766319)</f>
        <v>44563.18468</v>
      </c>
      <c r="D4056" s="15">
        <f>IFERROR(__xludf.DUMMYFUNCTION("""COMPUTED_VALUE"""),1.011)</f>
        <v>1.011</v>
      </c>
      <c r="E4056" s="16">
        <f>IFERROR(__xludf.DUMMYFUNCTION("""COMPUTED_VALUE"""),63.0)</f>
        <v>63</v>
      </c>
      <c r="F4056" s="19" t="str">
        <f>IFERROR(__xludf.DUMMYFUNCTION("""COMPUTED_VALUE"""),"BLACK")</f>
        <v>BLACK</v>
      </c>
      <c r="G4056" s="20" t="str">
        <f>IFERROR(__xludf.DUMMYFUNCTION("""COMPUTED_VALUE"""),"Uncle Sams Cider (11/12/2021) 02")</f>
        <v>Uncle Sams Cider (11/12/2021) 02</v>
      </c>
      <c r="H4056" s="19"/>
    </row>
    <row r="4057">
      <c r="A4057" s="9"/>
      <c r="B4057" s="15"/>
      <c r="C4057" s="9">
        <f>IFERROR(__xludf.DUMMYFUNCTION("""COMPUTED_VALUE"""),44563.1742331944)</f>
        <v>44563.17423</v>
      </c>
      <c r="D4057" s="15">
        <f>IFERROR(__xludf.DUMMYFUNCTION("""COMPUTED_VALUE"""),1.011)</f>
        <v>1.011</v>
      </c>
      <c r="E4057" s="16">
        <f>IFERROR(__xludf.DUMMYFUNCTION("""COMPUTED_VALUE"""),63.0)</f>
        <v>63</v>
      </c>
      <c r="F4057" s="19" t="str">
        <f>IFERROR(__xludf.DUMMYFUNCTION("""COMPUTED_VALUE"""),"BLACK")</f>
        <v>BLACK</v>
      </c>
      <c r="G4057" s="20" t="str">
        <f>IFERROR(__xludf.DUMMYFUNCTION("""COMPUTED_VALUE"""),"Uncle Sams Cider (11/12/2021) 02")</f>
        <v>Uncle Sams Cider (11/12/2021) 02</v>
      </c>
      <c r="H4057" s="19"/>
    </row>
    <row r="4058">
      <c r="A4058" s="9"/>
      <c r="B4058" s="15"/>
      <c r="C4058" s="9">
        <f>IFERROR(__xludf.DUMMYFUNCTION("""COMPUTED_VALUE"""),44563.1637988541)</f>
        <v>44563.1638</v>
      </c>
      <c r="D4058" s="15">
        <f>IFERROR(__xludf.DUMMYFUNCTION("""COMPUTED_VALUE"""),1.011)</f>
        <v>1.011</v>
      </c>
      <c r="E4058" s="16">
        <f>IFERROR(__xludf.DUMMYFUNCTION("""COMPUTED_VALUE"""),63.0)</f>
        <v>63</v>
      </c>
      <c r="F4058" s="19" t="str">
        <f>IFERROR(__xludf.DUMMYFUNCTION("""COMPUTED_VALUE"""),"BLACK")</f>
        <v>BLACK</v>
      </c>
      <c r="G4058" s="20" t="str">
        <f>IFERROR(__xludf.DUMMYFUNCTION("""COMPUTED_VALUE"""),"Uncle Sams Cider (11/12/2021) 02")</f>
        <v>Uncle Sams Cider (11/12/2021) 02</v>
      </c>
      <c r="H4058" s="19"/>
    </row>
    <row r="4059">
      <c r="A4059" s="9"/>
      <c r="B4059" s="15"/>
      <c r="C4059" s="9">
        <f>IFERROR(__xludf.DUMMYFUNCTION("""COMPUTED_VALUE"""),44563.153367743)</f>
        <v>44563.15337</v>
      </c>
      <c r="D4059" s="15">
        <f>IFERROR(__xludf.DUMMYFUNCTION("""COMPUTED_VALUE"""),1.011)</f>
        <v>1.011</v>
      </c>
      <c r="E4059" s="16">
        <f>IFERROR(__xludf.DUMMYFUNCTION("""COMPUTED_VALUE"""),63.0)</f>
        <v>63</v>
      </c>
      <c r="F4059" s="19" t="str">
        <f>IFERROR(__xludf.DUMMYFUNCTION("""COMPUTED_VALUE"""),"BLACK")</f>
        <v>BLACK</v>
      </c>
      <c r="G4059" s="20" t="str">
        <f>IFERROR(__xludf.DUMMYFUNCTION("""COMPUTED_VALUE"""),"Uncle Sams Cider (11/12/2021) 02")</f>
        <v>Uncle Sams Cider (11/12/2021) 02</v>
      </c>
      <c r="H4059" s="19"/>
    </row>
    <row r="4060">
      <c r="A4060" s="9"/>
      <c r="B4060" s="15"/>
      <c r="C4060" s="9">
        <f>IFERROR(__xludf.DUMMYFUNCTION("""COMPUTED_VALUE"""),44563.1429479976)</f>
        <v>44563.14295</v>
      </c>
      <c r="D4060" s="15">
        <f>IFERROR(__xludf.DUMMYFUNCTION("""COMPUTED_VALUE"""),1.011)</f>
        <v>1.011</v>
      </c>
      <c r="E4060" s="16">
        <f>IFERROR(__xludf.DUMMYFUNCTION("""COMPUTED_VALUE"""),63.0)</f>
        <v>63</v>
      </c>
      <c r="F4060" s="19" t="str">
        <f>IFERROR(__xludf.DUMMYFUNCTION("""COMPUTED_VALUE"""),"BLACK")</f>
        <v>BLACK</v>
      </c>
      <c r="G4060" s="20" t="str">
        <f>IFERROR(__xludf.DUMMYFUNCTION("""COMPUTED_VALUE"""),"Uncle Sams Cider (11/12/2021) 02")</f>
        <v>Uncle Sams Cider (11/12/2021) 02</v>
      </c>
      <c r="H4060" s="19"/>
    </row>
    <row r="4061">
      <c r="A4061" s="9"/>
      <c r="B4061" s="15"/>
      <c r="C4061" s="9">
        <f>IFERROR(__xludf.DUMMYFUNCTION("""COMPUTED_VALUE"""),44563.132527037)</f>
        <v>44563.13253</v>
      </c>
      <c r="D4061" s="15">
        <f>IFERROR(__xludf.DUMMYFUNCTION("""COMPUTED_VALUE"""),1.011)</f>
        <v>1.011</v>
      </c>
      <c r="E4061" s="16">
        <f>IFERROR(__xludf.DUMMYFUNCTION("""COMPUTED_VALUE"""),63.0)</f>
        <v>63</v>
      </c>
      <c r="F4061" s="19" t="str">
        <f>IFERROR(__xludf.DUMMYFUNCTION("""COMPUTED_VALUE"""),"BLACK")</f>
        <v>BLACK</v>
      </c>
      <c r="G4061" s="20" t="str">
        <f>IFERROR(__xludf.DUMMYFUNCTION("""COMPUTED_VALUE"""),"Uncle Sams Cider (11/12/2021) 02")</f>
        <v>Uncle Sams Cider (11/12/2021) 02</v>
      </c>
      <c r="H4061" s="19"/>
    </row>
    <row r="4062">
      <c r="A4062" s="9"/>
      <c r="B4062" s="15"/>
      <c r="C4062" s="9">
        <f>IFERROR(__xludf.DUMMYFUNCTION("""COMPUTED_VALUE"""),44563.1221064351)</f>
        <v>44563.12211</v>
      </c>
      <c r="D4062" s="15">
        <f>IFERROR(__xludf.DUMMYFUNCTION("""COMPUTED_VALUE"""),1.011)</f>
        <v>1.011</v>
      </c>
      <c r="E4062" s="16">
        <f>IFERROR(__xludf.DUMMYFUNCTION("""COMPUTED_VALUE"""),63.0)</f>
        <v>63</v>
      </c>
      <c r="F4062" s="19" t="str">
        <f>IFERROR(__xludf.DUMMYFUNCTION("""COMPUTED_VALUE"""),"BLACK")</f>
        <v>BLACK</v>
      </c>
      <c r="G4062" s="20" t="str">
        <f>IFERROR(__xludf.DUMMYFUNCTION("""COMPUTED_VALUE"""),"Uncle Sams Cider (11/12/2021) 02")</f>
        <v>Uncle Sams Cider (11/12/2021) 02</v>
      </c>
      <c r="H4062" s="19"/>
    </row>
    <row r="4063">
      <c r="A4063" s="9"/>
      <c r="B4063" s="15"/>
      <c r="C4063" s="9">
        <f>IFERROR(__xludf.DUMMYFUNCTION("""COMPUTED_VALUE"""),44563.1116856481)</f>
        <v>44563.11169</v>
      </c>
      <c r="D4063" s="15">
        <f>IFERROR(__xludf.DUMMYFUNCTION("""COMPUTED_VALUE"""),1.011)</f>
        <v>1.011</v>
      </c>
      <c r="E4063" s="16">
        <f>IFERROR(__xludf.DUMMYFUNCTION("""COMPUTED_VALUE"""),63.0)</f>
        <v>63</v>
      </c>
      <c r="F4063" s="19" t="str">
        <f>IFERROR(__xludf.DUMMYFUNCTION("""COMPUTED_VALUE"""),"BLACK")</f>
        <v>BLACK</v>
      </c>
      <c r="G4063" s="20" t="str">
        <f>IFERROR(__xludf.DUMMYFUNCTION("""COMPUTED_VALUE"""),"Uncle Sams Cider (11/12/2021) 02")</f>
        <v>Uncle Sams Cider (11/12/2021) 02</v>
      </c>
      <c r="H4063" s="19"/>
    </row>
    <row r="4064">
      <c r="A4064" s="9"/>
      <c r="B4064" s="15"/>
      <c r="C4064" s="9">
        <f>IFERROR(__xludf.DUMMYFUNCTION("""COMPUTED_VALUE"""),44563.101229456)</f>
        <v>44563.10123</v>
      </c>
      <c r="D4064" s="15">
        <f>IFERROR(__xludf.DUMMYFUNCTION("""COMPUTED_VALUE"""),1.011)</f>
        <v>1.011</v>
      </c>
      <c r="E4064" s="16">
        <f>IFERROR(__xludf.DUMMYFUNCTION("""COMPUTED_VALUE"""),63.0)</f>
        <v>63</v>
      </c>
      <c r="F4064" s="19" t="str">
        <f>IFERROR(__xludf.DUMMYFUNCTION("""COMPUTED_VALUE"""),"BLACK")</f>
        <v>BLACK</v>
      </c>
      <c r="G4064" s="20" t="str">
        <f>IFERROR(__xludf.DUMMYFUNCTION("""COMPUTED_VALUE"""),"Uncle Sams Cider (11/12/2021) 02")</f>
        <v>Uncle Sams Cider (11/12/2021) 02</v>
      </c>
      <c r="H4064" s="19"/>
    </row>
    <row r="4065">
      <c r="A4065" s="9"/>
      <c r="B4065" s="15"/>
      <c r="C4065" s="9">
        <f>IFERROR(__xludf.DUMMYFUNCTION("""COMPUTED_VALUE"""),44563.0803752199)</f>
        <v>44563.08038</v>
      </c>
      <c r="D4065" s="15">
        <f>IFERROR(__xludf.DUMMYFUNCTION("""COMPUTED_VALUE"""),1.011)</f>
        <v>1.011</v>
      </c>
      <c r="E4065" s="16">
        <f>IFERROR(__xludf.DUMMYFUNCTION("""COMPUTED_VALUE"""),63.0)</f>
        <v>63</v>
      </c>
      <c r="F4065" s="19" t="str">
        <f>IFERROR(__xludf.DUMMYFUNCTION("""COMPUTED_VALUE"""),"BLACK")</f>
        <v>BLACK</v>
      </c>
      <c r="G4065" s="20" t="str">
        <f>IFERROR(__xludf.DUMMYFUNCTION("""COMPUTED_VALUE"""),"Uncle Sams Cider (11/12/2021) 02")</f>
        <v>Uncle Sams Cider (11/12/2021) 02</v>
      </c>
      <c r="H4065" s="19"/>
    </row>
    <row r="4066">
      <c r="A4066" s="9"/>
      <c r="B4066" s="15"/>
      <c r="C4066" s="9">
        <f>IFERROR(__xludf.DUMMYFUNCTION("""COMPUTED_VALUE"""),44563.0699537731)</f>
        <v>44563.06995</v>
      </c>
      <c r="D4066" s="15">
        <f>IFERROR(__xludf.DUMMYFUNCTION("""COMPUTED_VALUE"""),1.011)</f>
        <v>1.011</v>
      </c>
      <c r="E4066" s="16">
        <f>IFERROR(__xludf.DUMMYFUNCTION("""COMPUTED_VALUE"""),63.0)</f>
        <v>63</v>
      </c>
      <c r="F4066" s="19" t="str">
        <f>IFERROR(__xludf.DUMMYFUNCTION("""COMPUTED_VALUE"""),"BLACK")</f>
        <v>BLACK</v>
      </c>
      <c r="G4066" s="20" t="str">
        <f>IFERROR(__xludf.DUMMYFUNCTION("""COMPUTED_VALUE"""),"Uncle Sams Cider (11/12/2021) 02")</f>
        <v>Uncle Sams Cider (11/12/2021) 02</v>
      </c>
      <c r="H4066" s="19"/>
    </row>
    <row r="4067">
      <c r="A4067" s="9"/>
      <c r="B4067" s="15"/>
      <c r="C4067" s="9">
        <f>IFERROR(__xludf.DUMMYFUNCTION("""COMPUTED_VALUE"""),44563.0595312731)</f>
        <v>44563.05953</v>
      </c>
      <c r="D4067" s="15">
        <f>IFERROR(__xludf.DUMMYFUNCTION("""COMPUTED_VALUE"""),1.011)</f>
        <v>1.011</v>
      </c>
      <c r="E4067" s="16">
        <f>IFERROR(__xludf.DUMMYFUNCTION("""COMPUTED_VALUE"""),63.0)</f>
        <v>63</v>
      </c>
      <c r="F4067" s="19" t="str">
        <f>IFERROR(__xludf.DUMMYFUNCTION("""COMPUTED_VALUE"""),"BLACK")</f>
        <v>BLACK</v>
      </c>
      <c r="G4067" s="20" t="str">
        <f>IFERROR(__xludf.DUMMYFUNCTION("""COMPUTED_VALUE"""),"Uncle Sams Cider (11/12/2021) 02")</f>
        <v>Uncle Sams Cider (11/12/2021) 02</v>
      </c>
      <c r="H4067" s="19"/>
    </row>
    <row r="4068">
      <c r="A4068" s="9"/>
      <c r="B4068" s="15"/>
      <c r="C4068" s="9">
        <f>IFERROR(__xludf.DUMMYFUNCTION("""COMPUTED_VALUE"""),44563.0490973842)</f>
        <v>44563.0491</v>
      </c>
      <c r="D4068" s="15">
        <f>IFERROR(__xludf.DUMMYFUNCTION("""COMPUTED_VALUE"""),1.011)</f>
        <v>1.011</v>
      </c>
      <c r="E4068" s="16">
        <f>IFERROR(__xludf.DUMMYFUNCTION("""COMPUTED_VALUE"""),63.0)</f>
        <v>63</v>
      </c>
      <c r="F4068" s="19" t="str">
        <f>IFERROR(__xludf.DUMMYFUNCTION("""COMPUTED_VALUE"""),"BLACK")</f>
        <v>BLACK</v>
      </c>
      <c r="G4068" s="20" t="str">
        <f>IFERROR(__xludf.DUMMYFUNCTION("""COMPUTED_VALUE"""),"Uncle Sams Cider (11/12/2021) 02")</f>
        <v>Uncle Sams Cider (11/12/2021) 02</v>
      </c>
      <c r="H4068" s="19"/>
    </row>
    <row r="4069">
      <c r="A4069" s="9"/>
      <c r="B4069" s="15"/>
      <c r="C4069" s="9">
        <f>IFERROR(__xludf.DUMMYFUNCTION("""COMPUTED_VALUE"""),44563.0386542245)</f>
        <v>44563.03865</v>
      </c>
      <c r="D4069" s="15">
        <f>IFERROR(__xludf.DUMMYFUNCTION("""COMPUTED_VALUE"""),1.011)</f>
        <v>1.011</v>
      </c>
      <c r="E4069" s="16">
        <f>IFERROR(__xludf.DUMMYFUNCTION("""COMPUTED_VALUE"""),63.0)</f>
        <v>63</v>
      </c>
      <c r="F4069" s="19" t="str">
        <f>IFERROR(__xludf.DUMMYFUNCTION("""COMPUTED_VALUE"""),"BLACK")</f>
        <v>BLACK</v>
      </c>
      <c r="G4069" s="20" t="str">
        <f>IFERROR(__xludf.DUMMYFUNCTION("""COMPUTED_VALUE"""),"Uncle Sams Cider (11/12/2021) 02")</f>
        <v>Uncle Sams Cider (11/12/2021) 02</v>
      </c>
      <c r="H4069" s="19"/>
    </row>
    <row r="4070">
      <c r="A4070" s="9"/>
      <c r="B4070" s="15"/>
      <c r="C4070" s="9">
        <f>IFERROR(__xludf.DUMMYFUNCTION("""COMPUTED_VALUE"""),44563.0281745023)</f>
        <v>44563.02817</v>
      </c>
      <c r="D4070" s="15">
        <f>IFERROR(__xludf.DUMMYFUNCTION("""COMPUTED_VALUE"""),1.011)</f>
        <v>1.011</v>
      </c>
      <c r="E4070" s="16">
        <f>IFERROR(__xludf.DUMMYFUNCTION("""COMPUTED_VALUE"""),63.0)</f>
        <v>63</v>
      </c>
      <c r="F4070" s="19" t="str">
        <f>IFERROR(__xludf.DUMMYFUNCTION("""COMPUTED_VALUE"""),"BLACK")</f>
        <v>BLACK</v>
      </c>
      <c r="G4070" s="20" t="str">
        <f>IFERROR(__xludf.DUMMYFUNCTION("""COMPUTED_VALUE"""),"Uncle Sams Cider (11/12/2021) 02")</f>
        <v>Uncle Sams Cider (11/12/2021) 02</v>
      </c>
      <c r="H4070" s="19"/>
    </row>
    <row r="4071">
      <c r="A4071" s="9"/>
      <c r="B4071" s="15"/>
      <c r="C4071" s="9">
        <f>IFERROR(__xludf.DUMMYFUNCTION("""COMPUTED_VALUE"""),44563.0177517361)</f>
        <v>44563.01775</v>
      </c>
      <c r="D4071" s="15">
        <f>IFERROR(__xludf.DUMMYFUNCTION("""COMPUTED_VALUE"""),1.011)</f>
        <v>1.011</v>
      </c>
      <c r="E4071" s="16">
        <f>IFERROR(__xludf.DUMMYFUNCTION("""COMPUTED_VALUE"""),63.0)</f>
        <v>63</v>
      </c>
      <c r="F4071" s="19" t="str">
        <f>IFERROR(__xludf.DUMMYFUNCTION("""COMPUTED_VALUE"""),"BLACK")</f>
        <v>BLACK</v>
      </c>
      <c r="G4071" s="20" t="str">
        <f>IFERROR(__xludf.DUMMYFUNCTION("""COMPUTED_VALUE"""),"Uncle Sams Cider (11/12/2021) 02")</f>
        <v>Uncle Sams Cider (11/12/2021) 02</v>
      </c>
      <c r="H4071" s="19"/>
    </row>
    <row r="4072">
      <c r="A4072" s="9"/>
      <c r="B4072" s="15"/>
      <c r="C4072" s="9">
        <f>IFERROR(__xludf.DUMMYFUNCTION("""COMPUTED_VALUE"""),44563.0073325115)</f>
        <v>44563.00733</v>
      </c>
      <c r="D4072" s="15">
        <f>IFERROR(__xludf.DUMMYFUNCTION("""COMPUTED_VALUE"""),1.011)</f>
        <v>1.011</v>
      </c>
      <c r="E4072" s="16">
        <f>IFERROR(__xludf.DUMMYFUNCTION("""COMPUTED_VALUE"""),63.0)</f>
        <v>63</v>
      </c>
      <c r="F4072" s="19" t="str">
        <f>IFERROR(__xludf.DUMMYFUNCTION("""COMPUTED_VALUE"""),"BLACK")</f>
        <v>BLACK</v>
      </c>
      <c r="G4072" s="20" t="str">
        <f>IFERROR(__xludf.DUMMYFUNCTION("""COMPUTED_VALUE"""),"Uncle Sams Cider (11/12/2021) 02")</f>
        <v>Uncle Sams Cider (11/12/2021) 02</v>
      </c>
      <c r="H4072" s="19"/>
    </row>
    <row r="4073">
      <c r="A4073" s="9"/>
      <c r="B4073" s="15"/>
      <c r="C4073" s="9">
        <f>IFERROR(__xludf.DUMMYFUNCTION("""COMPUTED_VALUE"""),44562.9968884606)</f>
        <v>44562.99689</v>
      </c>
      <c r="D4073" s="15">
        <f>IFERROR(__xludf.DUMMYFUNCTION("""COMPUTED_VALUE"""),1.011)</f>
        <v>1.011</v>
      </c>
      <c r="E4073" s="16">
        <f>IFERROR(__xludf.DUMMYFUNCTION("""COMPUTED_VALUE"""),63.0)</f>
        <v>63</v>
      </c>
      <c r="F4073" s="19" t="str">
        <f>IFERROR(__xludf.DUMMYFUNCTION("""COMPUTED_VALUE"""),"BLACK")</f>
        <v>BLACK</v>
      </c>
      <c r="G4073" s="20" t="str">
        <f>IFERROR(__xludf.DUMMYFUNCTION("""COMPUTED_VALUE"""),"Uncle Sams Cider (11/12/2021) 02")</f>
        <v>Uncle Sams Cider (11/12/2021) 02</v>
      </c>
      <c r="H4073" s="19"/>
    </row>
    <row r="4074">
      <c r="A4074" s="9"/>
      <c r="B4074" s="15"/>
      <c r="C4074" s="9">
        <f>IFERROR(__xludf.DUMMYFUNCTION("""COMPUTED_VALUE"""),44562.9864665046)</f>
        <v>44562.98647</v>
      </c>
      <c r="D4074" s="15">
        <f>IFERROR(__xludf.DUMMYFUNCTION("""COMPUTED_VALUE"""),1.011)</f>
        <v>1.011</v>
      </c>
      <c r="E4074" s="16">
        <f>IFERROR(__xludf.DUMMYFUNCTION("""COMPUTED_VALUE"""),63.0)</f>
        <v>63</v>
      </c>
      <c r="F4074" s="19" t="str">
        <f>IFERROR(__xludf.DUMMYFUNCTION("""COMPUTED_VALUE"""),"BLACK")</f>
        <v>BLACK</v>
      </c>
      <c r="G4074" s="20" t="str">
        <f>IFERROR(__xludf.DUMMYFUNCTION("""COMPUTED_VALUE"""),"Uncle Sams Cider (11/12/2021) 02")</f>
        <v>Uncle Sams Cider (11/12/2021) 02</v>
      </c>
      <c r="H4074" s="19"/>
    </row>
    <row r="4075">
      <c r="A4075" s="9"/>
      <c r="B4075" s="15"/>
      <c r="C4075" s="9">
        <f>IFERROR(__xludf.DUMMYFUNCTION("""COMPUTED_VALUE"""),44562.9760013657)</f>
        <v>44562.976</v>
      </c>
      <c r="D4075" s="15">
        <f>IFERROR(__xludf.DUMMYFUNCTION("""COMPUTED_VALUE"""),1.011)</f>
        <v>1.011</v>
      </c>
      <c r="E4075" s="16">
        <f>IFERROR(__xludf.DUMMYFUNCTION("""COMPUTED_VALUE"""),63.0)</f>
        <v>63</v>
      </c>
      <c r="F4075" s="19" t="str">
        <f>IFERROR(__xludf.DUMMYFUNCTION("""COMPUTED_VALUE"""),"BLACK")</f>
        <v>BLACK</v>
      </c>
      <c r="G4075" s="20" t="str">
        <f>IFERROR(__xludf.DUMMYFUNCTION("""COMPUTED_VALUE"""),"Uncle Sams Cider (11/12/2021) 02")</f>
        <v>Uncle Sams Cider (11/12/2021) 02</v>
      </c>
      <c r="H4075" s="19"/>
    </row>
    <row r="4076">
      <c r="A4076" s="9"/>
      <c r="B4076" s="15"/>
      <c r="C4076" s="9">
        <f>IFERROR(__xludf.DUMMYFUNCTION("""COMPUTED_VALUE"""),44562.9655680671)</f>
        <v>44562.96557</v>
      </c>
      <c r="D4076" s="15">
        <f>IFERROR(__xludf.DUMMYFUNCTION("""COMPUTED_VALUE"""),1.011)</f>
        <v>1.011</v>
      </c>
      <c r="E4076" s="16">
        <f>IFERROR(__xludf.DUMMYFUNCTION("""COMPUTED_VALUE"""),63.0)</f>
        <v>63</v>
      </c>
      <c r="F4076" s="19" t="str">
        <f>IFERROR(__xludf.DUMMYFUNCTION("""COMPUTED_VALUE"""),"BLACK")</f>
        <v>BLACK</v>
      </c>
      <c r="G4076" s="20" t="str">
        <f>IFERROR(__xludf.DUMMYFUNCTION("""COMPUTED_VALUE"""),"Uncle Sams Cider (11/12/2021) 02")</f>
        <v>Uncle Sams Cider (11/12/2021) 02</v>
      </c>
      <c r="H4076" s="19"/>
    </row>
    <row r="4077">
      <c r="A4077" s="9"/>
      <c r="B4077" s="15"/>
      <c r="C4077" s="9">
        <f>IFERROR(__xludf.DUMMYFUNCTION("""COMPUTED_VALUE"""),44562.9551461342)</f>
        <v>44562.95515</v>
      </c>
      <c r="D4077" s="15">
        <f>IFERROR(__xludf.DUMMYFUNCTION("""COMPUTED_VALUE"""),1.011)</f>
        <v>1.011</v>
      </c>
      <c r="E4077" s="16">
        <f>IFERROR(__xludf.DUMMYFUNCTION("""COMPUTED_VALUE"""),63.0)</f>
        <v>63</v>
      </c>
      <c r="F4077" s="19" t="str">
        <f>IFERROR(__xludf.DUMMYFUNCTION("""COMPUTED_VALUE"""),"BLACK")</f>
        <v>BLACK</v>
      </c>
      <c r="G4077" s="20" t="str">
        <f>IFERROR(__xludf.DUMMYFUNCTION("""COMPUTED_VALUE"""),"Uncle Sams Cider (11/12/2021) 02")</f>
        <v>Uncle Sams Cider (11/12/2021) 02</v>
      </c>
      <c r="H4077" s="19"/>
    </row>
    <row r="4078">
      <c r="A4078" s="9"/>
      <c r="B4078" s="15"/>
      <c r="C4078" s="9">
        <f>IFERROR(__xludf.DUMMYFUNCTION("""COMPUTED_VALUE"""),44562.9447148032)</f>
        <v>44562.94471</v>
      </c>
      <c r="D4078" s="15">
        <f>IFERROR(__xludf.DUMMYFUNCTION("""COMPUTED_VALUE"""),1.011)</f>
        <v>1.011</v>
      </c>
      <c r="E4078" s="16">
        <f>IFERROR(__xludf.DUMMYFUNCTION("""COMPUTED_VALUE"""),63.0)</f>
        <v>63</v>
      </c>
      <c r="F4078" s="19" t="str">
        <f>IFERROR(__xludf.DUMMYFUNCTION("""COMPUTED_VALUE"""),"BLACK")</f>
        <v>BLACK</v>
      </c>
      <c r="G4078" s="20" t="str">
        <f>IFERROR(__xludf.DUMMYFUNCTION("""COMPUTED_VALUE"""),"Uncle Sams Cider (11/12/2021) 02")</f>
        <v>Uncle Sams Cider (11/12/2021) 02</v>
      </c>
      <c r="H4078" s="19"/>
    </row>
    <row r="4079">
      <c r="A4079" s="9"/>
      <c r="B4079" s="15"/>
      <c r="C4079" s="9">
        <f>IFERROR(__xludf.DUMMYFUNCTION("""COMPUTED_VALUE"""),44562.9342700694)</f>
        <v>44562.93427</v>
      </c>
      <c r="D4079" s="15">
        <f>IFERROR(__xludf.DUMMYFUNCTION("""COMPUTED_VALUE"""),1.011)</f>
        <v>1.011</v>
      </c>
      <c r="E4079" s="16">
        <f>IFERROR(__xludf.DUMMYFUNCTION("""COMPUTED_VALUE"""),63.0)</f>
        <v>63</v>
      </c>
      <c r="F4079" s="19" t="str">
        <f>IFERROR(__xludf.DUMMYFUNCTION("""COMPUTED_VALUE"""),"BLACK")</f>
        <v>BLACK</v>
      </c>
      <c r="G4079" s="20" t="str">
        <f>IFERROR(__xludf.DUMMYFUNCTION("""COMPUTED_VALUE"""),"Uncle Sams Cider (11/12/2021) 02")</f>
        <v>Uncle Sams Cider (11/12/2021) 02</v>
      </c>
      <c r="H4079" s="19"/>
    </row>
    <row r="4080">
      <c r="A4080" s="9"/>
      <c r="B4080" s="15"/>
      <c r="C4080" s="9">
        <f>IFERROR(__xludf.DUMMYFUNCTION("""COMPUTED_VALUE"""),44562.9238244675)</f>
        <v>44562.92382</v>
      </c>
      <c r="D4080" s="15">
        <f>IFERROR(__xludf.DUMMYFUNCTION("""COMPUTED_VALUE"""),1.011)</f>
        <v>1.011</v>
      </c>
      <c r="E4080" s="16">
        <f>IFERROR(__xludf.DUMMYFUNCTION("""COMPUTED_VALUE"""),63.0)</f>
        <v>63</v>
      </c>
      <c r="F4080" s="19" t="str">
        <f>IFERROR(__xludf.DUMMYFUNCTION("""COMPUTED_VALUE"""),"BLACK")</f>
        <v>BLACK</v>
      </c>
      <c r="G4080" s="20" t="str">
        <f>IFERROR(__xludf.DUMMYFUNCTION("""COMPUTED_VALUE"""),"Uncle Sams Cider (11/12/2021) 02")</f>
        <v>Uncle Sams Cider (11/12/2021) 02</v>
      </c>
      <c r="H4080" s="19"/>
    </row>
    <row r="4081">
      <c r="A4081" s="9"/>
      <c r="B4081" s="15"/>
      <c r="C4081" s="9">
        <f>IFERROR(__xludf.DUMMYFUNCTION("""COMPUTED_VALUE"""),44562.9134028472)</f>
        <v>44562.9134</v>
      </c>
      <c r="D4081" s="15">
        <f>IFERROR(__xludf.DUMMYFUNCTION("""COMPUTED_VALUE"""),1.011)</f>
        <v>1.011</v>
      </c>
      <c r="E4081" s="16">
        <f>IFERROR(__xludf.DUMMYFUNCTION("""COMPUTED_VALUE"""),63.0)</f>
        <v>63</v>
      </c>
      <c r="F4081" s="19" t="str">
        <f>IFERROR(__xludf.DUMMYFUNCTION("""COMPUTED_VALUE"""),"BLACK")</f>
        <v>BLACK</v>
      </c>
      <c r="G4081" s="20" t="str">
        <f>IFERROR(__xludf.DUMMYFUNCTION("""COMPUTED_VALUE"""),"Uncle Sams Cider (11/12/2021) 02")</f>
        <v>Uncle Sams Cider (11/12/2021) 02</v>
      </c>
      <c r="H4081" s="19"/>
    </row>
    <row r="4082">
      <c r="A4082" s="9"/>
      <c r="B4082" s="15"/>
      <c r="C4082" s="9">
        <f>IFERROR(__xludf.DUMMYFUNCTION("""COMPUTED_VALUE"""),44562.9029692129)</f>
        <v>44562.90297</v>
      </c>
      <c r="D4082" s="15">
        <f>IFERROR(__xludf.DUMMYFUNCTION("""COMPUTED_VALUE"""),1.011)</f>
        <v>1.011</v>
      </c>
      <c r="E4082" s="16">
        <f>IFERROR(__xludf.DUMMYFUNCTION("""COMPUTED_VALUE"""),63.0)</f>
        <v>63</v>
      </c>
      <c r="F4082" s="19" t="str">
        <f>IFERROR(__xludf.DUMMYFUNCTION("""COMPUTED_VALUE"""),"BLACK")</f>
        <v>BLACK</v>
      </c>
      <c r="G4082" s="20" t="str">
        <f>IFERROR(__xludf.DUMMYFUNCTION("""COMPUTED_VALUE"""),"Uncle Sams Cider (11/12/2021) 02")</f>
        <v>Uncle Sams Cider (11/12/2021) 02</v>
      </c>
      <c r="H4082" s="19"/>
    </row>
    <row r="4083">
      <c r="A4083" s="9"/>
      <c r="B4083" s="15"/>
      <c r="C4083" s="9">
        <f>IFERROR(__xludf.DUMMYFUNCTION("""COMPUTED_VALUE"""),44562.8925492939)</f>
        <v>44562.89255</v>
      </c>
      <c r="D4083" s="15">
        <f>IFERROR(__xludf.DUMMYFUNCTION("""COMPUTED_VALUE"""),1.011)</f>
        <v>1.011</v>
      </c>
      <c r="E4083" s="16">
        <f>IFERROR(__xludf.DUMMYFUNCTION("""COMPUTED_VALUE"""),63.0)</f>
        <v>63</v>
      </c>
      <c r="F4083" s="19" t="str">
        <f>IFERROR(__xludf.DUMMYFUNCTION("""COMPUTED_VALUE"""),"BLACK")</f>
        <v>BLACK</v>
      </c>
      <c r="G4083" s="20" t="str">
        <f>IFERROR(__xludf.DUMMYFUNCTION("""COMPUTED_VALUE"""),"Uncle Sams Cider (11/12/2021) 02")</f>
        <v>Uncle Sams Cider (11/12/2021) 02</v>
      </c>
      <c r="H4083" s="19"/>
    </row>
    <row r="4084">
      <c r="A4084" s="9"/>
      <c r="B4084" s="15"/>
      <c r="C4084" s="9">
        <f>IFERROR(__xludf.DUMMYFUNCTION("""COMPUTED_VALUE"""),44562.8821058333)</f>
        <v>44562.88211</v>
      </c>
      <c r="D4084" s="15">
        <f>IFERROR(__xludf.DUMMYFUNCTION("""COMPUTED_VALUE"""),1.011)</f>
        <v>1.011</v>
      </c>
      <c r="E4084" s="16">
        <f>IFERROR(__xludf.DUMMYFUNCTION("""COMPUTED_VALUE"""),63.0)</f>
        <v>63</v>
      </c>
      <c r="F4084" s="19" t="str">
        <f>IFERROR(__xludf.DUMMYFUNCTION("""COMPUTED_VALUE"""),"BLACK")</f>
        <v>BLACK</v>
      </c>
      <c r="G4084" s="20" t="str">
        <f>IFERROR(__xludf.DUMMYFUNCTION("""COMPUTED_VALUE"""),"Uncle Sams Cider (11/12/2021) 02")</f>
        <v>Uncle Sams Cider (11/12/2021) 02</v>
      </c>
      <c r="H4084" s="19"/>
    </row>
    <row r="4085">
      <c r="A4085" s="9"/>
      <c r="B4085" s="15"/>
      <c r="C4085" s="9">
        <f>IFERROR(__xludf.DUMMYFUNCTION("""COMPUTED_VALUE"""),44562.8716599305)</f>
        <v>44562.87166</v>
      </c>
      <c r="D4085" s="15">
        <f>IFERROR(__xludf.DUMMYFUNCTION("""COMPUTED_VALUE"""),1.011)</f>
        <v>1.011</v>
      </c>
      <c r="E4085" s="16">
        <f>IFERROR(__xludf.DUMMYFUNCTION("""COMPUTED_VALUE"""),63.0)</f>
        <v>63</v>
      </c>
      <c r="F4085" s="19" t="str">
        <f>IFERROR(__xludf.DUMMYFUNCTION("""COMPUTED_VALUE"""),"BLACK")</f>
        <v>BLACK</v>
      </c>
      <c r="G4085" s="20" t="str">
        <f>IFERROR(__xludf.DUMMYFUNCTION("""COMPUTED_VALUE"""),"Uncle Sams Cider (11/12/2021) 02")</f>
        <v>Uncle Sams Cider (11/12/2021) 02</v>
      </c>
      <c r="H4085" s="19"/>
    </row>
    <row r="4086">
      <c r="A4086" s="9"/>
      <c r="B4086" s="15"/>
      <c r="C4086" s="9">
        <f>IFERROR(__xludf.DUMMYFUNCTION("""COMPUTED_VALUE"""),44562.861238287)</f>
        <v>44562.86124</v>
      </c>
      <c r="D4086" s="15">
        <f>IFERROR(__xludf.DUMMYFUNCTION("""COMPUTED_VALUE"""),1.011)</f>
        <v>1.011</v>
      </c>
      <c r="E4086" s="16">
        <f>IFERROR(__xludf.DUMMYFUNCTION("""COMPUTED_VALUE"""),63.0)</f>
        <v>63</v>
      </c>
      <c r="F4086" s="19" t="str">
        <f>IFERROR(__xludf.DUMMYFUNCTION("""COMPUTED_VALUE"""),"BLACK")</f>
        <v>BLACK</v>
      </c>
      <c r="G4086" s="20" t="str">
        <f>IFERROR(__xludf.DUMMYFUNCTION("""COMPUTED_VALUE"""),"Uncle Sams Cider (11/12/2021) 02")</f>
        <v>Uncle Sams Cider (11/12/2021) 02</v>
      </c>
      <c r="H4086" s="19"/>
    </row>
    <row r="4087">
      <c r="A4087" s="9"/>
      <c r="B4087" s="15"/>
      <c r="C4087" s="9">
        <f>IFERROR(__xludf.DUMMYFUNCTION("""COMPUTED_VALUE"""),44562.8508168634)</f>
        <v>44562.85082</v>
      </c>
      <c r="D4087" s="15">
        <f>IFERROR(__xludf.DUMMYFUNCTION("""COMPUTED_VALUE"""),1.011)</f>
        <v>1.011</v>
      </c>
      <c r="E4087" s="16">
        <f>IFERROR(__xludf.DUMMYFUNCTION("""COMPUTED_VALUE"""),63.0)</f>
        <v>63</v>
      </c>
      <c r="F4087" s="19" t="str">
        <f>IFERROR(__xludf.DUMMYFUNCTION("""COMPUTED_VALUE"""),"BLACK")</f>
        <v>BLACK</v>
      </c>
      <c r="G4087" s="20" t="str">
        <f>IFERROR(__xludf.DUMMYFUNCTION("""COMPUTED_VALUE"""),"Uncle Sams Cider (11/12/2021) 02")</f>
        <v>Uncle Sams Cider (11/12/2021) 02</v>
      </c>
      <c r="H4087" s="19"/>
    </row>
    <row r="4088">
      <c r="A4088" s="9"/>
      <c r="B4088" s="15"/>
      <c r="C4088" s="9">
        <f>IFERROR(__xludf.DUMMYFUNCTION("""COMPUTED_VALUE"""),44562.8403846874)</f>
        <v>44562.84038</v>
      </c>
      <c r="D4088" s="15">
        <f>IFERROR(__xludf.DUMMYFUNCTION("""COMPUTED_VALUE"""),1.011)</f>
        <v>1.011</v>
      </c>
      <c r="E4088" s="16">
        <f>IFERROR(__xludf.DUMMYFUNCTION("""COMPUTED_VALUE"""),63.0)</f>
        <v>63</v>
      </c>
      <c r="F4088" s="19" t="str">
        <f>IFERROR(__xludf.DUMMYFUNCTION("""COMPUTED_VALUE"""),"BLACK")</f>
        <v>BLACK</v>
      </c>
      <c r="G4088" s="20" t="str">
        <f>IFERROR(__xludf.DUMMYFUNCTION("""COMPUTED_VALUE"""),"Uncle Sams Cider (11/12/2021) 02")</f>
        <v>Uncle Sams Cider (11/12/2021) 02</v>
      </c>
      <c r="H4088" s="19"/>
    </row>
    <row r="4089">
      <c r="A4089" s="9"/>
      <c r="B4089" s="15"/>
      <c r="C4089" s="9">
        <f>IFERROR(__xludf.DUMMYFUNCTION("""COMPUTED_VALUE"""),44562.8299635879)</f>
        <v>44562.82996</v>
      </c>
      <c r="D4089" s="15">
        <f>IFERROR(__xludf.DUMMYFUNCTION("""COMPUTED_VALUE"""),1.011)</f>
        <v>1.011</v>
      </c>
      <c r="E4089" s="16">
        <f>IFERROR(__xludf.DUMMYFUNCTION("""COMPUTED_VALUE"""),63.0)</f>
        <v>63</v>
      </c>
      <c r="F4089" s="19" t="str">
        <f>IFERROR(__xludf.DUMMYFUNCTION("""COMPUTED_VALUE"""),"BLACK")</f>
        <v>BLACK</v>
      </c>
      <c r="G4089" s="20" t="str">
        <f>IFERROR(__xludf.DUMMYFUNCTION("""COMPUTED_VALUE"""),"Uncle Sams Cider (11/12/2021) 02")</f>
        <v>Uncle Sams Cider (11/12/2021) 02</v>
      </c>
      <c r="H4089" s="19"/>
    </row>
    <row r="4090">
      <c r="A4090" s="9"/>
      <c r="B4090" s="15"/>
      <c r="C4090" s="9">
        <f>IFERROR(__xludf.DUMMYFUNCTION("""COMPUTED_VALUE"""),44562.8195422916)</f>
        <v>44562.81954</v>
      </c>
      <c r="D4090" s="15">
        <f>IFERROR(__xludf.DUMMYFUNCTION("""COMPUTED_VALUE"""),1.011)</f>
        <v>1.011</v>
      </c>
      <c r="E4090" s="16">
        <f>IFERROR(__xludf.DUMMYFUNCTION("""COMPUTED_VALUE"""),63.0)</f>
        <v>63</v>
      </c>
      <c r="F4090" s="19" t="str">
        <f>IFERROR(__xludf.DUMMYFUNCTION("""COMPUTED_VALUE"""),"BLACK")</f>
        <v>BLACK</v>
      </c>
      <c r="G4090" s="20" t="str">
        <f>IFERROR(__xludf.DUMMYFUNCTION("""COMPUTED_VALUE"""),"Uncle Sams Cider (11/12/2021) 02")</f>
        <v>Uncle Sams Cider (11/12/2021) 02</v>
      </c>
      <c r="H4090" s="19"/>
    </row>
    <row r="4091">
      <c r="A4091" s="9"/>
      <c r="B4091" s="15"/>
      <c r="C4091" s="9">
        <f>IFERROR(__xludf.DUMMYFUNCTION("""COMPUTED_VALUE"""),44562.8091218171)</f>
        <v>44562.80912</v>
      </c>
      <c r="D4091" s="15">
        <f>IFERROR(__xludf.DUMMYFUNCTION("""COMPUTED_VALUE"""),1.011)</f>
        <v>1.011</v>
      </c>
      <c r="E4091" s="16">
        <f>IFERROR(__xludf.DUMMYFUNCTION("""COMPUTED_VALUE"""),63.0)</f>
        <v>63</v>
      </c>
      <c r="F4091" s="19" t="str">
        <f>IFERROR(__xludf.DUMMYFUNCTION("""COMPUTED_VALUE"""),"BLACK")</f>
        <v>BLACK</v>
      </c>
      <c r="G4091" s="20" t="str">
        <f>IFERROR(__xludf.DUMMYFUNCTION("""COMPUTED_VALUE"""),"Uncle Sams Cider (11/12/2021) 02")</f>
        <v>Uncle Sams Cider (11/12/2021) 02</v>
      </c>
      <c r="H4091" s="19"/>
    </row>
    <row r="4092">
      <c r="A4092" s="9"/>
      <c r="B4092" s="15"/>
      <c r="C4092" s="9">
        <f>IFERROR(__xludf.DUMMYFUNCTION("""COMPUTED_VALUE"""),44562.7987011574)</f>
        <v>44562.7987</v>
      </c>
      <c r="D4092" s="15">
        <f>IFERROR(__xludf.DUMMYFUNCTION("""COMPUTED_VALUE"""),1.011)</f>
        <v>1.011</v>
      </c>
      <c r="E4092" s="16">
        <f>IFERROR(__xludf.DUMMYFUNCTION("""COMPUTED_VALUE"""),63.0)</f>
        <v>63</v>
      </c>
      <c r="F4092" s="19" t="str">
        <f>IFERROR(__xludf.DUMMYFUNCTION("""COMPUTED_VALUE"""),"BLACK")</f>
        <v>BLACK</v>
      </c>
      <c r="G4092" s="20" t="str">
        <f>IFERROR(__xludf.DUMMYFUNCTION("""COMPUTED_VALUE"""),"Uncle Sams Cider (11/12/2021) 02")</f>
        <v>Uncle Sams Cider (11/12/2021) 02</v>
      </c>
      <c r="H4092" s="19"/>
    </row>
    <row r="4093">
      <c r="A4093" s="9"/>
      <c r="B4093" s="15"/>
      <c r="C4093" s="9">
        <f>IFERROR(__xludf.DUMMYFUNCTION("""COMPUTED_VALUE"""),44562.7882802893)</f>
        <v>44562.78828</v>
      </c>
      <c r="D4093" s="15">
        <f>IFERROR(__xludf.DUMMYFUNCTION("""COMPUTED_VALUE"""),1.011)</f>
        <v>1.011</v>
      </c>
      <c r="E4093" s="16">
        <f>IFERROR(__xludf.DUMMYFUNCTION("""COMPUTED_VALUE"""),63.0)</f>
        <v>63</v>
      </c>
      <c r="F4093" s="19" t="str">
        <f>IFERROR(__xludf.DUMMYFUNCTION("""COMPUTED_VALUE"""),"BLACK")</f>
        <v>BLACK</v>
      </c>
      <c r="G4093" s="20" t="str">
        <f>IFERROR(__xludf.DUMMYFUNCTION("""COMPUTED_VALUE"""),"Uncle Sams Cider (11/12/2021) 02")</f>
        <v>Uncle Sams Cider (11/12/2021) 02</v>
      </c>
      <c r="H4093" s="19"/>
    </row>
    <row r="4094">
      <c r="A4094" s="9"/>
      <c r="B4094" s="15"/>
      <c r="C4094" s="9">
        <f>IFERROR(__xludf.DUMMYFUNCTION("""COMPUTED_VALUE"""),44562.7778238194)</f>
        <v>44562.77782</v>
      </c>
      <c r="D4094" s="15">
        <f>IFERROR(__xludf.DUMMYFUNCTION("""COMPUTED_VALUE"""),1.011)</f>
        <v>1.011</v>
      </c>
      <c r="E4094" s="16">
        <f>IFERROR(__xludf.DUMMYFUNCTION("""COMPUTED_VALUE"""),63.0)</f>
        <v>63</v>
      </c>
      <c r="F4094" s="19" t="str">
        <f>IFERROR(__xludf.DUMMYFUNCTION("""COMPUTED_VALUE"""),"BLACK")</f>
        <v>BLACK</v>
      </c>
      <c r="G4094" s="20" t="str">
        <f>IFERROR(__xludf.DUMMYFUNCTION("""COMPUTED_VALUE"""),"Uncle Sams Cider (11/12/2021) 02")</f>
        <v>Uncle Sams Cider (11/12/2021) 02</v>
      </c>
      <c r="H4094" s="19"/>
    </row>
    <row r="4095">
      <c r="A4095" s="9"/>
      <c r="B4095" s="15"/>
      <c r="C4095" s="9">
        <f>IFERROR(__xludf.DUMMYFUNCTION("""COMPUTED_VALUE"""),44562.767403912)</f>
        <v>44562.7674</v>
      </c>
      <c r="D4095" s="15">
        <f>IFERROR(__xludf.DUMMYFUNCTION("""COMPUTED_VALUE"""),1.011)</f>
        <v>1.011</v>
      </c>
      <c r="E4095" s="16">
        <f>IFERROR(__xludf.DUMMYFUNCTION("""COMPUTED_VALUE"""),63.0)</f>
        <v>63</v>
      </c>
      <c r="F4095" s="19" t="str">
        <f>IFERROR(__xludf.DUMMYFUNCTION("""COMPUTED_VALUE"""),"BLACK")</f>
        <v>BLACK</v>
      </c>
      <c r="G4095" s="20" t="str">
        <f>IFERROR(__xludf.DUMMYFUNCTION("""COMPUTED_VALUE"""),"Uncle Sams Cider (11/12/2021) 02")</f>
        <v>Uncle Sams Cider (11/12/2021) 02</v>
      </c>
      <c r="H4095" s="19"/>
    </row>
    <row r="4096">
      <c r="A4096" s="9"/>
      <c r="B4096" s="15"/>
      <c r="C4096" s="9">
        <f>IFERROR(__xludf.DUMMYFUNCTION("""COMPUTED_VALUE"""),44562.7569830324)</f>
        <v>44562.75698</v>
      </c>
      <c r="D4096" s="15">
        <f>IFERROR(__xludf.DUMMYFUNCTION("""COMPUTED_VALUE"""),1.011)</f>
        <v>1.011</v>
      </c>
      <c r="E4096" s="16">
        <f>IFERROR(__xludf.DUMMYFUNCTION("""COMPUTED_VALUE"""),63.0)</f>
        <v>63</v>
      </c>
      <c r="F4096" s="19" t="str">
        <f>IFERROR(__xludf.DUMMYFUNCTION("""COMPUTED_VALUE"""),"BLACK")</f>
        <v>BLACK</v>
      </c>
      <c r="G4096" s="20" t="str">
        <f>IFERROR(__xludf.DUMMYFUNCTION("""COMPUTED_VALUE"""),"Uncle Sams Cider (11/12/2021) 02")</f>
        <v>Uncle Sams Cider (11/12/2021) 02</v>
      </c>
      <c r="H4096" s="19"/>
    </row>
    <row r="4097">
      <c r="A4097" s="9"/>
      <c r="B4097" s="15"/>
      <c r="C4097" s="9">
        <f>IFERROR(__xludf.DUMMYFUNCTION("""COMPUTED_VALUE"""),44562.7465627083)</f>
        <v>44562.74656</v>
      </c>
      <c r="D4097" s="15">
        <f>IFERROR(__xludf.DUMMYFUNCTION("""COMPUTED_VALUE"""),1.011)</f>
        <v>1.011</v>
      </c>
      <c r="E4097" s="16">
        <f>IFERROR(__xludf.DUMMYFUNCTION("""COMPUTED_VALUE"""),63.0)</f>
        <v>63</v>
      </c>
      <c r="F4097" s="19" t="str">
        <f>IFERROR(__xludf.DUMMYFUNCTION("""COMPUTED_VALUE"""),"BLACK")</f>
        <v>BLACK</v>
      </c>
      <c r="G4097" s="20" t="str">
        <f>IFERROR(__xludf.DUMMYFUNCTION("""COMPUTED_VALUE"""),"Uncle Sams Cider (11/12/2021) 02")</f>
        <v>Uncle Sams Cider (11/12/2021) 02</v>
      </c>
      <c r="H4097" s="19"/>
    </row>
    <row r="4098">
      <c r="A4098" s="9"/>
      <c r="B4098" s="15"/>
      <c r="C4098" s="9">
        <f>IFERROR(__xludf.DUMMYFUNCTION("""COMPUTED_VALUE"""),44562.7361393981)</f>
        <v>44562.73614</v>
      </c>
      <c r="D4098" s="15">
        <f>IFERROR(__xludf.DUMMYFUNCTION("""COMPUTED_VALUE"""),1.011)</f>
        <v>1.011</v>
      </c>
      <c r="E4098" s="16">
        <f>IFERROR(__xludf.DUMMYFUNCTION("""COMPUTED_VALUE"""),63.0)</f>
        <v>63</v>
      </c>
      <c r="F4098" s="19" t="str">
        <f>IFERROR(__xludf.DUMMYFUNCTION("""COMPUTED_VALUE"""),"BLACK")</f>
        <v>BLACK</v>
      </c>
      <c r="G4098" s="20" t="str">
        <f>IFERROR(__xludf.DUMMYFUNCTION("""COMPUTED_VALUE"""),"Uncle Sams Cider (11/12/2021) 02")</f>
        <v>Uncle Sams Cider (11/12/2021) 02</v>
      </c>
      <c r="H4098" s="19"/>
    </row>
    <row r="4099">
      <c r="A4099" s="9"/>
      <c r="B4099" s="15"/>
      <c r="C4099" s="9">
        <f>IFERROR(__xludf.DUMMYFUNCTION("""COMPUTED_VALUE"""),44562.725718206)</f>
        <v>44562.72572</v>
      </c>
      <c r="D4099" s="15">
        <f>IFERROR(__xludf.DUMMYFUNCTION("""COMPUTED_VALUE"""),1.011)</f>
        <v>1.011</v>
      </c>
      <c r="E4099" s="16">
        <f>IFERROR(__xludf.DUMMYFUNCTION("""COMPUTED_VALUE"""),63.0)</f>
        <v>63</v>
      </c>
      <c r="F4099" s="19" t="str">
        <f>IFERROR(__xludf.DUMMYFUNCTION("""COMPUTED_VALUE"""),"BLACK")</f>
        <v>BLACK</v>
      </c>
      <c r="G4099" s="20" t="str">
        <f>IFERROR(__xludf.DUMMYFUNCTION("""COMPUTED_VALUE"""),"Uncle Sams Cider (11/12/2021) 02")</f>
        <v>Uncle Sams Cider (11/12/2021) 02</v>
      </c>
      <c r="H4099" s="19"/>
    </row>
    <row r="4100">
      <c r="A4100" s="9"/>
      <c r="B4100" s="15"/>
      <c r="C4100" s="9">
        <f>IFERROR(__xludf.DUMMYFUNCTION("""COMPUTED_VALUE"""),44562.7152849768)</f>
        <v>44562.71528</v>
      </c>
      <c r="D4100" s="15">
        <f>IFERROR(__xludf.DUMMYFUNCTION("""COMPUTED_VALUE"""),1.011)</f>
        <v>1.011</v>
      </c>
      <c r="E4100" s="16">
        <f>IFERROR(__xludf.DUMMYFUNCTION("""COMPUTED_VALUE"""),63.0)</f>
        <v>63</v>
      </c>
      <c r="F4100" s="19" t="str">
        <f>IFERROR(__xludf.DUMMYFUNCTION("""COMPUTED_VALUE"""),"BLACK")</f>
        <v>BLACK</v>
      </c>
      <c r="G4100" s="20" t="str">
        <f>IFERROR(__xludf.DUMMYFUNCTION("""COMPUTED_VALUE"""),"Uncle Sams Cider (11/12/2021) 02")</f>
        <v>Uncle Sams Cider (11/12/2021) 02</v>
      </c>
      <c r="H4100" s="19"/>
    </row>
    <row r="4101">
      <c r="A4101" s="9"/>
      <c r="B4101" s="15"/>
      <c r="C4101" s="9">
        <f>IFERROR(__xludf.DUMMYFUNCTION("""COMPUTED_VALUE"""),44562.7048633333)</f>
        <v>44562.70486</v>
      </c>
      <c r="D4101" s="15">
        <f>IFERROR(__xludf.DUMMYFUNCTION("""COMPUTED_VALUE"""),1.011)</f>
        <v>1.011</v>
      </c>
      <c r="E4101" s="16">
        <f>IFERROR(__xludf.DUMMYFUNCTION("""COMPUTED_VALUE"""),63.0)</f>
        <v>63</v>
      </c>
      <c r="F4101" s="19" t="str">
        <f>IFERROR(__xludf.DUMMYFUNCTION("""COMPUTED_VALUE"""),"BLACK")</f>
        <v>BLACK</v>
      </c>
      <c r="G4101" s="20" t="str">
        <f>IFERROR(__xludf.DUMMYFUNCTION("""COMPUTED_VALUE"""),"Uncle Sams Cider (11/12/2021) 02")</f>
        <v>Uncle Sams Cider (11/12/2021) 02</v>
      </c>
      <c r="H4101" s="19"/>
    </row>
    <row r="4102">
      <c r="A4102" s="9"/>
      <c r="B4102" s="15"/>
      <c r="C4102" s="9">
        <f>IFERROR(__xludf.DUMMYFUNCTION("""COMPUTED_VALUE"""),44562.6944426851)</f>
        <v>44562.69444</v>
      </c>
      <c r="D4102" s="15">
        <f>IFERROR(__xludf.DUMMYFUNCTION("""COMPUTED_VALUE"""),1.011)</f>
        <v>1.011</v>
      </c>
      <c r="E4102" s="16">
        <f>IFERROR(__xludf.DUMMYFUNCTION("""COMPUTED_VALUE"""),63.0)</f>
        <v>63</v>
      </c>
      <c r="F4102" s="19" t="str">
        <f>IFERROR(__xludf.DUMMYFUNCTION("""COMPUTED_VALUE"""),"BLACK")</f>
        <v>BLACK</v>
      </c>
      <c r="G4102" s="20" t="str">
        <f>IFERROR(__xludf.DUMMYFUNCTION("""COMPUTED_VALUE"""),"Uncle Sams Cider (11/12/2021) 02")</f>
        <v>Uncle Sams Cider (11/12/2021) 02</v>
      </c>
      <c r="H4102" s="19"/>
    </row>
    <row r="4103">
      <c r="A4103" s="9"/>
      <c r="B4103" s="15"/>
      <c r="C4103" s="9">
        <f>IFERROR(__xludf.DUMMYFUNCTION("""COMPUTED_VALUE"""),44562.684010787)</f>
        <v>44562.68401</v>
      </c>
      <c r="D4103" s="15">
        <f>IFERROR(__xludf.DUMMYFUNCTION("""COMPUTED_VALUE"""),1.011)</f>
        <v>1.011</v>
      </c>
      <c r="E4103" s="16">
        <f>IFERROR(__xludf.DUMMYFUNCTION("""COMPUTED_VALUE"""),63.0)</f>
        <v>63</v>
      </c>
      <c r="F4103" s="19" t="str">
        <f>IFERROR(__xludf.DUMMYFUNCTION("""COMPUTED_VALUE"""),"BLACK")</f>
        <v>BLACK</v>
      </c>
      <c r="G4103" s="20" t="str">
        <f>IFERROR(__xludf.DUMMYFUNCTION("""COMPUTED_VALUE"""),"Uncle Sams Cider (11/12/2021) 02")</f>
        <v>Uncle Sams Cider (11/12/2021) 02</v>
      </c>
      <c r="H4103" s="19"/>
    </row>
    <row r="4104">
      <c r="A4104" s="9"/>
      <c r="B4104" s="15"/>
      <c r="C4104" s="9">
        <f>IFERROR(__xludf.DUMMYFUNCTION("""COMPUTED_VALUE"""),44562.6735794328)</f>
        <v>44562.67358</v>
      </c>
      <c r="D4104" s="15">
        <f>IFERROR(__xludf.DUMMYFUNCTION("""COMPUTED_VALUE"""),1.011)</f>
        <v>1.011</v>
      </c>
      <c r="E4104" s="16">
        <f>IFERROR(__xludf.DUMMYFUNCTION("""COMPUTED_VALUE"""),63.0)</f>
        <v>63</v>
      </c>
      <c r="F4104" s="19" t="str">
        <f>IFERROR(__xludf.DUMMYFUNCTION("""COMPUTED_VALUE"""),"BLACK")</f>
        <v>BLACK</v>
      </c>
      <c r="G4104" s="20" t="str">
        <f>IFERROR(__xludf.DUMMYFUNCTION("""COMPUTED_VALUE"""),"Uncle Sams Cider (11/12/2021) 02")</f>
        <v>Uncle Sams Cider (11/12/2021) 02</v>
      </c>
      <c r="H4104" s="19"/>
    </row>
    <row r="4105">
      <c r="A4105" s="9"/>
      <c r="B4105" s="15"/>
      <c r="C4105" s="9">
        <f>IFERROR(__xludf.DUMMYFUNCTION("""COMPUTED_VALUE"""),44562.6631580787)</f>
        <v>44562.66316</v>
      </c>
      <c r="D4105" s="15">
        <f>IFERROR(__xludf.DUMMYFUNCTION("""COMPUTED_VALUE"""),1.011)</f>
        <v>1.011</v>
      </c>
      <c r="E4105" s="16">
        <f>IFERROR(__xludf.DUMMYFUNCTION("""COMPUTED_VALUE"""),63.0)</f>
        <v>63</v>
      </c>
      <c r="F4105" s="19" t="str">
        <f>IFERROR(__xludf.DUMMYFUNCTION("""COMPUTED_VALUE"""),"BLACK")</f>
        <v>BLACK</v>
      </c>
      <c r="G4105" s="20" t="str">
        <f>IFERROR(__xludf.DUMMYFUNCTION("""COMPUTED_VALUE"""),"Uncle Sams Cider (11/12/2021) 02")</f>
        <v>Uncle Sams Cider (11/12/2021) 02</v>
      </c>
      <c r="H4105" s="19"/>
    </row>
    <row r="4106">
      <c r="A4106" s="9"/>
      <c r="B4106" s="15"/>
      <c r="C4106" s="9">
        <f>IFERROR(__xludf.DUMMYFUNCTION("""COMPUTED_VALUE"""),44562.6527250694)</f>
        <v>44562.65273</v>
      </c>
      <c r="D4106" s="15">
        <f>IFERROR(__xludf.DUMMYFUNCTION("""COMPUTED_VALUE"""),1.012)</f>
        <v>1.012</v>
      </c>
      <c r="E4106" s="16">
        <f>IFERROR(__xludf.DUMMYFUNCTION("""COMPUTED_VALUE"""),63.0)</f>
        <v>63</v>
      </c>
      <c r="F4106" s="19" t="str">
        <f>IFERROR(__xludf.DUMMYFUNCTION("""COMPUTED_VALUE"""),"BLACK")</f>
        <v>BLACK</v>
      </c>
      <c r="G4106" s="20" t="str">
        <f>IFERROR(__xludf.DUMMYFUNCTION("""COMPUTED_VALUE"""),"Uncle Sams Cider (11/12/2021) 02")</f>
        <v>Uncle Sams Cider (11/12/2021) 02</v>
      </c>
      <c r="H4106" s="19"/>
    </row>
    <row r="4107">
      <c r="A4107" s="9"/>
      <c r="B4107" s="15"/>
      <c r="C4107" s="9">
        <f>IFERROR(__xludf.DUMMYFUNCTION("""COMPUTED_VALUE"""),44562.6423033912)</f>
        <v>44562.6423</v>
      </c>
      <c r="D4107" s="15">
        <f>IFERROR(__xludf.DUMMYFUNCTION("""COMPUTED_VALUE"""),1.011)</f>
        <v>1.011</v>
      </c>
      <c r="E4107" s="16">
        <f>IFERROR(__xludf.DUMMYFUNCTION("""COMPUTED_VALUE"""),63.0)</f>
        <v>63</v>
      </c>
      <c r="F4107" s="19" t="str">
        <f>IFERROR(__xludf.DUMMYFUNCTION("""COMPUTED_VALUE"""),"BLACK")</f>
        <v>BLACK</v>
      </c>
      <c r="G4107" s="20" t="str">
        <f>IFERROR(__xludf.DUMMYFUNCTION("""COMPUTED_VALUE"""),"Uncle Sams Cider (11/12/2021) 02")</f>
        <v>Uncle Sams Cider (11/12/2021) 02</v>
      </c>
      <c r="H4107" s="19"/>
    </row>
    <row r="4108">
      <c r="A4108" s="9"/>
      <c r="B4108" s="15"/>
      <c r="C4108" s="9">
        <f>IFERROR(__xludf.DUMMYFUNCTION("""COMPUTED_VALUE"""),44562.6318590277)</f>
        <v>44562.63186</v>
      </c>
      <c r="D4108" s="15">
        <f>IFERROR(__xludf.DUMMYFUNCTION("""COMPUTED_VALUE"""),1.011)</f>
        <v>1.011</v>
      </c>
      <c r="E4108" s="16">
        <f>IFERROR(__xludf.DUMMYFUNCTION("""COMPUTED_VALUE"""),63.0)</f>
        <v>63</v>
      </c>
      <c r="F4108" s="19" t="str">
        <f>IFERROR(__xludf.DUMMYFUNCTION("""COMPUTED_VALUE"""),"BLACK")</f>
        <v>BLACK</v>
      </c>
      <c r="G4108" s="20" t="str">
        <f>IFERROR(__xludf.DUMMYFUNCTION("""COMPUTED_VALUE"""),"Uncle Sams Cider (11/12/2021) 02")</f>
        <v>Uncle Sams Cider (11/12/2021) 02</v>
      </c>
      <c r="H4108" s="19"/>
    </row>
    <row r="4109">
      <c r="A4109" s="9"/>
      <c r="B4109" s="15"/>
      <c r="C4109" s="9">
        <f>IFERROR(__xludf.DUMMYFUNCTION("""COMPUTED_VALUE"""),44562.6214376504)</f>
        <v>44562.62144</v>
      </c>
      <c r="D4109" s="15">
        <f>IFERROR(__xludf.DUMMYFUNCTION("""COMPUTED_VALUE"""),1.011)</f>
        <v>1.011</v>
      </c>
      <c r="E4109" s="16">
        <f>IFERROR(__xludf.DUMMYFUNCTION("""COMPUTED_VALUE"""),63.0)</f>
        <v>63</v>
      </c>
      <c r="F4109" s="19" t="str">
        <f>IFERROR(__xludf.DUMMYFUNCTION("""COMPUTED_VALUE"""),"BLACK")</f>
        <v>BLACK</v>
      </c>
      <c r="G4109" s="20" t="str">
        <f>IFERROR(__xludf.DUMMYFUNCTION("""COMPUTED_VALUE"""),"Uncle Sams Cider (11/12/2021) 02")</f>
        <v>Uncle Sams Cider (11/12/2021) 02</v>
      </c>
      <c r="H4109" s="19"/>
    </row>
    <row r="4110">
      <c r="A4110" s="9"/>
      <c r="B4110" s="15"/>
      <c r="C4110" s="9">
        <f>IFERROR(__xludf.DUMMYFUNCTION("""COMPUTED_VALUE"""),44562.6110172916)</f>
        <v>44562.61102</v>
      </c>
      <c r="D4110" s="15">
        <f>IFERROR(__xludf.DUMMYFUNCTION("""COMPUTED_VALUE"""),1.011)</f>
        <v>1.011</v>
      </c>
      <c r="E4110" s="16">
        <f>IFERROR(__xludf.DUMMYFUNCTION("""COMPUTED_VALUE"""),63.0)</f>
        <v>63</v>
      </c>
      <c r="F4110" s="19" t="str">
        <f>IFERROR(__xludf.DUMMYFUNCTION("""COMPUTED_VALUE"""),"BLACK")</f>
        <v>BLACK</v>
      </c>
      <c r="G4110" s="20" t="str">
        <f>IFERROR(__xludf.DUMMYFUNCTION("""COMPUTED_VALUE"""),"Uncle Sams Cider (11/12/2021) 02")</f>
        <v>Uncle Sams Cider (11/12/2021) 02</v>
      </c>
      <c r="H4110" s="19"/>
    </row>
    <row r="4111">
      <c r="A4111" s="9"/>
      <c r="B4111" s="15"/>
      <c r="C4111" s="9">
        <f>IFERROR(__xludf.DUMMYFUNCTION("""COMPUTED_VALUE"""),44562.600598206)</f>
        <v>44562.6006</v>
      </c>
      <c r="D4111" s="15">
        <f>IFERROR(__xludf.DUMMYFUNCTION("""COMPUTED_VALUE"""),1.012)</f>
        <v>1.012</v>
      </c>
      <c r="E4111" s="16">
        <f>IFERROR(__xludf.DUMMYFUNCTION("""COMPUTED_VALUE"""),63.0)</f>
        <v>63</v>
      </c>
      <c r="F4111" s="19" t="str">
        <f>IFERROR(__xludf.DUMMYFUNCTION("""COMPUTED_VALUE"""),"BLACK")</f>
        <v>BLACK</v>
      </c>
      <c r="G4111" s="20" t="str">
        <f>IFERROR(__xludf.DUMMYFUNCTION("""COMPUTED_VALUE"""),"Uncle Sams Cider (11/12/2021) 02")</f>
        <v>Uncle Sams Cider (11/12/2021) 02</v>
      </c>
      <c r="H4111" s="19"/>
    </row>
    <row r="4112">
      <c r="A4112" s="9"/>
      <c r="B4112" s="15"/>
      <c r="C4112" s="9">
        <f>IFERROR(__xludf.DUMMYFUNCTION("""COMPUTED_VALUE"""),44562.5901759722)</f>
        <v>44562.59018</v>
      </c>
      <c r="D4112" s="15">
        <f>IFERROR(__xludf.DUMMYFUNCTION("""COMPUTED_VALUE"""),1.011)</f>
        <v>1.011</v>
      </c>
      <c r="E4112" s="16">
        <f>IFERROR(__xludf.DUMMYFUNCTION("""COMPUTED_VALUE"""),63.0)</f>
        <v>63</v>
      </c>
      <c r="F4112" s="19" t="str">
        <f>IFERROR(__xludf.DUMMYFUNCTION("""COMPUTED_VALUE"""),"BLACK")</f>
        <v>BLACK</v>
      </c>
      <c r="G4112" s="20" t="str">
        <f>IFERROR(__xludf.DUMMYFUNCTION("""COMPUTED_VALUE"""),"Uncle Sams Cider (11/12/2021) 02")</f>
        <v>Uncle Sams Cider (11/12/2021) 02</v>
      </c>
      <c r="H4112" s="19"/>
    </row>
    <row r="4113">
      <c r="A4113" s="9"/>
      <c r="B4113" s="15"/>
      <c r="C4113" s="9">
        <f>IFERROR(__xludf.DUMMYFUNCTION("""COMPUTED_VALUE"""),44562.5797541782)</f>
        <v>44562.57975</v>
      </c>
      <c r="D4113" s="15">
        <f>IFERROR(__xludf.DUMMYFUNCTION("""COMPUTED_VALUE"""),1.011)</f>
        <v>1.011</v>
      </c>
      <c r="E4113" s="16">
        <f>IFERROR(__xludf.DUMMYFUNCTION("""COMPUTED_VALUE"""),63.0)</f>
        <v>63</v>
      </c>
      <c r="F4113" s="19" t="str">
        <f>IFERROR(__xludf.DUMMYFUNCTION("""COMPUTED_VALUE"""),"BLACK")</f>
        <v>BLACK</v>
      </c>
      <c r="G4113" s="20" t="str">
        <f>IFERROR(__xludf.DUMMYFUNCTION("""COMPUTED_VALUE"""),"Uncle Sams Cider (11/12/2021) 02")</f>
        <v>Uncle Sams Cider (11/12/2021) 02</v>
      </c>
      <c r="H4113" s="19"/>
    </row>
    <row r="4114">
      <c r="A4114" s="9"/>
      <c r="B4114" s="15"/>
      <c r="C4114" s="9">
        <f>IFERROR(__xludf.DUMMYFUNCTION("""COMPUTED_VALUE"""),44562.5693333101)</f>
        <v>44562.56933</v>
      </c>
      <c r="D4114" s="15">
        <f>IFERROR(__xludf.DUMMYFUNCTION("""COMPUTED_VALUE"""),1.011)</f>
        <v>1.011</v>
      </c>
      <c r="E4114" s="16">
        <f>IFERROR(__xludf.DUMMYFUNCTION("""COMPUTED_VALUE"""),63.0)</f>
        <v>63</v>
      </c>
      <c r="F4114" s="19" t="str">
        <f>IFERROR(__xludf.DUMMYFUNCTION("""COMPUTED_VALUE"""),"BLACK")</f>
        <v>BLACK</v>
      </c>
      <c r="G4114" s="20" t="str">
        <f>IFERROR(__xludf.DUMMYFUNCTION("""COMPUTED_VALUE"""),"Uncle Sams Cider (11/12/2021) 02")</f>
        <v>Uncle Sams Cider (11/12/2021) 02</v>
      </c>
      <c r="H4114" s="19"/>
    </row>
    <row r="4115">
      <c r="A4115" s="9"/>
      <c r="B4115" s="15"/>
      <c r="C4115" s="9">
        <f>IFERROR(__xludf.DUMMYFUNCTION("""COMPUTED_VALUE"""),44562.5589014004)</f>
        <v>44562.5589</v>
      </c>
      <c r="D4115" s="15">
        <f>IFERROR(__xludf.DUMMYFUNCTION("""COMPUTED_VALUE"""),1.011)</f>
        <v>1.011</v>
      </c>
      <c r="E4115" s="16">
        <f>IFERROR(__xludf.DUMMYFUNCTION("""COMPUTED_VALUE"""),63.0)</f>
        <v>63</v>
      </c>
      <c r="F4115" s="19" t="str">
        <f>IFERROR(__xludf.DUMMYFUNCTION("""COMPUTED_VALUE"""),"BLACK")</f>
        <v>BLACK</v>
      </c>
      <c r="G4115" s="20" t="str">
        <f>IFERROR(__xludf.DUMMYFUNCTION("""COMPUTED_VALUE"""),"Uncle Sams Cider (11/12/2021) 02")</f>
        <v>Uncle Sams Cider (11/12/2021) 02</v>
      </c>
      <c r="H4115" s="19"/>
    </row>
    <row r="4116">
      <c r="A4116" s="9"/>
      <c r="B4116" s="15"/>
      <c r="C4116" s="9">
        <f>IFERROR(__xludf.DUMMYFUNCTION("""COMPUTED_VALUE"""),44562.5484820601)</f>
        <v>44562.54848</v>
      </c>
      <c r="D4116" s="15">
        <f>IFERROR(__xludf.DUMMYFUNCTION("""COMPUTED_VALUE"""),1.011)</f>
        <v>1.011</v>
      </c>
      <c r="E4116" s="16">
        <f>IFERROR(__xludf.DUMMYFUNCTION("""COMPUTED_VALUE"""),63.0)</f>
        <v>63</v>
      </c>
      <c r="F4116" s="19" t="str">
        <f>IFERROR(__xludf.DUMMYFUNCTION("""COMPUTED_VALUE"""),"BLACK")</f>
        <v>BLACK</v>
      </c>
      <c r="G4116" s="20" t="str">
        <f>IFERROR(__xludf.DUMMYFUNCTION("""COMPUTED_VALUE"""),"Uncle Sams Cider (11/12/2021) 02")</f>
        <v>Uncle Sams Cider (11/12/2021) 02</v>
      </c>
      <c r="H4116" s="19"/>
    </row>
    <row r="4117">
      <c r="A4117" s="9"/>
      <c r="B4117" s="15"/>
      <c r="C4117" s="9">
        <f>IFERROR(__xludf.DUMMYFUNCTION("""COMPUTED_VALUE"""),44562.5380587847)</f>
        <v>44562.53806</v>
      </c>
      <c r="D4117" s="15">
        <f>IFERROR(__xludf.DUMMYFUNCTION("""COMPUTED_VALUE"""),1.011)</f>
        <v>1.011</v>
      </c>
      <c r="E4117" s="16">
        <f>IFERROR(__xludf.DUMMYFUNCTION("""COMPUTED_VALUE"""),63.0)</f>
        <v>63</v>
      </c>
      <c r="F4117" s="19" t="str">
        <f>IFERROR(__xludf.DUMMYFUNCTION("""COMPUTED_VALUE"""),"BLACK")</f>
        <v>BLACK</v>
      </c>
      <c r="G4117" s="20" t="str">
        <f>IFERROR(__xludf.DUMMYFUNCTION("""COMPUTED_VALUE"""),"Uncle Sams Cider (11/12/2021) 02")</f>
        <v>Uncle Sams Cider (11/12/2021) 02</v>
      </c>
      <c r="H4117" s="19"/>
    </row>
    <row r="4118">
      <c r="A4118" s="9"/>
      <c r="B4118" s="15"/>
      <c r="C4118" s="9">
        <f>IFERROR(__xludf.DUMMYFUNCTION("""COMPUTED_VALUE"""),44562.527625949)</f>
        <v>44562.52763</v>
      </c>
      <c r="D4118" s="15">
        <f>IFERROR(__xludf.DUMMYFUNCTION("""COMPUTED_VALUE"""),1.011)</f>
        <v>1.011</v>
      </c>
      <c r="E4118" s="16">
        <f>IFERROR(__xludf.DUMMYFUNCTION("""COMPUTED_VALUE"""),63.0)</f>
        <v>63</v>
      </c>
      <c r="F4118" s="19" t="str">
        <f>IFERROR(__xludf.DUMMYFUNCTION("""COMPUTED_VALUE"""),"BLACK")</f>
        <v>BLACK</v>
      </c>
      <c r="G4118" s="20" t="str">
        <f>IFERROR(__xludf.DUMMYFUNCTION("""COMPUTED_VALUE"""),"Uncle Sams Cider (11/12/2021) 02")</f>
        <v>Uncle Sams Cider (11/12/2021) 02</v>
      </c>
      <c r="H4118" s="19"/>
    </row>
    <row r="4119">
      <c r="A4119" s="9"/>
      <c r="B4119" s="15"/>
      <c r="C4119" s="9">
        <f>IFERROR(__xludf.DUMMYFUNCTION("""COMPUTED_VALUE"""),44562.5172061111)</f>
        <v>44562.51721</v>
      </c>
      <c r="D4119" s="15">
        <f>IFERROR(__xludf.DUMMYFUNCTION("""COMPUTED_VALUE"""),1.011)</f>
        <v>1.011</v>
      </c>
      <c r="E4119" s="16">
        <f>IFERROR(__xludf.DUMMYFUNCTION("""COMPUTED_VALUE"""),63.0)</f>
        <v>63</v>
      </c>
      <c r="F4119" s="19" t="str">
        <f>IFERROR(__xludf.DUMMYFUNCTION("""COMPUTED_VALUE"""),"BLACK")</f>
        <v>BLACK</v>
      </c>
      <c r="G4119" s="20" t="str">
        <f>IFERROR(__xludf.DUMMYFUNCTION("""COMPUTED_VALUE"""),"Uncle Sams Cider (11/12/2021) 02")</f>
        <v>Uncle Sams Cider (11/12/2021) 02</v>
      </c>
      <c r="H4119" s="19"/>
    </row>
    <row r="4120">
      <c r="A4120" s="9"/>
      <c r="B4120" s="15"/>
      <c r="C4120" s="9">
        <f>IFERROR(__xludf.DUMMYFUNCTION("""COMPUTED_VALUE"""),44562.5067846874)</f>
        <v>44562.50678</v>
      </c>
      <c r="D4120" s="15">
        <f>IFERROR(__xludf.DUMMYFUNCTION("""COMPUTED_VALUE"""),1.011)</f>
        <v>1.011</v>
      </c>
      <c r="E4120" s="16">
        <f>IFERROR(__xludf.DUMMYFUNCTION("""COMPUTED_VALUE"""),63.0)</f>
        <v>63</v>
      </c>
      <c r="F4120" s="19" t="str">
        <f>IFERROR(__xludf.DUMMYFUNCTION("""COMPUTED_VALUE"""),"BLACK")</f>
        <v>BLACK</v>
      </c>
      <c r="G4120" s="20" t="str">
        <f>IFERROR(__xludf.DUMMYFUNCTION("""COMPUTED_VALUE"""),"Uncle Sams Cider (11/12/2021) 02")</f>
        <v>Uncle Sams Cider (11/12/2021) 02</v>
      </c>
      <c r="H4120" s="19"/>
    </row>
    <row r="4121">
      <c r="A4121" s="9"/>
      <c r="B4121" s="15"/>
      <c r="C4121" s="9">
        <f>IFERROR(__xludf.DUMMYFUNCTION("""COMPUTED_VALUE"""),44562.4963518287)</f>
        <v>44562.49635</v>
      </c>
      <c r="D4121" s="15">
        <f>IFERROR(__xludf.DUMMYFUNCTION("""COMPUTED_VALUE"""),1.011)</f>
        <v>1.011</v>
      </c>
      <c r="E4121" s="16">
        <f>IFERROR(__xludf.DUMMYFUNCTION("""COMPUTED_VALUE"""),63.0)</f>
        <v>63</v>
      </c>
      <c r="F4121" s="19" t="str">
        <f>IFERROR(__xludf.DUMMYFUNCTION("""COMPUTED_VALUE"""),"BLACK")</f>
        <v>BLACK</v>
      </c>
      <c r="G4121" s="20" t="str">
        <f>IFERROR(__xludf.DUMMYFUNCTION("""COMPUTED_VALUE"""),"Uncle Sams Cider (11/12/2021) 02")</f>
        <v>Uncle Sams Cider (11/12/2021) 02</v>
      </c>
      <c r="H4121" s="19"/>
    </row>
    <row r="4122">
      <c r="A4122" s="9"/>
      <c r="B4122" s="15"/>
      <c r="C4122" s="9">
        <f>IFERROR(__xludf.DUMMYFUNCTION("""COMPUTED_VALUE"""),44562.4858954513)</f>
        <v>44562.4859</v>
      </c>
      <c r="D4122" s="15">
        <f>IFERROR(__xludf.DUMMYFUNCTION("""COMPUTED_VALUE"""),1.011)</f>
        <v>1.011</v>
      </c>
      <c r="E4122" s="16">
        <f>IFERROR(__xludf.DUMMYFUNCTION("""COMPUTED_VALUE"""),63.0)</f>
        <v>63</v>
      </c>
      <c r="F4122" s="19" t="str">
        <f>IFERROR(__xludf.DUMMYFUNCTION("""COMPUTED_VALUE"""),"BLACK")</f>
        <v>BLACK</v>
      </c>
      <c r="G4122" s="20" t="str">
        <f>IFERROR(__xludf.DUMMYFUNCTION("""COMPUTED_VALUE"""),"Uncle Sams Cider (11/12/2021) 02")</f>
        <v>Uncle Sams Cider (11/12/2021) 02</v>
      </c>
      <c r="H4122" s="19"/>
    </row>
    <row r="4123">
      <c r="A4123" s="9"/>
      <c r="B4123" s="15"/>
      <c r="C4123" s="9">
        <f>IFERROR(__xludf.DUMMYFUNCTION("""COMPUTED_VALUE"""),44562.4754754976)</f>
        <v>44562.47548</v>
      </c>
      <c r="D4123" s="15">
        <f>IFERROR(__xludf.DUMMYFUNCTION("""COMPUTED_VALUE"""),1.011)</f>
        <v>1.011</v>
      </c>
      <c r="E4123" s="16">
        <f>IFERROR(__xludf.DUMMYFUNCTION("""COMPUTED_VALUE"""),63.0)</f>
        <v>63</v>
      </c>
      <c r="F4123" s="19" t="str">
        <f>IFERROR(__xludf.DUMMYFUNCTION("""COMPUTED_VALUE"""),"BLACK")</f>
        <v>BLACK</v>
      </c>
      <c r="G4123" s="20" t="str">
        <f>IFERROR(__xludf.DUMMYFUNCTION("""COMPUTED_VALUE"""),"Uncle Sams Cider (11/12/2021) 02")</f>
        <v>Uncle Sams Cider (11/12/2021) 02</v>
      </c>
      <c r="H4123" s="19"/>
    </row>
    <row r="4124">
      <c r="A4124" s="9"/>
      <c r="B4124" s="15"/>
      <c r="C4124" s="9">
        <f>IFERROR(__xludf.DUMMYFUNCTION("""COMPUTED_VALUE"""),44562.4650556597)</f>
        <v>44562.46506</v>
      </c>
      <c r="D4124" s="15">
        <f>IFERROR(__xludf.DUMMYFUNCTION("""COMPUTED_VALUE"""),1.011)</f>
        <v>1.011</v>
      </c>
      <c r="E4124" s="16">
        <f>IFERROR(__xludf.DUMMYFUNCTION("""COMPUTED_VALUE"""),63.0)</f>
        <v>63</v>
      </c>
      <c r="F4124" s="19" t="str">
        <f>IFERROR(__xludf.DUMMYFUNCTION("""COMPUTED_VALUE"""),"BLACK")</f>
        <v>BLACK</v>
      </c>
      <c r="G4124" s="20" t="str">
        <f>IFERROR(__xludf.DUMMYFUNCTION("""COMPUTED_VALUE"""),"Uncle Sams Cider (11/12/2021) 02")</f>
        <v>Uncle Sams Cider (11/12/2021) 02</v>
      </c>
      <c r="H4124" s="19"/>
    </row>
    <row r="4125">
      <c r="A4125" s="9"/>
      <c r="B4125" s="15"/>
      <c r="C4125" s="9">
        <f>IFERROR(__xludf.DUMMYFUNCTION("""COMPUTED_VALUE"""),44562.4546231481)</f>
        <v>44562.45462</v>
      </c>
      <c r="D4125" s="15">
        <f>IFERROR(__xludf.DUMMYFUNCTION("""COMPUTED_VALUE"""),1.011)</f>
        <v>1.011</v>
      </c>
      <c r="E4125" s="16">
        <f>IFERROR(__xludf.DUMMYFUNCTION("""COMPUTED_VALUE"""),63.0)</f>
        <v>63</v>
      </c>
      <c r="F4125" s="19" t="str">
        <f>IFERROR(__xludf.DUMMYFUNCTION("""COMPUTED_VALUE"""),"BLACK")</f>
        <v>BLACK</v>
      </c>
      <c r="G4125" s="20" t="str">
        <f>IFERROR(__xludf.DUMMYFUNCTION("""COMPUTED_VALUE"""),"Uncle Sams Cider (11/12/2021) 02")</f>
        <v>Uncle Sams Cider (11/12/2021) 02</v>
      </c>
      <c r="H4125" s="19"/>
    </row>
    <row r="4126">
      <c r="A4126" s="9"/>
      <c r="B4126" s="15"/>
      <c r="C4126" s="9">
        <f>IFERROR(__xludf.DUMMYFUNCTION("""COMPUTED_VALUE"""),44562.4441903935)</f>
        <v>44562.44419</v>
      </c>
      <c r="D4126" s="15">
        <f>IFERROR(__xludf.DUMMYFUNCTION("""COMPUTED_VALUE"""),1.011)</f>
        <v>1.011</v>
      </c>
      <c r="E4126" s="16">
        <f>IFERROR(__xludf.DUMMYFUNCTION("""COMPUTED_VALUE"""),63.0)</f>
        <v>63</v>
      </c>
      <c r="F4126" s="19" t="str">
        <f>IFERROR(__xludf.DUMMYFUNCTION("""COMPUTED_VALUE"""),"BLACK")</f>
        <v>BLACK</v>
      </c>
      <c r="G4126" s="20" t="str">
        <f>IFERROR(__xludf.DUMMYFUNCTION("""COMPUTED_VALUE"""),"Uncle Sams Cider (11/12/2021) 02")</f>
        <v>Uncle Sams Cider (11/12/2021) 02</v>
      </c>
      <c r="H4126" s="19"/>
    </row>
    <row r="4127">
      <c r="A4127" s="9"/>
      <c r="B4127" s="15"/>
      <c r="C4127" s="9">
        <f>IFERROR(__xludf.DUMMYFUNCTION("""COMPUTED_VALUE"""),44562.433770868)</f>
        <v>44562.43377</v>
      </c>
      <c r="D4127" s="15">
        <f>IFERROR(__xludf.DUMMYFUNCTION("""COMPUTED_VALUE"""),1.011)</f>
        <v>1.011</v>
      </c>
      <c r="E4127" s="16">
        <f>IFERROR(__xludf.DUMMYFUNCTION("""COMPUTED_VALUE"""),63.0)</f>
        <v>63</v>
      </c>
      <c r="F4127" s="19" t="str">
        <f>IFERROR(__xludf.DUMMYFUNCTION("""COMPUTED_VALUE"""),"BLACK")</f>
        <v>BLACK</v>
      </c>
      <c r="G4127" s="20" t="str">
        <f>IFERROR(__xludf.DUMMYFUNCTION("""COMPUTED_VALUE"""),"Uncle Sams Cider (11/12/2021) 02")</f>
        <v>Uncle Sams Cider (11/12/2021) 02</v>
      </c>
      <c r="H4127" s="19"/>
    </row>
    <row r="4128">
      <c r="A4128" s="9"/>
      <c r="B4128" s="15"/>
      <c r="C4128" s="9">
        <f>IFERROR(__xludf.DUMMYFUNCTION("""COMPUTED_VALUE"""),44562.4233502083)</f>
        <v>44562.42335</v>
      </c>
      <c r="D4128" s="15">
        <f>IFERROR(__xludf.DUMMYFUNCTION("""COMPUTED_VALUE"""),1.011)</f>
        <v>1.011</v>
      </c>
      <c r="E4128" s="16">
        <f>IFERROR(__xludf.DUMMYFUNCTION("""COMPUTED_VALUE"""),63.0)</f>
        <v>63</v>
      </c>
      <c r="F4128" s="19" t="str">
        <f>IFERROR(__xludf.DUMMYFUNCTION("""COMPUTED_VALUE"""),"BLACK")</f>
        <v>BLACK</v>
      </c>
      <c r="G4128" s="20" t="str">
        <f>IFERROR(__xludf.DUMMYFUNCTION("""COMPUTED_VALUE"""),"Uncle Sams Cider (11/12/2021) 02")</f>
        <v>Uncle Sams Cider (11/12/2021) 02</v>
      </c>
      <c r="H4128" s="19"/>
    </row>
    <row r="4129">
      <c r="A4129" s="9"/>
      <c r="B4129" s="15"/>
      <c r="C4129" s="9">
        <f>IFERROR(__xludf.DUMMYFUNCTION("""COMPUTED_VALUE"""),44562.4129287384)</f>
        <v>44562.41293</v>
      </c>
      <c r="D4129" s="15">
        <f>IFERROR(__xludf.DUMMYFUNCTION("""COMPUTED_VALUE"""),1.011)</f>
        <v>1.011</v>
      </c>
      <c r="E4129" s="16">
        <f>IFERROR(__xludf.DUMMYFUNCTION("""COMPUTED_VALUE"""),63.0)</f>
        <v>63</v>
      </c>
      <c r="F4129" s="19" t="str">
        <f>IFERROR(__xludf.DUMMYFUNCTION("""COMPUTED_VALUE"""),"BLACK")</f>
        <v>BLACK</v>
      </c>
      <c r="G4129" s="20" t="str">
        <f>IFERROR(__xludf.DUMMYFUNCTION("""COMPUTED_VALUE"""),"Uncle Sams Cider (11/12/2021) 02")</f>
        <v>Uncle Sams Cider (11/12/2021) 02</v>
      </c>
      <c r="H4129" s="19"/>
    </row>
    <row r="4130">
      <c r="A4130" s="9"/>
      <c r="B4130" s="15"/>
      <c r="C4130" s="9">
        <f>IFERROR(__xludf.DUMMYFUNCTION("""COMPUTED_VALUE"""),44562.4024958564)</f>
        <v>44562.4025</v>
      </c>
      <c r="D4130" s="15">
        <f>IFERROR(__xludf.DUMMYFUNCTION("""COMPUTED_VALUE"""),1.011)</f>
        <v>1.011</v>
      </c>
      <c r="E4130" s="16">
        <f>IFERROR(__xludf.DUMMYFUNCTION("""COMPUTED_VALUE"""),63.0)</f>
        <v>63</v>
      </c>
      <c r="F4130" s="19" t="str">
        <f>IFERROR(__xludf.DUMMYFUNCTION("""COMPUTED_VALUE"""),"BLACK")</f>
        <v>BLACK</v>
      </c>
      <c r="G4130" s="20" t="str">
        <f>IFERROR(__xludf.DUMMYFUNCTION("""COMPUTED_VALUE"""),"Uncle Sams Cider (11/12/2021) 02")</f>
        <v>Uncle Sams Cider (11/12/2021) 02</v>
      </c>
      <c r="H4130" s="19"/>
    </row>
    <row r="4131">
      <c r="A4131" s="9"/>
      <c r="B4131" s="15"/>
      <c r="C4131" s="9">
        <f>IFERROR(__xludf.DUMMYFUNCTION("""COMPUTED_VALUE"""),44562.392063287)</f>
        <v>44562.39206</v>
      </c>
      <c r="D4131" s="15">
        <f>IFERROR(__xludf.DUMMYFUNCTION("""COMPUTED_VALUE"""),1.011)</f>
        <v>1.011</v>
      </c>
      <c r="E4131" s="16">
        <f>IFERROR(__xludf.DUMMYFUNCTION("""COMPUTED_VALUE"""),63.0)</f>
        <v>63</v>
      </c>
      <c r="F4131" s="19" t="str">
        <f>IFERROR(__xludf.DUMMYFUNCTION("""COMPUTED_VALUE"""),"BLACK")</f>
        <v>BLACK</v>
      </c>
      <c r="G4131" s="20" t="str">
        <f>IFERROR(__xludf.DUMMYFUNCTION("""COMPUTED_VALUE"""),"Uncle Sams Cider (11/12/2021) 02")</f>
        <v>Uncle Sams Cider (11/12/2021) 02</v>
      </c>
      <c r="H4131" s="19"/>
    </row>
    <row r="4132">
      <c r="A4132" s="9"/>
      <c r="B4132" s="15"/>
      <c r="C4132" s="9">
        <f>IFERROR(__xludf.DUMMYFUNCTION("""COMPUTED_VALUE"""),44562.3816415162)</f>
        <v>44562.38164</v>
      </c>
      <c r="D4132" s="15">
        <f>IFERROR(__xludf.DUMMYFUNCTION("""COMPUTED_VALUE"""),1.011)</f>
        <v>1.011</v>
      </c>
      <c r="E4132" s="16">
        <f>IFERROR(__xludf.DUMMYFUNCTION("""COMPUTED_VALUE"""),63.0)</f>
        <v>63</v>
      </c>
      <c r="F4132" s="19" t="str">
        <f>IFERROR(__xludf.DUMMYFUNCTION("""COMPUTED_VALUE"""),"BLACK")</f>
        <v>BLACK</v>
      </c>
      <c r="G4132" s="20" t="str">
        <f>IFERROR(__xludf.DUMMYFUNCTION("""COMPUTED_VALUE"""),"Uncle Sams Cider (11/12/2021) 02")</f>
        <v>Uncle Sams Cider (11/12/2021) 02</v>
      </c>
      <c r="H4132" s="19"/>
    </row>
    <row r="4133">
      <c r="A4133" s="9"/>
      <c r="B4133" s="15"/>
      <c r="C4133" s="9">
        <f>IFERROR(__xludf.DUMMYFUNCTION("""COMPUTED_VALUE"""),44562.3712209375)</f>
        <v>44562.37122</v>
      </c>
      <c r="D4133" s="15">
        <f>IFERROR(__xludf.DUMMYFUNCTION("""COMPUTED_VALUE"""),1.011)</f>
        <v>1.011</v>
      </c>
      <c r="E4133" s="16">
        <f>IFERROR(__xludf.DUMMYFUNCTION("""COMPUTED_VALUE"""),63.0)</f>
        <v>63</v>
      </c>
      <c r="F4133" s="19" t="str">
        <f>IFERROR(__xludf.DUMMYFUNCTION("""COMPUTED_VALUE"""),"BLACK")</f>
        <v>BLACK</v>
      </c>
      <c r="G4133" s="20" t="str">
        <f>IFERROR(__xludf.DUMMYFUNCTION("""COMPUTED_VALUE"""),"Uncle Sams Cider (11/12/2021) 02")</f>
        <v>Uncle Sams Cider (11/12/2021) 02</v>
      </c>
      <c r="H4133" s="19"/>
    </row>
    <row r="4134">
      <c r="A4134" s="9"/>
      <c r="B4134" s="15"/>
      <c r="C4134" s="9">
        <f>IFERROR(__xludf.DUMMYFUNCTION("""COMPUTED_VALUE"""),44562.3607997106)</f>
        <v>44562.3608</v>
      </c>
      <c r="D4134" s="15">
        <f>IFERROR(__xludf.DUMMYFUNCTION("""COMPUTED_VALUE"""),1.011)</f>
        <v>1.011</v>
      </c>
      <c r="E4134" s="16">
        <f>IFERROR(__xludf.DUMMYFUNCTION("""COMPUTED_VALUE"""),63.0)</f>
        <v>63</v>
      </c>
      <c r="F4134" s="19" t="str">
        <f>IFERROR(__xludf.DUMMYFUNCTION("""COMPUTED_VALUE"""),"BLACK")</f>
        <v>BLACK</v>
      </c>
      <c r="G4134" s="20" t="str">
        <f>IFERROR(__xludf.DUMMYFUNCTION("""COMPUTED_VALUE"""),"Uncle Sams Cider (11/12/2021) 02")</f>
        <v>Uncle Sams Cider (11/12/2021) 02</v>
      </c>
      <c r="H4134" s="19"/>
    </row>
    <row r="4135">
      <c r="A4135" s="9"/>
      <c r="B4135" s="15"/>
      <c r="C4135" s="9">
        <f>IFERROR(__xludf.DUMMYFUNCTION("""COMPUTED_VALUE"""),44562.3503786689)</f>
        <v>44562.35038</v>
      </c>
      <c r="D4135" s="15">
        <f>IFERROR(__xludf.DUMMYFUNCTION("""COMPUTED_VALUE"""),1.011)</f>
        <v>1.011</v>
      </c>
      <c r="E4135" s="16">
        <f>IFERROR(__xludf.DUMMYFUNCTION("""COMPUTED_VALUE"""),63.0)</f>
        <v>63</v>
      </c>
      <c r="F4135" s="19" t="str">
        <f>IFERROR(__xludf.DUMMYFUNCTION("""COMPUTED_VALUE"""),"BLACK")</f>
        <v>BLACK</v>
      </c>
      <c r="G4135" s="20" t="str">
        <f>IFERROR(__xludf.DUMMYFUNCTION("""COMPUTED_VALUE"""),"Uncle Sams Cider (11/12/2021) 02")</f>
        <v>Uncle Sams Cider (11/12/2021) 02</v>
      </c>
      <c r="H4135" s="19"/>
    </row>
    <row r="4136">
      <c r="A4136" s="9"/>
      <c r="B4136" s="15"/>
      <c r="C4136" s="9">
        <f>IFERROR(__xludf.DUMMYFUNCTION("""COMPUTED_VALUE"""),44562.3399568981)</f>
        <v>44562.33996</v>
      </c>
      <c r="D4136" s="15">
        <f>IFERROR(__xludf.DUMMYFUNCTION("""COMPUTED_VALUE"""),1.011)</f>
        <v>1.011</v>
      </c>
      <c r="E4136" s="16">
        <f>IFERROR(__xludf.DUMMYFUNCTION("""COMPUTED_VALUE"""),63.0)</f>
        <v>63</v>
      </c>
      <c r="F4136" s="19" t="str">
        <f>IFERROR(__xludf.DUMMYFUNCTION("""COMPUTED_VALUE"""),"BLACK")</f>
        <v>BLACK</v>
      </c>
      <c r="G4136" s="20" t="str">
        <f>IFERROR(__xludf.DUMMYFUNCTION("""COMPUTED_VALUE"""),"Uncle Sams Cider (11/12/2021) 02")</f>
        <v>Uncle Sams Cider (11/12/2021) 02</v>
      </c>
      <c r="H4136" s="19"/>
    </row>
    <row r="4137">
      <c r="A4137" s="9"/>
      <c r="B4137" s="15"/>
      <c r="C4137" s="9">
        <f>IFERROR(__xludf.DUMMYFUNCTION("""COMPUTED_VALUE"""),44562.3295252546)</f>
        <v>44562.32953</v>
      </c>
      <c r="D4137" s="15">
        <f>IFERROR(__xludf.DUMMYFUNCTION("""COMPUTED_VALUE"""),1.011)</f>
        <v>1.011</v>
      </c>
      <c r="E4137" s="16">
        <f>IFERROR(__xludf.DUMMYFUNCTION("""COMPUTED_VALUE"""),63.0)</f>
        <v>63</v>
      </c>
      <c r="F4137" s="19" t="str">
        <f>IFERROR(__xludf.DUMMYFUNCTION("""COMPUTED_VALUE"""),"BLACK")</f>
        <v>BLACK</v>
      </c>
      <c r="G4137" s="20" t="str">
        <f>IFERROR(__xludf.DUMMYFUNCTION("""COMPUTED_VALUE"""),"Uncle Sams Cider (11/12/2021) 02")</f>
        <v>Uncle Sams Cider (11/12/2021) 02</v>
      </c>
      <c r="H4137" s="19"/>
    </row>
    <row r="4138">
      <c r="A4138" s="9"/>
      <c r="B4138" s="15"/>
      <c r="C4138" s="9">
        <f>IFERROR(__xludf.DUMMYFUNCTION("""COMPUTED_VALUE"""),44562.319103993)</f>
        <v>44562.3191</v>
      </c>
      <c r="D4138" s="15">
        <f>IFERROR(__xludf.DUMMYFUNCTION("""COMPUTED_VALUE"""),1.011)</f>
        <v>1.011</v>
      </c>
      <c r="E4138" s="16">
        <f>IFERROR(__xludf.DUMMYFUNCTION("""COMPUTED_VALUE"""),63.0)</f>
        <v>63</v>
      </c>
      <c r="F4138" s="19" t="str">
        <f>IFERROR(__xludf.DUMMYFUNCTION("""COMPUTED_VALUE"""),"BLACK")</f>
        <v>BLACK</v>
      </c>
      <c r="G4138" s="20" t="str">
        <f>IFERROR(__xludf.DUMMYFUNCTION("""COMPUTED_VALUE"""),"Uncle Sams Cider (11/12/2021) 02")</f>
        <v>Uncle Sams Cider (11/12/2021) 02</v>
      </c>
      <c r="H4138" s="19"/>
    </row>
    <row r="4139">
      <c r="A4139" s="9"/>
      <c r="B4139" s="15"/>
      <c r="C4139" s="9">
        <f>IFERROR(__xludf.DUMMYFUNCTION("""COMPUTED_VALUE"""),44562.308684155)</f>
        <v>44562.30868</v>
      </c>
      <c r="D4139" s="15">
        <f>IFERROR(__xludf.DUMMYFUNCTION("""COMPUTED_VALUE"""),1.011)</f>
        <v>1.011</v>
      </c>
      <c r="E4139" s="16">
        <f>IFERROR(__xludf.DUMMYFUNCTION("""COMPUTED_VALUE"""),63.0)</f>
        <v>63</v>
      </c>
      <c r="F4139" s="19" t="str">
        <f>IFERROR(__xludf.DUMMYFUNCTION("""COMPUTED_VALUE"""),"BLACK")</f>
        <v>BLACK</v>
      </c>
      <c r="G4139" s="20" t="str">
        <f>IFERROR(__xludf.DUMMYFUNCTION("""COMPUTED_VALUE"""),"Uncle Sams Cider (11/12/2021) 02")</f>
        <v>Uncle Sams Cider (11/12/2021) 02</v>
      </c>
      <c r="H4139" s="19"/>
    </row>
    <row r="4140">
      <c r="A4140" s="9"/>
      <c r="B4140" s="15"/>
      <c r="C4140" s="9">
        <f>IFERROR(__xludf.DUMMYFUNCTION("""COMPUTED_VALUE"""),44562.2982527199)</f>
        <v>44562.29825</v>
      </c>
      <c r="D4140" s="15">
        <f>IFERROR(__xludf.DUMMYFUNCTION("""COMPUTED_VALUE"""),1.011)</f>
        <v>1.011</v>
      </c>
      <c r="E4140" s="16">
        <f>IFERROR(__xludf.DUMMYFUNCTION("""COMPUTED_VALUE"""),63.0)</f>
        <v>63</v>
      </c>
      <c r="F4140" s="19" t="str">
        <f>IFERROR(__xludf.DUMMYFUNCTION("""COMPUTED_VALUE"""),"BLACK")</f>
        <v>BLACK</v>
      </c>
      <c r="G4140" s="20" t="str">
        <f>IFERROR(__xludf.DUMMYFUNCTION("""COMPUTED_VALUE"""),"Uncle Sams Cider (11/12/2021) 02")</f>
        <v>Uncle Sams Cider (11/12/2021) 02</v>
      </c>
      <c r="H4140" s="19"/>
    </row>
    <row r="4141">
      <c r="A4141" s="9"/>
      <c r="B4141" s="15"/>
      <c r="C4141" s="9">
        <f>IFERROR(__xludf.DUMMYFUNCTION("""COMPUTED_VALUE"""),44562.2878208333)</f>
        <v>44562.28782</v>
      </c>
      <c r="D4141" s="15">
        <f>IFERROR(__xludf.DUMMYFUNCTION("""COMPUTED_VALUE"""),1.011)</f>
        <v>1.011</v>
      </c>
      <c r="E4141" s="16">
        <f>IFERROR(__xludf.DUMMYFUNCTION("""COMPUTED_VALUE"""),63.0)</f>
        <v>63</v>
      </c>
      <c r="F4141" s="19" t="str">
        <f>IFERROR(__xludf.DUMMYFUNCTION("""COMPUTED_VALUE"""),"BLACK")</f>
        <v>BLACK</v>
      </c>
      <c r="G4141" s="20" t="str">
        <f>IFERROR(__xludf.DUMMYFUNCTION("""COMPUTED_VALUE"""),"Uncle Sams Cider (11/12/2021) 02")</f>
        <v>Uncle Sams Cider (11/12/2021) 02</v>
      </c>
      <c r="H4141" s="19"/>
    </row>
    <row r="4142">
      <c r="A4142" s="9"/>
      <c r="B4142" s="15"/>
      <c r="C4142" s="9">
        <f>IFERROR(__xludf.DUMMYFUNCTION("""COMPUTED_VALUE"""),44562.2773992708)</f>
        <v>44562.2774</v>
      </c>
      <c r="D4142" s="15">
        <f>IFERROR(__xludf.DUMMYFUNCTION("""COMPUTED_VALUE"""),1.011)</f>
        <v>1.011</v>
      </c>
      <c r="E4142" s="16">
        <f>IFERROR(__xludf.DUMMYFUNCTION("""COMPUTED_VALUE"""),63.0)</f>
        <v>63</v>
      </c>
      <c r="F4142" s="19" t="str">
        <f>IFERROR(__xludf.DUMMYFUNCTION("""COMPUTED_VALUE"""),"BLACK")</f>
        <v>BLACK</v>
      </c>
      <c r="G4142" s="20" t="str">
        <f>IFERROR(__xludf.DUMMYFUNCTION("""COMPUTED_VALUE"""),"Uncle Sams Cider (11/12/2021) 02")</f>
        <v>Uncle Sams Cider (11/12/2021) 02</v>
      </c>
      <c r="H4142" s="19"/>
    </row>
    <row r="4143">
      <c r="A4143" s="9"/>
      <c r="B4143" s="15"/>
      <c r="C4143" s="9">
        <f>IFERROR(__xludf.DUMMYFUNCTION("""COMPUTED_VALUE"""),44562.2669768865)</f>
        <v>44562.26698</v>
      </c>
      <c r="D4143" s="15">
        <f>IFERROR(__xludf.DUMMYFUNCTION("""COMPUTED_VALUE"""),1.011)</f>
        <v>1.011</v>
      </c>
      <c r="E4143" s="16">
        <f>IFERROR(__xludf.DUMMYFUNCTION("""COMPUTED_VALUE"""),63.0)</f>
        <v>63</v>
      </c>
      <c r="F4143" s="19" t="str">
        <f>IFERROR(__xludf.DUMMYFUNCTION("""COMPUTED_VALUE"""),"BLACK")</f>
        <v>BLACK</v>
      </c>
      <c r="G4143" s="20" t="str">
        <f>IFERROR(__xludf.DUMMYFUNCTION("""COMPUTED_VALUE"""),"Uncle Sams Cider (11/12/2021) 02")</f>
        <v>Uncle Sams Cider (11/12/2021) 02</v>
      </c>
      <c r="H4143" s="19"/>
    </row>
    <row r="4144">
      <c r="A4144" s="9"/>
      <c r="B4144" s="15"/>
      <c r="C4144" s="9">
        <f>IFERROR(__xludf.DUMMYFUNCTION("""COMPUTED_VALUE"""),44562.2565434953)</f>
        <v>44562.25654</v>
      </c>
      <c r="D4144" s="15">
        <f>IFERROR(__xludf.DUMMYFUNCTION("""COMPUTED_VALUE"""),1.011)</f>
        <v>1.011</v>
      </c>
      <c r="E4144" s="16">
        <f>IFERROR(__xludf.DUMMYFUNCTION("""COMPUTED_VALUE"""),63.0)</f>
        <v>63</v>
      </c>
      <c r="F4144" s="19" t="str">
        <f>IFERROR(__xludf.DUMMYFUNCTION("""COMPUTED_VALUE"""),"BLACK")</f>
        <v>BLACK</v>
      </c>
      <c r="G4144" s="20" t="str">
        <f>IFERROR(__xludf.DUMMYFUNCTION("""COMPUTED_VALUE"""),"Uncle Sams Cider (11/12/2021) 02")</f>
        <v>Uncle Sams Cider (11/12/2021) 02</v>
      </c>
      <c r="H4144" s="19"/>
    </row>
    <row r="4145">
      <c r="A4145" s="9"/>
      <c r="B4145" s="15"/>
      <c r="C4145" s="9">
        <f>IFERROR(__xludf.DUMMYFUNCTION("""COMPUTED_VALUE"""),44562.2461218402)</f>
        <v>44562.24612</v>
      </c>
      <c r="D4145" s="15">
        <f>IFERROR(__xludf.DUMMYFUNCTION("""COMPUTED_VALUE"""),1.011)</f>
        <v>1.011</v>
      </c>
      <c r="E4145" s="16">
        <f>IFERROR(__xludf.DUMMYFUNCTION("""COMPUTED_VALUE"""),63.0)</f>
        <v>63</v>
      </c>
      <c r="F4145" s="19" t="str">
        <f>IFERROR(__xludf.DUMMYFUNCTION("""COMPUTED_VALUE"""),"BLACK")</f>
        <v>BLACK</v>
      </c>
      <c r="G4145" s="20" t="str">
        <f>IFERROR(__xludf.DUMMYFUNCTION("""COMPUTED_VALUE"""),"Uncle Sams Cider (11/12/2021) 02")</f>
        <v>Uncle Sams Cider (11/12/2021) 02</v>
      </c>
      <c r="H4145" s="19"/>
    </row>
    <row r="4146">
      <c r="A4146" s="9"/>
      <c r="B4146" s="15"/>
      <c r="C4146" s="9">
        <f>IFERROR(__xludf.DUMMYFUNCTION("""COMPUTED_VALUE"""),44562.2356886458)</f>
        <v>44562.23569</v>
      </c>
      <c r="D4146" s="15">
        <f>IFERROR(__xludf.DUMMYFUNCTION("""COMPUTED_VALUE"""),1.011)</f>
        <v>1.011</v>
      </c>
      <c r="E4146" s="16">
        <f>IFERROR(__xludf.DUMMYFUNCTION("""COMPUTED_VALUE"""),63.0)</f>
        <v>63</v>
      </c>
      <c r="F4146" s="19" t="str">
        <f>IFERROR(__xludf.DUMMYFUNCTION("""COMPUTED_VALUE"""),"BLACK")</f>
        <v>BLACK</v>
      </c>
      <c r="G4146" s="20" t="str">
        <f>IFERROR(__xludf.DUMMYFUNCTION("""COMPUTED_VALUE"""),"Uncle Sams Cider (11/12/2021) 02")</f>
        <v>Uncle Sams Cider (11/12/2021) 02</v>
      </c>
      <c r="H4146" s="19"/>
    </row>
    <row r="4147">
      <c r="A4147" s="9"/>
      <c r="B4147" s="15"/>
      <c r="C4147" s="9">
        <f>IFERROR(__xludf.DUMMYFUNCTION("""COMPUTED_VALUE"""),44562.2252673611)</f>
        <v>44562.22527</v>
      </c>
      <c r="D4147" s="15">
        <f>IFERROR(__xludf.DUMMYFUNCTION("""COMPUTED_VALUE"""),1.011)</f>
        <v>1.011</v>
      </c>
      <c r="E4147" s="16">
        <f>IFERROR(__xludf.DUMMYFUNCTION("""COMPUTED_VALUE"""),63.0)</f>
        <v>63</v>
      </c>
      <c r="F4147" s="19" t="str">
        <f>IFERROR(__xludf.DUMMYFUNCTION("""COMPUTED_VALUE"""),"BLACK")</f>
        <v>BLACK</v>
      </c>
      <c r="G4147" s="20" t="str">
        <f>IFERROR(__xludf.DUMMYFUNCTION("""COMPUTED_VALUE"""),"Uncle Sams Cider (11/12/2021) 02")</f>
        <v>Uncle Sams Cider (11/12/2021) 02</v>
      </c>
      <c r="H4147" s="19"/>
    </row>
    <row r="4148">
      <c r="A4148" s="9"/>
      <c r="B4148" s="15"/>
      <c r="C4148" s="9">
        <f>IFERROR(__xludf.DUMMYFUNCTION("""COMPUTED_VALUE"""),44562.2148450925)</f>
        <v>44562.21485</v>
      </c>
      <c r="D4148" s="15">
        <f>IFERROR(__xludf.DUMMYFUNCTION("""COMPUTED_VALUE"""),1.011)</f>
        <v>1.011</v>
      </c>
      <c r="E4148" s="16">
        <f>IFERROR(__xludf.DUMMYFUNCTION("""COMPUTED_VALUE"""),63.0)</f>
        <v>63</v>
      </c>
      <c r="F4148" s="19" t="str">
        <f>IFERROR(__xludf.DUMMYFUNCTION("""COMPUTED_VALUE"""),"BLACK")</f>
        <v>BLACK</v>
      </c>
      <c r="G4148" s="20" t="str">
        <f>IFERROR(__xludf.DUMMYFUNCTION("""COMPUTED_VALUE"""),"Uncle Sams Cider (11/12/2021) 02")</f>
        <v>Uncle Sams Cider (11/12/2021) 02</v>
      </c>
      <c r="H4148" s="19"/>
    </row>
    <row r="4149">
      <c r="A4149" s="9"/>
      <c r="B4149" s="15"/>
      <c r="C4149" s="9">
        <f>IFERROR(__xludf.DUMMYFUNCTION("""COMPUTED_VALUE"""),44562.2044236226)</f>
        <v>44562.20442</v>
      </c>
      <c r="D4149" s="15">
        <f>IFERROR(__xludf.DUMMYFUNCTION("""COMPUTED_VALUE"""),1.011)</f>
        <v>1.011</v>
      </c>
      <c r="E4149" s="16">
        <f>IFERROR(__xludf.DUMMYFUNCTION("""COMPUTED_VALUE"""),63.0)</f>
        <v>63</v>
      </c>
      <c r="F4149" s="19" t="str">
        <f>IFERROR(__xludf.DUMMYFUNCTION("""COMPUTED_VALUE"""),"BLACK")</f>
        <v>BLACK</v>
      </c>
      <c r="G4149" s="20" t="str">
        <f>IFERROR(__xludf.DUMMYFUNCTION("""COMPUTED_VALUE"""),"Uncle Sams Cider (11/12/2021) 02")</f>
        <v>Uncle Sams Cider (11/12/2021) 02</v>
      </c>
      <c r="H4149" s="19"/>
    </row>
    <row r="4150">
      <c r="A4150" s="9"/>
      <c r="B4150" s="15"/>
      <c r="C4150" s="9">
        <f>IFERROR(__xludf.DUMMYFUNCTION("""COMPUTED_VALUE"""),44562.1940013657)</f>
        <v>44562.194</v>
      </c>
      <c r="D4150" s="15">
        <f>IFERROR(__xludf.DUMMYFUNCTION("""COMPUTED_VALUE"""),1.011)</f>
        <v>1.011</v>
      </c>
      <c r="E4150" s="16">
        <f>IFERROR(__xludf.DUMMYFUNCTION("""COMPUTED_VALUE"""),63.0)</f>
        <v>63</v>
      </c>
      <c r="F4150" s="19" t="str">
        <f>IFERROR(__xludf.DUMMYFUNCTION("""COMPUTED_VALUE"""),"BLACK")</f>
        <v>BLACK</v>
      </c>
      <c r="G4150" s="20" t="str">
        <f>IFERROR(__xludf.DUMMYFUNCTION("""COMPUTED_VALUE"""),"Uncle Sams Cider (11/12/2021) 02")</f>
        <v>Uncle Sams Cider (11/12/2021) 02</v>
      </c>
      <c r="H4150" s="19"/>
    </row>
    <row r="4151">
      <c r="A4151" s="9"/>
      <c r="B4151" s="15"/>
      <c r="C4151" s="9">
        <f>IFERROR(__xludf.DUMMYFUNCTION("""COMPUTED_VALUE"""),44562.1835794791)</f>
        <v>44562.18358</v>
      </c>
      <c r="D4151" s="15">
        <f>IFERROR(__xludf.DUMMYFUNCTION("""COMPUTED_VALUE"""),1.011)</f>
        <v>1.011</v>
      </c>
      <c r="E4151" s="16">
        <f>IFERROR(__xludf.DUMMYFUNCTION("""COMPUTED_VALUE"""),63.0)</f>
        <v>63</v>
      </c>
      <c r="F4151" s="19" t="str">
        <f>IFERROR(__xludf.DUMMYFUNCTION("""COMPUTED_VALUE"""),"BLACK")</f>
        <v>BLACK</v>
      </c>
      <c r="G4151" s="20" t="str">
        <f>IFERROR(__xludf.DUMMYFUNCTION("""COMPUTED_VALUE"""),"Uncle Sams Cider (11/12/2021) 02")</f>
        <v>Uncle Sams Cider (11/12/2021) 02</v>
      </c>
      <c r="H4151" s="19"/>
    </row>
    <row r="4152">
      <c r="A4152" s="9"/>
      <c r="B4152" s="15"/>
      <c r="C4152" s="9">
        <f>IFERROR(__xludf.DUMMYFUNCTION("""COMPUTED_VALUE"""),44562.173158831)</f>
        <v>44562.17316</v>
      </c>
      <c r="D4152" s="15">
        <f>IFERROR(__xludf.DUMMYFUNCTION("""COMPUTED_VALUE"""),1.011)</f>
        <v>1.011</v>
      </c>
      <c r="E4152" s="16">
        <f>IFERROR(__xludf.DUMMYFUNCTION("""COMPUTED_VALUE"""),63.0)</f>
        <v>63</v>
      </c>
      <c r="F4152" s="19" t="str">
        <f>IFERROR(__xludf.DUMMYFUNCTION("""COMPUTED_VALUE"""),"BLACK")</f>
        <v>BLACK</v>
      </c>
      <c r="G4152" s="20" t="str">
        <f>IFERROR(__xludf.DUMMYFUNCTION("""COMPUTED_VALUE"""),"Uncle Sams Cider (11/12/2021) 02")</f>
        <v>Uncle Sams Cider (11/12/2021) 02</v>
      </c>
      <c r="H4152" s="19"/>
    </row>
    <row r="4153">
      <c r="A4153" s="9"/>
      <c r="B4153" s="15"/>
      <c r="C4153" s="9">
        <f>IFERROR(__xludf.DUMMYFUNCTION("""COMPUTED_VALUE"""),44562.162715405)</f>
        <v>44562.16272</v>
      </c>
      <c r="D4153" s="15">
        <f>IFERROR(__xludf.DUMMYFUNCTION("""COMPUTED_VALUE"""),1.011)</f>
        <v>1.011</v>
      </c>
      <c r="E4153" s="16">
        <f>IFERROR(__xludf.DUMMYFUNCTION("""COMPUTED_VALUE"""),63.0)</f>
        <v>63</v>
      </c>
      <c r="F4153" s="19" t="str">
        <f>IFERROR(__xludf.DUMMYFUNCTION("""COMPUTED_VALUE"""),"BLACK")</f>
        <v>BLACK</v>
      </c>
      <c r="G4153" s="20" t="str">
        <f>IFERROR(__xludf.DUMMYFUNCTION("""COMPUTED_VALUE"""),"Uncle Sams Cider (11/12/2021) 02")</f>
        <v>Uncle Sams Cider (11/12/2021) 02</v>
      </c>
      <c r="H4153" s="19"/>
    </row>
    <row r="4154">
      <c r="A4154" s="9"/>
      <c r="B4154" s="15"/>
      <c r="C4154" s="9">
        <f>IFERROR(__xludf.DUMMYFUNCTION("""COMPUTED_VALUE"""),44562.1522930902)</f>
        <v>44562.15229</v>
      </c>
      <c r="D4154" s="15">
        <f>IFERROR(__xludf.DUMMYFUNCTION("""COMPUTED_VALUE"""),1.011)</f>
        <v>1.011</v>
      </c>
      <c r="E4154" s="16">
        <f>IFERROR(__xludf.DUMMYFUNCTION("""COMPUTED_VALUE"""),63.0)</f>
        <v>63</v>
      </c>
      <c r="F4154" s="19" t="str">
        <f>IFERROR(__xludf.DUMMYFUNCTION("""COMPUTED_VALUE"""),"BLACK")</f>
        <v>BLACK</v>
      </c>
      <c r="G4154" s="20" t="str">
        <f>IFERROR(__xludf.DUMMYFUNCTION("""COMPUTED_VALUE"""),"Uncle Sams Cider (11/12/2021) 02")</f>
        <v>Uncle Sams Cider (11/12/2021) 02</v>
      </c>
      <c r="H4154" s="19"/>
    </row>
    <row r="4155">
      <c r="A4155" s="9"/>
      <c r="B4155" s="15"/>
      <c r="C4155" s="9">
        <f>IFERROR(__xludf.DUMMYFUNCTION("""COMPUTED_VALUE"""),44562.1418714004)</f>
        <v>44562.14187</v>
      </c>
      <c r="D4155" s="15">
        <f>IFERROR(__xludf.DUMMYFUNCTION("""COMPUTED_VALUE"""),1.011)</f>
        <v>1.011</v>
      </c>
      <c r="E4155" s="16">
        <f>IFERROR(__xludf.DUMMYFUNCTION("""COMPUTED_VALUE"""),63.0)</f>
        <v>63</v>
      </c>
      <c r="F4155" s="19" t="str">
        <f>IFERROR(__xludf.DUMMYFUNCTION("""COMPUTED_VALUE"""),"BLACK")</f>
        <v>BLACK</v>
      </c>
      <c r="G4155" s="20" t="str">
        <f>IFERROR(__xludf.DUMMYFUNCTION("""COMPUTED_VALUE"""),"Uncle Sams Cider (11/12/2021) 02")</f>
        <v>Uncle Sams Cider (11/12/2021) 02</v>
      </c>
      <c r="H4155" s="19"/>
    </row>
    <row r="4156">
      <c r="A4156" s="9"/>
      <c r="B4156" s="15"/>
      <c r="C4156" s="9">
        <f>IFERROR(__xludf.DUMMYFUNCTION("""COMPUTED_VALUE"""),44562.1314505439)</f>
        <v>44562.13145</v>
      </c>
      <c r="D4156" s="15">
        <f>IFERROR(__xludf.DUMMYFUNCTION("""COMPUTED_VALUE"""),1.011)</f>
        <v>1.011</v>
      </c>
      <c r="E4156" s="16">
        <f>IFERROR(__xludf.DUMMYFUNCTION("""COMPUTED_VALUE"""),63.0)</f>
        <v>63</v>
      </c>
      <c r="F4156" s="19" t="str">
        <f>IFERROR(__xludf.DUMMYFUNCTION("""COMPUTED_VALUE"""),"BLACK")</f>
        <v>BLACK</v>
      </c>
      <c r="G4156" s="20" t="str">
        <f>IFERROR(__xludf.DUMMYFUNCTION("""COMPUTED_VALUE"""),"Uncle Sams Cider (11/12/2021) 02")</f>
        <v>Uncle Sams Cider (11/12/2021) 02</v>
      </c>
      <c r="H4156" s="19"/>
    </row>
    <row r="4157">
      <c r="A4157" s="9"/>
      <c r="B4157" s="15"/>
      <c r="C4157" s="9">
        <f>IFERROR(__xludf.DUMMYFUNCTION("""COMPUTED_VALUE"""),44562.1210298032)</f>
        <v>44562.12103</v>
      </c>
      <c r="D4157" s="15">
        <f>IFERROR(__xludf.DUMMYFUNCTION("""COMPUTED_VALUE"""),1.011)</f>
        <v>1.011</v>
      </c>
      <c r="E4157" s="16">
        <f>IFERROR(__xludf.DUMMYFUNCTION("""COMPUTED_VALUE"""),63.0)</f>
        <v>63</v>
      </c>
      <c r="F4157" s="19" t="str">
        <f>IFERROR(__xludf.DUMMYFUNCTION("""COMPUTED_VALUE"""),"BLACK")</f>
        <v>BLACK</v>
      </c>
      <c r="G4157" s="20" t="str">
        <f>IFERROR(__xludf.DUMMYFUNCTION("""COMPUTED_VALUE"""),"Uncle Sams Cider (11/12/2021) 02")</f>
        <v>Uncle Sams Cider (11/12/2021) 02</v>
      </c>
      <c r="H4157" s="19"/>
    </row>
    <row r="4158">
      <c r="A4158" s="9"/>
      <c r="B4158" s="15"/>
      <c r="C4158" s="9">
        <f>IFERROR(__xludf.DUMMYFUNCTION("""COMPUTED_VALUE"""),44562.1105986689)</f>
        <v>44562.1106</v>
      </c>
      <c r="D4158" s="15">
        <f>IFERROR(__xludf.DUMMYFUNCTION("""COMPUTED_VALUE"""),1.011)</f>
        <v>1.011</v>
      </c>
      <c r="E4158" s="16">
        <f>IFERROR(__xludf.DUMMYFUNCTION("""COMPUTED_VALUE"""),63.0)</f>
        <v>63</v>
      </c>
      <c r="F4158" s="19" t="str">
        <f>IFERROR(__xludf.DUMMYFUNCTION("""COMPUTED_VALUE"""),"BLACK")</f>
        <v>BLACK</v>
      </c>
      <c r="G4158" s="20" t="str">
        <f>IFERROR(__xludf.DUMMYFUNCTION("""COMPUTED_VALUE"""),"Uncle Sams Cider (11/12/2021) 02")</f>
        <v>Uncle Sams Cider (11/12/2021) 02</v>
      </c>
      <c r="H4158" s="19"/>
    </row>
    <row r="4159">
      <c r="A4159" s="9"/>
      <c r="B4159" s="15"/>
      <c r="C4159" s="9">
        <f>IFERROR(__xludf.DUMMYFUNCTION("""COMPUTED_VALUE"""),44562.1001547569)</f>
        <v>44562.10015</v>
      </c>
      <c r="D4159" s="15">
        <f>IFERROR(__xludf.DUMMYFUNCTION("""COMPUTED_VALUE"""),1.011)</f>
        <v>1.011</v>
      </c>
      <c r="E4159" s="16">
        <f>IFERROR(__xludf.DUMMYFUNCTION("""COMPUTED_VALUE"""),63.0)</f>
        <v>63</v>
      </c>
      <c r="F4159" s="19" t="str">
        <f>IFERROR(__xludf.DUMMYFUNCTION("""COMPUTED_VALUE"""),"BLACK")</f>
        <v>BLACK</v>
      </c>
      <c r="G4159" s="20" t="str">
        <f>IFERROR(__xludf.DUMMYFUNCTION("""COMPUTED_VALUE"""),"Uncle Sams Cider (11/12/2021) 02")</f>
        <v>Uncle Sams Cider (11/12/2021) 02</v>
      </c>
      <c r="H4159" s="19"/>
    </row>
    <row r="4160">
      <c r="A4160" s="9"/>
      <c r="B4160" s="15"/>
      <c r="C4160" s="9">
        <f>IFERROR(__xludf.DUMMYFUNCTION("""COMPUTED_VALUE"""),44562.0897344097)</f>
        <v>44562.08973</v>
      </c>
      <c r="D4160" s="15">
        <f>IFERROR(__xludf.DUMMYFUNCTION("""COMPUTED_VALUE"""),1.011)</f>
        <v>1.011</v>
      </c>
      <c r="E4160" s="16">
        <f>IFERROR(__xludf.DUMMYFUNCTION("""COMPUTED_VALUE"""),63.0)</f>
        <v>63</v>
      </c>
      <c r="F4160" s="19" t="str">
        <f>IFERROR(__xludf.DUMMYFUNCTION("""COMPUTED_VALUE"""),"BLACK")</f>
        <v>BLACK</v>
      </c>
      <c r="G4160" s="20" t="str">
        <f>IFERROR(__xludf.DUMMYFUNCTION("""COMPUTED_VALUE"""),"Uncle Sams Cider (11/12/2021) 02")</f>
        <v>Uncle Sams Cider (11/12/2021) 02</v>
      </c>
      <c r="H4160" s="19"/>
    </row>
    <row r="4161">
      <c r="A4161" s="9"/>
      <c r="B4161" s="15"/>
      <c r="C4161" s="9">
        <f>IFERROR(__xludf.DUMMYFUNCTION("""COMPUTED_VALUE"""),44562.0793143055)</f>
        <v>44562.07931</v>
      </c>
      <c r="D4161" s="15">
        <f>IFERROR(__xludf.DUMMYFUNCTION("""COMPUTED_VALUE"""),1.011)</f>
        <v>1.011</v>
      </c>
      <c r="E4161" s="16">
        <f>IFERROR(__xludf.DUMMYFUNCTION("""COMPUTED_VALUE"""),63.0)</f>
        <v>63</v>
      </c>
      <c r="F4161" s="19" t="str">
        <f>IFERROR(__xludf.DUMMYFUNCTION("""COMPUTED_VALUE"""),"BLACK")</f>
        <v>BLACK</v>
      </c>
      <c r="G4161" s="20" t="str">
        <f>IFERROR(__xludf.DUMMYFUNCTION("""COMPUTED_VALUE"""),"Uncle Sams Cider (11/12/2021) 02")</f>
        <v>Uncle Sams Cider (11/12/2021) 02</v>
      </c>
      <c r="H4161" s="19"/>
    </row>
    <row r="4162">
      <c r="A4162" s="9"/>
      <c r="B4162" s="15"/>
      <c r="C4162" s="9">
        <f>IFERROR(__xludf.DUMMYFUNCTION("""COMPUTED_VALUE"""),44562.0688924884)</f>
        <v>44562.06889</v>
      </c>
      <c r="D4162" s="15">
        <f>IFERROR(__xludf.DUMMYFUNCTION("""COMPUTED_VALUE"""),1.012)</f>
        <v>1.012</v>
      </c>
      <c r="E4162" s="16">
        <f>IFERROR(__xludf.DUMMYFUNCTION("""COMPUTED_VALUE"""),63.0)</f>
        <v>63</v>
      </c>
      <c r="F4162" s="19" t="str">
        <f>IFERROR(__xludf.DUMMYFUNCTION("""COMPUTED_VALUE"""),"BLACK")</f>
        <v>BLACK</v>
      </c>
      <c r="G4162" s="20" t="str">
        <f>IFERROR(__xludf.DUMMYFUNCTION("""COMPUTED_VALUE"""),"Uncle Sams Cider (11/12/2021) 02")</f>
        <v>Uncle Sams Cider (11/12/2021) 02</v>
      </c>
      <c r="H4162" s="19"/>
    </row>
    <row r="4163">
      <c r="A4163" s="9"/>
      <c r="B4163" s="15"/>
      <c r="C4163" s="9">
        <f>IFERROR(__xludf.DUMMYFUNCTION("""COMPUTED_VALUE"""),44562.0584729513)</f>
        <v>44562.05847</v>
      </c>
      <c r="D4163" s="15">
        <f>IFERROR(__xludf.DUMMYFUNCTION("""COMPUTED_VALUE"""),1.011)</f>
        <v>1.011</v>
      </c>
      <c r="E4163" s="16">
        <f>IFERROR(__xludf.DUMMYFUNCTION("""COMPUTED_VALUE"""),63.0)</f>
        <v>63</v>
      </c>
      <c r="F4163" s="19" t="str">
        <f>IFERROR(__xludf.DUMMYFUNCTION("""COMPUTED_VALUE"""),"BLACK")</f>
        <v>BLACK</v>
      </c>
      <c r="G4163" s="20" t="str">
        <f>IFERROR(__xludf.DUMMYFUNCTION("""COMPUTED_VALUE"""),"Uncle Sams Cider (11/12/2021) 02")</f>
        <v>Uncle Sams Cider (11/12/2021) 02</v>
      </c>
      <c r="H4163" s="19"/>
    </row>
    <row r="4164">
      <c r="A4164" s="9"/>
      <c r="B4164" s="15"/>
      <c r="C4164" s="9">
        <f>IFERROR(__xludf.DUMMYFUNCTION("""COMPUTED_VALUE"""),44562.048052199)</f>
        <v>44562.04805</v>
      </c>
      <c r="D4164" s="15">
        <f>IFERROR(__xludf.DUMMYFUNCTION("""COMPUTED_VALUE"""),1.011)</f>
        <v>1.011</v>
      </c>
      <c r="E4164" s="16">
        <f>IFERROR(__xludf.DUMMYFUNCTION("""COMPUTED_VALUE"""),63.0)</f>
        <v>63</v>
      </c>
      <c r="F4164" s="19" t="str">
        <f>IFERROR(__xludf.DUMMYFUNCTION("""COMPUTED_VALUE"""),"BLACK")</f>
        <v>BLACK</v>
      </c>
      <c r="G4164" s="20" t="str">
        <f>IFERROR(__xludf.DUMMYFUNCTION("""COMPUTED_VALUE"""),"Uncle Sams Cider (11/12/2021) 02")</f>
        <v>Uncle Sams Cider (11/12/2021) 02</v>
      </c>
      <c r="H4164" s="19"/>
    </row>
    <row r="4165">
      <c r="A4165" s="9"/>
      <c r="B4165" s="15"/>
      <c r="C4165" s="9">
        <f>IFERROR(__xludf.DUMMYFUNCTION("""COMPUTED_VALUE"""),44562.0376080787)</f>
        <v>44562.03761</v>
      </c>
      <c r="D4165" s="15">
        <f>IFERROR(__xludf.DUMMYFUNCTION("""COMPUTED_VALUE"""),1.011)</f>
        <v>1.011</v>
      </c>
      <c r="E4165" s="16">
        <f>IFERROR(__xludf.DUMMYFUNCTION("""COMPUTED_VALUE"""),63.0)</f>
        <v>63</v>
      </c>
      <c r="F4165" s="19" t="str">
        <f>IFERROR(__xludf.DUMMYFUNCTION("""COMPUTED_VALUE"""),"BLACK")</f>
        <v>BLACK</v>
      </c>
      <c r="G4165" s="20" t="str">
        <f>IFERROR(__xludf.DUMMYFUNCTION("""COMPUTED_VALUE"""),"Uncle Sams Cider (11/12/2021) 02")</f>
        <v>Uncle Sams Cider (11/12/2021) 02</v>
      </c>
      <c r="H4165" s="19"/>
    </row>
    <row r="4166">
      <c r="A4166" s="9"/>
      <c r="B4166" s="15"/>
      <c r="C4166" s="9">
        <f>IFERROR(__xludf.DUMMYFUNCTION("""COMPUTED_VALUE"""),44562.0271633912)</f>
        <v>44562.02716</v>
      </c>
      <c r="D4166" s="15">
        <f>IFERROR(__xludf.DUMMYFUNCTION("""COMPUTED_VALUE"""),1.012)</f>
        <v>1.012</v>
      </c>
      <c r="E4166" s="16">
        <f>IFERROR(__xludf.DUMMYFUNCTION("""COMPUTED_VALUE"""),63.0)</f>
        <v>63</v>
      </c>
      <c r="F4166" s="19" t="str">
        <f>IFERROR(__xludf.DUMMYFUNCTION("""COMPUTED_VALUE"""),"BLACK")</f>
        <v>BLACK</v>
      </c>
      <c r="G4166" s="20" t="str">
        <f>IFERROR(__xludf.DUMMYFUNCTION("""COMPUTED_VALUE"""),"Uncle Sams Cider (11/12/2021) 02")</f>
        <v>Uncle Sams Cider (11/12/2021) 02</v>
      </c>
      <c r="H4166" s="19"/>
    </row>
    <row r="4167">
      <c r="A4167" s="9"/>
      <c r="B4167" s="15"/>
      <c r="C4167" s="9">
        <f>IFERROR(__xludf.DUMMYFUNCTION("""COMPUTED_VALUE"""),44562.016742662)</f>
        <v>44562.01674</v>
      </c>
      <c r="D4167" s="15">
        <f>IFERROR(__xludf.DUMMYFUNCTION("""COMPUTED_VALUE"""),1.011)</f>
        <v>1.011</v>
      </c>
      <c r="E4167" s="16">
        <f>IFERROR(__xludf.DUMMYFUNCTION("""COMPUTED_VALUE"""),63.0)</f>
        <v>63</v>
      </c>
      <c r="F4167" s="19" t="str">
        <f>IFERROR(__xludf.DUMMYFUNCTION("""COMPUTED_VALUE"""),"BLACK")</f>
        <v>BLACK</v>
      </c>
      <c r="G4167" s="20" t="str">
        <f>IFERROR(__xludf.DUMMYFUNCTION("""COMPUTED_VALUE"""),"Uncle Sams Cider (11/12/2021) 02")</f>
        <v>Uncle Sams Cider (11/12/2021) 02</v>
      </c>
      <c r="H4167" s="19"/>
    </row>
    <row r="4168">
      <c r="A4168" s="9"/>
      <c r="B4168" s="15"/>
      <c r="C4168" s="9">
        <f>IFERROR(__xludf.DUMMYFUNCTION("""COMPUTED_VALUE"""),44562.0063096412)</f>
        <v>44562.00631</v>
      </c>
      <c r="D4168" s="15">
        <f>IFERROR(__xludf.DUMMYFUNCTION("""COMPUTED_VALUE"""),1.011)</f>
        <v>1.011</v>
      </c>
      <c r="E4168" s="16">
        <f>IFERROR(__xludf.DUMMYFUNCTION("""COMPUTED_VALUE"""),63.0)</f>
        <v>63</v>
      </c>
      <c r="F4168" s="19" t="str">
        <f>IFERROR(__xludf.DUMMYFUNCTION("""COMPUTED_VALUE"""),"BLACK")</f>
        <v>BLACK</v>
      </c>
      <c r="G4168" s="20" t="str">
        <f>IFERROR(__xludf.DUMMYFUNCTION("""COMPUTED_VALUE"""),"Uncle Sams Cider (11/12/2021) 02")</f>
        <v>Uncle Sams Cider (11/12/2021) 02</v>
      </c>
      <c r="H4168" s="19"/>
    </row>
    <row r="4169">
      <c r="A4169" s="9"/>
      <c r="B4169" s="15"/>
      <c r="C4169" s="9">
        <f>IFERROR(__xludf.DUMMYFUNCTION("""COMPUTED_VALUE"""),44561.9958879166)</f>
        <v>44561.99589</v>
      </c>
      <c r="D4169" s="15">
        <f>IFERROR(__xludf.DUMMYFUNCTION("""COMPUTED_VALUE"""),1.011)</f>
        <v>1.011</v>
      </c>
      <c r="E4169" s="16">
        <f>IFERROR(__xludf.DUMMYFUNCTION("""COMPUTED_VALUE"""),63.0)</f>
        <v>63</v>
      </c>
      <c r="F4169" s="19" t="str">
        <f>IFERROR(__xludf.DUMMYFUNCTION("""COMPUTED_VALUE"""),"BLACK")</f>
        <v>BLACK</v>
      </c>
      <c r="G4169" s="20" t="str">
        <f>IFERROR(__xludf.DUMMYFUNCTION("""COMPUTED_VALUE"""),"Uncle Sams Cider (11/12/2021) 02")</f>
        <v>Uncle Sams Cider (11/12/2021) 02</v>
      </c>
      <c r="H4169" s="19"/>
    </row>
    <row r="4170">
      <c r="A4170" s="9"/>
      <c r="B4170" s="15"/>
      <c r="C4170" s="9">
        <f>IFERROR(__xludf.DUMMYFUNCTION("""COMPUTED_VALUE"""),44561.9854672569)</f>
        <v>44561.98547</v>
      </c>
      <c r="D4170" s="15">
        <f>IFERROR(__xludf.DUMMYFUNCTION("""COMPUTED_VALUE"""),1.011)</f>
        <v>1.011</v>
      </c>
      <c r="E4170" s="16">
        <f>IFERROR(__xludf.DUMMYFUNCTION("""COMPUTED_VALUE"""),63.0)</f>
        <v>63</v>
      </c>
      <c r="F4170" s="19" t="str">
        <f>IFERROR(__xludf.DUMMYFUNCTION("""COMPUTED_VALUE"""),"BLACK")</f>
        <v>BLACK</v>
      </c>
      <c r="G4170" s="20" t="str">
        <f>IFERROR(__xludf.DUMMYFUNCTION("""COMPUTED_VALUE"""),"Uncle Sams Cider (11/12/2021) 02")</f>
        <v>Uncle Sams Cider (11/12/2021) 02</v>
      </c>
      <c r="H4170" s="19"/>
    </row>
    <row r="4171">
      <c r="A4171" s="9"/>
      <c r="B4171" s="15"/>
      <c r="C4171" s="9">
        <f>IFERROR(__xludf.DUMMYFUNCTION("""COMPUTED_VALUE"""),44561.9750459722)</f>
        <v>44561.97505</v>
      </c>
      <c r="D4171" s="15">
        <f>IFERROR(__xludf.DUMMYFUNCTION("""COMPUTED_VALUE"""),1.011)</f>
        <v>1.011</v>
      </c>
      <c r="E4171" s="16">
        <f>IFERROR(__xludf.DUMMYFUNCTION("""COMPUTED_VALUE"""),63.0)</f>
        <v>63</v>
      </c>
      <c r="F4171" s="19" t="str">
        <f>IFERROR(__xludf.DUMMYFUNCTION("""COMPUTED_VALUE"""),"BLACK")</f>
        <v>BLACK</v>
      </c>
      <c r="G4171" s="20" t="str">
        <f>IFERROR(__xludf.DUMMYFUNCTION("""COMPUTED_VALUE"""),"Uncle Sams Cider (11/12/2021) 02")</f>
        <v>Uncle Sams Cider (11/12/2021) 02</v>
      </c>
      <c r="H4171" s="19"/>
    </row>
    <row r="4172">
      <c r="A4172" s="9"/>
      <c r="B4172" s="15"/>
      <c r="C4172" s="9">
        <f>IFERROR(__xludf.DUMMYFUNCTION("""COMPUTED_VALUE"""),44561.9646122222)</f>
        <v>44561.96461</v>
      </c>
      <c r="D4172" s="15">
        <f>IFERROR(__xludf.DUMMYFUNCTION("""COMPUTED_VALUE"""),1.011)</f>
        <v>1.011</v>
      </c>
      <c r="E4172" s="16">
        <f>IFERROR(__xludf.DUMMYFUNCTION("""COMPUTED_VALUE"""),63.0)</f>
        <v>63</v>
      </c>
      <c r="F4172" s="19" t="str">
        <f>IFERROR(__xludf.DUMMYFUNCTION("""COMPUTED_VALUE"""),"BLACK")</f>
        <v>BLACK</v>
      </c>
      <c r="G4172" s="20" t="str">
        <f>IFERROR(__xludf.DUMMYFUNCTION("""COMPUTED_VALUE"""),"Uncle Sams Cider (11/12/2021) 02")</f>
        <v>Uncle Sams Cider (11/12/2021) 02</v>
      </c>
      <c r="H4172" s="19"/>
    </row>
    <row r="4173">
      <c r="A4173" s="9"/>
      <c r="B4173" s="15"/>
      <c r="C4173" s="9">
        <f>IFERROR(__xludf.DUMMYFUNCTION("""COMPUTED_VALUE"""),44561.9541812268)</f>
        <v>44561.95418</v>
      </c>
      <c r="D4173" s="15">
        <f>IFERROR(__xludf.DUMMYFUNCTION("""COMPUTED_VALUE"""),1.011)</f>
        <v>1.011</v>
      </c>
      <c r="E4173" s="16">
        <f>IFERROR(__xludf.DUMMYFUNCTION("""COMPUTED_VALUE"""),63.0)</f>
        <v>63</v>
      </c>
      <c r="F4173" s="19" t="str">
        <f>IFERROR(__xludf.DUMMYFUNCTION("""COMPUTED_VALUE"""),"BLACK")</f>
        <v>BLACK</v>
      </c>
      <c r="G4173" s="20" t="str">
        <f>IFERROR(__xludf.DUMMYFUNCTION("""COMPUTED_VALUE"""),"Uncle Sams Cider (11/12/2021) 02")</f>
        <v>Uncle Sams Cider (11/12/2021) 02</v>
      </c>
      <c r="H4173" s="19"/>
    </row>
    <row r="4174">
      <c r="A4174" s="9"/>
      <c r="B4174" s="15"/>
      <c r="C4174" s="9">
        <f>IFERROR(__xludf.DUMMYFUNCTION("""COMPUTED_VALUE"""),44561.9437592245)</f>
        <v>44561.94376</v>
      </c>
      <c r="D4174" s="15">
        <f>IFERROR(__xludf.DUMMYFUNCTION("""COMPUTED_VALUE"""),1.011)</f>
        <v>1.011</v>
      </c>
      <c r="E4174" s="16">
        <f>IFERROR(__xludf.DUMMYFUNCTION("""COMPUTED_VALUE"""),63.0)</f>
        <v>63</v>
      </c>
      <c r="F4174" s="19" t="str">
        <f>IFERROR(__xludf.DUMMYFUNCTION("""COMPUTED_VALUE"""),"BLACK")</f>
        <v>BLACK</v>
      </c>
      <c r="G4174" s="20" t="str">
        <f>IFERROR(__xludf.DUMMYFUNCTION("""COMPUTED_VALUE"""),"Uncle Sams Cider (11/12/2021) 02")</f>
        <v>Uncle Sams Cider (11/12/2021) 02</v>
      </c>
      <c r="H4174" s="19"/>
    </row>
    <row r="4175">
      <c r="A4175" s="9"/>
      <c r="B4175" s="15"/>
      <c r="C4175" s="9">
        <f>IFERROR(__xludf.DUMMYFUNCTION("""COMPUTED_VALUE"""),44561.9333391203)</f>
        <v>44561.93334</v>
      </c>
      <c r="D4175" s="15">
        <f>IFERROR(__xludf.DUMMYFUNCTION("""COMPUTED_VALUE"""),1.011)</f>
        <v>1.011</v>
      </c>
      <c r="E4175" s="16">
        <f>IFERROR(__xludf.DUMMYFUNCTION("""COMPUTED_VALUE"""),63.0)</f>
        <v>63</v>
      </c>
      <c r="F4175" s="19" t="str">
        <f>IFERROR(__xludf.DUMMYFUNCTION("""COMPUTED_VALUE"""),"BLACK")</f>
        <v>BLACK</v>
      </c>
      <c r="G4175" s="20" t="str">
        <f>IFERROR(__xludf.DUMMYFUNCTION("""COMPUTED_VALUE"""),"Uncle Sams Cider (11/12/2021) 02")</f>
        <v>Uncle Sams Cider (11/12/2021) 02</v>
      </c>
      <c r="H4175" s="19"/>
    </row>
    <row r="4176">
      <c r="A4176" s="9"/>
      <c r="B4176" s="15"/>
      <c r="C4176" s="9">
        <f>IFERROR(__xludf.DUMMYFUNCTION("""COMPUTED_VALUE"""),44561.9229170138)</f>
        <v>44561.92292</v>
      </c>
      <c r="D4176" s="15">
        <f>IFERROR(__xludf.DUMMYFUNCTION("""COMPUTED_VALUE"""),1.011)</f>
        <v>1.011</v>
      </c>
      <c r="E4176" s="16">
        <f>IFERROR(__xludf.DUMMYFUNCTION("""COMPUTED_VALUE"""),63.0)</f>
        <v>63</v>
      </c>
      <c r="F4176" s="19" t="str">
        <f>IFERROR(__xludf.DUMMYFUNCTION("""COMPUTED_VALUE"""),"BLACK")</f>
        <v>BLACK</v>
      </c>
      <c r="G4176" s="20" t="str">
        <f>IFERROR(__xludf.DUMMYFUNCTION("""COMPUTED_VALUE"""),"Uncle Sams Cider (11/12/2021) 02")</f>
        <v>Uncle Sams Cider (11/12/2021) 02</v>
      </c>
      <c r="H4176" s="19"/>
    </row>
    <row r="4177">
      <c r="A4177" s="9"/>
      <c r="B4177" s="15"/>
      <c r="C4177" s="9">
        <f>IFERROR(__xludf.DUMMYFUNCTION("""COMPUTED_VALUE"""),44561.9124729629)</f>
        <v>44561.91247</v>
      </c>
      <c r="D4177" s="15">
        <f>IFERROR(__xludf.DUMMYFUNCTION("""COMPUTED_VALUE"""),1.011)</f>
        <v>1.011</v>
      </c>
      <c r="E4177" s="16">
        <f>IFERROR(__xludf.DUMMYFUNCTION("""COMPUTED_VALUE"""),63.0)</f>
        <v>63</v>
      </c>
      <c r="F4177" s="19" t="str">
        <f>IFERROR(__xludf.DUMMYFUNCTION("""COMPUTED_VALUE"""),"BLACK")</f>
        <v>BLACK</v>
      </c>
      <c r="G4177" s="20" t="str">
        <f>IFERROR(__xludf.DUMMYFUNCTION("""COMPUTED_VALUE"""),"Uncle Sams Cider (11/12/2021) 02")</f>
        <v>Uncle Sams Cider (11/12/2021) 02</v>
      </c>
      <c r="H4177" s="19"/>
    </row>
    <row r="4178">
      <c r="A4178" s="9"/>
      <c r="B4178" s="15"/>
      <c r="C4178" s="9">
        <f>IFERROR(__xludf.DUMMYFUNCTION("""COMPUTED_VALUE"""),44561.9020513541)</f>
        <v>44561.90205</v>
      </c>
      <c r="D4178" s="15">
        <f>IFERROR(__xludf.DUMMYFUNCTION("""COMPUTED_VALUE"""),1.011)</f>
        <v>1.011</v>
      </c>
      <c r="E4178" s="16">
        <f>IFERROR(__xludf.DUMMYFUNCTION("""COMPUTED_VALUE"""),63.0)</f>
        <v>63</v>
      </c>
      <c r="F4178" s="19" t="str">
        <f>IFERROR(__xludf.DUMMYFUNCTION("""COMPUTED_VALUE"""),"BLACK")</f>
        <v>BLACK</v>
      </c>
      <c r="G4178" s="20" t="str">
        <f>IFERROR(__xludf.DUMMYFUNCTION("""COMPUTED_VALUE"""),"Uncle Sams Cider (11/12/2021) 02")</f>
        <v>Uncle Sams Cider (11/12/2021) 02</v>
      </c>
      <c r="H4178" s="19"/>
    </row>
    <row r="4179">
      <c r="A4179" s="9"/>
      <c r="B4179" s="15"/>
      <c r="C4179" s="9">
        <f>IFERROR(__xludf.DUMMYFUNCTION("""COMPUTED_VALUE"""),44561.8916303935)</f>
        <v>44561.89163</v>
      </c>
      <c r="D4179" s="15">
        <f>IFERROR(__xludf.DUMMYFUNCTION("""COMPUTED_VALUE"""),1.011)</f>
        <v>1.011</v>
      </c>
      <c r="E4179" s="16">
        <f>IFERROR(__xludf.DUMMYFUNCTION("""COMPUTED_VALUE"""),63.0)</f>
        <v>63</v>
      </c>
      <c r="F4179" s="19" t="str">
        <f>IFERROR(__xludf.DUMMYFUNCTION("""COMPUTED_VALUE"""),"BLACK")</f>
        <v>BLACK</v>
      </c>
      <c r="G4179" s="20" t="str">
        <f>IFERROR(__xludf.DUMMYFUNCTION("""COMPUTED_VALUE"""),"Uncle Sams Cider (11/12/2021) 02")</f>
        <v>Uncle Sams Cider (11/12/2021) 02</v>
      </c>
      <c r="H4179" s="19"/>
    </row>
    <row r="4180">
      <c r="A4180" s="9"/>
      <c r="B4180" s="15"/>
      <c r="C4180" s="9">
        <f>IFERROR(__xludf.DUMMYFUNCTION("""COMPUTED_VALUE"""),44561.8812081944)</f>
        <v>44561.88121</v>
      </c>
      <c r="D4180" s="15">
        <f>IFERROR(__xludf.DUMMYFUNCTION("""COMPUTED_VALUE"""),1.011)</f>
        <v>1.011</v>
      </c>
      <c r="E4180" s="16">
        <f>IFERROR(__xludf.DUMMYFUNCTION("""COMPUTED_VALUE"""),63.0)</f>
        <v>63</v>
      </c>
      <c r="F4180" s="19" t="str">
        <f>IFERROR(__xludf.DUMMYFUNCTION("""COMPUTED_VALUE"""),"BLACK")</f>
        <v>BLACK</v>
      </c>
      <c r="G4180" s="20" t="str">
        <f>IFERROR(__xludf.DUMMYFUNCTION("""COMPUTED_VALUE"""),"Uncle Sams Cider (11/12/2021) 02")</f>
        <v>Uncle Sams Cider (11/12/2021) 02</v>
      </c>
      <c r="H4180" s="19"/>
    </row>
    <row r="4181">
      <c r="A4181" s="9"/>
      <c r="B4181" s="15"/>
      <c r="C4181" s="9">
        <f>IFERROR(__xludf.DUMMYFUNCTION("""COMPUTED_VALUE"""),44561.8707869097)</f>
        <v>44561.87079</v>
      </c>
      <c r="D4181" s="15">
        <f>IFERROR(__xludf.DUMMYFUNCTION("""COMPUTED_VALUE"""),1.011)</f>
        <v>1.011</v>
      </c>
      <c r="E4181" s="16">
        <f>IFERROR(__xludf.DUMMYFUNCTION("""COMPUTED_VALUE"""),63.0)</f>
        <v>63</v>
      </c>
      <c r="F4181" s="19" t="str">
        <f>IFERROR(__xludf.DUMMYFUNCTION("""COMPUTED_VALUE"""),"BLACK")</f>
        <v>BLACK</v>
      </c>
      <c r="G4181" s="20" t="str">
        <f>IFERROR(__xludf.DUMMYFUNCTION("""COMPUTED_VALUE"""),"Uncle Sams Cider (11/12/2021) 02")</f>
        <v>Uncle Sams Cider (11/12/2021) 02</v>
      </c>
      <c r="H4181" s="19"/>
    </row>
    <row r="4182">
      <c r="A4182" s="9"/>
      <c r="B4182" s="15"/>
      <c r="C4182" s="9">
        <f>IFERROR(__xludf.DUMMYFUNCTION("""COMPUTED_VALUE"""),44561.8603643981)</f>
        <v>44561.86036</v>
      </c>
      <c r="D4182" s="15">
        <f>IFERROR(__xludf.DUMMYFUNCTION("""COMPUTED_VALUE"""),1.011)</f>
        <v>1.011</v>
      </c>
      <c r="E4182" s="16">
        <f>IFERROR(__xludf.DUMMYFUNCTION("""COMPUTED_VALUE"""),63.0)</f>
        <v>63</v>
      </c>
      <c r="F4182" s="19" t="str">
        <f>IFERROR(__xludf.DUMMYFUNCTION("""COMPUTED_VALUE"""),"BLACK")</f>
        <v>BLACK</v>
      </c>
      <c r="G4182" s="20" t="str">
        <f>IFERROR(__xludf.DUMMYFUNCTION("""COMPUTED_VALUE"""),"Uncle Sams Cider (11/12/2021) 02")</f>
        <v>Uncle Sams Cider (11/12/2021) 02</v>
      </c>
      <c r="H4182" s="19"/>
    </row>
    <row r="4183">
      <c r="A4183" s="9"/>
      <c r="B4183" s="15"/>
      <c r="C4183" s="9">
        <f>IFERROR(__xludf.DUMMYFUNCTION("""COMPUTED_VALUE"""),44561.8499420601)</f>
        <v>44561.84994</v>
      </c>
      <c r="D4183" s="15">
        <f>IFERROR(__xludf.DUMMYFUNCTION("""COMPUTED_VALUE"""),1.011)</f>
        <v>1.011</v>
      </c>
      <c r="E4183" s="16">
        <f>IFERROR(__xludf.DUMMYFUNCTION("""COMPUTED_VALUE"""),63.0)</f>
        <v>63</v>
      </c>
      <c r="F4183" s="19" t="str">
        <f>IFERROR(__xludf.DUMMYFUNCTION("""COMPUTED_VALUE"""),"BLACK")</f>
        <v>BLACK</v>
      </c>
      <c r="G4183" s="20" t="str">
        <f>IFERROR(__xludf.DUMMYFUNCTION("""COMPUTED_VALUE"""),"Uncle Sams Cider (11/12/2021) 02")</f>
        <v>Uncle Sams Cider (11/12/2021) 02</v>
      </c>
      <c r="H4183" s="19"/>
    </row>
    <row r="4184">
      <c r="A4184" s="9"/>
      <c r="B4184" s="15"/>
      <c r="C4184" s="9">
        <f>IFERROR(__xludf.DUMMYFUNCTION("""COMPUTED_VALUE"""),44561.8395228009)</f>
        <v>44561.83952</v>
      </c>
      <c r="D4184" s="15">
        <f>IFERROR(__xludf.DUMMYFUNCTION("""COMPUTED_VALUE"""),1.011)</f>
        <v>1.011</v>
      </c>
      <c r="E4184" s="16">
        <f>IFERROR(__xludf.DUMMYFUNCTION("""COMPUTED_VALUE"""),63.0)</f>
        <v>63</v>
      </c>
      <c r="F4184" s="19" t="str">
        <f>IFERROR(__xludf.DUMMYFUNCTION("""COMPUTED_VALUE"""),"BLACK")</f>
        <v>BLACK</v>
      </c>
      <c r="G4184" s="20" t="str">
        <f>IFERROR(__xludf.DUMMYFUNCTION("""COMPUTED_VALUE"""),"Uncle Sams Cider (11/12/2021) 02")</f>
        <v>Uncle Sams Cider (11/12/2021) 02</v>
      </c>
      <c r="H4184" s="19"/>
    </row>
    <row r="4185">
      <c r="A4185" s="9"/>
      <c r="B4185" s="15"/>
      <c r="C4185" s="9">
        <f>IFERROR(__xludf.DUMMYFUNCTION("""COMPUTED_VALUE"""),44561.829078287)</f>
        <v>44561.82908</v>
      </c>
      <c r="D4185" s="15">
        <f>IFERROR(__xludf.DUMMYFUNCTION("""COMPUTED_VALUE"""),1.011)</f>
        <v>1.011</v>
      </c>
      <c r="E4185" s="16">
        <f>IFERROR(__xludf.DUMMYFUNCTION("""COMPUTED_VALUE"""),63.0)</f>
        <v>63</v>
      </c>
      <c r="F4185" s="19" t="str">
        <f>IFERROR(__xludf.DUMMYFUNCTION("""COMPUTED_VALUE"""),"BLACK")</f>
        <v>BLACK</v>
      </c>
      <c r="G4185" s="20" t="str">
        <f>IFERROR(__xludf.DUMMYFUNCTION("""COMPUTED_VALUE"""),"Uncle Sams Cider (11/12/2021) 02")</f>
        <v>Uncle Sams Cider (11/12/2021) 02</v>
      </c>
      <c r="H4185" s="19"/>
    </row>
    <row r="4186">
      <c r="A4186" s="9"/>
      <c r="B4186" s="15"/>
      <c r="C4186" s="9">
        <f>IFERROR(__xludf.DUMMYFUNCTION("""COMPUTED_VALUE"""),44561.818645243)</f>
        <v>44561.81865</v>
      </c>
      <c r="D4186" s="15">
        <f>IFERROR(__xludf.DUMMYFUNCTION("""COMPUTED_VALUE"""),1.011)</f>
        <v>1.011</v>
      </c>
      <c r="E4186" s="16">
        <f>IFERROR(__xludf.DUMMYFUNCTION("""COMPUTED_VALUE"""),63.0)</f>
        <v>63</v>
      </c>
      <c r="F4186" s="19" t="str">
        <f>IFERROR(__xludf.DUMMYFUNCTION("""COMPUTED_VALUE"""),"BLACK")</f>
        <v>BLACK</v>
      </c>
      <c r="G4186" s="20" t="str">
        <f>IFERROR(__xludf.DUMMYFUNCTION("""COMPUTED_VALUE"""),"Uncle Sams Cider (11/12/2021) 02")</f>
        <v>Uncle Sams Cider (11/12/2021) 02</v>
      </c>
      <c r="H4186" s="19"/>
    </row>
    <row r="4187">
      <c r="A4187" s="9"/>
      <c r="B4187" s="15"/>
      <c r="C4187" s="9">
        <f>IFERROR(__xludf.DUMMYFUNCTION("""COMPUTED_VALUE"""),44561.8082250231)</f>
        <v>44561.80823</v>
      </c>
      <c r="D4187" s="15">
        <f>IFERROR(__xludf.DUMMYFUNCTION("""COMPUTED_VALUE"""),1.011)</f>
        <v>1.011</v>
      </c>
      <c r="E4187" s="16">
        <f>IFERROR(__xludf.DUMMYFUNCTION("""COMPUTED_VALUE"""),63.0)</f>
        <v>63</v>
      </c>
      <c r="F4187" s="19" t="str">
        <f>IFERROR(__xludf.DUMMYFUNCTION("""COMPUTED_VALUE"""),"BLACK")</f>
        <v>BLACK</v>
      </c>
      <c r="G4187" s="20" t="str">
        <f>IFERROR(__xludf.DUMMYFUNCTION("""COMPUTED_VALUE"""),"Uncle Sams Cider (11/12/2021) 02")</f>
        <v>Uncle Sams Cider (11/12/2021) 02</v>
      </c>
      <c r="H4187" s="19"/>
    </row>
    <row r="4188">
      <c r="A4188" s="9"/>
      <c r="B4188" s="15"/>
      <c r="C4188" s="9">
        <f>IFERROR(__xludf.DUMMYFUNCTION("""COMPUTED_VALUE"""),44561.7978029629)</f>
        <v>44561.7978</v>
      </c>
      <c r="D4188" s="15">
        <f>IFERROR(__xludf.DUMMYFUNCTION("""COMPUTED_VALUE"""),1.011)</f>
        <v>1.011</v>
      </c>
      <c r="E4188" s="16">
        <f>IFERROR(__xludf.DUMMYFUNCTION("""COMPUTED_VALUE"""),63.0)</f>
        <v>63</v>
      </c>
      <c r="F4188" s="19" t="str">
        <f>IFERROR(__xludf.DUMMYFUNCTION("""COMPUTED_VALUE"""),"BLACK")</f>
        <v>BLACK</v>
      </c>
      <c r="G4188" s="20" t="str">
        <f>IFERROR(__xludf.DUMMYFUNCTION("""COMPUTED_VALUE"""),"Uncle Sams Cider (11/12/2021) 02")</f>
        <v>Uncle Sams Cider (11/12/2021) 02</v>
      </c>
      <c r="H4188" s="19"/>
    </row>
    <row r="4189">
      <c r="A4189" s="9"/>
      <c r="B4189" s="15"/>
      <c r="C4189" s="9">
        <f>IFERROR(__xludf.DUMMYFUNCTION("""COMPUTED_VALUE"""),44561.78738228)</f>
        <v>44561.78738</v>
      </c>
      <c r="D4189" s="15">
        <f>IFERROR(__xludf.DUMMYFUNCTION("""COMPUTED_VALUE"""),1.011)</f>
        <v>1.011</v>
      </c>
      <c r="E4189" s="16">
        <f>IFERROR(__xludf.DUMMYFUNCTION("""COMPUTED_VALUE"""),63.0)</f>
        <v>63</v>
      </c>
      <c r="F4189" s="19" t="str">
        <f>IFERROR(__xludf.DUMMYFUNCTION("""COMPUTED_VALUE"""),"BLACK")</f>
        <v>BLACK</v>
      </c>
      <c r="G4189" s="20" t="str">
        <f>IFERROR(__xludf.DUMMYFUNCTION("""COMPUTED_VALUE"""),"Uncle Sams Cider (11/12/2021) 02")</f>
        <v>Uncle Sams Cider (11/12/2021) 02</v>
      </c>
      <c r="H4189" s="19"/>
    </row>
    <row r="4190">
      <c r="A4190" s="9"/>
      <c r="B4190" s="15"/>
      <c r="C4190" s="9">
        <f>IFERROR(__xludf.DUMMYFUNCTION("""COMPUTED_VALUE"""),44561.7769490972)</f>
        <v>44561.77695</v>
      </c>
      <c r="D4190" s="15">
        <f>IFERROR(__xludf.DUMMYFUNCTION("""COMPUTED_VALUE"""),1.011)</f>
        <v>1.011</v>
      </c>
      <c r="E4190" s="16">
        <f>IFERROR(__xludf.DUMMYFUNCTION("""COMPUTED_VALUE"""),63.0)</f>
        <v>63</v>
      </c>
      <c r="F4190" s="19" t="str">
        <f>IFERROR(__xludf.DUMMYFUNCTION("""COMPUTED_VALUE"""),"BLACK")</f>
        <v>BLACK</v>
      </c>
      <c r="G4190" s="20" t="str">
        <f>IFERROR(__xludf.DUMMYFUNCTION("""COMPUTED_VALUE"""),"Uncle Sams Cider (11/12/2021) 02")</f>
        <v>Uncle Sams Cider (11/12/2021) 02</v>
      </c>
      <c r="H4190" s="19"/>
    </row>
    <row r="4191">
      <c r="A4191" s="9"/>
      <c r="B4191" s="15"/>
      <c r="C4191" s="9">
        <f>IFERROR(__xludf.DUMMYFUNCTION("""COMPUTED_VALUE"""),44561.7665293287)</f>
        <v>44561.76653</v>
      </c>
      <c r="D4191" s="15">
        <f>IFERROR(__xludf.DUMMYFUNCTION("""COMPUTED_VALUE"""),1.011)</f>
        <v>1.011</v>
      </c>
      <c r="E4191" s="16">
        <f>IFERROR(__xludf.DUMMYFUNCTION("""COMPUTED_VALUE"""),63.0)</f>
        <v>63</v>
      </c>
      <c r="F4191" s="19" t="str">
        <f>IFERROR(__xludf.DUMMYFUNCTION("""COMPUTED_VALUE"""),"BLACK")</f>
        <v>BLACK</v>
      </c>
      <c r="G4191" s="20" t="str">
        <f>IFERROR(__xludf.DUMMYFUNCTION("""COMPUTED_VALUE"""),"Uncle Sams Cider (11/12/2021) 02")</f>
        <v>Uncle Sams Cider (11/12/2021) 02</v>
      </c>
      <c r="H4191" s="19"/>
    </row>
    <row r="4192">
      <c r="A4192" s="9"/>
      <c r="B4192" s="15"/>
      <c r="C4192" s="9">
        <f>IFERROR(__xludf.DUMMYFUNCTION("""COMPUTED_VALUE"""),44561.7560858101)</f>
        <v>44561.75609</v>
      </c>
      <c r="D4192" s="15">
        <f>IFERROR(__xludf.DUMMYFUNCTION("""COMPUTED_VALUE"""),1.011)</f>
        <v>1.011</v>
      </c>
      <c r="E4192" s="16">
        <f>IFERROR(__xludf.DUMMYFUNCTION("""COMPUTED_VALUE"""),63.0)</f>
        <v>63</v>
      </c>
      <c r="F4192" s="19" t="str">
        <f>IFERROR(__xludf.DUMMYFUNCTION("""COMPUTED_VALUE"""),"BLACK")</f>
        <v>BLACK</v>
      </c>
      <c r="G4192" s="20" t="str">
        <f>IFERROR(__xludf.DUMMYFUNCTION("""COMPUTED_VALUE"""),"Uncle Sams Cider (11/12/2021) 02")</f>
        <v>Uncle Sams Cider (11/12/2021) 02</v>
      </c>
      <c r="H4192" s="19"/>
    </row>
    <row r="4193">
      <c r="A4193" s="9"/>
      <c r="B4193" s="15"/>
      <c r="C4193" s="9">
        <f>IFERROR(__xludf.DUMMYFUNCTION("""COMPUTED_VALUE"""),44561.7456632523)</f>
        <v>44561.74566</v>
      </c>
      <c r="D4193" s="15">
        <f>IFERROR(__xludf.DUMMYFUNCTION("""COMPUTED_VALUE"""),1.012)</f>
        <v>1.012</v>
      </c>
      <c r="E4193" s="16">
        <f>IFERROR(__xludf.DUMMYFUNCTION("""COMPUTED_VALUE"""),63.0)</f>
        <v>63</v>
      </c>
      <c r="F4193" s="19" t="str">
        <f>IFERROR(__xludf.DUMMYFUNCTION("""COMPUTED_VALUE"""),"BLACK")</f>
        <v>BLACK</v>
      </c>
      <c r="G4193" s="20" t="str">
        <f>IFERROR(__xludf.DUMMYFUNCTION("""COMPUTED_VALUE"""),"Uncle Sams Cider (11/12/2021) 02")</f>
        <v>Uncle Sams Cider (11/12/2021) 02</v>
      </c>
      <c r="H4193" s="19"/>
    </row>
    <row r="4194">
      <c r="A4194" s="9"/>
      <c r="B4194" s="15"/>
      <c r="C4194" s="9">
        <f>IFERROR(__xludf.DUMMYFUNCTION("""COMPUTED_VALUE"""),44561.7352409838)</f>
        <v>44561.73524</v>
      </c>
      <c r="D4194" s="15">
        <f>IFERROR(__xludf.DUMMYFUNCTION("""COMPUTED_VALUE"""),1.011)</f>
        <v>1.011</v>
      </c>
      <c r="E4194" s="16">
        <f>IFERROR(__xludf.DUMMYFUNCTION("""COMPUTED_VALUE"""),63.0)</f>
        <v>63</v>
      </c>
      <c r="F4194" s="19" t="str">
        <f>IFERROR(__xludf.DUMMYFUNCTION("""COMPUTED_VALUE"""),"BLACK")</f>
        <v>BLACK</v>
      </c>
      <c r="G4194" s="20" t="str">
        <f>IFERROR(__xludf.DUMMYFUNCTION("""COMPUTED_VALUE"""),"Uncle Sams Cider (11/12/2021) 02")</f>
        <v>Uncle Sams Cider (11/12/2021) 02</v>
      </c>
      <c r="H4194" s="19"/>
    </row>
    <row r="4195">
      <c r="A4195" s="9"/>
      <c r="B4195" s="15"/>
      <c r="C4195" s="9">
        <f>IFERROR(__xludf.DUMMYFUNCTION("""COMPUTED_VALUE"""),44561.7248067592)</f>
        <v>44561.72481</v>
      </c>
      <c r="D4195" s="15">
        <f>IFERROR(__xludf.DUMMYFUNCTION("""COMPUTED_VALUE"""),1.011)</f>
        <v>1.011</v>
      </c>
      <c r="E4195" s="16">
        <f>IFERROR(__xludf.DUMMYFUNCTION("""COMPUTED_VALUE"""),63.0)</f>
        <v>63</v>
      </c>
      <c r="F4195" s="19" t="str">
        <f>IFERROR(__xludf.DUMMYFUNCTION("""COMPUTED_VALUE"""),"BLACK")</f>
        <v>BLACK</v>
      </c>
      <c r="G4195" s="20" t="str">
        <f>IFERROR(__xludf.DUMMYFUNCTION("""COMPUTED_VALUE"""),"Uncle Sams Cider (11/12/2021) 02")</f>
        <v>Uncle Sams Cider (11/12/2021) 02</v>
      </c>
      <c r="H4195" s="19"/>
    </row>
    <row r="4196">
      <c r="A4196" s="9"/>
      <c r="B4196" s="15"/>
      <c r="C4196" s="9">
        <f>IFERROR(__xludf.DUMMYFUNCTION("""COMPUTED_VALUE"""),44561.7143842013)</f>
        <v>44561.71438</v>
      </c>
      <c r="D4196" s="15">
        <f>IFERROR(__xludf.DUMMYFUNCTION("""COMPUTED_VALUE"""),1.011)</f>
        <v>1.011</v>
      </c>
      <c r="E4196" s="16">
        <f>IFERROR(__xludf.DUMMYFUNCTION("""COMPUTED_VALUE"""),63.0)</f>
        <v>63</v>
      </c>
      <c r="F4196" s="19" t="str">
        <f>IFERROR(__xludf.DUMMYFUNCTION("""COMPUTED_VALUE"""),"BLACK")</f>
        <v>BLACK</v>
      </c>
      <c r="G4196" s="20" t="str">
        <f>IFERROR(__xludf.DUMMYFUNCTION("""COMPUTED_VALUE"""),"Uncle Sams Cider (11/12/2021) 02")</f>
        <v>Uncle Sams Cider (11/12/2021) 02</v>
      </c>
      <c r="H4196" s="19"/>
    </row>
    <row r="4197">
      <c r="A4197" s="9"/>
      <c r="B4197" s="15"/>
      <c r="C4197" s="9">
        <f>IFERROR(__xludf.DUMMYFUNCTION("""COMPUTED_VALUE"""),44561.7039623842)</f>
        <v>44561.70396</v>
      </c>
      <c r="D4197" s="15">
        <f>IFERROR(__xludf.DUMMYFUNCTION("""COMPUTED_VALUE"""),1.011)</f>
        <v>1.011</v>
      </c>
      <c r="E4197" s="16">
        <f>IFERROR(__xludf.DUMMYFUNCTION("""COMPUTED_VALUE"""),63.0)</f>
        <v>63</v>
      </c>
      <c r="F4197" s="19" t="str">
        <f>IFERROR(__xludf.DUMMYFUNCTION("""COMPUTED_VALUE"""),"BLACK")</f>
        <v>BLACK</v>
      </c>
      <c r="G4197" s="20" t="str">
        <f>IFERROR(__xludf.DUMMYFUNCTION("""COMPUTED_VALUE"""),"Uncle Sams Cider (11/12/2021) 02")</f>
        <v>Uncle Sams Cider (11/12/2021) 02</v>
      </c>
      <c r="H4197" s="19"/>
    </row>
    <row r="4198">
      <c r="A4198" s="9"/>
      <c r="B4198" s="15"/>
      <c r="C4198" s="9">
        <f>IFERROR(__xludf.DUMMYFUNCTION("""COMPUTED_VALUE"""),44561.6935405671)</f>
        <v>44561.69354</v>
      </c>
      <c r="D4198" s="15">
        <f>IFERROR(__xludf.DUMMYFUNCTION("""COMPUTED_VALUE"""),1.011)</f>
        <v>1.011</v>
      </c>
      <c r="E4198" s="16">
        <f>IFERROR(__xludf.DUMMYFUNCTION("""COMPUTED_VALUE"""),63.0)</f>
        <v>63</v>
      </c>
      <c r="F4198" s="19" t="str">
        <f>IFERROR(__xludf.DUMMYFUNCTION("""COMPUTED_VALUE"""),"BLACK")</f>
        <v>BLACK</v>
      </c>
      <c r="G4198" s="20" t="str">
        <f>IFERROR(__xludf.DUMMYFUNCTION("""COMPUTED_VALUE"""),"Uncle Sams Cider (11/12/2021) 02")</f>
        <v>Uncle Sams Cider (11/12/2021) 02</v>
      </c>
      <c r="H4198" s="19"/>
    </row>
    <row r="4199">
      <c r="A4199" s="9"/>
      <c r="B4199" s="15"/>
      <c r="C4199" s="9">
        <f>IFERROR(__xludf.DUMMYFUNCTION("""COMPUTED_VALUE"""),44561.6831185069)</f>
        <v>44561.68312</v>
      </c>
      <c r="D4199" s="15">
        <f>IFERROR(__xludf.DUMMYFUNCTION("""COMPUTED_VALUE"""),1.011)</f>
        <v>1.011</v>
      </c>
      <c r="E4199" s="16">
        <f>IFERROR(__xludf.DUMMYFUNCTION("""COMPUTED_VALUE"""),63.0)</f>
        <v>63</v>
      </c>
      <c r="F4199" s="19" t="str">
        <f>IFERROR(__xludf.DUMMYFUNCTION("""COMPUTED_VALUE"""),"BLACK")</f>
        <v>BLACK</v>
      </c>
      <c r="G4199" s="20" t="str">
        <f>IFERROR(__xludf.DUMMYFUNCTION("""COMPUTED_VALUE"""),"Uncle Sams Cider (11/12/2021) 02")</f>
        <v>Uncle Sams Cider (11/12/2021) 02</v>
      </c>
      <c r="H4199" s="19"/>
    </row>
    <row r="4200">
      <c r="A4200" s="9"/>
      <c r="B4200" s="15"/>
      <c r="C4200" s="9">
        <f>IFERROR(__xludf.DUMMYFUNCTION("""COMPUTED_VALUE"""),44561.6726981828)</f>
        <v>44561.6727</v>
      </c>
      <c r="D4200" s="15">
        <f>IFERROR(__xludf.DUMMYFUNCTION("""COMPUTED_VALUE"""),1.011)</f>
        <v>1.011</v>
      </c>
      <c r="E4200" s="16">
        <f>IFERROR(__xludf.DUMMYFUNCTION("""COMPUTED_VALUE"""),63.0)</f>
        <v>63</v>
      </c>
      <c r="F4200" s="19" t="str">
        <f>IFERROR(__xludf.DUMMYFUNCTION("""COMPUTED_VALUE"""),"BLACK")</f>
        <v>BLACK</v>
      </c>
      <c r="G4200" s="20" t="str">
        <f>IFERROR(__xludf.DUMMYFUNCTION("""COMPUTED_VALUE"""),"Uncle Sams Cider (11/12/2021) 02")</f>
        <v>Uncle Sams Cider (11/12/2021) 02</v>
      </c>
      <c r="H4200" s="19"/>
    </row>
    <row r="4201">
      <c r="A4201" s="9"/>
      <c r="B4201" s="15"/>
      <c r="C4201" s="9">
        <f>IFERROR(__xludf.DUMMYFUNCTION("""COMPUTED_VALUE"""),44561.6622766203)</f>
        <v>44561.66228</v>
      </c>
      <c r="D4201" s="15">
        <f>IFERROR(__xludf.DUMMYFUNCTION("""COMPUTED_VALUE"""),1.011)</f>
        <v>1.011</v>
      </c>
      <c r="E4201" s="16">
        <f>IFERROR(__xludf.DUMMYFUNCTION("""COMPUTED_VALUE"""),63.0)</f>
        <v>63</v>
      </c>
      <c r="F4201" s="19" t="str">
        <f>IFERROR(__xludf.DUMMYFUNCTION("""COMPUTED_VALUE"""),"BLACK")</f>
        <v>BLACK</v>
      </c>
      <c r="G4201" s="20" t="str">
        <f>IFERROR(__xludf.DUMMYFUNCTION("""COMPUTED_VALUE"""),"Uncle Sams Cider (11/12/2021) 02")</f>
        <v>Uncle Sams Cider (11/12/2021) 02</v>
      </c>
      <c r="H4201" s="19"/>
    </row>
    <row r="4202">
      <c r="A4202" s="9"/>
      <c r="B4202" s="15"/>
      <c r="C4202" s="9">
        <f>IFERROR(__xludf.DUMMYFUNCTION("""COMPUTED_VALUE"""),44561.6518439351)</f>
        <v>44561.65184</v>
      </c>
      <c r="D4202" s="15">
        <f>IFERROR(__xludf.DUMMYFUNCTION("""COMPUTED_VALUE"""),1.011)</f>
        <v>1.011</v>
      </c>
      <c r="E4202" s="16">
        <f>IFERROR(__xludf.DUMMYFUNCTION("""COMPUTED_VALUE"""),63.0)</f>
        <v>63</v>
      </c>
      <c r="F4202" s="19" t="str">
        <f>IFERROR(__xludf.DUMMYFUNCTION("""COMPUTED_VALUE"""),"BLACK")</f>
        <v>BLACK</v>
      </c>
      <c r="G4202" s="20" t="str">
        <f>IFERROR(__xludf.DUMMYFUNCTION("""COMPUTED_VALUE"""),"Uncle Sams Cider (11/12/2021) 02")</f>
        <v>Uncle Sams Cider (11/12/2021) 02</v>
      </c>
      <c r="H4202" s="19"/>
    </row>
    <row r="4203">
      <c r="A4203" s="9"/>
      <c r="B4203" s="15"/>
      <c r="C4203" s="9">
        <f>IFERROR(__xludf.DUMMYFUNCTION("""COMPUTED_VALUE"""),44561.6414230439)</f>
        <v>44561.64142</v>
      </c>
      <c r="D4203" s="15">
        <f>IFERROR(__xludf.DUMMYFUNCTION("""COMPUTED_VALUE"""),1.011)</f>
        <v>1.011</v>
      </c>
      <c r="E4203" s="16">
        <f>IFERROR(__xludf.DUMMYFUNCTION("""COMPUTED_VALUE"""),63.0)</f>
        <v>63</v>
      </c>
      <c r="F4203" s="19" t="str">
        <f>IFERROR(__xludf.DUMMYFUNCTION("""COMPUTED_VALUE"""),"BLACK")</f>
        <v>BLACK</v>
      </c>
      <c r="G4203" s="20" t="str">
        <f>IFERROR(__xludf.DUMMYFUNCTION("""COMPUTED_VALUE"""),"Uncle Sams Cider (11/12/2021) 02")</f>
        <v>Uncle Sams Cider (11/12/2021) 02</v>
      </c>
      <c r="H4203" s="19"/>
    </row>
    <row r="4204">
      <c r="A4204" s="9"/>
      <c r="B4204" s="15"/>
      <c r="C4204" s="9">
        <f>IFERROR(__xludf.DUMMYFUNCTION("""COMPUTED_VALUE"""),44561.6309795138)</f>
        <v>44561.63098</v>
      </c>
      <c r="D4204" s="15">
        <f>IFERROR(__xludf.DUMMYFUNCTION("""COMPUTED_VALUE"""),1.011)</f>
        <v>1.011</v>
      </c>
      <c r="E4204" s="16">
        <f>IFERROR(__xludf.DUMMYFUNCTION("""COMPUTED_VALUE"""),63.0)</f>
        <v>63</v>
      </c>
      <c r="F4204" s="19" t="str">
        <f>IFERROR(__xludf.DUMMYFUNCTION("""COMPUTED_VALUE"""),"BLACK")</f>
        <v>BLACK</v>
      </c>
      <c r="G4204" s="20" t="str">
        <f>IFERROR(__xludf.DUMMYFUNCTION("""COMPUTED_VALUE"""),"Uncle Sams Cider (11/12/2021) 02")</f>
        <v>Uncle Sams Cider (11/12/2021) 02</v>
      </c>
      <c r="H4204" s="19"/>
    </row>
    <row r="4205">
      <c r="A4205" s="9"/>
      <c r="B4205" s="15"/>
      <c r="C4205" s="9">
        <f>IFERROR(__xludf.DUMMYFUNCTION("""COMPUTED_VALUE"""),44561.6205590972)</f>
        <v>44561.62056</v>
      </c>
      <c r="D4205" s="15">
        <f>IFERROR(__xludf.DUMMYFUNCTION("""COMPUTED_VALUE"""),1.011)</f>
        <v>1.011</v>
      </c>
      <c r="E4205" s="16">
        <f>IFERROR(__xludf.DUMMYFUNCTION("""COMPUTED_VALUE"""),63.0)</f>
        <v>63</v>
      </c>
      <c r="F4205" s="19" t="str">
        <f>IFERROR(__xludf.DUMMYFUNCTION("""COMPUTED_VALUE"""),"BLACK")</f>
        <v>BLACK</v>
      </c>
      <c r="G4205" s="20" t="str">
        <f>IFERROR(__xludf.DUMMYFUNCTION("""COMPUTED_VALUE"""),"Uncle Sams Cider (11/12/2021) 02")</f>
        <v>Uncle Sams Cider (11/12/2021) 02</v>
      </c>
      <c r="H4205" s="19"/>
    </row>
    <row r="4206">
      <c r="A4206" s="9"/>
      <c r="B4206" s="15"/>
      <c r="C4206" s="9">
        <f>IFERROR(__xludf.DUMMYFUNCTION("""COMPUTED_VALUE"""),44561.61010353)</f>
        <v>44561.6101</v>
      </c>
      <c r="D4206" s="15">
        <f>IFERROR(__xludf.DUMMYFUNCTION("""COMPUTED_VALUE"""),1.011)</f>
        <v>1.011</v>
      </c>
      <c r="E4206" s="16">
        <f>IFERROR(__xludf.DUMMYFUNCTION("""COMPUTED_VALUE"""),63.0)</f>
        <v>63</v>
      </c>
      <c r="F4206" s="19" t="str">
        <f>IFERROR(__xludf.DUMMYFUNCTION("""COMPUTED_VALUE"""),"BLACK")</f>
        <v>BLACK</v>
      </c>
      <c r="G4206" s="20" t="str">
        <f>IFERROR(__xludf.DUMMYFUNCTION("""COMPUTED_VALUE"""),"Uncle Sams Cider (11/12/2021) 02")</f>
        <v>Uncle Sams Cider (11/12/2021) 02</v>
      </c>
      <c r="H4206" s="19"/>
    </row>
    <row r="4207">
      <c r="A4207" s="9"/>
      <c r="B4207" s="15"/>
      <c r="C4207" s="9">
        <f>IFERROR(__xludf.DUMMYFUNCTION("""COMPUTED_VALUE"""),44561.5996580786)</f>
        <v>44561.59966</v>
      </c>
      <c r="D4207" s="15">
        <f>IFERROR(__xludf.DUMMYFUNCTION("""COMPUTED_VALUE"""),1.012)</f>
        <v>1.012</v>
      </c>
      <c r="E4207" s="16">
        <f>IFERROR(__xludf.DUMMYFUNCTION("""COMPUTED_VALUE"""),63.0)</f>
        <v>63</v>
      </c>
      <c r="F4207" s="19" t="str">
        <f>IFERROR(__xludf.DUMMYFUNCTION("""COMPUTED_VALUE"""),"BLACK")</f>
        <v>BLACK</v>
      </c>
      <c r="G4207" s="20" t="str">
        <f>IFERROR(__xludf.DUMMYFUNCTION("""COMPUTED_VALUE"""),"Uncle Sams Cider (11/12/2021) 02")</f>
        <v>Uncle Sams Cider (11/12/2021) 02</v>
      </c>
      <c r="H4207" s="19"/>
    </row>
    <row r="4208">
      <c r="A4208" s="9"/>
      <c r="B4208" s="15"/>
      <c r="C4208" s="9">
        <f>IFERROR(__xludf.DUMMYFUNCTION("""COMPUTED_VALUE"""),44561.5892369444)</f>
        <v>44561.58924</v>
      </c>
      <c r="D4208" s="15">
        <f>IFERROR(__xludf.DUMMYFUNCTION("""COMPUTED_VALUE"""),1.012)</f>
        <v>1.012</v>
      </c>
      <c r="E4208" s="16">
        <f>IFERROR(__xludf.DUMMYFUNCTION("""COMPUTED_VALUE"""),63.0)</f>
        <v>63</v>
      </c>
      <c r="F4208" s="19" t="str">
        <f>IFERROR(__xludf.DUMMYFUNCTION("""COMPUTED_VALUE"""),"BLACK")</f>
        <v>BLACK</v>
      </c>
      <c r="G4208" s="20" t="str">
        <f>IFERROR(__xludf.DUMMYFUNCTION("""COMPUTED_VALUE"""),"Uncle Sams Cider (11/12/2021) 02")</f>
        <v>Uncle Sams Cider (11/12/2021) 02</v>
      </c>
      <c r="H4208" s="19"/>
    </row>
    <row r="4209">
      <c r="A4209" s="9"/>
      <c r="B4209" s="15"/>
      <c r="C4209" s="9">
        <f>IFERROR(__xludf.DUMMYFUNCTION("""COMPUTED_VALUE"""),44561.5788140625)</f>
        <v>44561.57881</v>
      </c>
      <c r="D4209" s="15">
        <f>IFERROR(__xludf.DUMMYFUNCTION("""COMPUTED_VALUE"""),1.012)</f>
        <v>1.012</v>
      </c>
      <c r="E4209" s="16">
        <f>IFERROR(__xludf.DUMMYFUNCTION("""COMPUTED_VALUE"""),63.0)</f>
        <v>63</v>
      </c>
      <c r="F4209" s="19" t="str">
        <f>IFERROR(__xludf.DUMMYFUNCTION("""COMPUTED_VALUE"""),"BLACK")</f>
        <v>BLACK</v>
      </c>
      <c r="G4209" s="20" t="str">
        <f>IFERROR(__xludf.DUMMYFUNCTION("""COMPUTED_VALUE"""),"Uncle Sams Cider (11/12/2021) 02")</f>
        <v>Uncle Sams Cider (11/12/2021) 02</v>
      </c>
      <c r="H4209" s="19"/>
    </row>
    <row r="4210">
      <c r="A4210" s="9"/>
      <c r="B4210" s="15"/>
      <c r="C4210" s="9">
        <f>IFERROR(__xludf.DUMMYFUNCTION("""COMPUTED_VALUE"""),44561.5683924768)</f>
        <v>44561.56839</v>
      </c>
      <c r="D4210" s="15">
        <f>IFERROR(__xludf.DUMMYFUNCTION("""COMPUTED_VALUE"""),1.011)</f>
        <v>1.011</v>
      </c>
      <c r="E4210" s="16">
        <f>IFERROR(__xludf.DUMMYFUNCTION("""COMPUTED_VALUE"""),63.0)</f>
        <v>63</v>
      </c>
      <c r="F4210" s="19" t="str">
        <f>IFERROR(__xludf.DUMMYFUNCTION("""COMPUTED_VALUE"""),"BLACK")</f>
        <v>BLACK</v>
      </c>
      <c r="G4210" s="20" t="str">
        <f>IFERROR(__xludf.DUMMYFUNCTION("""COMPUTED_VALUE"""),"Uncle Sams Cider (11/12/2021) 02")</f>
        <v>Uncle Sams Cider (11/12/2021) 02</v>
      </c>
      <c r="H4210" s="19"/>
    </row>
    <row r="4211">
      <c r="A4211" s="9"/>
      <c r="B4211" s="15"/>
      <c r="C4211" s="9">
        <f>IFERROR(__xludf.DUMMYFUNCTION("""COMPUTED_VALUE"""),44561.5579600694)</f>
        <v>44561.55796</v>
      </c>
      <c r="D4211" s="15">
        <f>IFERROR(__xludf.DUMMYFUNCTION("""COMPUTED_VALUE"""),1.011)</f>
        <v>1.011</v>
      </c>
      <c r="E4211" s="16">
        <f>IFERROR(__xludf.DUMMYFUNCTION("""COMPUTED_VALUE"""),63.0)</f>
        <v>63</v>
      </c>
      <c r="F4211" s="19" t="str">
        <f>IFERROR(__xludf.DUMMYFUNCTION("""COMPUTED_VALUE"""),"BLACK")</f>
        <v>BLACK</v>
      </c>
      <c r="G4211" s="20" t="str">
        <f>IFERROR(__xludf.DUMMYFUNCTION("""COMPUTED_VALUE"""),"Uncle Sams Cider (11/12/2021) 02")</f>
        <v>Uncle Sams Cider (11/12/2021) 02</v>
      </c>
      <c r="H4211" s="19"/>
    </row>
    <row r="4212">
      <c r="A4212" s="9"/>
      <c r="B4212" s="15"/>
      <c r="C4212" s="9">
        <f>IFERROR(__xludf.DUMMYFUNCTION("""COMPUTED_VALUE"""),44561.5475270138)</f>
        <v>44561.54753</v>
      </c>
      <c r="D4212" s="15">
        <f>IFERROR(__xludf.DUMMYFUNCTION("""COMPUTED_VALUE"""),1.011)</f>
        <v>1.011</v>
      </c>
      <c r="E4212" s="16">
        <f>IFERROR(__xludf.DUMMYFUNCTION("""COMPUTED_VALUE"""),63.0)</f>
        <v>63</v>
      </c>
      <c r="F4212" s="19" t="str">
        <f>IFERROR(__xludf.DUMMYFUNCTION("""COMPUTED_VALUE"""),"BLACK")</f>
        <v>BLACK</v>
      </c>
      <c r="G4212" s="20" t="str">
        <f>IFERROR(__xludf.DUMMYFUNCTION("""COMPUTED_VALUE"""),"Uncle Sams Cider (11/12/2021) 02")</f>
        <v>Uncle Sams Cider (11/12/2021) 02</v>
      </c>
      <c r="H4212" s="19"/>
    </row>
    <row r="4213">
      <c r="A4213" s="9"/>
      <c r="B4213" s="15"/>
      <c r="C4213" s="9">
        <f>IFERROR(__xludf.DUMMYFUNCTION("""COMPUTED_VALUE"""),44561.5371045717)</f>
        <v>44561.5371</v>
      </c>
      <c r="D4213" s="15">
        <f>IFERROR(__xludf.DUMMYFUNCTION("""COMPUTED_VALUE"""),1.011)</f>
        <v>1.011</v>
      </c>
      <c r="E4213" s="16">
        <f>IFERROR(__xludf.DUMMYFUNCTION("""COMPUTED_VALUE"""),63.0)</f>
        <v>63</v>
      </c>
      <c r="F4213" s="19" t="str">
        <f>IFERROR(__xludf.DUMMYFUNCTION("""COMPUTED_VALUE"""),"BLACK")</f>
        <v>BLACK</v>
      </c>
      <c r="G4213" s="20" t="str">
        <f>IFERROR(__xludf.DUMMYFUNCTION("""COMPUTED_VALUE"""),"Uncle Sams Cider (11/12/2021) 02")</f>
        <v>Uncle Sams Cider (11/12/2021) 02</v>
      </c>
      <c r="H4213" s="19"/>
    </row>
    <row r="4214">
      <c r="A4214" s="9"/>
      <c r="B4214" s="15"/>
      <c r="C4214" s="9">
        <f>IFERROR(__xludf.DUMMYFUNCTION("""COMPUTED_VALUE"""),44561.526683125)</f>
        <v>44561.52668</v>
      </c>
      <c r="D4214" s="15">
        <f>IFERROR(__xludf.DUMMYFUNCTION("""COMPUTED_VALUE"""),1.011)</f>
        <v>1.011</v>
      </c>
      <c r="E4214" s="16">
        <f>IFERROR(__xludf.DUMMYFUNCTION("""COMPUTED_VALUE"""),63.0)</f>
        <v>63</v>
      </c>
      <c r="F4214" s="19" t="str">
        <f>IFERROR(__xludf.DUMMYFUNCTION("""COMPUTED_VALUE"""),"BLACK")</f>
        <v>BLACK</v>
      </c>
      <c r="G4214" s="20" t="str">
        <f>IFERROR(__xludf.DUMMYFUNCTION("""COMPUTED_VALUE"""),"Uncle Sams Cider (11/12/2021) 02")</f>
        <v>Uncle Sams Cider (11/12/2021) 02</v>
      </c>
      <c r="H4214" s="19"/>
    </row>
    <row r="4215">
      <c r="A4215" s="9"/>
      <c r="B4215" s="15"/>
      <c r="C4215" s="9">
        <f>IFERROR(__xludf.DUMMYFUNCTION("""COMPUTED_VALUE"""),44561.5162603935)</f>
        <v>44561.51626</v>
      </c>
      <c r="D4215" s="15">
        <f>IFERROR(__xludf.DUMMYFUNCTION("""COMPUTED_VALUE"""),1.011)</f>
        <v>1.011</v>
      </c>
      <c r="E4215" s="16">
        <f>IFERROR(__xludf.DUMMYFUNCTION("""COMPUTED_VALUE"""),63.0)</f>
        <v>63</v>
      </c>
      <c r="F4215" s="19" t="str">
        <f>IFERROR(__xludf.DUMMYFUNCTION("""COMPUTED_VALUE"""),"BLACK")</f>
        <v>BLACK</v>
      </c>
      <c r="G4215" s="20" t="str">
        <f>IFERROR(__xludf.DUMMYFUNCTION("""COMPUTED_VALUE"""),"Uncle Sams Cider (11/12/2021) 02")</f>
        <v>Uncle Sams Cider (11/12/2021) 02</v>
      </c>
      <c r="H4215" s="19"/>
    </row>
    <row r="4216">
      <c r="A4216" s="9"/>
      <c r="B4216" s="15"/>
      <c r="C4216" s="9">
        <f>IFERROR(__xludf.DUMMYFUNCTION("""COMPUTED_VALUE"""),44561.5058397222)</f>
        <v>44561.50584</v>
      </c>
      <c r="D4216" s="15">
        <f>IFERROR(__xludf.DUMMYFUNCTION("""COMPUTED_VALUE"""),1.011)</f>
        <v>1.011</v>
      </c>
      <c r="E4216" s="16">
        <f>IFERROR(__xludf.DUMMYFUNCTION("""COMPUTED_VALUE"""),63.0)</f>
        <v>63</v>
      </c>
      <c r="F4216" s="19" t="str">
        <f>IFERROR(__xludf.DUMMYFUNCTION("""COMPUTED_VALUE"""),"BLACK")</f>
        <v>BLACK</v>
      </c>
      <c r="G4216" s="20" t="str">
        <f>IFERROR(__xludf.DUMMYFUNCTION("""COMPUTED_VALUE"""),"Uncle Sams Cider (11/12/2021) 02")</f>
        <v>Uncle Sams Cider (11/12/2021) 02</v>
      </c>
      <c r="H4216" s="19"/>
    </row>
    <row r="4217">
      <c r="A4217" s="9"/>
      <c r="B4217" s="15"/>
      <c r="C4217" s="9">
        <f>IFERROR(__xludf.DUMMYFUNCTION("""COMPUTED_VALUE"""),44561.4954193981)</f>
        <v>44561.49542</v>
      </c>
      <c r="D4217" s="15">
        <f>IFERROR(__xludf.DUMMYFUNCTION("""COMPUTED_VALUE"""),1.012)</f>
        <v>1.012</v>
      </c>
      <c r="E4217" s="16">
        <f>IFERROR(__xludf.DUMMYFUNCTION("""COMPUTED_VALUE"""),63.0)</f>
        <v>63</v>
      </c>
      <c r="F4217" s="19" t="str">
        <f>IFERROR(__xludf.DUMMYFUNCTION("""COMPUTED_VALUE"""),"BLACK")</f>
        <v>BLACK</v>
      </c>
      <c r="G4217" s="20" t="str">
        <f>IFERROR(__xludf.DUMMYFUNCTION("""COMPUTED_VALUE"""),"Uncle Sams Cider (11/12/2021) 02")</f>
        <v>Uncle Sams Cider (11/12/2021) 02</v>
      </c>
      <c r="H4217" s="19"/>
    </row>
    <row r="4218">
      <c r="A4218" s="9"/>
      <c r="B4218" s="15"/>
      <c r="C4218" s="9">
        <f>IFERROR(__xludf.DUMMYFUNCTION("""COMPUTED_VALUE"""),44561.4849997337)</f>
        <v>44561.485</v>
      </c>
      <c r="D4218" s="15">
        <f>IFERROR(__xludf.DUMMYFUNCTION("""COMPUTED_VALUE"""),1.011)</f>
        <v>1.011</v>
      </c>
      <c r="E4218" s="16">
        <f>IFERROR(__xludf.DUMMYFUNCTION("""COMPUTED_VALUE"""),63.0)</f>
        <v>63</v>
      </c>
      <c r="F4218" s="19" t="str">
        <f>IFERROR(__xludf.DUMMYFUNCTION("""COMPUTED_VALUE"""),"BLACK")</f>
        <v>BLACK</v>
      </c>
      <c r="G4218" s="20" t="str">
        <f>IFERROR(__xludf.DUMMYFUNCTION("""COMPUTED_VALUE"""),"Uncle Sams Cider (11/12/2021) 02")</f>
        <v>Uncle Sams Cider (11/12/2021) 02</v>
      </c>
      <c r="H4218" s="19"/>
    </row>
    <row r="4219">
      <c r="A4219" s="9"/>
      <c r="B4219" s="15"/>
      <c r="C4219" s="9">
        <f>IFERROR(__xludf.DUMMYFUNCTION("""COMPUTED_VALUE"""),44561.4745655092)</f>
        <v>44561.47457</v>
      </c>
      <c r="D4219" s="15">
        <f>IFERROR(__xludf.DUMMYFUNCTION("""COMPUTED_VALUE"""),1.011)</f>
        <v>1.011</v>
      </c>
      <c r="E4219" s="16">
        <f>IFERROR(__xludf.DUMMYFUNCTION("""COMPUTED_VALUE"""),63.0)</f>
        <v>63</v>
      </c>
      <c r="F4219" s="19" t="str">
        <f>IFERROR(__xludf.DUMMYFUNCTION("""COMPUTED_VALUE"""),"BLACK")</f>
        <v>BLACK</v>
      </c>
      <c r="G4219" s="20" t="str">
        <f>IFERROR(__xludf.DUMMYFUNCTION("""COMPUTED_VALUE"""),"Uncle Sams Cider (11/12/2021) 02")</f>
        <v>Uncle Sams Cider (11/12/2021) 02</v>
      </c>
      <c r="H4219" s="19"/>
    </row>
    <row r="4220">
      <c r="A4220" s="9"/>
      <c r="B4220" s="15"/>
      <c r="C4220" s="9">
        <f>IFERROR(__xludf.DUMMYFUNCTION("""COMPUTED_VALUE"""),44561.4641455208)</f>
        <v>44561.46415</v>
      </c>
      <c r="D4220" s="15">
        <f>IFERROR(__xludf.DUMMYFUNCTION("""COMPUTED_VALUE"""),1.011)</f>
        <v>1.011</v>
      </c>
      <c r="E4220" s="16">
        <f>IFERROR(__xludf.DUMMYFUNCTION("""COMPUTED_VALUE"""),63.0)</f>
        <v>63</v>
      </c>
      <c r="F4220" s="19" t="str">
        <f>IFERROR(__xludf.DUMMYFUNCTION("""COMPUTED_VALUE"""),"BLACK")</f>
        <v>BLACK</v>
      </c>
      <c r="G4220" s="20" t="str">
        <f>IFERROR(__xludf.DUMMYFUNCTION("""COMPUTED_VALUE"""),"Uncle Sams Cider (11/12/2021) 02")</f>
        <v>Uncle Sams Cider (11/12/2021) 02</v>
      </c>
      <c r="H4220" s="19"/>
    </row>
    <row r="4221">
      <c r="A4221" s="9"/>
      <c r="B4221" s="15"/>
      <c r="C4221" s="9">
        <f>IFERROR(__xludf.DUMMYFUNCTION("""COMPUTED_VALUE"""),44561.4537256597)</f>
        <v>44561.45373</v>
      </c>
      <c r="D4221" s="15">
        <f>IFERROR(__xludf.DUMMYFUNCTION("""COMPUTED_VALUE"""),1.011)</f>
        <v>1.011</v>
      </c>
      <c r="E4221" s="16">
        <f>IFERROR(__xludf.DUMMYFUNCTION("""COMPUTED_VALUE"""),63.0)</f>
        <v>63</v>
      </c>
      <c r="F4221" s="19" t="str">
        <f>IFERROR(__xludf.DUMMYFUNCTION("""COMPUTED_VALUE"""),"BLACK")</f>
        <v>BLACK</v>
      </c>
      <c r="G4221" s="20" t="str">
        <f>IFERROR(__xludf.DUMMYFUNCTION("""COMPUTED_VALUE"""),"Uncle Sams Cider (11/12/2021) 02")</f>
        <v>Uncle Sams Cider (11/12/2021) 02</v>
      </c>
      <c r="H4221" s="19"/>
    </row>
    <row r="4222">
      <c r="A4222" s="9"/>
      <c r="B4222" s="15"/>
      <c r="C4222" s="9">
        <f>IFERROR(__xludf.DUMMYFUNCTION("""COMPUTED_VALUE"""),44561.4433023148)</f>
        <v>44561.4433</v>
      </c>
      <c r="D4222" s="15">
        <f>IFERROR(__xludf.DUMMYFUNCTION("""COMPUTED_VALUE"""),1.011)</f>
        <v>1.011</v>
      </c>
      <c r="E4222" s="16">
        <f>IFERROR(__xludf.DUMMYFUNCTION("""COMPUTED_VALUE"""),63.0)</f>
        <v>63</v>
      </c>
      <c r="F4222" s="19" t="str">
        <f>IFERROR(__xludf.DUMMYFUNCTION("""COMPUTED_VALUE"""),"BLACK")</f>
        <v>BLACK</v>
      </c>
      <c r="G4222" s="20" t="str">
        <f>IFERROR(__xludf.DUMMYFUNCTION("""COMPUTED_VALUE"""),"Uncle Sams Cider (11/12/2021) 02")</f>
        <v>Uncle Sams Cider (11/12/2021) 02</v>
      </c>
      <c r="H4222" s="19"/>
    </row>
    <row r="4223">
      <c r="A4223" s="9"/>
      <c r="B4223" s="15"/>
      <c r="C4223" s="9">
        <f>IFERROR(__xludf.DUMMYFUNCTION("""COMPUTED_VALUE"""),44561.4328703472)</f>
        <v>44561.43287</v>
      </c>
      <c r="D4223" s="15">
        <f>IFERROR(__xludf.DUMMYFUNCTION("""COMPUTED_VALUE"""),1.012)</f>
        <v>1.012</v>
      </c>
      <c r="E4223" s="16">
        <f>IFERROR(__xludf.DUMMYFUNCTION("""COMPUTED_VALUE"""),63.0)</f>
        <v>63</v>
      </c>
      <c r="F4223" s="19" t="str">
        <f>IFERROR(__xludf.DUMMYFUNCTION("""COMPUTED_VALUE"""),"BLACK")</f>
        <v>BLACK</v>
      </c>
      <c r="G4223" s="20" t="str">
        <f>IFERROR(__xludf.DUMMYFUNCTION("""COMPUTED_VALUE"""),"Uncle Sams Cider (11/12/2021) 02")</f>
        <v>Uncle Sams Cider (11/12/2021) 02</v>
      </c>
      <c r="H4223" s="19"/>
    </row>
    <row r="4224">
      <c r="A4224" s="9"/>
      <c r="B4224" s="15"/>
      <c r="C4224" s="9">
        <f>IFERROR(__xludf.DUMMYFUNCTION("""COMPUTED_VALUE"""),44561.4224489236)</f>
        <v>44561.42245</v>
      </c>
      <c r="D4224" s="15">
        <f>IFERROR(__xludf.DUMMYFUNCTION("""COMPUTED_VALUE"""),1.011)</f>
        <v>1.011</v>
      </c>
      <c r="E4224" s="16">
        <f>IFERROR(__xludf.DUMMYFUNCTION("""COMPUTED_VALUE"""),63.0)</f>
        <v>63</v>
      </c>
      <c r="F4224" s="19" t="str">
        <f>IFERROR(__xludf.DUMMYFUNCTION("""COMPUTED_VALUE"""),"BLACK")</f>
        <v>BLACK</v>
      </c>
      <c r="G4224" s="20" t="str">
        <f>IFERROR(__xludf.DUMMYFUNCTION("""COMPUTED_VALUE"""),"Uncle Sams Cider (11/12/2021) 02")</f>
        <v>Uncle Sams Cider (11/12/2021) 02</v>
      </c>
      <c r="H4224" s="19"/>
    </row>
    <row r="4225">
      <c r="A4225" s="9"/>
      <c r="B4225" s="15"/>
      <c r="C4225" s="9">
        <f>IFERROR(__xludf.DUMMYFUNCTION("""COMPUTED_VALUE"""),44561.4120261689)</f>
        <v>44561.41203</v>
      </c>
      <c r="D4225" s="15">
        <f>IFERROR(__xludf.DUMMYFUNCTION("""COMPUTED_VALUE"""),1.011)</f>
        <v>1.011</v>
      </c>
      <c r="E4225" s="16">
        <f>IFERROR(__xludf.DUMMYFUNCTION("""COMPUTED_VALUE"""),63.0)</f>
        <v>63</v>
      </c>
      <c r="F4225" s="19" t="str">
        <f>IFERROR(__xludf.DUMMYFUNCTION("""COMPUTED_VALUE"""),"BLACK")</f>
        <v>BLACK</v>
      </c>
      <c r="G4225" s="20" t="str">
        <f>IFERROR(__xludf.DUMMYFUNCTION("""COMPUTED_VALUE"""),"Uncle Sams Cider (11/12/2021) 02")</f>
        <v>Uncle Sams Cider (11/12/2021) 02</v>
      </c>
      <c r="H4225" s="19"/>
    </row>
    <row r="4226">
      <c r="A4226" s="9"/>
      <c r="B4226" s="15"/>
      <c r="C4226" s="9">
        <f>IFERROR(__xludf.DUMMYFUNCTION("""COMPUTED_VALUE"""),44561.3911711921)</f>
        <v>44561.39117</v>
      </c>
      <c r="D4226" s="15">
        <f>IFERROR(__xludf.DUMMYFUNCTION("""COMPUTED_VALUE"""),1.011)</f>
        <v>1.011</v>
      </c>
      <c r="E4226" s="16">
        <f>IFERROR(__xludf.DUMMYFUNCTION("""COMPUTED_VALUE"""),63.0)</f>
        <v>63</v>
      </c>
      <c r="F4226" s="19" t="str">
        <f>IFERROR(__xludf.DUMMYFUNCTION("""COMPUTED_VALUE"""),"BLACK")</f>
        <v>BLACK</v>
      </c>
      <c r="G4226" s="20" t="str">
        <f>IFERROR(__xludf.DUMMYFUNCTION("""COMPUTED_VALUE"""),"Uncle Sams Cider (11/12/2021) 02")</f>
        <v>Uncle Sams Cider (11/12/2021) 02</v>
      </c>
      <c r="H4226" s="19"/>
    </row>
    <row r="4227">
      <c r="A4227" s="9"/>
      <c r="B4227" s="15"/>
      <c r="C4227" s="9">
        <f>IFERROR(__xludf.DUMMYFUNCTION("""COMPUTED_VALUE"""),44561.3807494097)</f>
        <v>44561.38075</v>
      </c>
      <c r="D4227" s="15">
        <f>IFERROR(__xludf.DUMMYFUNCTION("""COMPUTED_VALUE"""),1.011)</f>
        <v>1.011</v>
      </c>
      <c r="E4227" s="16">
        <f>IFERROR(__xludf.DUMMYFUNCTION("""COMPUTED_VALUE"""),63.0)</f>
        <v>63</v>
      </c>
      <c r="F4227" s="19" t="str">
        <f>IFERROR(__xludf.DUMMYFUNCTION("""COMPUTED_VALUE"""),"BLACK")</f>
        <v>BLACK</v>
      </c>
      <c r="G4227" s="20" t="str">
        <f>IFERROR(__xludf.DUMMYFUNCTION("""COMPUTED_VALUE"""),"Uncle Sams Cider (11/12/2021) 02")</f>
        <v>Uncle Sams Cider (11/12/2021) 02</v>
      </c>
      <c r="H4227" s="19"/>
    </row>
    <row r="4228">
      <c r="A4228" s="9"/>
      <c r="B4228" s="15"/>
      <c r="C4228" s="9">
        <f>IFERROR(__xludf.DUMMYFUNCTION("""COMPUTED_VALUE"""),44561.3703166435)</f>
        <v>44561.37032</v>
      </c>
      <c r="D4228" s="15">
        <f>IFERROR(__xludf.DUMMYFUNCTION("""COMPUTED_VALUE"""),1.012)</f>
        <v>1.012</v>
      </c>
      <c r="E4228" s="16">
        <f>IFERROR(__xludf.DUMMYFUNCTION("""COMPUTED_VALUE"""),63.0)</f>
        <v>63</v>
      </c>
      <c r="F4228" s="19" t="str">
        <f>IFERROR(__xludf.DUMMYFUNCTION("""COMPUTED_VALUE"""),"BLACK")</f>
        <v>BLACK</v>
      </c>
      <c r="G4228" s="20" t="str">
        <f>IFERROR(__xludf.DUMMYFUNCTION("""COMPUTED_VALUE"""),"Uncle Sams Cider (11/12/2021) 02")</f>
        <v>Uncle Sams Cider (11/12/2021) 02</v>
      </c>
      <c r="H4228" s="19"/>
    </row>
    <row r="4229">
      <c r="A4229" s="9"/>
      <c r="B4229" s="15"/>
      <c r="C4229" s="9">
        <f>IFERROR(__xludf.DUMMYFUNCTION("""COMPUTED_VALUE"""),44561.359894699)</f>
        <v>44561.35989</v>
      </c>
      <c r="D4229" s="15">
        <f>IFERROR(__xludf.DUMMYFUNCTION("""COMPUTED_VALUE"""),1.011)</f>
        <v>1.011</v>
      </c>
      <c r="E4229" s="16">
        <f>IFERROR(__xludf.DUMMYFUNCTION("""COMPUTED_VALUE"""),63.0)</f>
        <v>63</v>
      </c>
      <c r="F4229" s="19" t="str">
        <f>IFERROR(__xludf.DUMMYFUNCTION("""COMPUTED_VALUE"""),"BLACK")</f>
        <v>BLACK</v>
      </c>
      <c r="G4229" s="20" t="str">
        <f>IFERROR(__xludf.DUMMYFUNCTION("""COMPUTED_VALUE"""),"Uncle Sams Cider (11/12/2021) 02")</f>
        <v>Uncle Sams Cider (11/12/2021) 02</v>
      </c>
      <c r="H4229" s="19"/>
    </row>
    <row r="4230">
      <c r="A4230" s="9"/>
      <c r="B4230" s="15"/>
      <c r="C4230" s="9">
        <f>IFERROR(__xludf.DUMMYFUNCTION("""COMPUTED_VALUE"""),44561.3494747222)</f>
        <v>44561.34947</v>
      </c>
      <c r="D4230" s="15">
        <f>IFERROR(__xludf.DUMMYFUNCTION("""COMPUTED_VALUE"""),1.011)</f>
        <v>1.011</v>
      </c>
      <c r="E4230" s="16">
        <f>IFERROR(__xludf.DUMMYFUNCTION("""COMPUTED_VALUE"""),63.0)</f>
        <v>63</v>
      </c>
      <c r="F4230" s="19" t="str">
        <f>IFERROR(__xludf.DUMMYFUNCTION("""COMPUTED_VALUE"""),"BLACK")</f>
        <v>BLACK</v>
      </c>
      <c r="G4230" s="20" t="str">
        <f>IFERROR(__xludf.DUMMYFUNCTION("""COMPUTED_VALUE"""),"Uncle Sams Cider (11/12/2021) 02")</f>
        <v>Uncle Sams Cider (11/12/2021) 02</v>
      </c>
      <c r="H4230" s="19"/>
    </row>
    <row r="4231">
      <c r="A4231" s="9"/>
      <c r="B4231" s="15"/>
      <c r="C4231" s="9">
        <f>IFERROR(__xludf.DUMMYFUNCTION("""COMPUTED_VALUE"""),44561.3390404513)</f>
        <v>44561.33904</v>
      </c>
      <c r="D4231" s="15">
        <f>IFERROR(__xludf.DUMMYFUNCTION("""COMPUTED_VALUE"""),1.012)</f>
        <v>1.012</v>
      </c>
      <c r="E4231" s="16">
        <f>IFERROR(__xludf.DUMMYFUNCTION("""COMPUTED_VALUE"""),63.0)</f>
        <v>63</v>
      </c>
      <c r="F4231" s="19" t="str">
        <f>IFERROR(__xludf.DUMMYFUNCTION("""COMPUTED_VALUE"""),"BLACK")</f>
        <v>BLACK</v>
      </c>
      <c r="G4231" s="20" t="str">
        <f>IFERROR(__xludf.DUMMYFUNCTION("""COMPUTED_VALUE"""),"Uncle Sams Cider (11/12/2021) 02")</f>
        <v>Uncle Sams Cider (11/12/2021) 02</v>
      </c>
      <c r="H4231" s="19"/>
    </row>
    <row r="4232">
      <c r="A4232" s="9"/>
      <c r="B4232" s="15"/>
      <c r="C4232" s="9">
        <f>IFERROR(__xludf.DUMMYFUNCTION("""COMPUTED_VALUE"""),44561.3285837037)</f>
        <v>44561.32858</v>
      </c>
      <c r="D4232" s="15">
        <f>IFERROR(__xludf.DUMMYFUNCTION("""COMPUTED_VALUE"""),1.011)</f>
        <v>1.011</v>
      </c>
      <c r="E4232" s="16">
        <f>IFERROR(__xludf.DUMMYFUNCTION("""COMPUTED_VALUE"""),63.0)</f>
        <v>63</v>
      </c>
      <c r="F4232" s="19" t="str">
        <f>IFERROR(__xludf.DUMMYFUNCTION("""COMPUTED_VALUE"""),"BLACK")</f>
        <v>BLACK</v>
      </c>
      <c r="G4232" s="20" t="str">
        <f>IFERROR(__xludf.DUMMYFUNCTION("""COMPUTED_VALUE"""),"Uncle Sams Cider (11/12/2021) 02")</f>
        <v>Uncle Sams Cider (11/12/2021) 02</v>
      </c>
      <c r="H4232" s="19"/>
    </row>
    <row r="4233">
      <c r="A4233" s="9"/>
      <c r="B4233" s="15"/>
      <c r="C4233" s="9">
        <f>IFERROR(__xludf.DUMMYFUNCTION("""COMPUTED_VALUE"""),44561.3181618171)</f>
        <v>44561.31816</v>
      </c>
      <c r="D4233" s="15">
        <f>IFERROR(__xludf.DUMMYFUNCTION("""COMPUTED_VALUE"""),1.011)</f>
        <v>1.011</v>
      </c>
      <c r="E4233" s="16">
        <f>IFERROR(__xludf.DUMMYFUNCTION("""COMPUTED_VALUE"""),63.0)</f>
        <v>63</v>
      </c>
      <c r="F4233" s="19" t="str">
        <f>IFERROR(__xludf.DUMMYFUNCTION("""COMPUTED_VALUE"""),"BLACK")</f>
        <v>BLACK</v>
      </c>
      <c r="G4233" s="20" t="str">
        <f>IFERROR(__xludf.DUMMYFUNCTION("""COMPUTED_VALUE"""),"Uncle Sams Cider (11/12/2021) 02")</f>
        <v>Uncle Sams Cider (11/12/2021) 02</v>
      </c>
      <c r="H4233" s="19"/>
    </row>
    <row r="4234">
      <c r="A4234" s="9"/>
      <c r="B4234" s="15"/>
      <c r="C4234" s="9">
        <f>IFERROR(__xludf.DUMMYFUNCTION("""COMPUTED_VALUE"""),44561.3077386574)</f>
        <v>44561.30774</v>
      </c>
      <c r="D4234" s="15">
        <f>IFERROR(__xludf.DUMMYFUNCTION("""COMPUTED_VALUE"""),1.012)</f>
        <v>1.012</v>
      </c>
      <c r="E4234" s="16">
        <f>IFERROR(__xludf.DUMMYFUNCTION("""COMPUTED_VALUE"""),63.0)</f>
        <v>63</v>
      </c>
      <c r="F4234" s="19" t="str">
        <f>IFERROR(__xludf.DUMMYFUNCTION("""COMPUTED_VALUE"""),"BLACK")</f>
        <v>BLACK</v>
      </c>
      <c r="G4234" s="20" t="str">
        <f>IFERROR(__xludf.DUMMYFUNCTION("""COMPUTED_VALUE"""),"Uncle Sams Cider (11/12/2021) 02")</f>
        <v>Uncle Sams Cider (11/12/2021) 02</v>
      </c>
      <c r="H4234" s="19"/>
    </row>
    <row r="4235">
      <c r="A4235" s="9"/>
      <c r="B4235" s="15"/>
      <c r="C4235" s="9">
        <f>IFERROR(__xludf.DUMMYFUNCTION("""COMPUTED_VALUE"""),44561.2973168865)</f>
        <v>44561.29732</v>
      </c>
      <c r="D4235" s="15">
        <f>IFERROR(__xludf.DUMMYFUNCTION("""COMPUTED_VALUE"""),1.011)</f>
        <v>1.011</v>
      </c>
      <c r="E4235" s="16">
        <f>IFERROR(__xludf.DUMMYFUNCTION("""COMPUTED_VALUE"""),63.0)</f>
        <v>63</v>
      </c>
      <c r="F4235" s="19" t="str">
        <f>IFERROR(__xludf.DUMMYFUNCTION("""COMPUTED_VALUE"""),"BLACK")</f>
        <v>BLACK</v>
      </c>
      <c r="G4235" s="20" t="str">
        <f>IFERROR(__xludf.DUMMYFUNCTION("""COMPUTED_VALUE"""),"Uncle Sams Cider (11/12/2021) 02")</f>
        <v>Uncle Sams Cider (11/12/2021) 02</v>
      </c>
      <c r="H4235" s="19"/>
    </row>
    <row r="4236">
      <c r="A4236" s="9"/>
      <c r="B4236" s="15"/>
      <c r="C4236" s="9">
        <f>IFERROR(__xludf.DUMMYFUNCTION("""COMPUTED_VALUE"""),44561.2868959837)</f>
        <v>44561.2869</v>
      </c>
      <c r="D4236" s="15">
        <f>IFERROR(__xludf.DUMMYFUNCTION("""COMPUTED_VALUE"""),1.012)</f>
        <v>1.012</v>
      </c>
      <c r="E4236" s="16">
        <f>IFERROR(__xludf.DUMMYFUNCTION("""COMPUTED_VALUE"""),63.0)</f>
        <v>63</v>
      </c>
      <c r="F4236" s="19" t="str">
        <f>IFERROR(__xludf.DUMMYFUNCTION("""COMPUTED_VALUE"""),"BLACK")</f>
        <v>BLACK</v>
      </c>
      <c r="G4236" s="20" t="str">
        <f>IFERROR(__xludf.DUMMYFUNCTION("""COMPUTED_VALUE"""),"Uncle Sams Cider (11/12/2021) 02")</f>
        <v>Uncle Sams Cider (11/12/2021) 02</v>
      </c>
      <c r="H4236" s="19"/>
    </row>
    <row r="4237">
      <c r="A4237" s="9"/>
      <c r="B4237" s="15"/>
      <c r="C4237" s="9">
        <f>IFERROR(__xludf.DUMMYFUNCTION("""COMPUTED_VALUE"""),44561.2764535069)</f>
        <v>44561.27645</v>
      </c>
      <c r="D4237" s="15">
        <f>IFERROR(__xludf.DUMMYFUNCTION("""COMPUTED_VALUE"""),1.012)</f>
        <v>1.012</v>
      </c>
      <c r="E4237" s="16">
        <f>IFERROR(__xludf.DUMMYFUNCTION("""COMPUTED_VALUE"""),63.0)</f>
        <v>63</v>
      </c>
      <c r="F4237" s="19" t="str">
        <f>IFERROR(__xludf.DUMMYFUNCTION("""COMPUTED_VALUE"""),"BLACK")</f>
        <v>BLACK</v>
      </c>
      <c r="G4237" s="20" t="str">
        <f>IFERROR(__xludf.DUMMYFUNCTION("""COMPUTED_VALUE"""),"Uncle Sams Cider (11/12/2021) 02")</f>
        <v>Uncle Sams Cider (11/12/2021) 02</v>
      </c>
      <c r="H4237" s="19"/>
    </row>
    <row r="4238">
      <c r="A4238" s="9"/>
      <c r="B4238" s="15"/>
      <c r="C4238" s="9">
        <f>IFERROR(__xludf.DUMMYFUNCTION("""COMPUTED_VALUE"""),44561.2660335763)</f>
        <v>44561.26603</v>
      </c>
      <c r="D4238" s="15">
        <f>IFERROR(__xludf.DUMMYFUNCTION("""COMPUTED_VALUE"""),1.012)</f>
        <v>1.012</v>
      </c>
      <c r="E4238" s="16">
        <f>IFERROR(__xludf.DUMMYFUNCTION("""COMPUTED_VALUE"""),63.0)</f>
        <v>63</v>
      </c>
      <c r="F4238" s="19" t="str">
        <f>IFERROR(__xludf.DUMMYFUNCTION("""COMPUTED_VALUE"""),"BLACK")</f>
        <v>BLACK</v>
      </c>
      <c r="G4238" s="20" t="str">
        <f>IFERROR(__xludf.DUMMYFUNCTION("""COMPUTED_VALUE"""),"Uncle Sams Cider (11/12/2021) 02")</f>
        <v>Uncle Sams Cider (11/12/2021) 02</v>
      </c>
      <c r="H4238" s="19"/>
    </row>
    <row r="4239">
      <c r="A4239" s="9"/>
      <c r="B4239" s="15"/>
      <c r="C4239" s="9">
        <f>IFERROR(__xludf.DUMMYFUNCTION("""COMPUTED_VALUE"""),44561.2556106481)</f>
        <v>44561.25561</v>
      </c>
      <c r="D4239" s="15">
        <f>IFERROR(__xludf.DUMMYFUNCTION("""COMPUTED_VALUE"""),1.011)</f>
        <v>1.011</v>
      </c>
      <c r="E4239" s="16">
        <f>IFERROR(__xludf.DUMMYFUNCTION("""COMPUTED_VALUE"""),63.0)</f>
        <v>63</v>
      </c>
      <c r="F4239" s="19" t="str">
        <f>IFERROR(__xludf.DUMMYFUNCTION("""COMPUTED_VALUE"""),"BLACK")</f>
        <v>BLACK</v>
      </c>
      <c r="G4239" s="20" t="str">
        <f>IFERROR(__xludf.DUMMYFUNCTION("""COMPUTED_VALUE"""),"Uncle Sams Cider (11/12/2021) 02")</f>
        <v>Uncle Sams Cider (11/12/2021) 02</v>
      </c>
      <c r="H4239" s="19"/>
    </row>
    <row r="4240">
      <c r="A4240" s="9"/>
      <c r="B4240" s="15"/>
      <c r="C4240" s="9">
        <f>IFERROR(__xludf.DUMMYFUNCTION("""COMPUTED_VALUE"""),44561.2451895949)</f>
        <v>44561.24519</v>
      </c>
      <c r="D4240" s="15">
        <f>IFERROR(__xludf.DUMMYFUNCTION("""COMPUTED_VALUE"""),1.012)</f>
        <v>1.012</v>
      </c>
      <c r="E4240" s="16">
        <f>IFERROR(__xludf.DUMMYFUNCTION("""COMPUTED_VALUE"""),63.0)</f>
        <v>63</v>
      </c>
      <c r="F4240" s="19" t="str">
        <f>IFERROR(__xludf.DUMMYFUNCTION("""COMPUTED_VALUE"""),"BLACK")</f>
        <v>BLACK</v>
      </c>
      <c r="G4240" s="20" t="str">
        <f>IFERROR(__xludf.DUMMYFUNCTION("""COMPUTED_VALUE"""),"Uncle Sams Cider (11/12/2021) 02")</f>
        <v>Uncle Sams Cider (11/12/2021) 02</v>
      </c>
      <c r="H4240" s="19"/>
    </row>
    <row r="4241">
      <c r="A4241" s="9"/>
      <c r="B4241" s="15"/>
      <c r="C4241" s="9">
        <f>IFERROR(__xludf.DUMMYFUNCTION("""COMPUTED_VALUE"""),44561.2347686805)</f>
        <v>44561.23477</v>
      </c>
      <c r="D4241" s="15">
        <f>IFERROR(__xludf.DUMMYFUNCTION("""COMPUTED_VALUE"""),1.012)</f>
        <v>1.012</v>
      </c>
      <c r="E4241" s="16">
        <f>IFERROR(__xludf.DUMMYFUNCTION("""COMPUTED_VALUE"""),63.0)</f>
        <v>63</v>
      </c>
      <c r="F4241" s="19" t="str">
        <f>IFERROR(__xludf.DUMMYFUNCTION("""COMPUTED_VALUE"""),"BLACK")</f>
        <v>BLACK</v>
      </c>
      <c r="G4241" s="20" t="str">
        <f>IFERROR(__xludf.DUMMYFUNCTION("""COMPUTED_VALUE"""),"Uncle Sams Cider (11/12/2021) 02")</f>
        <v>Uncle Sams Cider (11/12/2021) 02</v>
      </c>
      <c r="H4241" s="19"/>
    </row>
    <row r="4242">
      <c r="A4242" s="9"/>
      <c r="B4242" s="15"/>
      <c r="C4242" s="9">
        <f>IFERROR(__xludf.DUMMYFUNCTION("""COMPUTED_VALUE"""),44561.2243471064)</f>
        <v>44561.22435</v>
      </c>
      <c r="D4242" s="15">
        <f>IFERROR(__xludf.DUMMYFUNCTION("""COMPUTED_VALUE"""),1.012)</f>
        <v>1.012</v>
      </c>
      <c r="E4242" s="16">
        <f>IFERROR(__xludf.DUMMYFUNCTION("""COMPUTED_VALUE"""),63.0)</f>
        <v>63</v>
      </c>
      <c r="F4242" s="19" t="str">
        <f>IFERROR(__xludf.DUMMYFUNCTION("""COMPUTED_VALUE"""),"BLACK")</f>
        <v>BLACK</v>
      </c>
      <c r="G4242" s="20" t="str">
        <f>IFERROR(__xludf.DUMMYFUNCTION("""COMPUTED_VALUE"""),"Uncle Sams Cider (11/12/2021) 02")</f>
        <v>Uncle Sams Cider (11/12/2021) 02</v>
      </c>
      <c r="H4242" s="19"/>
    </row>
    <row r="4243">
      <c r="A4243" s="9"/>
      <c r="B4243" s="15"/>
      <c r="C4243" s="9">
        <f>IFERROR(__xludf.DUMMYFUNCTION("""COMPUTED_VALUE"""),44561.2139268055)</f>
        <v>44561.21393</v>
      </c>
      <c r="D4243" s="15">
        <f>IFERROR(__xludf.DUMMYFUNCTION("""COMPUTED_VALUE"""),1.012)</f>
        <v>1.012</v>
      </c>
      <c r="E4243" s="16">
        <f>IFERROR(__xludf.DUMMYFUNCTION("""COMPUTED_VALUE"""),63.0)</f>
        <v>63</v>
      </c>
      <c r="F4243" s="19" t="str">
        <f>IFERROR(__xludf.DUMMYFUNCTION("""COMPUTED_VALUE"""),"BLACK")</f>
        <v>BLACK</v>
      </c>
      <c r="G4243" s="20" t="str">
        <f>IFERROR(__xludf.DUMMYFUNCTION("""COMPUTED_VALUE"""),"Uncle Sams Cider (11/12/2021) 02")</f>
        <v>Uncle Sams Cider (11/12/2021) 02</v>
      </c>
      <c r="H4243" s="19"/>
    </row>
    <row r="4244">
      <c r="A4244" s="9"/>
      <c r="B4244" s="15"/>
      <c r="C4244" s="9">
        <f>IFERROR(__xludf.DUMMYFUNCTION("""COMPUTED_VALUE"""),44561.2035066782)</f>
        <v>44561.20351</v>
      </c>
      <c r="D4244" s="15">
        <f>IFERROR(__xludf.DUMMYFUNCTION("""COMPUTED_VALUE"""),1.012)</f>
        <v>1.012</v>
      </c>
      <c r="E4244" s="16">
        <f>IFERROR(__xludf.DUMMYFUNCTION("""COMPUTED_VALUE"""),63.0)</f>
        <v>63</v>
      </c>
      <c r="F4244" s="19" t="str">
        <f>IFERROR(__xludf.DUMMYFUNCTION("""COMPUTED_VALUE"""),"BLACK")</f>
        <v>BLACK</v>
      </c>
      <c r="G4244" s="20" t="str">
        <f>IFERROR(__xludf.DUMMYFUNCTION("""COMPUTED_VALUE"""),"Uncle Sams Cider (11/12/2021) 02")</f>
        <v>Uncle Sams Cider (11/12/2021) 02</v>
      </c>
      <c r="H4244" s="19"/>
    </row>
    <row r="4245">
      <c r="A4245" s="9"/>
      <c r="B4245" s="15"/>
      <c r="C4245" s="9">
        <f>IFERROR(__xludf.DUMMYFUNCTION("""COMPUTED_VALUE"""),44561.1930831828)</f>
        <v>44561.19308</v>
      </c>
      <c r="D4245" s="15">
        <f>IFERROR(__xludf.DUMMYFUNCTION("""COMPUTED_VALUE"""),1.012)</f>
        <v>1.012</v>
      </c>
      <c r="E4245" s="16">
        <f>IFERROR(__xludf.DUMMYFUNCTION("""COMPUTED_VALUE"""),63.0)</f>
        <v>63</v>
      </c>
      <c r="F4245" s="19" t="str">
        <f>IFERROR(__xludf.DUMMYFUNCTION("""COMPUTED_VALUE"""),"BLACK")</f>
        <v>BLACK</v>
      </c>
      <c r="G4245" s="20" t="str">
        <f>IFERROR(__xludf.DUMMYFUNCTION("""COMPUTED_VALUE"""),"Uncle Sams Cider (11/12/2021) 02")</f>
        <v>Uncle Sams Cider (11/12/2021) 02</v>
      </c>
      <c r="H4245" s="19"/>
    </row>
    <row r="4246">
      <c r="A4246" s="9"/>
      <c r="B4246" s="15"/>
      <c r="C4246" s="9">
        <f>IFERROR(__xludf.DUMMYFUNCTION("""COMPUTED_VALUE"""),44561.1826515393)</f>
        <v>44561.18265</v>
      </c>
      <c r="D4246" s="15">
        <f>IFERROR(__xludf.DUMMYFUNCTION("""COMPUTED_VALUE"""),1.012)</f>
        <v>1.012</v>
      </c>
      <c r="E4246" s="16">
        <f>IFERROR(__xludf.DUMMYFUNCTION("""COMPUTED_VALUE"""),63.0)</f>
        <v>63</v>
      </c>
      <c r="F4246" s="19" t="str">
        <f>IFERROR(__xludf.DUMMYFUNCTION("""COMPUTED_VALUE"""),"BLACK")</f>
        <v>BLACK</v>
      </c>
      <c r="G4246" s="20" t="str">
        <f>IFERROR(__xludf.DUMMYFUNCTION("""COMPUTED_VALUE"""),"Uncle Sams Cider (11/12/2021) 02")</f>
        <v>Uncle Sams Cider (11/12/2021) 02</v>
      </c>
      <c r="H4246" s="19"/>
    </row>
    <row r="4247">
      <c r="A4247" s="9"/>
      <c r="B4247" s="15"/>
      <c r="C4247" s="9">
        <f>IFERROR(__xludf.DUMMYFUNCTION("""COMPUTED_VALUE"""),44561.1722306249)</f>
        <v>44561.17223</v>
      </c>
      <c r="D4247" s="15">
        <f>IFERROR(__xludf.DUMMYFUNCTION("""COMPUTED_VALUE"""),1.011)</f>
        <v>1.011</v>
      </c>
      <c r="E4247" s="16">
        <f>IFERROR(__xludf.DUMMYFUNCTION("""COMPUTED_VALUE"""),63.0)</f>
        <v>63</v>
      </c>
      <c r="F4247" s="19" t="str">
        <f>IFERROR(__xludf.DUMMYFUNCTION("""COMPUTED_VALUE"""),"BLACK")</f>
        <v>BLACK</v>
      </c>
      <c r="G4247" s="20" t="str">
        <f>IFERROR(__xludf.DUMMYFUNCTION("""COMPUTED_VALUE"""),"Uncle Sams Cider (11/12/2021) 02")</f>
        <v>Uncle Sams Cider (11/12/2021) 02</v>
      </c>
      <c r="H4247" s="19"/>
    </row>
    <row r="4248">
      <c r="A4248" s="9"/>
      <c r="B4248" s="15"/>
      <c r="C4248" s="9">
        <f>IFERROR(__xludf.DUMMYFUNCTION("""COMPUTED_VALUE"""),44561.1618096874)</f>
        <v>44561.16181</v>
      </c>
      <c r="D4248" s="15">
        <f>IFERROR(__xludf.DUMMYFUNCTION("""COMPUTED_VALUE"""),1.012)</f>
        <v>1.012</v>
      </c>
      <c r="E4248" s="16">
        <f>IFERROR(__xludf.DUMMYFUNCTION("""COMPUTED_VALUE"""),63.0)</f>
        <v>63</v>
      </c>
      <c r="F4248" s="19" t="str">
        <f>IFERROR(__xludf.DUMMYFUNCTION("""COMPUTED_VALUE"""),"BLACK")</f>
        <v>BLACK</v>
      </c>
      <c r="G4248" s="20" t="str">
        <f>IFERROR(__xludf.DUMMYFUNCTION("""COMPUTED_VALUE"""),"Uncle Sams Cider (11/12/2021) 02")</f>
        <v>Uncle Sams Cider (11/12/2021) 02</v>
      </c>
      <c r="H4248" s="19"/>
    </row>
    <row r="4249">
      <c r="A4249" s="9"/>
      <c r="B4249" s="15"/>
      <c r="C4249" s="9">
        <f>IFERROR(__xludf.DUMMYFUNCTION("""COMPUTED_VALUE"""),44561.1513777546)</f>
        <v>44561.15138</v>
      </c>
      <c r="D4249" s="15">
        <f>IFERROR(__xludf.DUMMYFUNCTION("""COMPUTED_VALUE"""),1.012)</f>
        <v>1.012</v>
      </c>
      <c r="E4249" s="16">
        <f>IFERROR(__xludf.DUMMYFUNCTION("""COMPUTED_VALUE"""),63.0)</f>
        <v>63</v>
      </c>
      <c r="F4249" s="19" t="str">
        <f>IFERROR(__xludf.DUMMYFUNCTION("""COMPUTED_VALUE"""),"BLACK")</f>
        <v>BLACK</v>
      </c>
      <c r="G4249" s="20" t="str">
        <f>IFERROR(__xludf.DUMMYFUNCTION("""COMPUTED_VALUE"""),"Uncle Sams Cider (11/12/2021) 02")</f>
        <v>Uncle Sams Cider (11/12/2021) 02</v>
      </c>
      <c r="H4249" s="19"/>
    </row>
    <row r="4250">
      <c r="A4250" s="9"/>
      <c r="B4250" s="15"/>
      <c r="C4250" s="9">
        <f>IFERROR(__xludf.DUMMYFUNCTION("""COMPUTED_VALUE"""),44561.1409570949)</f>
        <v>44561.14096</v>
      </c>
      <c r="D4250" s="15">
        <f>IFERROR(__xludf.DUMMYFUNCTION("""COMPUTED_VALUE"""),1.012)</f>
        <v>1.012</v>
      </c>
      <c r="E4250" s="16">
        <f>IFERROR(__xludf.DUMMYFUNCTION("""COMPUTED_VALUE"""),63.0)</f>
        <v>63</v>
      </c>
      <c r="F4250" s="19" t="str">
        <f>IFERROR(__xludf.DUMMYFUNCTION("""COMPUTED_VALUE"""),"BLACK")</f>
        <v>BLACK</v>
      </c>
      <c r="G4250" s="20" t="str">
        <f>IFERROR(__xludf.DUMMYFUNCTION("""COMPUTED_VALUE"""),"Uncle Sams Cider (11/12/2021) 02")</f>
        <v>Uncle Sams Cider (11/12/2021) 02</v>
      </c>
      <c r="H4250" s="19"/>
    </row>
    <row r="4251">
      <c r="A4251" s="9"/>
      <c r="B4251" s="15"/>
      <c r="C4251" s="9">
        <f>IFERROR(__xludf.DUMMYFUNCTION("""COMPUTED_VALUE"""),44561.1305355439)</f>
        <v>44561.13054</v>
      </c>
      <c r="D4251" s="15">
        <f>IFERROR(__xludf.DUMMYFUNCTION("""COMPUTED_VALUE"""),1.012)</f>
        <v>1.012</v>
      </c>
      <c r="E4251" s="16">
        <f>IFERROR(__xludf.DUMMYFUNCTION("""COMPUTED_VALUE"""),63.0)</f>
        <v>63</v>
      </c>
      <c r="F4251" s="19" t="str">
        <f>IFERROR(__xludf.DUMMYFUNCTION("""COMPUTED_VALUE"""),"BLACK")</f>
        <v>BLACK</v>
      </c>
      <c r="G4251" s="20" t="str">
        <f>IFERROR(__xludf.DUMMYFUNCTION("""COMPUTED_VALUE"""),"Uncle Sams Cider (11/12/2021) 02")</f>
        <v>Uncle Sams Cider (11/12/2021) 02</v>
      </c>
      <c r="H4251" s="19"/>
    </row>
    <row r="4252">
      <c r="A4252" s="9"/>
      <c r="B4252" s="15"/>
      <c r="C4252" s="9">
        <f>IFERROR(__xludf.DUMMYFUNCTION("""COMPUTED_VALUE"""),44561.1201146296)</f>
        <v>44561.12011</v>
      </c>
      <c r="D4252" s="15">
        <f>IFERROR(__xludf.DUMMYFUNCTION("""COMPUTED_VALUE"""),1.012)</f>
        <v>1.012</v>
      </c>
      <c r="E4252" s="16">
        <f>IFERROR(__xludf.DUMMYFUNCTION("""COMPUTED_VALUE"""),63.0)</f>
        <v>63</v>
      </c>
      <c r="F4252" s="19" t="str">
        <f>IFERROR(__xludf.DUMMYFUNCTION("""COMPUTED_VALUE"""),"BLACK")</f>
        <v>BLACK</v>
      </c>
      <c r="G4252" s="20" t="str">
        <f>IFERROR(__xludf.DUMMYFUNCTION("""COMPUTED_VALUE"""),"Uncle Sams Cider (11/12/2021) 02")</f>
        <v>Uncle Sams Cider (11/12/2021) 02</v>
      </c>
      <c r="H4252" s="19"/>
    </row>
    <row r="4253">
      <c r="A4253" s="9"/>
      <c r="B4253" s="15"/>
      <c r="C4253" s="9">
        <f>IFERROR(__xludf.DUMMYFUNCTION("""COMPUTED_VALUE"""),44561.1096931597)</f>
        <v>44561.10969</v>
      </c>
      <c r="D4253" s="15">
        <f>IFERROR(__xludf.DUMMYFUNCTION("""COMPUTED_VALUE"""),1.012)</f>
        <v>1.012</v>
      </c>
      <c r="E4253" s="16">
        <f>IFERROR(__xludf.DUMMYFUNCTION("""COMPUTED_VALUE"""),63.0)</f>
        <v>63</v>
      </c>
      <c r="F4253" s="19" t="str">
        <f>IFERROR(__xludf.DUMMYFUNCTION("""COMPUTED_VALUE"""),"BLACK")</f>
        <v>BLACK</v>
      </c>
      <c r="G4253" s="20" t="str">
        <f>IFERROR(__xludf.DUMMYFUNCTION("""COMPUTED_VALUE"""),"Uncle Sams Cider (11/12/2021) 02")</f>
        <v>Uncle Sams Cider (11/12/2021) 02</v>
      </c>
      <c r="H4253" s="19"/>
    </row>
    <row r="4254">
      <c r="A4254" s="9"/>
      <c r="B4254" s="15"/>
      <c r="C4254" s="9">
        <f>IFERROR(__xludf.DUMMYFUNCTION("""COMPUTED_VALUE"""),44561.099259456)</f>
        <v>44561.09926</v>
      </c>
      <c r="D4254" s="15">
        <f>IFERROR(__xludf.DUMMYFUNCTION("""COMPUTED_VALUE"""),1.012)</f>
        <v>1.012</v>
      </c>
      <c r="E4254" s="16">
        <f>IFERROR(__xludf.DUMMYFUNCTION("""COMPUTED_VALUE"""),63.0)</f>
        <v>63</v>
      </c>
      <c r="F4254" s="19" t="str">
        <f>IFERROR(__xludf.DUMMYFUNCTION("""COMPUTED_VALUE"""),"BLACK")</f>
        <v>BLACK</v>
      </c>
      <c r="G4254" s="20" t="str">
        <f>IFERROR(__xludf.DUMMYFUNCTION("""COMPUTED_VALUE"""),"Uncle Sams Cider (11/12/2021) 02")</f>
        <v>Uncle Sams Cider (11/12/2021) 02</v>
      </c>
      <c r="H4254" s="19"/>
    </row>
    <row r="4255">
      <c r="A4255" s="9"/>
      <c r="B4255" s="15"/>
      <c r="C4255" s="9">
        <f>IFERROR(__xludf.DUMMYFUNCTION("""COMPUTED_VALUE"""),44561.0888376157)</f>
        <v>44561.08884</v>
      </c>
      <c r="D4255" s="15">
        <f>IFERROR(__xludf.DUMMYFUNCTION("""COMPUTED_VALUE"""),1.012)</f>
        <v>1.012</v>
      </c>
      <c r="E4255" s="16">
        <f>IFERROR(__xludf.DUMMYFUNCTION("""COMPUTED_VALUE"""),63.0)</f>
        <v>63</v>
      </c>
      <c r="F4255" s="19" t="str">
        <f>IFERROR(__xludf.DUMMYFUNCTION("""COMPUTED_VALUE"""),"BLACK")</f>
        <v>BLACK</v>
      </c>
      <c r="G4255" s="20" t="str">
        <f>IFERROR(__xludf.DUMMYFUNCTION("""COMPUTED_VALUE"""),"Uncle Sams Cider (11/12/2021) 02")</f>
        <v>Uncle Sams Cider (11/12/2021) 02</v>
      </c>
      <c r="H4255" s="19"/>
    </row>
    <row r="4256">
      <c r="A4256" s="9"/>
      <c r="B4256" s="15"/>
      <c r="C4256" s="9">
        <f>IFERROR(__xludf.DUMMYFUNCTION("""COMPUTED_VALUE"""),44561.0784043518)</f>
        <v>44561.0784</v>
      </c>
      <c r="D4256" s="15">
        <f>IFERROR(__xludf.DUMMYFUNCTION("""COMPUTED_VALUE"""),1.012)</f>
        <v>1.012</v>
      </c>
      <c r="E4256" s="16">
        <f>IFERROR(__xludf.DUMMYFUNCTION("""COMPUTED_VALUE"""),63.0)</f>
        <v>63</v>
      </c>
      <c r="F4256" s="19" t="str">
        <f>IFERROR(__xludf.DUMMYFUNCTION("""COMPUTED_VALUE"""),"BLACK")</f>
        <v>BLACK</v>
      </c>
      <c r="G4256" s="20" t="str">
        <f>IFERROR(__xludf.DUMMYFUNCTION("""COMPUTED_VALUE"""),"Uncle Sams Cider (11/12/2021) 02")</f>
        <v>Uncle Sams Cider (11/12/2021) 02</v>
      </c>
      <c r="H4256" s="19"/>
    </row>
    <row r="4257">
      <c r="A4257" s="9"/>
      <c r="B4257" s="15"/>
      <c r="C4257" s="9">
        <f>IFERROR(__xludf.DUMMYFUNCTION("""COMPUTED_VALUE"""),44561.0679850694)</f>
        <v>44561.06799</v>
      </c>
      <c r="D4257" s="15">
        <f>IFERROR(__xludf.DUMMYFUNCTION("""COMPUTED_VALUE"""),1.012)</f>
        <v>1.012</v>
      </c>
      <c r="E4257" s="16">
        <f>IFERROR(__xludf.DUMMYFUNCTION("""COMPUTED_VALUE"""),63.0)</f>
        <v>63</v>
      </c>
      <c r="F4257" s="19" t="str">
        <f>IFERROR(__xludf.DUMMYFUNCTION("""COMPUTED_VALUE"""),"BLACK")</f>
        <v>BLACK</v>
      </c>
      <c r="G4257" s="20" t="str">
        <f>IFERROR(__xludf.DUMMYFUNCTION("""COMPUTED_VALUE"""),"Uncle Sams Cider (11/12/2021) 02")</f>
        <v>Uncle Sams Cider (11/12/2021) 02</v>
      </c>
      <c r="H4257" s="19"/>
    </row>
    <row r="4258">
      <c r="A4258" s="9"/>
      <c r="B4258" s="15"/>
      <c r="C4258" s="9">
        <f>IFERROR(__xludf.DUMMYFUNCTION("""COMPUTED_VALUE"""),44561.0575645717)</f>
        <v>44561.05756</v>
      </c>
      <c r="D4258" s="15">
        <f>IFERROR(__xludf.DUMMYFUNCTION("""COMPUTED_VALUE"""),1.012)</f>
        <v>1.012</v>
      </c>
      <c r="E4258" s="16">
        <f>IFERROR(__xludf.DUMMYFUNCTION("""COMPUTED_VALUE"""),63.0)</f>
        <v>63</v>
      </c>
      <c r="F4258" s="19" t="str">
        <f>IFERROR(__xludf.DUMMYFUNCTION("""COMPUTED_VALUE"""),"BLACK")</f>
        <v>BLACK</v>
      </c>
      <c r="G4258" s="20" t="str">
        <f>IFERROR(__xludf.DUMMYFUNCTION("""COMPUTED_VALUE"""),"Uncle Sams Cider (11/12/2021) 02")</f>
        <v>Uncle Sams Cider (11/12/2021) 02</v>
      </c>
      <c r="H4258" s="19"/>
    </row>
    <row r="4259">
      <c r="A4259" s="9"/>
      <c r="B4259" s="15"/>
      <c r="C4259" s="9">
        <f>IFERROR(__xludf.DUMMYFUNCTION("""COMPUTED_VALUE"""),44561.0471442013)</f>
        <v>44561.04714</v>
      </c>
      <c r="D4259" s="15">
        <f>IFERROR(__xludf.DUMMYFUNCTION("""COMPUTED_VALUE"""),1.012)</f>
        <v>1.012</v>
      </c>
      <c r="E4259" s="16">
        <f>IFERROR(__xludf.DUMMYFUNCTION("""COMPUTED_VALUE"""),63.0)</f>
        <v>63</v>
      </c>
      <c r="F4259" s="19" t="str">
        <f>IFERROR(__xludf.DUMMYFUNCTION("""COMPUTED_VALUE"""),"BLACK")</f>
        <v>BLACK</v>
      </c>
      <c r="G4259" s="20" t="str">
        <f>IFERROR(__xludf.DUMMYFUNCTION("""COMPUTED_VALUE"""),"Uncle Sams Cider (11/12/2021) 02")</f>
        <v>Uncle Sams Cider (11/12/2021) 02</v>
      </c>
      <c r="H4259" s="19"/>
    </row>
    <row r="4260">
      <c r="A4260" s="9"/>
      <c r="B4260" s="15"/>
      <c r="C4260" s="9">
        <f>IFERROR(__xludf.DUMMYFUNCTION("""COMPUTED_VALUE"""),44561.036675405)</f>
        <v>44561.03668</v>
      </c>
      <c r="D4260" s="15">
        <f>IFERROR(__xludf.DUMMYFUNCTION("""COMPUTED_VALUE"""),1.012)</f>
        <v>1.012</v>
      </c>
      <c r="E4260" s="16">
        <f>IFERROR(__xludf.DUMMYFUNCTION("""COMPUTED_VALUE"""),63.0)</f>
        <v>63</v>
      </c>
      <c r="F4260" s="19" t="str">
        <f>IFERROR(__xludf.DUMMYFUNCTION("""COMPUTED_VALUE"""),"BLACK")</f>
        <v>BLACK</v>
      </c>
      <c r="G4260" s="20" t="str">
        <f>IFERROR(__xludf.DUMMYFUNCTION("""COMPUTED_VALUE"""),"Uncle Sams Cider (11/12/2021) 02")</f>
        <v>Uncle Sams Cider (11/12/2021) 02</v>
      </c>
      <c r="H4260" s="19"/>
    </row>
    <row r="4261">
      <c r="A4261" s="9"/>
      <c r="B4261" s="15"/>
      <c r="C4261" s="9">
        <f>IFERROR(__xludf.DUMMYFUNCTION("""COMPUTED_VALUE"""),44561.026253831)</f>
        <v>44561.02625</v>
      </c>
      <c r="D4261" s="15">
        <f>IFERROR(__xludf.DUMMYFUNCTION("""COMPUTED_VALUE"""),1.012)</f>
        <v>1.012</v>
      </c>
      <c r="E4261" s="16">
        <f>IFERROR(__xludf.DUMMYFUNCTION("""COMPUTED_VALUE"""),63.0)</f>
        <v>63</v>
      </c>
      <c r="F4261" s="19" t="str">
        <f>IFERROR(__xludf.DUMMYFUNCTION("""COMPUTED_VALUE"""),"BLACK")</f>
        <v>BLACK</v>
      </c>
      <c r="G4261" s="20" t="str">
        <f>IFERROR(__xludf.DUMMYFUNCTION("""COMPUTED_VALUE"""),"Uncle Sams Cider (11/12/2021) 02")</f>
        <v>Uncle Sams Cider (11/12/2021) 02</v>
      </c>
      <c r="H4261" s="19"/>
    </row>
    <row r="4262">
      <c r="A4262" s="9"/>
      <c r="B4262" s="15"/>
      <c r="C4262" s="9">
        <f>IFERROR(__xludf.DUMMYFUNCTION("""COMPUTED_VALUE"""),44561.0158213425)</f>
        <v>44561.01582</v>
      </c>
      <c r="D4262" s="15">
        <f>IFERROR(__xludf.DUMMYFUNCTION("""COMPUTED_VALUE"""),1.012)</f>
        <v>1.012</v>
      </c>
      <c r="E4262" s="16">
        <f>IFERROR(__xludf.DUMMYFUNCTION("""COMPUTED_VALUE"""),63.0)</f>
        <v>63</v>
      </c>
      <c r="F4262" s="19" t="str">
        <f>IFERROR(__xludf.DUMMYFUNCTION("""COMPUTED_VALUE"""),"BLACK")</f>
        <v>BLACK</v>
      </c>
      <c r="G4262" s="20" t="str">
        <f>IFERROR(__xludf.DUMMYFUNCTION("""COMPUTED_VALUE"""),"Uncle Sams Cider (11/12/2021) 02")</f>
        <v>Uncle Sams Cider (11/12/2021) 02</v>
      </c>
      <c r="H4262" s="19"/>
    </row>
    <row r="4263">
      <c r="A4263" s="9"/>
      <c r="B4263" s="15"/>
      <c r="C4263" s="9">
        <f>IFERROR(__xludf.DUMMYFUNCTION("""COMPUTED_VALUE"""),44561.0054002314)</f>
        <v>44561.0054</v>
      </c>
      <c r="D4263" s="15">
        <f>IFERROR(__xludf.DUMMYFUNCTION("""COMPUTED_VALUE"""),1.012)</f>
        <v>1.012</v>
      </c>
      <c r="E4263" s="16">
        <f>IFERROR(__xludf.DUMMYFUNCTION("""COMPUTED_VALUE"""),63.0)</f>
        <v>63</v>
      </c>
      <c r="F4263" s="19" t="str">
        <f>IFERROR(__xludf.DUMMYFUNCTION("""COMPUTED_VALUE"""),"BLACK")</f>
        <v>BLACK</v>
      </c>
      <c r="G4263" s="20" t="str">
        <f>IFERROR(__xludf.DUMMYFUNCTION("""COMPUTED_VALUE"""),"Uncle Sams Cider (11/12/2021) 02")</f>
        <v>Uncle Sams Cider (11/12/2021) 02</v>
      </c>
      <c r="H4263" s="19"/>
    </row>
    <row r="4264">
      <c r="A4264" s="9"/>
      <c r="B4264" s="15"/>
      <c r="C4264" s="9">
        <f>IFERROR(__xludf.DUMMYFUNCTION("""COMPUTED_VALUE"""),44560.994966574)</f>
        <v>44560.99497</v>
      </c>
      <c r="D4264" s="15">
        <f>IFERROR(__xludf.DUMMYFUNCTION("""COMPUTED_VALUE"""),1.012)</f>
        <v>1.012</v>
      </c>
      <c r="E4264" s="16">
        <f>IFERROR(__xludf.DUMMYFUNCTION("""COMPUTED_VALUE"""),63.0)</f>
        <v>63</v>
      </c>
      <c r="F4264" s="19" t="str">
        <f>IFERROR(__xludf.DUMMYFUNCTION("""COMPUTED_VALUE"""),"BLACK")</f>
        <v>BLACK</v>
      </c>
      <c r="G4264" s="20" t="str">
        <f>IFERROR(__xludf.DUMMYFUNCTION("""COMPUTED_VALUE"""),"Uncle Sams Cider (11/12/2021) 02")</f>
        <v>Uncle Sams Cider (11/12/2021) 02</v>
      </c>
      <c r="H4264" s="19"/>
    </row>
    <row r="4265">
      <c r="A4265" s="9"/>
      <c r="B4265" s="15"/>
      <c r="C4265" s="9">
        <f>IFERROR(__xludf.DUMMYFUNCTION("""COMPUTED_VALUE"""),44560.9845443518)</f>
        <v>44560.98454</v>
      </c>
      <c r="D4265" s="15">
        <f>IFERROR(__xludf.DUMMYFUNCTION("""COMPUTED_VALUE"""),1.012)</f>
        <v>1.012</v>
      </c>
      <c r="E4265" s="16">
        <f>IFERROR(__xludf.DUMMYFUNCTION("""COMPUTED_VALUE"""),63.0)</f>
        <v>63</v>
      </c>
      <c r="F4265" s="19" t="str">
        <f>IFERROR(__xludf.DUMMYFUNCTION("""COMPUTED_VALUE"""),"BLACK")</f>
        <v>BLACK</v>
      </c>
      <c r="G4265" s="20" t="str">
        <f>IFERROR(__xludf.DUMMYFUNCTION("""COMPUTED_VALUE"""),"Uncle Sams Cider (11/12/2021) 02")</f>
        <v>Uncle Sams Cider (11/12/2021) 02</v>
      </c>
      <c r="H4265" s="19"/>
    </row>
    <row r="4266">
      <c r="A4266" s="9"/>
      <c r="B4266" s="15"/>
      <c r="C4266" s="9">
        <f>IFERROR(__xludf.DUMMYFUNCTION("""COMPUTED_VALUE"""),44560.974122905)</f>
        <v>44560.97412</v>
      </c>
      <c r="D4266" s="15">
        <f>IFERROR(__xludf.DUMMYFUNCTION("""COMPUTED_VALUE"""),1.012)</f>
        <v>1.012</v>
      </c>
      <c r="E4266" s="16">
        <f>IFERROR(__xludf.DUMMYFUNCTION("""COMPUTED_VALUE"""),63.0)</f>
        <v>63</v>
      </c>
      <c r="F4266" s="19" t="str">
        <f>IFERROR(__xludf.DUMMYFUNCTION("""COMPUTED_VALUE"""),"BLACK")</f>
        <v>BLACK</v>
      </c>
      <c r="G4266" s="20" t="str">
        <f>IFERROR(__xludf.DUMMYFUNCTION("""COMPUTED_VALUE"""),"Uncle Sams Cider (11/12/2021) 02")</f>
        <v>Uncle Sams Cider (11/12/2021) 02</v>
      </c>
      <c r="H4266" s="19"/>
    </row>
    <row r="4267">
      <c r="A4267" s="9"/>
      <c r="B4267" s="15"/>
      <c r="C4267" s="9">
        <f>IFERROR(__xludf.DUMMYFUNCTION("""COMPUTED_VALUE"""),44560.9637007638)</f>
        <v>44560.9637</v>
      </c>
      <c r="D4267" s="15">
        <f>IFERROR(__xludf.DUMMYFUNCTION("""COMPUTED_VALUE"""),1.012)</f>
        <v>1.012</v>
      </c>
      <c r="E4267" s="16">
        <f>IFERROR(__xludf.DUMMYFUNCTION("""COMPUTED_VALUE"""),63.0)</f>
        <v>63</v>
      </c>
      <c r="F4267" s="19" t="str">
        <f>IFERROR(__xludf.DUMMYFUNCTION("""COMPUTED_VALUE"""),"BLACK")</f>
        <v>BLACK</v>
      </c>
      <c r="G4267" s="20" t="str">
        <f>IFERROR(__xludf.DUMMYFUNCTION("""COMPUTED_VALUE"""),"Uncle Sams Cider (11/12/2021) 02")</f>
        <v>Uncle Sams Cider (11/12/2021) 02</v>
      </c>
      <c r="H4267" s="19"/>
    </row>
    <row r="4268">
      <c r="A4268" s="9"/>
      <c r="B4268" s="15"/>
      <c r="C4268" s="9">
        <f>IFERROR(__xludf.DUMMYFUNCTION("""COMPUTED_VALUE"""),44560.9532794328)</f>
        <v>44560.95328</v>
      </c>
      <c r="D4268" s="15">
        <f>IFERROR(__xludf.DUMMYFUNCTION("""COMPUTED_VALUE"""),1.011)</f>
        <v>1.011</v>
      </c>
      <c r="E4268" s="16">
        <f>IFERROR(__xludf.DUMMYFUNCTION("""COMPUTED_VALUE"""),63.0)</f>
        <v>63</v>
      </c>
      <c r="F4268" s="19" t="str">
        <f>IFERROR(__xludf.DUMMYFUNCTION("""COMPUTED_VALUE"""),"BLACK")</f>
        <v>BLACK</v>
      </c>
      <c r="G4268" s="20" t="str">
        <f>IFERROR(__xludf.DUMMYFUNCTION("""COMPUTED_VALUE"""),"Uncle Sams Cider (11/12/2021) 02")</f>
        <v>Uncle Sams Cider (11/12/2021) 02</v>
      </c>
      <c r="H4268" s="19"/>
    </row>
    <row r="4269">
      <c r="A4269" s="9"/>
      <c r="B4269" s="15"/>
      <c r="C4269" s="9">
        <f>IFERROR(__xludf.DUMMYFUNCTION("""COMPUTED_VALUE"""),44560.9428472453)</f>
        <v>44560.94285</v>
      </c>
      <c r="D4269" s="15">
        <f>IFERROR(__xludf.DUMMYFUNCTION("""COMPUTED_VALUE"""),1.012)</f>
        <v>1.012</v>
      </c>
      <c r="E4269" s="16">
        <f>IFERROR(__xludf.DUMMYFUNCTION("""COMPUTED_VALUE"""),63.0)</f>
        <v>63</v>
      </c>
      <c r="F4269" s="19" t="str">
        <f>IFERROR(__xludf.DUMMYFUNCTION("""COMPUTED_VALUE"""),"BLACK")</f>
        <v>BLACK</v>
      </c>
      <c r="G4269" s="20" t="str">
        <f>IFERROR(__xludf.DUMMYFUNCTION("""COMPUTED_VALUE"""),"Uncle Sams Cider (11/12/2021) 02")</f>
        <v>Uncle Sams Cider (11/12/2021) 02</v>
      </c>
      <c r="H4269" s="19"/>
    </row>
    <row r="4270">
      <c r="A4270" s="9"/>
      <c r="B4270" s="15"/>
      <c r="C4270" s="9">
        <f>IFERROR(__xludf.DUMMYFUNCTION("""COMPUTED_VALUE"""),44560.9324261805)</f>
        <v>44560.93243</v>
      </c>
      <c r="D4270" s="15">
        <f>IFERROR(__xludf.DUMMYFUNCTION("""COMPUTED_VALUE"""),1.011)</f>
        <v>1.011</v>
      </c>
      <c r="E4270" s="16">
        <f>IFERROR(__xludf.DUMMYFUNCTION("""COMPUTED_VALUE"""),63.0)</f>
        <v>63</v>
      </c>
      <c r="F4270" s="19" t="str">
        <f>IFERROR(__xludf.DUMMYFUNCTION("""COMPUTED_VALUE"""),"BLACK")</f>
        <v>BLACK</v>
      </c>
      <c r="G4270" s="20" t="str">
        <f>IFERROR(__xludf.DUMMYFUNCTION("""COMPUTED_VALUE"""),"Uncle Sams Cider (11/12/2021) 02")</f>
        <v>Uncle Sams Cider (11/12/2021) 02</v>
      </c>
      <c r="H4270" s="19"/>
    </row>
    <row r="4271">
      <c r="A4271" s="9"/>
      <c r="B4271" s="15"/>
      <c r="C4271" s="9">
        <f>IFERROR(__xludf.DUMMYFUNCTION("""COMPUTED_VALUE"""),44560.9220051967)</f>
        <v>44560.92201</v>
      </c>
      <c r="D4271" s="15">
        <f>IFERROR(__xludf.DUMMYFUNCTION("""COMPUTED_VALUE"""),1.012)</f>
        <v>1.012</v>
      </c>
      <c r="E4271" s="16">
        <f>IFERROR(__xludf.DUMMYFUNCTION("""COMPUTED_VALUE"""),63.0)</f>
        <v>63</v>
      </c>
      <c r="F4271" s="19" t="str">
        <f>IFERROR(__xludf.DUMMYFUNCTION("""COMPUTED_VALUE"""),"BLACK")</f>
        <v>BLACK</v>
      </c>
      <c r="G4271" s="20" t="str">
        <f>IFERROR(__xludf.DUMMYFUNCTION("""COMPUTED_VALUE"""),"Uncle Sams Cider (11/12/2021) 02")</f>
        <v>Uncle Sams Cider (11/12/2021) 02</v>
      </c>
      <c r="H4271" s="19"/>
    </row>
    <row r="4272">
      <c r="A4272" s="9"/>
      <c r="B4272" s="15"/>
      <c r="C4272" s="9">
        <f>IFERROR(__xludf.DUMMYFUNCTION("""COMPUTED_VALUE"""),44560.911586655)</f>
        <v>44560.91159</v>
      </c>
      <c r="D4272" s="15">
        <f>IFERROR(__xludf.DUMMYFUNCTION("""COMPUTED_VALUE"""),1.012)</f>
        <v>1.012</v>
      </c>
      <c r="E4272" s="16">
        <f>IFERROR(__xludf.DUMMYFUNCTION("""COMPUTED_VALUE"""),63.0)</f>
        <v>63</v>
      </c>
      <c r="F4272" s="19" t="str">
        <f>IFERROR(__xludf.DUMMYFUNCTION("""COMPUTED_VALUE"""),"BLACK")</f>
        <v>BLACK</v>
      </c>
      <c r="G4272" s="20" t="str">
        <f>IFERROR(__xludf.DUMMYFUNCTION("""COMPUTED_VALUE"""),"Uncle Sams Cider (11/12/2021) 02")</f>
        <v>Uncle Sams Cider (11/12/2021) 02</v>
      </c>
      <c r="H4272" s="19"/>
    </row>
    <row r="4273">
      <c r="A4273" s="9"/>
      <c r="B4273" s="15"/>
      <c r="C4273" s="9">
        <f>IFERROR(__xludf.DUMMYFUNCTION("""COMPUTED_VALUE"""),44560.9011644791)</f>
        <v>44560.90116</v>
      </c>
      <c r="D4273" s="15">
        <f>IFERROR(__xludf.DUMMYFUNCTION("""COMPUTED_VALUE"""),1.012)</f>
        <v>1.012</v>
      </c>
      <c r="E4273" s="16">
        <f>IFERROR(__xludf.DUMMYFUNCTION("""COMPUTED_VALUE"""),63.0)</f>
        <v>63</v>
      </c>
      <c r="F4273" s="19" t="str">
        <f>IFERROR(__xludf.DUMMYFUNCTION("""COMPUTED_VALUE"""),"BLACK")</f>
        <v>BLACK</v>
      </c>
      <c r="G4273" s="20" t="str">
        <f>IFERROR(__xludf.DUMMYFUNCTION("""COMPUTED_VALUE"""),"Uncle Sams Cider (11/12/2021) 02")</f>
        <v>Uncle Sams Cider (11/12/2021) 02</v>
      </c>
      <c r="H4273" s="19"/>
    </row>
    <row r="4274">
      <c r="A4274" s="9"/>
      <c r="B4274" s="15"/>
      <c r="C4274" s="9">
        <f>IFERROR(__xludf.DUMMYFUNCTION("""COMPUTED_VALUE"""),44560.8907431712)</f>
        <v>44560.89074</v>
      </c>
      <c r="D4274" s="15">
        <f>IFERROR(__xludf.DUMMYFUNCTION("""COMPUTED_VALUE"""),1.012)</f>
        <v>1.012</v>
      </c>
      <c r="E4274" s="16">
        <f>IFERROR(__xludf.DUMMYFUNCTION("""COMPUTED_VALUE"""),63.0)</f>
        <v>63</v>
      </c>
      <c r="F4274" s="19" t="str">
        <f>IFERROR(__xludf.DUMMYFUNCTION("""COMPUTED_VALUE"""),"BLACK")</f>
        <v>BLACK</v>
      </c>
      <c r="G4274" s="20" t="str">
        <f>IFERROR(__xludf.DUMMYFUNCTION("""COMPUTED_VALUE"""),"Uncle Sams Cider (11/12/2021) 02")</f>
        <v>Uncle Sams Cider (11/12/2021) 02</v>
      </c>
      <c r="H4274" s="19"/>
    </row>
    <row r="4275">
      <c r="A4275" s="9"/>
      <c r="B4275" s="15"/>
      <c r="C4275" s="9">
        <f>IFERROR(__xludf.DUMMYFUNCTION("""COMPUTED_VALUE"""),44560.8803218518)</f>
        <v>44560.88032</v>
      </c>
      <c r="D4275" s="15">
        <f>IFERROR(__xludf.DUMMYFUNCTION("""COMPUTED_VALUE"""),1.012)</f>
        <v>1.012</v>
      </c>
      <c r="E4275" s="16">
        <f>IFERROR(__xludf.DUMMYFUNCTION("""COMPUTED_VALUE"""),63.0)</f>
        <v>63</v>
      </c>
      <c r="F4275" s="19" t="str">
        <f>IFERROR(__xludf.DUMMYFUNCTION("""COMPUTED_VALUE"""),"BLACK")</f>
        <v>BLACK</v>
      </c>
      <c r="G4275" s="20" t="str">
        <f>IFERROR(__xludf.DUMMYFUNCTION("""COMPUTED_VALUE"""),"Uncle Sams Cider (11/12/2021) 02")</f>
        <v>Uncle Sams Cider (11/12/2021) 02</v>
      </c>
      <c r="H4275" s="19"/>
    </row>
    <row r="4276">
      <c r="A4276" s="9"/>
      <c r="B4276" s="15"/>
      <c r="C4276" s="9">
        <f>IFERROR(__xludf.DUMMYFUNCTION("""COMPUTED_VALUE"""),44560.8699012268)</f>
        <v>44560.8699</v>
      </c>
      <c r="D4276" s="15">
        <f>IFERROR(__xludf.DUMMYFUNCTION("""COMPUTED_VALUE"""),1.012)</f>
        <v>1.012</v>
      </c>
      <c r="E4276" s="16">
        <f>IFERROR(__xludf.DUMMYFUNCTION("""COMPUTED_VALUE"""),63.0)</f>
        <v>63</v>
      </c>
      <c r="F4276" s="19" t="str">
        <f>IFERROR(__xludf.DUMMYFUNCTION("""COMPUTED_VALUE"""),"BLACK")</f>
        <v>BLACK</v>
      </c>
      <c r="G4276" s="20" t="str">
        <f>IFERROR(__xludf.DUMMYFUNCTION("""COMPUTED_VALUE"""),"Uncle Sams Cider (11/12/2021) 02")</f>
        <v>Uncle Sams Cider (11/12/2021) 02</v>
      </c>
      <c r="H4276" s="19"/>
    </row>
    <row r="4277">
      <c r="A4277" s="9"/>
      <c r="B4277" s="15"/>
      <c r="C4277" s="9">
        <f>IFERROR(__xludf.DUMMYFUNCTION("""COMPUTED_VALUE"""),44560.8594811458)</f>
        <v>44560.85948</v>
      </c>
      <c r="D4277" s="15">
        <f>IFERROR(__xludf.DUMMYFUNCTION("""COMPUTED_VALUE"""),1.012)</f>
        <v>1.012</v>
      </c>
      <c r="E4277" s="16">
        <f>IFERROR(__xludf.DUMMYFUNCTION("""COMPUTED_VALUE"""),63.0)</f>
        <v>63</v>
      </c>
      <c r="F4277" s="19" t="str">
        <f>IFERROR(__xludf.DUMMYFUNCTION("""COMPUTED_VALUE"""),"BLACK")</f>
        <v>BLACK</v>
      </c>
      <c r="G4277" s="20" t="str">
        <f>IFERROR(__xludf.DUMMYFUNCTION("""COMPUTED_VALUE"""),"Uncle Sams Cider (11/12/2021) 02")</f>
        <v>Uncle Sams Cider (11/12/2021) 02</v>
      </c>
      <c r="H4277" s="19"/>
    </row>
    <row r="4278">
      <c r="A4278" s="9"/>
      <c r="B4278" s="15"/>
      <c r="C4278" s="9">
        <f>IFERROR(__xludf.DUMMYFUNCTION("""COMPUTED_VALUE"""),44560.8490510648)</f>
        <v>44560.84905</v>
      </c>
      <c r="D4278" s="15">
        <f>IFERROR(__xludf.DUMMYFUNCTION("""COMPUTED_VALUE"""),1.012)</f>
        <v>1.012</v>
      </c>
      <c r="E4278" s="16">
        <f>IFERROR(__xludf.DUMMYFUNCTION("""COMPUTED_VALUE"""),63.0)</f>
        <v>63</v>
      </c>
      <c r="F4278" s="19" t="str">
        <f>IFERROR(__xludf.DUMMYFUNCTION("""COMPUTED_VALUE"""),"BLACK")</f>
        <v>BLACK</v>
      </c>
      <c r="G4278" s="20" t="str">
        <f>IFERROR(__xludf.DUMMYFUNCTION("""COMPUTED_VALUE"""),"Uncle Sams Cider (11/12/2021) 02")</f>
        <v>Uncle Sams Cider (11/12/2021) 02</v>
      </c>
      <c r="H4278" s="19"/>
    </row>
    <row r="4279">
      <c r="A4279" s="9"/>
      <c r="B4279" s="15"/>
      <c r="C4279" s="9">
        <f>IFERROR(__xludf.DUMMYFUNCTION("""COMPUTED_VALUE"""),44560.8386286226)</f>
        <v>44560.83863</v>
      </c>
      <c r="D4279" s="15">
        <f>IFERROR(__xludf.DUMMYFUNCTION("""COMPUTED_VALUE"""),1.012)</f>
        <v>1.012</v>
      </c>
      <c r="E4279" s="16">
        <f>IFERROR(__xludf.DUMMYFUNCTION("""COMPUTED_VALUE"""),63.0)</f>
        <v>63</v>
      </c>
      <c r="F4279" s="19" t="str">
        <f>IFERROR(__xludf.DUMMYFUNCTION("""COMPUTED_VALUE"""),"BLACK")</f>
        <v>BLACK</v>
      </c>
      <c r="G4279" s="20" t="str">
        <f>IFERROR(__xludf.DUMMYFUNCTION("""COMPUTED_VALUE"""),"Uncle Sams Cider (11/12/2021) 02")</f>
        <v>Uncle Sams Cider (11/12/2021) 02</v>
      </c>
      <c r="H4279" s="19"/>
    </row>
    <row r="4280">
      <c r="A4280" s="9"/>
      <c r="B4280" s="15"/>
      <c r="C4280" s="9">
        <f>IFERROR(__xludf.DUMMYFUNCTION("""COMPUTED_VALUE"""),44560.828206493)</f>
        <v>44560.82821</v>
      </c>
      <c r="D4280" s="15">
        <f>IFERROR(__xludf.DUMMYFUNCTION("""COMPUTED_VALUE"""),1.012)</f>
        <v>1.012</v>
      </c>
      <c r="E4280" s="16">
        <f>IFERROR(__xludf.DUMMYFUNCTION("""COMPUTED_VALUE"""),63.0)</f>
        <v>63</v>
      </c>
      <c r="F4280" s="19" t="str">
        <f>IFERROR(__xludf.DUMMYFUNCTION("""COMPUTED_VALUE"""),"BLACK")</f>
        <v>BLACK</v>
      </c>
      <c r="G4280" s="20" t="str">
        <f>IFERROR(__xludf.DUMMYFUNCTION("""COMPUTED_VALUE"""),"Uncle Sams Cider (11/12/2021) 02")</f>
        <v>Uncle Sams Cider (11/12/2021) 02</v>
      </c>
      <c r="H4280" s="19"/>
    </row>
    <row r="4281">
      <c r="A4281" s="9"/>
      <c r="B4281" s="15"/>
      <c r="C4281" s="9">
        <f>IFERROR(__xludf.DUMMYFUNCTION("""COMPUTED_VALUE"""),44560.817763206)</f>
        <v>44560.81776</v>
      </c>
      <c r="D4281" s="15">
        <f>IFERROR(__xludf.DUMMYFUNCTION("""COMPUTED_VALUE"""),1.012)</f>
        <v>1.012</v>
      </c>
      <c r="E4281" s="16">
        <f>IFERROR(__xludf.DUMMYFUNCTION("""COMPUTED_VALUE"""),63.0)</f>
        <v>63</v>
      </c>
      <c r="F4281" s="19" t="str">
        <f>IFERROR(__xludf.DUMMYFUNCTION("""COMPUTED_VALUE"""),"BLACK")</f>
        <v>BLACK</v>
      </c>
      <c r="G4281" s="20" t="str">
        <f>IFERROR(__xludf.DUMMYFUNCTION("""COMPUTED_VALUE"""),"Uncle Sams Cider (11/12/2021) 02")</f>
        <v>Uncle Sams Cider (11/12/2021) 02</v>
      </c>
      <c r="H4281" s="19"/>
    </row>
    <row r="4282">
      <c r="A4282" s="9"/>
      <c r="B4282" s="15"/>
      <c r="C4282" s="9">
        <f>IFERROR(__xludf.DUMMYFUNCTION("""COMPUTED_VALUE"""),44560.8073409259)</f>
        <v>44560.80734</v>
      </c>
      <c r="D4282" s="15">
        <f>IFERROR(__xludf.DUMMYFUNCTION("""COMPUTED_VALUE"""),1.012)</f>
        <v>1.012</v>
      </c>
      <c r="E4282" s="16">
        <f>IFERROR(__xludf.DUMMYFUNCTION("""COMPUTED_VALUE"""),63.0)</f>
        <v>63</v>
      </c>
      <c r="F4282" s="19" t="str">
        <f>IFERROR(__xludf.DUMMYFUNCTION("""COMPUTED_VALUE"""),"BLACK")</f>
        <v>BLACK</v>
      </c>
      <c r="G4282" s="20" t="str">
        <f>IFERROR(__xludf.DUMMYFUNCTION("""COMPUTED_VALUE"""),"Uncle Sams Cider (11/12/2021) 02")</f>
        <v>Uncle Sams Cider (11/12/2021) 02</v>
      </c>
      <c r="H4282" s="19"/>
    </row>
    <row r="4283">
      <c r="A4283" s="9"/>
      <c r="B4283" s="15"/>
      <c r="C4283" s="9">
        <f>IFERROR(__xludf.DUMMYFUNCTION("""COMPUTED_VALUE"""),44560.7969062731)</f>
        <v>44560.79691</v>
      </c>
      <c r="D4283" s="15">
        <f>IFERROR(__xludf.DUMMYFUNCTION("""COMPUTED_VALUE"""),1.012)</f>
        <v>1.012</v>
      </c>
      <c r="E4283" s="16">
        <f>IFERROR(__xludf.DUMMYFUNCTION("""COMPUTED_VALUE"""),63.0)</f>
        <v>63</v>
      </c>
      <c r="F4283" s="19" t="str">
        <f>IFERROR(__xludf.DUMMYFUNCTION("""COMPUTED_VALUE"""),"BLACK")</f>
        <v>BLACK</v>
      </c>
      <c r="G4283" s="20" t="str">
        <f>IFERROR(__xludf.DUMMYFUNCTION("""COMPUTED_VALUE"""),"Uncle Sams Cider (11/12/2021) 02")</f>
        <v>Uncle Sams Cider (11/12/2021) 02</v>
      </c>
      <c r="H4283" s="19"/>
    </row>
    <row r="4284">
      <c r="A4284" s="9"/>
      <c r="B4284" s="15"/>
      <c r="C4284" s="9">
        <f>IFERROR(__xludf.DUMMYFUNCTION("""COMPUTED_VALUE"""),44560.786474456)</f>
        <v>44560.78647</v>
      </c>
      <c r="D4284" s="15">
        <f>IFERROR(__xludf.DUMMYFUNCTION("""COMPUTED_VALUE"""),1.012)</f>
        <v>1.012</v>
      </c>
      <c r="E4284" s="16">
        <f>IFERROR(__xludf.DUMMYFUNCTION("""COMPUTED_VALUE"""),63.0)</f>
        <v>63</v>
      </c>
      <c r="F4284" s="19" t="str">
        <f>IFERROR(__xludf.DUMMYFUNCTION("""COMPUTED_VALUE"""),"BLACK")</f>
        <v>BLACK</v>
      </c>
      <c r="G4284" s="20" t="str">
        <f>IFERROR(__xludf.DUMMYFUNCTION("""COMPUTED_VALUE"""),"Uncle Sams Cider (11/12/2021) 02")</f>
        <v>Uncle Sams Cider (11/12/2021) 02</v>
      </c>
      <c r="H4284" s="19"/>
    </row>
    <row r="4285">
      <c r="A4285" s="9"/>
      <c r="B4285" s="15"/>
      <c r="C4285" s="9">
        <f>IFERROR(__xludf.DUMMYFUNCTION("""COMPUTED_VALUE"""),44560.7760424074)</f>
        <v>44560.77604</v>
      </c>
      <c r="D4285" s="15">
        <f>IFERROR(__xludf.DUMMYFUNCTION("""COMPUTED_VALUE"""),1.012)</f>
        <v>1.012</v>
      </c>
      <c r="E4285" s="16">
        <f>IFERROR(__xludf.DUMMYFUNCTION("""COMPUTED_VALUE"""),63.0)</f>
        <v>63</v>
      </c>
      <c r="F4285" s="19" t="str">
        <f>IFERROR(__xludf.DUMMYFUNCTION("""COMPUTED_VALUE"""),"BLACK")</f>
        <v>BLACK</v>
      </c>
      <c r="G4285" s="20" t="str">
        <f>IFERROR(__xludf.DUMMYFUNCTION("""COMPUTED_VALUE"""),"Uncle Sams Cider (11/12/2021) 02")</f>
        <v>Uncle Sams Cider (11/12/2021) 02</v>
      </c>
      <c r="H4285" s="19"/>
    </row>
    <row r="4286">
      <c r="A4286" s="9"/>
      <c r="B4286" s="15"/>
      <c r="C4286" s="9">
        <f>IFERROR(__xludf.DUMMYFUNCTION("""COMPUTED_VALUE"""),44560.765620949)</f>
        <v>44560.76562</v>
      </c>
      <c r="D4286" s="15">
        <f>IFERROR(__xludf.DUMMYFUNCTION("""COMPUTED_VALUE"""),1.012)</f>
        <v>1.012</v>
      </c>
      <c r="E4286" s="16">
        <f>IFERROR(__xludf.DUMMYFUNCTION("""COMPUTED_VALUE"""),63.0)</f>
        <v>63</v>
      </c>
      <c r="F4286" s="19" t="str">
        <f>IFERROR(__xludf.DUMMYFUNCTION("""COMPUTED_VALUE"""),"BLACK")</f>
        <v>BLACK</v>
      </c>
      <c r="G4286" s="20" t="str">
        <f>IFERROR(__xludf.DUMMYFUNCTION("""COMPUTED_VALUE"""),"Uncle Sams Cider (11/12/2021) 02")</f>
        <v>Uncle Sams Cider (11/12/2021) 02</v>
      </c>
      <c r="H4286" s="19"/>
    </row>
    <row r="4287">
      <c r="A4287" s="9"/>
      <c r="B4287" s="15"/>
      <c r="C4287" s="9">
        <f>IFERROR(__xludf.DUMMYFUNCTION("""COMPUTED_VALUE"""),44560.7551880324)</f>
        <v>44560.75519</v>
      </c>
      <c r="D4287" s="15">
        <f>IFERROR(__xludf.DUMMYFUNCTION("""COMPUTED_VALUE"""),1.012)</f>
        <v>1.012</v>
      </c>
      <c r="E4287" s="16">
        <f>IFERROR(__xludf.DUMMYFUNCTION("""COMPUTED_VALUE"""),63.0)</f>
        <v>63</v>
      </c>
      <c r="F4287" s="19" t="str">
        <f>IFERROR(__xludf.DUMMYFUNCTION("""COMPUTED_VALUE"""),"BLACK")</f>
        <v>BLACK</v>
      </c>
      <c r="G4287" s="20" t="str">
        <f>IFERROR(__xludf.DUMMYFUNCTION("""COMPUTED_VALUE"""),"Uncle Sams Cider (11/12/2021) 02")</f>
        <v>Uncle Sams Cider (11/12/2021) 02</v>
      </c>
      <c r="H4287" s="19"/>
    </row>
    <row r="4288">
      <c r="A4288" s="9"/>
      <c r="B4288" s="15"/>
      <c r="C4288" s="9">
        <f>IFERROR(__xludf.DUMMYFUNCTION("""COMPUTED_VALUE"""),44560.7447559838)</f>
        <v>44560.74476</v>
      </c>
      <c r="D4288" s="15">
        <f>IFERROR(__xludf.DUMMYFUNCTION("""COMPUTED_VALUE"""),1.012)</f>
        <v>1.012</v>
      </c>
      <c r="E4288" s="16">
        <f>IFERROR(__xludf.DUMMYFUNCTION("""COMPUTED_VALUE"""),63.0)</f>
        <v>63</v>
      </c>
      <c r="F4288" s="19" t="str">
        <f>IFERROR(__xludf.DUMMYFUNCTION("""COMPUTED_VALUE"""),"BLACK")</f>
        <v>BLACK</v>
      </c>
      <c r="G4288" s="20" t="str">
        <f>IFERROR(__xludf.DUMMYFUNCTION("""COMPUTED_VALUE"""),"Uncle Sams Cider (11/12/2021) 02")</f>
        <v>Uncle Sams Cider (11/12/2021) 02</v>
      </c>
      <c r="H4288" s="19"/>
    </row>
    <row r="4289">
      <c r="A4289" s="9"/>
      <c r="B4289" s="15"/>
      <c r="C4289" s="9">
        <f>IFERROR(__xludf.DUMMYFUNCTION("""COMPUTED_VALUE"""),44560.7343230787)</f>
        <v>44560.73432</v>
      </c>
      <c r="D4289" s="15">
        <f>IFERROR(__xludf.DUMMYFUNCTION("""COMPUTED_VALUE"""),1.012)</f>
        <v>1.012</v>
      </c>
      <c r="E4289" s="16">
        <f>IFERROR(__xludf.DUMMYFUNCTION("""COMPUTED_VALUE"""),63.0)</f>
        <v>63</v>
      </c>
      <c r="F4289" s="19" t="str">
        <f>IFERROR(__xludf.DUMMYFUNCTION("""COMPUTED_VALUE"""),"BLACK")</f>
        <v>BLACK</v>
      </c>
      <c r="G4289" s="20" t="str">
        <f>IFERROR(__xludf.DUMMYFUNCTION("""COMPUTED_VALUE"""),"Uncle Sams Cider (11/12/2021) 02")</f>
        <v>Uncle Sams Cider (11/12/2021) 02</v>
      </c>
      <c r="H4289" s="19"/>
    </row>
    <row r="4290">
      <c r="A4290" s="9"/>
      <c r="B4290" s="15"/>
      <c r="C4290" s="9">
        <f>IFERROR(__xludf.DUMMYFUNCTION("""COMPUTED_VALUE"""),44560.7239013078)</f>
        <v>44560.7239</v>
      </c>
      <c r="D4290" s="15">
        <f>IFERROR(__xludf.DUMMYFUNCTION("""COMPUTED_VALUE"""),1.012)</f>
        <v>1.012</v>
      </c>
      <c r="E4290" s="16">
        <f>IFERROR(__xludf.DUMMYFUNCTION("""COMPUTED_VALUE"""),63.0)</f>
        <v>63</v>
      </c>
      <c r="F4290" s="19" t="str">
        <f>IFERROR(__xludf.DUMMYFUNCTION("""COMPUTED_VALUE"""),"BLACK")</f>
        <v>BLACK</v>
      </c>
      <c r="G4290" s="20" t="str">
        <f>IFERROR(__xludf.DUMMYFUNCTION("""COMPUTED_VALUE"""),"Uncle Sams Cider (11/12/2021) 02")</f>
        <v>Uncle Sams Cider (11/12/2021) 02</v>
      </c>
      <c r="H4290" s="19"/>
    </row>
    <row r="4291">
      <c r="A4291" s="9"/>
      <c r="B4291" s="15"/>
      <c r="C4291" s="9">
        <f>IFERROR(__xludf.DUMMYFUNCTION("""COMPUTED_VALUE"""),44560.7134804513)</f>
        <v>44560.71348</v>
      </c>
      <c r="D4291" s="15">
        <f>IFERROR(__xludf.DUMMYFUNCTION("""COMPUTED_VALUE"""),1.012)</f>
        <v>1.012</v>
      </c>
      <c r="E4291" s="16">
        <f>IFERROR(__xludf.DUMMYFUNCTION("""COMPUTED_VALUE"""),63.0)</f>
        <v>63</v>
      </c>
      <c r="F4291" s="19" t="str">
        <f>IFERROR(__xludf.DUMMYFUNCTION("""COMPUTED_VALUE"""),"BLACK")</f>
        <v>BLACK</v>
      </c>
      <c r="G4291" s="20" t="str">
        <f>IFERROR(__xludf.DUMMYFUNCTION("""COMPUTED_VALUE"""),"Uncle Sams Cider (11/12/2021) 02")</f>
        <v>Uncle Sams Cider (11/12/2021) 02</v>
      </c>
      <c r="H4291" s="19"/>
    </row>
    <row r="4292">
      <c r="A4292" s="9"/>
      <c r="B4292" s="15"/>
      <c r="C4292" s="9">
        <f>IFERROR(__xludf.DUMMYFUNCTION("""COMPUTED_VALUE"""),44560.70305853)</f>
        <v>44560.70306</v>
      </c>
      <c r="D4292" s="15">
        <f>IFERROR(__xludf.DUMMYFUNCTION("""COMPUTED_VALUE"""),1.012)</f>
        <v>1.012</v>
      </c>
      <c r="E4292" s="16">
        <f>IFERROR(__xludf.DUMMYFUNCTION("""COMPUTED_VALUE"""),63.0)</f>
        <v>63</v>
      </c>
      <c r="F4292" s="19" t="str">
        <f>IFERROR(__xludf.DUMMYFUNCTION("""COMPUTED_VALUE"""),"BLACK")</f>
        <v>BLACK</v>
      </c>
      <c r="G4292" s="20" t="str">
        <f>IFERROR(__xludf.DUMMYFUNCTION("""COMPUTED_VALUE"""),"Uncle Sams Cider (11/12/2021) 02")</f>
        <v>Uncle Sams Cider (11/12/2021) 02</v>
      </c>
      <c r="H4292" s="19"/>
    </row>
    <row r="4293">
      <c r="A4293" s="9"/>
      <c r="B4293" s="15"/>
      <c r="C4293" s="9">
        <f>IFERROR(__xludf.DUMMYFUNCTION("""COMPUTED_VALUE"""),44560.6926356018)</f>
        <v>44560.69264</v>
      </c>
      <c r="D4293" s="15">
        <f>IFERROR(__xludf.DUMMYFUNCTION("""COMPUTED_VALUE"""),1.011)</f>
        <v>1.011</v>
      </c>
      <c r="E4293" s="16">
        <f>IFERROR(__xludf.DUMMYFUNCTION("""COMPUTED_VALUE"""),63.0)</f>
        <v>63</v>
      </c>
      <c r="F4293" s="19" t="str">
        <f>IFERROR(__xludf.DUMMYFUNCTION("""COMPUTED_VALUE"""),"BLACK")</f>
        <v>BLACK</v>
      </c>
      <c r="G4293" s="20" t="str">
        <f>IFERROR(__xludf.DUMMYFUNCTION("""COMPUTED_VALUE"""),"Uncle Sams Cider (11/12/2021) 02")</f>
        <v>Uncle Sams Cider (11/12/2021) 02</v>
      </c>
      <c r="H4293" s="19"/>
    </row>
    <row r="4294">
      <c r="A4294" s="9"/>
      <c r="B4294" s="15"/>
      <c r="C4294" s="9">
        <f>IFERROR(__xludf.DUMMYFUNCTION("""COMPUTED_VALUE"""),44560.4007588194)</f>
        <v>44560.40076</v>
      </c>
      <c r="D4294" s="15">
        <f>IFERROR(__xludf.DUMMYFUNCTION("""COMPUTED_VALUE"""),1.012)</f>
        <v>1.012</v>
      </c>
      <c r="E4294" s="16">
        <f>IFERROR(__xludf.DUMMYFUNCTION("""COMPUTED_VALUE"""),63.0)</f>
        <v>63</v>
      </c>
      <c r="F4294" s="19" t="str">
        <f>IFERROR(__xludf.DUMMYFUNCTION("""COMPUTED_VALUE"""),"BLACK")</f>
        <v>BLACK</v>
      </c>
      <c r="G4294" s="20" t="str">
        <f>IFERROR(__xludf.DUMMYFUNCTION("""COMPUTED_VALUE"""),"Uncle Sams Cider (11/12/2021) 02")</f>
        <v>Uncle Sams Cider (11/12/2021) 02</v>
      </c>
      <c r="H4294" s="19"/>
    </row>
    <row r="4295">
      <c r="A4295" s="9"/>
      <c r="B4295" s="15"/>
      <c r="C4295" s="9">
        <f>IFERROR(__xludf.DUMMYFUNCTION("""COMPUTED_VALUE"""),44560.3903236689)</f>
        <v>44560.39032</v>
      </c>
      <c r="D4295" s="15">
        <f>IFERROR(__xludf.DUMMYFUNCTION("""COMPUTED_VALUE"""),1.012)</f>
        <v>1.012</v>
      </c>
      <c r="E4295" s="16">
        <f>IFERROR(__xludf.DUMMYFUNCTION("""COMPUTED_VALUE"""),63.0)</f>
        <v>63</v>
      </c>
      <c r="F4295" s="19" t="str">
        <f>IFERROR(__xludf.DUMMYFUNCTION("""COMPUTED_VALUE"""),"BLACK")</f>
        <v>BLACK</v>
      </c>
      <c r="G4295" s="20" t="str">
        <f>IFERROR(__xludf.DUMMYFUNCTION("""COMPUTED_VALUE"""),"Uncle Sams Cider (11/12/2021) 02")</f>
        <v>Uncle Sams Cider (11/12/2021) 02</v>
      </c>
      <c r="H4295" s="19"/>
    </row>
    <row r="4296">
      <c r="A4296" s="9"/>
      <c r="B4296" s="15"/>
      <c r="C4296" s="9">
        <f>IFERROR(__xludf.DUMMYFUNCTION("""COMPUTED_VALUE"""),44560.3799015393)</f>
        <v>44560.3799</v>
      </c>
      <c r="D4296" s="15">
        <f>IFERROR(__xludf.DUMMYFUNCTION("""COMPUTED_VALUE"""),1.012)</f>
        <v>1.012</v>
      </c>
      <c r="E4296" s="16">
        <f>IFERROR(__xludf.DUMMYFUNCTION("""COMPUTED_VALUE"""),63.0)</f>
        <v>63</v>
      </c>
      <c r="F4296" s="19" t="str">
        <f>IFERROR(__xludf.DUMMYFUNCTION("""COMPUTED_VALUE"""),"BLACK")</f>
        <v>BLACK</v>
      </c>
      <c r="G4296" s="20" t="str">
        <f>IFERROR(__xludf.DUMMYFUNCTION("""COMPUTED_VALUE"""),"Uncle Sams Cider (11/12/2021) 02")</f>
        <v>Uncle Sams Cider (11/12/2021) 02</v>
      </c>
      <c r="H4296" s="19"/>
    </row>
    <row r="4297">
      <c r="A4297" s="9"/>
      <c r="B4297" s="15"/>
      <c r="C4297" s="9">
        <f>IFERROR(__xludf.DUMMYFUNCTION("""COMPUTED_VALUE"""),44560.3694674652)</f>
        <v>44560.36947</v>
      </c>
      <c r="D4297" s="15">
        <f>IFERROR(__xludf.DUMMYFUNCTION("""COMPUTED_VALUE"""),1.012)</f>
        <v>1.012</v>
      </c>
      <c r="E4297" s="16">
        <f>IFERROR(__xludf.DUMMYFUNCTION("""COMPUTED_VALUE"""),63.0)</f>
        <v>63</v>
      </c>
      <c r="F4297" s="19" t="str">
        <f>IFERROR(__xludf.DUMMYFUNCTION("""COMPUTED_VALUE"""),"BLACK")</f>
        <v>BLACK</v>
      </c>
      <c r="G4297" s="20" t="str">
        <f>IFERROR(__xludf.DUMMYFUNCTION("""COMPUTED_VALUE"""),"Uncle Sams Cider (11/12/2021) 02")</f>
        <v>Uncle Sams Cider (11/12/2021) 02</v>
      </c>
      <c r="H4297" s="19"/>
    </row>
    <row r="4298">
      <c r="A4298" s="9"/>
      <c r="B4298" s="15"/>
      <c r="C4298" s="9">
        <f>IFERROR(__xludf.DUMMYFUNCTION("""COMPUTED_VALUE"""),44560.3590339236)</f>
        <v>44560.35903</v>
      </c>
      <c r="D4298" s="15">
        <f>IFERROR(__xludf.DUMMYFUNCTION("""COMPUTED_VALUE"""),1.012)</f>
        <v>1.012</v>
      </c>
      <c r="E4298" s="16">
        <f>IFERROR(__xludf.DUMMYFUNCTION("""COMPUTED_VALUE"""),63.0)</f>
        <v>63</v>
      </c>
      <c r="F4298" s="19" t="str">
        <f>IFERROR(__xludf.DUMMYFUNCTION("""COMPUTED_VALUE"""),"BLACK")</f>
        <v>BLACK</v>
      </c>
      <c r="G4298" s="20" t="str">
        <f>IFERROR(__xludf.DUMMYFUNCTION("""COMPUTED_VALUE"""),"Uncle Sams Cider (11/12/2021) 02")</f>
        <v>Uncle Sams Cider (11/12/2021) 02</v>
      </c>
      <c r="H4298" s="19"/>
    </row>
    <row r="4299">
      <c r="A4299" s="9"/>
      <c r="B4299" s="15"/>
      <c r="C4299" s="9">
        <f>IFERROR(__xludf.DUMMYFUNCTION("""COMPUTED_VALUE"""),44560.3486015509)</f>
        <v>44560.3486</v>
      </c>
      <c r="D4299" s="15">
        <f>IFERROR(__xludf.DUMMYFUNCTION("""COMPUTED_VALUE"""),1.012)</f>
        <v>1.012</v>
      </c>
      <c r="E4299" s="16">
        <f>IFERROR(__xludf.DUMMYFUNCTION("""COMPUTED_VALUE"""),63.0)</f>
        <v>63</v>
      </c>
      <c r="F4299" s="19" t="str">
        <f>IFERROR(__xludf.DUMMYFUNCTION("""COMPUTED_VALUE"""),"BLACK")</f>
        <v>BLACK</v>
      </c>
      <c r="G4299" s="20" t="str">
        <f>IFERROR(__xludf.DUMMYFUNCTION("""COMPUTED_VALUE"""),"Uncle Sams Cider (11/12/2021) 02")</f>
        <v>Uncle Sams Cider (11/12/2021) 02</v>
      </c>
      <c r="H4299" s="19"/>
    </row>
    <row r="4300">
      <c r="A4300" s="9"/>
      <c r="B4300" s="15"/>
      <c r="C4300" s="9">
        <f>IFERROR(__xludf.DUMMYFUNCTION("""COMPUTED_VALUE"""),44560.3381802662)</f>
        <v>44560.33818</v>
      </c>
      <c r="D4300" s="15">
        <f>IFERROR(__xludf.DUMMYFUNCTION("""COMPUTED_VALUE"""),1.012)</f>
        <v>1.012</v>
      </c>
      <c r="E4300" s="16">
        <f>IFERROR(__xludf.DUMMYFUNCTION("""COMPUTED_VALUE"""),63.0)</f>
        <v>63</v>
      </c>
      <c r="F4300" s="19" t="str">
        <f>IFERROR(__xludf.DUMMYFUNCTION("""COMPUTED_VALUE"""),"BLACK")</f>
        <v>BLACK</v>
      </c>
      <c r="G4300" s="20" t="str">
        <f>IFERROR(__xludf.DUMMYFUNCTION("""COMPUTED_VALUE"""),"Uncle Sams Cider (11/12/2021) 02")</f>
        <v>Uncle Sams Cider (11/12/2021) 02</v>
      </c>
      <c r="H4300" s="19"/>
    </row>
    <row r="4301">
      <c r="A4301" s="9"/>
      <c r="B4301" s="15"/>
      <c r="C4301" s="9">
        <f>IFERROR(__xludf.DUMMYFUNCTION("""COMPUTED_VALUE"""),44560.3277577662)</f>
        <v>44560.32776</v>
      </c>
      <c r="D4301" s="15">
        <f>IFERROR(__xludf.DUMMYFUNCTION("""COMPUTED_VALUE"""),1.012)</f>
        <v>1.012</v>
      </c>
      <c r="E4301" s="16">
        <f>IFERROR(__xludf.DUMMYFUNCTION("""COMPUTED_VALUE"""),63.0)</f>
        <v>63</v>
      </c>
      <c r="F4301" s="19" t="str">
        <f>IFERROR(__xludf.DUMMYFUNCTION("""COMPUTED_VALUE"""),"BLACK")</f>
        <v>BLACK</v>
      </c>
      <c r="G4301" s="20" t="str">
        <f>IFERROR(__xludf.DUMMYFUNCTION("""COMPUTED_VALUE"""),"Uncle Sams Cider (11/12/2021) 02")</f>
        <v>Uncle Sams Cider (11/12/2021) 02</v>
      </c>
      <c r="H4301" s="19"/>
    </row>
    <row r="4302">
      <c r="A4302" s="9"/>
      <c r="B4302" s="15"/>
      <c r="C4302" s="9">
        <f>IFERROR(__xludf.DUMMYFUNCTION("""COMPUTED_VALUE"""),44560.3173361921)</f>
        <v>44560.31734</v>
      </c>
      <c r="D4302" s="15">
        <f>IFERROR(__xludf.DUMMYFUNCTION("""COMPUTED_VALUE"""),1.012)</f>
        <v>1.012</v>
      </c>
      <c r="E4302" s="16">
        <f>IFERROR(__xludf.DUMMYFUNCTION("""COMPUTED_VALUE"""),63.0)</f>
        <v>63</v>
      </c>
      <c r="F4302" s="19" t="str">
        <f>IFERROR(__xludf.DUMMYFUNCTION("""COMPUTED_VALUE"""),"BLACK")</f>
        <v>BLACK</v>
      </c>
      <c r="G4302" s="20" t="str">
        <f>IFERROR(__xludf.DUMMYFUNCTION("""COMPUTED_VALUE"""),"Uncle Sams Cider (11/12/2021) 02")</f>
        <v>Uncle Sams Cider (11/12/2021) 02</v>
      </c>
      <c r="H4302" s="19"/>
    </row>
    <row r="4303">
      <c r="A4303" s="9"/>
      <c r="B4303" s="15"/>
      <c r="C4303" s="9">
        <f>IFERROR(__xludf.DUMMYFUNCTION("""COMPUTED_VALUE"""),44560.3069146875)</f>
        <v>44560.30691</v>
      </c>
      <c r="D4303" s="15">
        <f>IFERROR(__xludf.DUMMYFUNCTION("""COMPUTED_VALUE"""),1.012)</f>
        <v>1.012</v>
      </c>
      <c r="E4303" s="16">
        <f>IFERROR(__xludf.DUMMYFUNCTION("""COMPUTED_VALUE"""),63.0)</f>
        <v>63</v>
      </c>
      <c r="F4303" s="19" t="str">
        <f>IFERROR(__xludf.DUMMYFUNCTION("""COMPUTED_VALUE"""),"BLACK")</f>
        <v>BLACK</v>
      </c>
      <c r="G4303" s="20" t="str">
        <f>IFERROR(__xludf.DUMMYFUNCTION("""COMPUTED_VALUE"""),"Uncle Sams Cider (11/12/2021) 02")</f>
        <v>Uncle Sams Cider (11/12/2021) 02</v>
      </c>
      <c r="H4303" s="19"/>
    </row>
    <row r="4304">
      <c r="A4304" s="9"/>
      <c r="B4304" s="15"/>
      <c r="C4304" s="9">
        <f>IFERROR(__xludf.DUMMYFUNCTION("""COMPUTED_VALUE"""),44560.2964831944)</f>
        <v>44560.29648</v>
      </c>
      <c r="D4304" s="15">
        <f>IFERROR(__xludf.DUMMYFUNCTION("""COMPUTED_VALUE"""),1.012)</f>
        <v>1.012</v>
      </c>
      <c r="E4304" s="16">
        <f>IFERROR(__xludf.DUMMYFUNCTION("""COMPUTED_VALUE"""),63.0)</f>
        <v>63</v>
      </c>
      <c r="F4304" s="19" t="str">
        <f>IFERROR(__xludf.DUMMYFUNCTION("""COMPUTED_VALUE"""),"BLACK")</f>
        <v>BLACK</v>
      </c>
      <c r="G4304" s="20" t="str">
        <f>IFERROR(__xludf.DUMMYFUNCTION("""COMPUTED_VALUE"""),"Uncle Sams Cider (11/12/2021) 02")</f>
        <v>Uncle Sams Cider (11/12/2021) 02</v>
      </c>
      <c r="H4304" s="19"/>
    </row>
    <row r="4305">
      <c r="A4305" s="9"/>
      <c r="B4305" s="15"/>
      <c r="C4305" s="9">
        <f>IFERROR(__xludf.DUMMYFUNCTION("""COMPUTED_VALUE"""),44560.2860620601)</f>
        <v>44560.28606</v>
      </c>
      <c r="D4305" s="15">
        <f>IFERROR(__xludf.DUMMYFUNCTION("""COMPUTED_VALUE"""),1.012)</f>
        <v>1.012</v>
      </c>
      <c r="E4305" s="16">
        <f>IFERROR(__xludf.DUMMYFUNCTION("""COMPUTED_VALUE"""),63.0)</f>
        <v>63</v>
      </c>
      <c r="F4305" s="19" t="str">
        <f>IFERROR(__xludf.DUMMYFUNCTION("""COMPUTED_VALUE"""),"BLACK")</f>
        <v>BLACK</v>
      </c>
      <c r="G4305" s="20" t="str">
        <f>IFERROR(__xludf.DUMMYFUNCTION("""COMPUTED_VALUE"""),"Uncle Sams Cider (11/12/2021) 02")</f>
        <v>Uncle Sams Cider (11/12/2021) 02</v>
      </c>
      <c r="H4305" s="19"/>
    </row>
    <row r="4306">
      <c r="A4306" s="9"/>
      <c r="B4306" s="15"/>
      <c r="C4306" s="9">
        <f>IFERROR(__xludf.DUMMYFUNCTION("""COMPUTED_VALUE"""),44560.2756291435)</f>
        <v>44560.27563</v>
      </c>
      <c r="D4306" s="15">
        <f>IFERROR(__xludf.DUMMYFUNCTION("""COMPUTED_VALUE"""),1.012)</f>
        <v>1.012</v>
      </c>
      <c r="E4306" s="16">
        <f>IFERROR(__xludf.DUMMYFUNCTION("""COMPUTED_VALUE"""),63.0)</f>
        <v>63</v>
      </c>
      <c r="F4306" s="19" t="str">
        <f>IFERROR(__xludf.DUMMYFUNCTION("""COMPUTED_VALUE"""),"BLACK")</f>
        <v>BLACK</v>
      </c>
      <c r="G4306" s="20" t="str">
        <f>IFERROR(__xludf.DUMMYFUNCTION("""COMPUTED_VALUE"""),"Uncle Sams Cider (11/12/2021) 02")</f>
        <v>Uncle Sams Cider (11/12/2021) 02</v>
      </c>
      <c r="H4306" s="19"/>
    </row>
    <row r="4307">
      <c r="A4307" s="9"/>
      <c r="B4307" s="15"/>
      <c r="C4307" s="9">
        <f>IFERROR(__xludf.DUMMYFUNCTION("""COMPUTED_VALUE"""),44560.2652085763)</f>
        <v>44560.26521</v>
      </c>
      <c r="D4307" s="15">
        <f>IFERROR(__xludf.DUMMYFUNCTION("""COMPUTED_VALUE"""),1.012)</f>
        <v>1.012</v>
      </c>
      <c r="E4307" s="16">
        <f>IFERROR(__xludf.DUMMYFUNCTION("""COMPUTED_VALUE"""),63.0)</f>
        <v>63</v>
      </c>
      <c r="F4307" s="19" t="str">
        <f>IFERROR(__xludf.DUMMYFUNCTION("""COMPUTED_VALUE"""),"BLACK")</f>
        <v>BLACK</v>
      </c>
      <c r="G4307" s="20" t="str">
        <f>IFERROR(__xludf.DUMMYFUNCTION("""COMPUTED_VALUE"""),"Uncle Sams Cider (11/12/2021) 02")</f>
        <v>Uncle Sams Cider (11/12/2021) 02</v>
      </c>
      <c r="H4307" s="19"/>
    </row>
    <row r="4308">
      <c r="A4308" s="9"/>
      <c r="B4308" s="15"/>
      <c r="C4308" s="9">
        <f>IFERROR(__xludf.DUMMYFUNCTION("""COMPUTED_VALUE"""),44560.2547889351)</f>
        <v>44560.25479</v>
      </c>
      <c r="D4308" s="15">
        <f>IFERROR(__xludf.DUMMYFUNCTION("""COMPUTED_VALUE"""),1.012)</f>
        <v>1.012</v>
      </c>
      <c r="E4308" s="16">
        <f>IFERROR(__xludf.DUMMYFUNCTION("""COMPUTED_VALUE"""),63.0)</f>
        <v>63</v>
      </c>
      <c r="F4308" s="19" t="str">
        <f>IFERROR(__xludf.DUMMYFUNCTION("""COMPUTED_VALUE"""),"BLACK")</f>
        <v>BLACK</v>
      </c>
      <c r="G4308" s="20" t="str">
        <f>IFERROR(__xludf.DUMMYFUNCTION("""COMPUTED_VALUE"""),"Uncle Sams Cider (11/12/2021) 02")</f>
        <v>Uncle Sams Cider (11/12/2021) 02</v>
      </c>
      <c r="H4308" s="19"/>
    </row>
    <row r="4309">
      <c r="A4309" s="9"/>
      <c r="B4309" s="15"/>
      <c r="C4309" s="9">
        <f>IFERROR(__xludf.DUMMYFUNCTION("""COMPUTED_VALUE"""),44560.244357743)</f>
        <v>44560.24436</v>
      </c>
      <c r="D4309" s="15">
        <f>IFERROR(__xludf.DUMMYFUNCTION("""COMPUTED_VALUE"""),1.012)</f>
        <v>1.012</v>
      </c>
      <c r="E4309" s="16">
        <f>IFERROR(__xludf.DUMMYFUNCTION("""COMPUTED_VALUE"""),63.0)</f>
        <v>63</v>
      </c>
      <c r="F4309" s="19" t="str">
        <f>IFERROR(__xludf.DUMMYFUNCTION("""COMPUTED_VALUE"""),"BLACK")</f>
        <v>BLACK</v>
      </c>
      <c r="G4309" s="20" t="str">
        <f>IFERROR(__xludf.DUMMYFUNCTION("""COMPUTED_VALUE"""),"Uncle Sams Cider (11/12/2021) 02")</f>
        <v>Uncle Sams Cider (11/12/2021) 02</v>
      </c>
      <c r="H4309" s="19"/>
    </row>
    <row r="4310">
      <c r="A4310" s="9"/>
      <c r="B4310" s="15"/>
      <c r="C4310" s="9">
        <f>IFERROR(__xludf.DUMMYFUNCTION("""COMPUTED_VALUE"""),44560.2339353124)</f>
        <v>44560.23394</v>
      </c>
      <c r="D4310" s="15">
        <f>IFERROR(__xludf.DUMMYFUNCTION("""COMPUTED_VALUE"""),1.012)</f>
        <v>1.012</v>
      </c>
      <c r="E4310" s="16">
        <f>IFERROR(__xludf.DUMMYFUNCTION("""COMPUTED_VALUE"""),63.0)</f>
        <v>63</v>
      </c>
      <c r="F4310" s="19" t="str">
        <f>IFERROR(__xludf.DUMMYFUNCTION("""COMPUTED_VALUE"""),"BLACK")</f>
        <v>BLACK</v>
      </c>
      <c r="G4310" s="20" t="str">
        <f>IFERROR(__xludf.DUMMYFUNCTION("""COMPUTED_VALUE"""),"Uncle Sams Cider (11/12/2021) 02")</f>
        <v>Uncle Sams Cider (11/12/2021) 02</v>
      </c>
      <c r="H4310" s="19"/>
    </row>
    <row r="4311">
      <c r="A4311" s="9"/>
      <c r="B4311" s="15"/>
      <c r="C4311" s="9">
        <f>IFERROR(__xludf.DUMMYFUNCTION("""COMPUTED_VALUE"""),44560.2235128935)</f>
        <v>44560.22351</v>
      </c>
      <c r="D4311" s="15">
        <f>IFERROR(__xludf.DUMMYFUNCTION("""COMPUTED_VALUE"""),1.012)</f>
        <v>1.012</v>
      </c>
      <c r="E4311" s="16">
        <f>IFERROR(__xludf.DUMMYFUNCTION("""COMPUTED_VALUE"""),63.0)</f>
        <v>63</v>
      </c>
      <c r="F4311" s="19" t="str">
        <f>IFERROR(__xludf.DUMMYFUNCTION("""COMPUTED_VALUE"""),"BLACK")</f>
        <v>BLACK</v>
      </c>
      <c r="G4311" s="20" t="str">
        <f>IFERROR(__xludf.DUMMYFUNCTION("""COMPUTED_VALUE"""),"Uncle Sams Cider (11/12/2021) 02")</f>
        <v>Uncle Sams Cider (11/12/2021) 02</v>
      </c>
      <c r="H4311" s="19"/>
    </row>
    <row r="4312">
      <c r="A4312" s="9"/>
      <c r="B4312" s="15"/>
      <c r="C4312" s="9">
        <f>IFERROR(__xludf.DUMMYFUNCTION("""COMPUTED_VALUE"""),44560.2130913657)</f>
        <v>44560.21309</v>
      </c>
      <c r="D4312" s="15">
        <f>IFERROR(__xludf.DUMMYFUNCTION("""COMPUTED_VALUE"""),1.012)</f>
        <v>1.012</v>
      </c>
      <c r="E4312" s="16">
        <f>IFERROR(__xludf.DUMMYFUNCTION("""COMPUTED_VALUE"""),63.0)</f>
        <v>63</v>
      </c>
      <c r="F4312" s="19" t="str">
        <f>IFERROR(__xludf.DUMMYFUNCTION("""COMPUTED_VALUE"""),"BLACK")</f>
        <v>BLACK</v>
      </c>
      <c r="G4312" s="20" t="str">
        <f>IFERROR(__xludf.DUMMYFUNCTION("""COMPUTED_VALUE"""),"Uncle Sams Cider (11/12/2021) 02")</f>
        <v>Uncle Sams Cider (11/12/2021) 02</v>
      </c>
      <c r="H4312" s="19"/>
    </row>
    <row r="4313">
      <c r="A4313" s="9"/>
      <c r="B4313" s="15"/>
      <c r="C4313" s="9">
        <f>IFERROR(__xludf.DUMMYFUNCTION("""COMPUTED_VALUE"""),44560.1922269907)</f>
        <v>44560.19223</v>
      </c>
      <c r="D4313" s="15">
        <f>IFERROR(__xludf.DUMMYFUNCTION("""COMPUTED_VALUE"""),1.012)</f>
        <v>1.012</v>
      </c>
      <c r="E4313" s="16">
        <f>IFERROR(__xludf.DUMMYFUNCTION("""COMPUTED_VALUE"""),63.0)</f>
        <v>63</v>
      </c>
      <c r="F4313" s="19" t="str">
        <f>IFERROR(__xludf.DUMMYFUNCTION("""COMPUTED_VALUE"""),"BLACK")</f>
        <v>BLACK</v>
      </c>
      <c r="G4313" s="20" t="str">
        <f>IFERROR(__xludf.DUMMYFUNCTION("""COMPUTED_VALUE"""),"Uncle Sams Cider (11/12/2021) 02")</f>
        <v>Uncle Sams Cider (11/12/2021) 02</v>
      </c>
      <c r="H4313" s="19"/>
    </row>
    <row r="4314">
      <c r="A4314" s="9"/>
      <c r="B4314" s="15"/>
      <c r="C4314" s="9">
        <f>IFERROR(__xludf.DUMMYFUNCTION("""COMPUTED_VALUE"""),44560.1818071527)</f>
        <v>44560.18181</v>
      </c>
      <c r="D4314" s="15">
        <f>IFERROR(__xludf.DUMMYFUNCTION("""COMPUTED_VALUE"""),1.012)</f>
        <v>1.012</v>
      </c>
      <c r="E4314" s="16">
        <f>IFERROR(__xludf.DUMMYFUNCTION("""COMPUTED_VALUE"""),63.0)</f>
        <v>63</v>
      </c>
      <c r="F4314" s="19" t="str">
        <f>IFERROR(__xludf.DUMMYFUNCTION("""COMPUTED_VALUE"""),"BLACK")</f>
        <v>BLACK</v>
      </c>
      <c r="G4314" s="20" t="str">
        <f>IFERROR(__xludf.DUMMYFUNCTION("""COMPUTED_VALUE"""),"Uncle Sams Cider (11/12/2021) 02")</f>
        <v>Uncle Sams Cider (11/12/2021) 02</v>
      </c>
      <c r="H4314" s="19"/>
    </row>
    <row r="4315">
      <c r="A4315" s="9"/>
      <c r="B4315" s="15"/>
      <c r="C4315" s="9">
        <f>IFERROR(__xludf.DUMMYFUNCTION("""COMPUTED_VALUE"""),44560.1713742592)</f>
        <v>44560.17137</v>
      </c>
      <c r="D4315" s="15">
        <f>IFERROR(__xludf.DUMMYFUNCTION("""COMPUTED_VALUE"""),1.012)</f>
        <v>1.012</v>
      </c>
      <c r="E4315" s="16">
        <f>IFERROR(__xludf.DUMMYFUNCTION("""COMPUTED_VALUE"""),63.0)</f>
        <v>63</v>
      </c>
      <c r="F4315" s="19" t="str">
        <f>IFERROR(__xludf.DUMMYFUNCTION("""COMPUTED_VALUE"""),"BLACK")</f>
        <v>BLACK</v>
      </c>
      <c r="G4315" s="20" t="str">
        <f>IFERROR(__xludf.DUMMYFUNCTION("""COMPUTED_VALUE"""),"Uncle Sams Cider (11/12/2021) 02")</f>
        <v>Uncle Sams Cider (11/12/2021) 02</v>
      </c>
      <c r="H4315" s="19"/>
    </row>
    <row r="4316">
      <c r="A4316" s="9"/>
      <c r="B4316" s="15"/>
      <c r="C4316" s="9">
        <f>IFERROR(__xludf.DUMMYFUNCTION("""COMPUTED_VALUE"""),44560.1609533449)</f>
        <v>44560.16095</v>
      </c>
      <c r="D4316" s="15">
        <f>IFERROR(__xludf.DUMMYFUNCTION("""COMPUTED_VALUE"""),1.012)</f>
        <v>1.012</v>
      </c>
      <c r="E4316" s="16">
        <f>IFERROR(__xludf.DUMMYFUNCTION("""COMPUTED_VALUE"""),63.0)</f>
        <v>63</v>
      </c>
      <c r="F4316" s="19" t="str">
        <f>IFERROR(__xludf.DUMMYFUNCTION("""COMPUTED_VALUE"""),"BLACK")</f>
        <v>BLACK</v>
      </c>
      <c r="G4316" s="20" t="str">
        <f>IFERROR(__xludf.DUMMYFUNCTION("""COMPUTED_VALUE"""),"Uncle Sams Cider (11/12/2021) 02")</f>
        <v>Uncle Sams Cider (11/12/2021) 02</v>
      </c>
      <c r="H4316" s="19"/>
    </row>
    <row r="4317">
      <c r="A4317" s="9"/>
      <c r="B4317" s="15"/>
      <c r="C4317" s="9">
        <f>IFERROR(__xludf.DUMMYFUNCTION("""COMPUTED_VALUE"""),44560.1505335879)</f>
        <v>44560.15053</v>
      </c>
      <c r="D4317" s="15">
        <f>IFERROR(__xludf.DUMMYFUNCTION("""COMPUTED_VALUE"""),1.012)</f>
        <v>1.012</v>
      </c>
      <c r="E4317" s="16">
        <f>IFERROR(__xludf.DUMMYFUNCTION("""COMPUTED_VALUE"""),63.0)</f>
        <v>63</v>
      </c>
      <c r="F4317" s="19" t="str">
        <f>IFERROR(__xludf.DUMMYFUNCTION("""COMPUTED_VALUE"""),"BLACK")</f>
        <v>BLACK</v>
      </c>
      <c r="G4317" s="20" t="str">
        <f>IFERROR(__xludf.DUMMYFUNCTION("""COMPUTED_VALUE"""),"Uncle Sams Cider (11/12/2021) 02")</f>
        <v>Uncle Sams Cider (11/12/2021) 02</v>
      </c>
      <c r="H4317" s="19"/>
    </row>
    <row r="4318">
      <c r="A4318" s="9"/>
      <c r="B4318" s="15"/>
      <c r="C4318" s="9">
        <f>IFERROR(__xludf.DUMMYFUNCTION("""COMPUTED_VALUE"""),44560.1401130208)</f>
        <v>44560.14011</v>
      </c>
      <c r="D4318" s="15">
        <f>IFERROR(__xludf.DUMMYFUNCTION("""COMPUTED_VALUE"""),1.012)</f>
        <v>1.012</v>
      </c>
      <c r="E4318" s="16">
        <f>IFERROR(__xludf.DUMMYFUNCTION("""COMPUTED_VALUE"""),63.0)</f>
        <v>63</v>
      </c>
      <c r="F4318" s="19" t="str">
        <f>IFERROR(__xludf.DUMMYFUNCTION("""COMPUTED_VALUE"""),"BLACK")</f>
        <v>BLACK</v>
      </c>
      <c r="G4318" s="20" t="str">
        <f>IFERROR(__xludf.DUMMYFUNCTION("""COMPUTED_VALUE"""),"Uncle Sams Cider (11/12/2021) 02")</f>
        <v>Uncle Sams Cider (11/12/2021) 02</v>
      </c>
      <c r="H4318" s="19"/>
    </row>
    <row r="4319">
      <c r="A4319" s="9"/>
      <c r="B4319" s="15"/>
      <c r="C4319" s="9">
        <f>IFERROR(__xludf.DUMMYFUNCTION("""COMPUTED_VALUE"""),44560.1296901041)</f>
        <v>44560.12969</v>
      </c>
      <c r="D4319" s="15">
        <f>IFERROR(__xludf.DUMMYFUNCTION("""COMPUTED_VALUE"""),1.012)</f>
        <v>1.012</v>
      </c>
      <c r="E4319" s="16">
        <f>IFERROR(__xludf.DUMMYFUNCTION("""COMPUTED_VALUE"""),63.0)</f>
        <v>63</v>
      </c>
      <c r="F4319" s="19" t="str">
        <f>IFERROR(__xludf.DUMMYFUNCTION("""COMPUTED_VALUE"""),"BLACK")</f>
        <v>BLACK</v>
      </c>
      <c r="G4319" s="20" t="str">
        <f>IFERROR(__xludf.DUMMYFUNCTION("""COMPUTED_VALUE"""),"Uncle Sams Cider (11/12/2021) 02")</f>
        <v>Uncle Sams Cider (11/12/2021) 02</v>
      </c>
      <c r="H4319" s="19"/>
    </row>
    <row r="4320">
      <c r="A4320" s="9"/>
      <c r="B4320" s="15"/>
      <c r="C4320" s="9">
        <f>IFERROR(__xludf.DUMMYFUNCTION("""COMPUTED_VALUE"""),44560.1192560416)</f>
        <v>44560.11926</v>
      </c>
      <c r="D4320" s="15">
        <f>IFERROR(__xludf.DUMMYFUNCTION("""COMPUTED_VALUE"""),1.012)</f>
        <v>1.012</v>
      </c>
      <c r="E4320" s="16">
        <f>IFERROR(__xludf.DUMMYFUNCTION("""COMPUTED_VALUE"""),63.0)</f>
        <v>63</v>
      </c>
      <c r="F4320" s="19" t="str">
        <f>IFERROR(__xludf.DUMMYFUNCTION("""COMPUTED_VALUE"""),"BLACK")</f>
        <v>BLACK</v>
      </c>
      <c r="G4320" s="20" t="str">
        <f>IFERROR(__xludf.DUMMYFUNCTION("""COMPUTED_VALUE"""),"Uncle Sams Cider (11/12/2021) 02")</f>
        <v>Uncle Sams Cider (11/12/2021) 02</v>
      </c>
      <c r="H4320" s="19"/>
    </row>
    <row r="4321">
      <c r="A4321" s="9"/>
      <c r="B4321" s="15"/>
      <c r="C4321" s="9">
        <f>IFERROR(__xludf.DUMMYFUNCTION("""COMPUTED_VALUE"""),44560.108833912)</f>
        <v>44560.10883</v>
      </c>
      <c r="D4321" s="15">
        <f>IFERROR(__xludf.DUMMYFUNCTION("""COMPUTED_VALUE"""),1.012)</f>
        <v>1.012</v>
      </c>
      <c r="E4321" s="16">
        <f>IFERROR(__xludf.DUMMYFUNCTION("""COMPUTED_VALUE"""),63.0)</f>
        <v>63</v>
      </c>
      <c r="F4321" s="19" t="str">
        <f>IFERROR(__xludf.DUMMYFUNCTION("""COMPUTED_VALUE"""),"BLACK")</f>
        <v>BLACK</v>
      </c>
      <c r="G4321" s="20" t="str">
        <f>IFERROR(__xludf.DUMMYFUNCTION("""COMPUTED_VALUE"""),"Uncle Sams Cider (11/12/2021) 02")</f>
        <v>Uncle Sams Cider (11/12/2021) 02</v>
      </c>
      <c r="H4321" s="19"/>
    </row>
    <row r="4322">
      <c r="A4322" s="9"/>
      <c r="B4322" s="15"/>
      <c r="C4322" s="9">
        <f>IFERROR(__xludf.DUMMYFUNCTION("""COMPUTED_VALUE"""),44560.0984015509)</f>
        <v>44560.0984</v>
      </c>
      <c r="D4322" s="15">
        <f>IFERROR(__xludf.DUMMYFUNCTION("""COMPUTED_VALUE"""),1.012)</f>
        <v>1.012</v>
      </c>
      <c r="E4322" s="16">
        <f>IFERROR(__xludf.DUMMYFUNCTION("""COMPUTED_VALUE"""),63.0)</f>
        <v>63</v>
      </c>
      <c r="F4322" s="19" t="str">
        <f>IFERROR(__xludf.DUMMYFUNCTION("""COMPUTED_VALUE"""),"BLACK")</f>
        <v>BLACK</v>
      </c>
      <c r="G4322" s="20" t="str">
        <f>IFERROR(__xludf.DUMMYFUNCTION("""COMPUTED_VALUE"""),"Uncle Sams Cider (11/12/2021) 02")</f>
        <v>Uncle Sams Cider (11/12/2021) 02</v>
      </c>
      <c r="H4322" s="19"/>
    </row>
    <row r="4323">
      <c r="A4323" s="9"/>
      <c r="B4323" s="15"/>
      <c r="C4323" s="9">
        <f>IFERROR(__xludf.DUMMYFUNCTION("""COMPUTED_VALUE"""),44560.0879813194)</f>
        <v>44560.08798</v>
      </c>
      <c r="D4323" s="15">
        <f>IFERROR(__xludf.DUMMYFUNCTION("""COMPUTED_VALUE"""),1.012)</f>
        <v>1.012</v>
      </c>
      <c r="E4323" s="16">
        <f>IFERROR(__xludf.DUMMYFUNCTION("""COMPUTED_VALUE"""),63.0)</f>
        <v>63</v>
      </c>
      <c r="F4323" s="19" t="str">
        <f>IFERROR(__xludf.DUMMYFUNCTION("""COMPUTED_VALUE"""),"BLACK")</f>
        <v>BLACK</v>
      </c>
      <c r="G4323" s="20" t="str">
        <f>IFERROR(__xludf.DUMMYFUNCTION("""COMPUTED_VALUE"""),"Uncle Sams Cider (11/12/2021) 02")</f>
        <v>Uncle Sams Cider (11/12/2021) 02</v>
      </c>
      <c r="H4323" s="19"/>
    </row>
    <row r="4324">
      <c r="A4324" s="9"/>
      <c r="B4324" s="15"/>
      <c r="C4324" s="9">
        <f>IFERROR(__xludf.DUMMYFUNCTION("""COMPUTED_VALUE"""),44560.0775605092)</f>
        <v>44560.07756</v>
      </c>
      <c r="D4324" s="15">
        <f>IFERROR(__xludf.DUMMYFUNCTION("""COMPUTED_VALUE"""),1.012)</f>
        <v>1.012</v>
      </c>
      <c r="E4324" s="16">
        <f>IFERROR(__xludf.DUMMYFUNCTION("""COMPUTED_VALUE"""),63.0)</f>
        <v>63</v>
      </c>
      <c r="F4324" s="19" t="str">
        <f>IFERROR(__xludf.DUMMYFUNCTION("""COMPUTED_VALUE"""),"BLACK")</f>
        <v>BLACK</v>
      </c>
      <c r="G4324" s="20" t="str">
        <f>IFERROR(__xludf.DUMMYFUNCTION("""COMPUTED_VALUE"""),"Uncle Sams Cider (11/12/2021) 02")</f>
        <v>Uncle Sams Cider (11/12/2021) 02</v>
      </c>
      <c r="H4324" s="19"/>
    </row>
    <row r="4325">
      <c r="A4325" s="9"/>
      <c r="B4325" s="15"/>
      <c r="C4325" s="9">
        <f>IFERROR(__xludf.DUMMYFUNCTION("""COMPUTED_VALUE"""),44560.0671392013)</f>
        <v>44560.06714</v>
      </c>
      <c r="D4325" s="15">
        <f>IFERROR(__xludf.DUMMYFUNCTION("""COMPUTED_VALUE"""),1.012)</f>
        <v>1.012</v>
      </c>
      <c r="E4325" s="16">
        <f>IFERROR(__xludf.DUMMYFUNCTION("""COMPUTED_VALUE"""),63.0)</f>
        <v>63</v>
      </c>
      <c r="F4325" s="19" t="str">
        <f>IFERROR(__xludf.DUMMYFUNCTION("""COMPUTED_VALUE"""),"BLACK")</f>
        <v>BLACK</v>
      </c>
      <c r="G4325" s="20" t="str">
        <f>IFERROR(__xludf.DUMMYFUNCTION("""COMPUTED_VALUE"""),"Uncle Sams Cider (11/12/2021) 02")</f>
        <v>Uncle Sams Cider (11/12/2021) 02</v>
      </c>
      <c r="H4325" s="19"/>
    </row>
    <row r="4326">
      <c r="A4326" s="9"/>
      <c r="B4326" s="15"/>
      <c r="C4326" s="9">
        <f>IFERROR(__xludf.DUMMYFUNCTION("""COMPUTED_VALUE"""),44560.056716331)</f>
        <v>44560.05672</v>
      </c>
      <c r="D4326" s="15">
        <f>IFERROR(__xludf.DUMMYFUNCTION("""COMPUTED_VALUE"""),1.012)</f>
        <v>1.012</v>
      </c>
      <c r="E4326" s="16">
        <f>IFERROR(__xludf.DUMMYFUNCTION("""COMPUTED_VALUE"""),63.0)</f>
        <v>63</v>
      </c>
      <c r="F4326" s="19" t="str">
        <f>IFERROR(__xludf.DUMMYFUNCTION("""COMPUTED_VALUE"""),"BLACK")</f>
        <v>BLACK</v>
      </c>
      <c r="G4326" s="20" t="str">
        <f>IFERROR(__xludf.DUMMYFUNCTION("""COMPUTED_VALUE"""),"Uncle Sams Cider (11/12/2021) 02")</f>
        <v>Uncle Sams Cider (11/12/2021) 02</v>
      </c>
      <c r="H4326" s="19"/>
    </row>
    <row r="4327">
      <c r="A4327" s="9"/>
      <c r="B4327" s="15"/>
      <c r="C4327" s="9">
        <f>IFERROR(__xludf.DUMMYFUNCTION("""COMPUTED_VALUE"""),44560.0462917129)</f>
        <v>44560.04629</v>
      </c>
      <c r="D4327" s="15">
        <f>IFERROR(__xludf.DUMMYFUNCTION("""COMPUTED_VALUE"""),1.012)</f>
        <v>1.012</v>
      </c>
      <c r="E4327" s="16">
        <f>IFERROR(__xludf.DUMMYFUNCTION("""COMPUTED_VALUE"""),63.0)</f>
        <v>63</v>
      </c>
      <c r="F4327" s="19" t="str">
        <f>IFERROR(__xludf.DUMMYFUNCTION("""COMPUTED_VALUE"""),"BLACK")</f>
        <v>BLACK</v>
      </c>
      <c r="G4327" s="20" t="str">
        <f>IFERROR(__xludf.DUMMYFUNCTION("""COMPUTED_VALUE"""),"Uncle Sams Cider (11/12/2021) 02")</f>
        <v>Uncle Sams Cider (11/12/2021) 02</v>
      </c>
      <c r="H4327" s="19"/>
    </row>
    <row r="4328">
      <c r="A4328" s="9"/>
      <c r="B4328" s="15"/>
      <c r="C4328" s="9">
        <f>IFERROR(__xludf.DUMMYFUNCTION("""COMPUTED_VALUE"""),44560.0358587962)</f>
        <v>44560.03586</v>
      </c>
      <c r="D4328" s="15">
        <f>IFERROR(__xludf.DUMMYFUNCTION("""COMPUTED_VALUE"""),1.012)</f>
        <v>1.012</v>
      </c>
      <c r="E4328" s="16">
        <f>IFERROR(__xludf.DUMMYFUNCTION("""COMPUTED_VALUE"""),63.0)</f>
        <v>63</v>
      </c>
      <c r="F4328" s="19" t="str">
        <f>IFERROR(__xludf.DUMMYFUNCTION("""COMPUTED_VALUE"""),"BLACK")</f>
        <v>BLACK</v>
      </c>
      <c r="G4328" s="20" t="str">
        <f>IFERROR(__xludf.DUMMYFUNCTION("""COMPUTED_VALUE"""),"Uncle Sams Cider (11/12/2021) 02")</f>
        <v>Uncle Sams Cider (11/12/2021) 02</v>
      </c>
      <c r="H4328" s="19"/>
    </row>
    <row r="4329">
      <c r="A4329" s="9"/>
      <c r="B4329" s="15"/>
      <c r="C4329" s="9">
        <f>IFERROR(__xludf.DUMMYFUNCTION("""COMPUTED_VALUE"""),44560.0254375347)</f>
        <v>44560.02544</v>
      </c>
      <c r="D4329" s="15">
        <f>IFERROR(__xludf.DUMMYFUNCTION("""COMPUTED_VALUE"""),1.012)</f>
        <v>1.012</v>
      </c>
      <c r="E4329" s="16">
        <f>IFERROR(__xludf.DUMMYFUNCTION("""COMPUTED_VALUE"""),63.0)</f>
        <v>63</v>
      </c>
      <c r="F4329" s="19" t="str">
        <f>IFERROR(__xludf.DUMMYFUNCTION("""COMPUTED_VALUE"""),"BLACK")</f>
        <v>BLACK</v>
      </c>
      <c r="G4329" s="20" t="str">
        <f>IFERROR(__xludf.DUMMYFUNCTION("""COMPUTED_VALUE"""),"Uncle Sams Cider (11/12/2021) 02")</f>
        <v>Uncle Sams Cider (11/12/2021) 02</v>
      </c>
      <c r="H4329" s="19"/>
    </row>
    <row r="4330">
      <c r="A4330" s="9"/>
      <c r="B4330" s="15"/>
      <c r="C4330" s="9">
        <f>IFERROR(__xludf.DUMMYFUNCTION("""COMPUTED_VALUE"""),44560.0150160532)</f>
        <v>44560.01502</v>
      </c>
      <c r="D4330" s="15">
        <f>IFERROR(__xludf.DUMMYFUNCTION("""COMPUTED_VALUE"""),1.012)</f>
        <v>1.012</v>
      </c>
      <c r="E4330" s="16">
        <f>IFERROR(__xludf.DUMMYFUNCTION("""COMPUTED_VALUE"""),63.0)</f>
        <v>63</v>
      </c>
      <c r="F4330" s="19" t="str">
        <f>IFERROR(__xludf.DUMMYFUNCTION("""COMPUTED_VALUE"""),"BLACK")</f>
        <v>BLACK</v>
      </c>
      <c r="G4330" s="20" t="str">
        <f>IFERROR(__xludf.DUMMYFUNCTION("""COMPUTED_VALUE"""),"Uncle Sams Cider (11/12/2021) 02")</f>
        <v>Uncle Sams Cider (11/12/2021) 02</v>
      </c>
      <c r="H4330" s="19"/>
    </row>
    <row r="4331">
      <c r="A4331" s="9"/>
      <c r="B4331" s="15"/>
      <c r="C4331" s="9">
        <f>IFERROR(__xludf.DUMMYFUNCTION("""COMPUTED_VALUE"""),44560.004595162)</f>
        <v>44560.0046</v>
      </c>
      <c r="D4331" s="15">
        <f>IFERROR(__xludf.DUMMYFUNCTION("""COMPUTED_VALUE"""),1.012)</f>
        <v>1.012</v>
      </c>
      <c r="E4331" s="16">
        <f>IFERROR(__xludf.DUMMYFUNCTION("""COMPUTED_VALUE"""),63.0)</f>
        <v>63</v>
      </c>
      <c r="F4331" s="19" t="str">
        <f>IFERROR(__xludf.DUMMYFUNCTION("""COMPUTED_VALUE"""),"BLACK")</f>
        <v>BLACK</v>
      </c>
      <c r="G4331" s="20" t="str">
        <f>IFERROR(__xludf.DUMMYFUNCTION("""COMPUTED_VALUE"""),"Uncle Sams Cider (11/12/2021) 02")</f>
        <v>Uncle Sams Cider (11/12/2021) 02</v>
      </c>
      <c r="H4331" s="19"/>
    </row>
    <row r="4332">
      <c r="A4332" s="9"/>
      <c r="B4332" s="15"/>
      <c r="C4332" s="9">
        <f>IFERROR(__xludf.DUMMYFUNCTION("""COMPUTED_VALUE"""),44559.9941731828)</f>
        <v>44559.99417</v>
      </c>
      <c r="D4332" s="15">
        <f>IFERROR(__xludf.DUMMYFUNCTION("""COMPUTED_VALUE"""),1.012)</f>
        <v>1.012</v>
      </c>
      <c r="E4332" s="16">
        <f>IFERROR(__xludf.DUMMYFUNCTION("""COMPUTED_VALUE"""),63.0)</f>
        <v>63</v>
      </c>
      <c r="F4332" s="19" t="str">
        <f>IFERROR(__xludf.DUMMYFUNCTION("""COMPUTED_VALUE"""),"BLACK")</f>
        <v>BLACK</v>
      </c>
      <c r="G4332" s="20" t="str">
        <f>IFERROR(__xludf.DUMMYFUNCTION("""COMPUTED_VALUE"""),"Uncle Sams Cider (11/12/2021) 02")</f>
        <v>Uncle Sams Cider (11/12/2021) 02</v>
      </c>
      <c r="H4332" s="19"/>
    </row>
    <row r="4333">
      <c r="A4333" s="9"/>
      <c r="B4333" s="15"/>
      <c r="C4333" s="9">
        <f>IFERROR(__xludf.DUMMYFUNCTION("""COMPUTED_VALUE"""),44559.9837531365)</f>
        <v>44559.98375</v>
      </c>
      <c r="D4333" s="15">
        <f>IFERROR(__xludf.DUMMYFUNCTION("""COMPUTED_VALUE"""),1.012)</f>
        <v>1.012</v>
      </c>
      <c r="E4333" s="16">
        <f>IFERROR(__xludf.DUMMYFUNCTION("""COMPUTED_VALUE"""),63.0)</f>
        <v>63</v>
      </c>
      <c r="F4333" s="19" t="str">
        <f>IFERROR(__xludf.DUMMYFUNCTION("""COMPUTED_VALUE"""),"BLACK")</f>
        <v>BLACK</v>
      </c>
      <c r="G4333" s="20" t="str">
        <f>IFERROR(__xludf.DUMMYFUNCTION("""COMPUTED_VALUE"""),"Uncle Sams Cider (11/12/2021) 02")</f>
        <v>Uncle Sams Cider (11/12/2021) 02</v>
      </c>
      <c r="H4333" s="19"/>
    </row>
    <row r="4334">
      <c r="A4334" s="9"/>
      <c r="B4334" s="15"/>
      <c r="C4334" s="9">
        <f>IFERROR(__xludf.DUMMYFUNCTION("""COMPUTED_VALUE"""),44559.9733314351)</f>
        <v>44559.97333</v>
      </c>
      <c r="D4334" s="15">
        <f>IFERROR(__xludf.DUMMYFUNCTION("""COMPUTED_VALUE"""),1.012)</f>
        <v>1.012</v>
      </c>
      <c r="E4334" s="16">
        <f>IFERROR(__xludf.DUMMYFUNCTION("""COMPUTED_VALUE"""),63.0)</f>
        <v>63</v>
      </c>
      <c r="F4334" s="19" t="str">
        <f>IFERROR(__xludf.DUMMYFUNCTION("""COMPUTED_VALUE"""),"BLACK")</f>
        <v>BLACK</v>
      </c>
      <c r="G4334" s="20" t="str">
        <f>IFERROR(__xludf.DUMMYFUNCTION("""COMPUTED_VALUE"""),"Uncle Sams Cider (11/12/2021) 02")</f>
        <v>Uncle Sams Cider (11/12/2021) 02</v>
      </c>
      <c r="H4334" s="19"/>
    </row>
    <row r="4335">
      <c r="A4335" s="9"/>
      <c r="B4335" s="15"/>
      <c r="C4335" s="9">
        <f>IFERROR(__xludf.DUMMYFUNCTION("""COMPUTED_VALUE"""),44559.9629110532)</f>
        <v>44559.96291</v>
      </c>
      <c r="D4335" s="15">
        <f>IFERROR(__xludf.DUMMYFUNCTION("""COMPUTED_VALUE"""),1.012)</f>
        <v>1.012</v>
      </c>
      <c r="E4335" s="16">
        <f>IFERROR(__xludf.DUMMYFUNCTION("""COMPUTED_VALUE"""),63.0)</f>
        <v>63</v>
      </c>
      <c r="F4335" s="19" t="str">
        <f>IFERROR(__xludf.DUMMYFUNCTION("""COMPUTED_VALUE"""),"BLACK")</f>
        <v>BLACK</v>
      </c>
      <c r="G4335" s="20" t="str">
        <f>IFERROR(__xludf.DUMMYFUNCTION("""COMPUTED_VALUE"""),"Uncle Sams Cider (11/12/2021) 02")</f>
        <v>Uncle Sams Cider (11/12/2021) 02</v>
      </c>
      <c r="H4335" s="19"/>
    </row>
    <row r="4336">
      <c r="A4336" s="9"/>
      <c r="B4336" s="15"/>
      <c r="C4336" s="9">
        <f>IFERROR(__xludf.DUMMYFUNCTION("""COMPUTED_VALUE"""),44559.9524548495)</f>
        <v>44559.95245</v>
      </c>
      <c r="D4336" s="15">
        <f>IFERROR(__xludf.DUMMYFUNCTION("""COMPUTED_VALUE"""),1.012)</f>
        <v>1.012</v>
      </c>
      <c r="E4336" s="16">
        <f>IFERROR(__xludf.DUMMYFUNCTION("""COMPUTED_VALUE"""),63.0)</f>
        <v>63</v>
      </c>
      <c r="F4336" s="19" t="str">
        <f>IFERROR(__xludf.DUMMYFUNCTION("""COMPUTED_VALUE"""),"BLACK")</f>
        <v>BLACK</v>
      </c>
      <c r="G4336" s="20" t="str">
        <f>IFERROR(__xludf.DUMMYFUNCTION("""COMPUTED_VALUE"""),"Uncle Sams Cider (11/12/2021) 02")</f>
        <v>Uncle Sams Cider (11/12/2021) 02</v>
      </c>
      <c r="H4336" s="19"/>
    </row>
    <row r="4337">
      <c r="A4337" s="9"/>
      <c r="B4337" s="15"/>
      <c r="C4337" s="9">
        <f>IFERROR(__xludf.DUMMYFUNCTION("""COMPUTED_VALUE"""),44559.9420356944)</f>
        <v>44559.94204</v>
      </c>
      <c r="D4337" s="15">
        <f>IFERROR(__xludf.DUMMYFUNCTION("""COMPUTED_VALUE"""),1.012)</f>
        <v>1.012</v>
      </c>
      <c r="E4337" s="16">
        <f>IFERROR(__xludf.DUMMYFUNCTION("""COMPUTED_VALUE"""),63.0)</f>
        <v>63</v>
      </c>
      <c r="F4337" s="19" t="str">
        <f>IFERROR(__xludf.DUMMYFUNCTION("""COMPUTED_VALUE"""),"BLACK")</f>
        <v>BLACK</v>
      </c>
      <c r="G4337" s="20" t="str">
        <f>IFERROR(__xludf.DUMMYFUNCTION("""COMPUTED_VALUE"""),"Uncle Sams Cider (11/12/2021) 02")</f>
        <v>Uncle Sams Cider (11/12/2021) 02</v>
      </c>
      <c r="H4337" s="19"/>
    </row>
    <row r="4338">
      <c r="A4338" s="9"/>
      <c r="B4338" s="15"/>
      <c r="C4338" s="9">
        <f>IFERROR(__xludf.DUMMYFUNCTION("""COMPUTED_VALUE"""),44559.9316143518)</f>
        <v>44559.93161</v>
      </c>
      <c r="D4338" s="15">
        <f>IFERROR(__xludf.DUMMYFUNCTION("""COMPUTED_VALUE"""),1.012)</f>
        <v>1.012</v>
      </c>
      <c r="E4338" s="16">
        <f>IFERROR(__xludf.DUMMYFUNCTION("""COMPUTED_VALUE"""),63.0)</f>
        <v>63</v>
      </c>
      <c r="F4338" s="19" t="str">
        <f>IFERROR(__xludf.DUMMYFUNCTION("""COMPUTED_VALUE"""),"BLACK")</f>
        <v>BLACK</v>
      </c>
      <c r="G4338" s="20" t="str">
        <f>IFERROR(__xludf.DUMMYFUNCTION("""COMPUTED_VALUE"""),"Uncle Sams Cider (11/12/2021) 02")</f>
        <v>Uncle Sams Cider (11/12/2021) 02</v>
      </c>
      <c r="H4338" s="19"/>
    </row>
    <row r="4339">
      <c r="A4339" s="9"/>
      <c r="B4339" s="15"/>
      <c r="C4339" s="9">
        <f>IFERROR(__xludf.DUMMYFUNCTION("""COMPUTED_VALUE"""),44559.921194375)</f>
        <v>44559.92119</v>
      </c>
      <c r="D4339" s="15">
        <f>IFERROR(__xludf.DUMMYFUNCTION("""COMPUTED_VALUE"""),1.012)</f>
        <v>1.012</v>
      </c>
      <c r="E4339" s="16">
        <f>IFERROR(__xludf.DUMMYFUNCTION("""COMPUTED_VALUE"""),63.0)</f>
        <v>63</v>
      </c>
      <c r="F4339" s="19" t="str">
        <f>IFERROR(__xludf.DUMMYFUNCTION("""COMPUTED_VALUE"""),"BLACK")</f>
        <v>BLACK</v>
      </c>
      <c r="G4339" s="20" t="str">
        <f>IFERROR(__xludf.DUMMYFUNCTION("""COMPUTED_VALUE"""),"Uncle Sams Cider (11/12/2021) 02")</f>
        <v>Uncle Sams Cider (11/12/2021) 02</v>
      </c>
      <c r="H4339" s="19"/>
    </row>
    <row r="4340">
      <c r="A4340" s="9"/>
      <c r="B4340" s="15"/>
      <c r="C4340" s="9">
        <f>IFERROR(__xludf.DUMMYFUNCTION("""COMPUTED_VALUE"""),44559.9107497222)</f>
        <v>44559.91075</v>
      </c>
      <c r="D4340" s="15">
        <f>IFERROR(__xludf.DUMMYFUNCTION("""COMPUTED_VALUE"""),1.012)</f>
        <v>1.012</v>
      </c>
      <c r="E4340" s="16">
        <f>IFERROR(__xludf.DUMMYFUNCTION("""COMPUTED_VALUE"""),63.0)</f>
        <v>63</v>
      </c>
      <c r="F4340" s="19" t="str">
        <f>IFERROR(__xludf.DUMMYFUNCTION("""COMPUTED_VALUE"""),"BLACK")</f>
        <v>BLACK</v>
      </c>
      <c r="G4340" s="20" t="str">
        <f>IFERROR(__xludf.DUMMYFUNCTION("""COMPUTED_VALUE"""),"Uncle Sams Cider (11/12/2021) 02")</f>
        <v>Uncle Sams Cider (11/12/2021) 02</v>
      </c>
      <c r="H4340" s="19"/>
    </row>
    <row r="4341">
      <c r="A4341" s="9"/>
      <c r="B4341" s="15"/>
      <c r="C4341" s="9">
        <f>IFERROR(__xludf.DUMMYFUNCTION("""COMPUTED_VALUE"""),44559.9003268171)</f>
        <v>44559.90033</v>
      </c>
      <c r="D4341" s="15">
        <f>IFERROR(__xludf.DUMMYFUNCTION("""COMPUTED_VALUE"""),1.012)</f>
        <v>1.012</v>
      </c>
      <c r="E4341" s="16">
        <f>IFERROR(__xludf.DUMMYFUNCTION("""COMPUTED_VALUE"""),63.0)</f>
        <v>63</v>
      </c>
      <c r="F4341" s="19" t="str">
        <f>IFERROR(__xludf.DUMMYFUNCTION("""COMPUTED_VALUE"""),"BLACK")</f>
        <v>BLACK</v>
      </c>
      <c r="G4341" s="20" t="str">
        <f>IFERROR(__xludf.DUMMYFUNCTION("""COMPUTED_VALUE"""),"Uncle Sams Cider (11/12/2021) 02")</f>
        <v>Uncle Sams Cider (11/12/2021) 02</v>
      </c>
      <c r="H4341" s="19"/>
    </row>
    <row r="4342">
      <c r="A4342" s="9"/>
      <c r="B4342" s="15"/>
      <c r="C4342" s="9">
        <f>IFERROR(__xludf.DUMMYFUNCTION("""COMPUTED_VALUE"""),44559.8899056944)</f>
        <v>44559.88991</v>
      </c>
      <c r="D4342" s="15">
        <f>IFERROR(__xludf.DUMMYFUNCTION("""COMPUTED_VALUE"""),1.012)</f>
        <v>1.012</v>
      </c>
      <c r="E4342" s="16">
        <f>IFERROR(__xludf.DUMMYFUNCTION("""COMPUTED_VALUE"""),63.0)</f>
        <v>63</v>
      </c>
      <c r="F4342" s="19" t="str">
        <f>IFERROR(__xludf.DUMMYFUNCTION("""COMPUTED_VALUE"""),"BLACK")</f>
        <v>BLACK</v>
      </c>
      <c r="G4342" s="20" t="str">
        <f>IFERROR(__xludf.DUMMYFUNCTION("""COMPUTED_VALUE"""),"Uncle Sams Cider (11/12/2021) 02")</f>
        <v>Uncle Sams Cider (11/12/2021) 02</v>
      </c>
      <c r="H4342" s="19"/>
    </row>
    <row r="4343">
      <c r="A4343" s="9"/>
      <c r="B4343" s="15"/>
      <c r="C4343" s="9">
        <f>IFERROR(__xludf.DUMMYFUNCTION("""COMPUTED_VALUE"""),44559.8794861458)</f>
        <v>44559.87949</v>
      </c>
      <c r="D4343" s="15">
        <f>IFERROR(__xludf.DUMMYFUNCTION("""COMPUTED_VALUE"""),1.012)</f>
        <v>1.012</v>
      </c>
      <c r="E4343" s="16">
        <f>IFERROR(__xludf.DUMMYFUNCTION("""COMPUTED_VALUE"""),63.0)</f>
        <v>63</v>
      </c>
      <c r="F4343" s="19" t="str">
        <f>IFERROR(__xludf.DUMMYFUNCTION("""COMPUTED_VALUE"""),"BLACK")</f>
        <v>BLACK</v>
      </c>
      <c r="G4343" s="20" t="str">
        <f>IFERROR(__xludf.DUMMYFUNCTION("""COMPUTED_VALUE"""),"Uncle Sams Cider (11/12/2021) 02")</f>
        <v>Uncle Sams Cider (11/12/2021) 02</v>
      </c>
      <c r="H4343" s="19"/>
    </row>
    <row r="4344">
      <c r="A4344" s="9"/>
      <c r="B4344" s="15"/>
      <c r="C4344" s="9">
        <f>IFERROR(__xludf.DUMMYFUNCTION("""COMPUTED_VALUE"""),44559.8690650231)</f>
        <v>44559.86907</v>
      </c>
      <c r="D4344" s="15">
        <f>IFERROR(__xludf.DUMMYFUNCTION("""COMPUTED_VALUE"""),1.012)</f>
        <v>1.012</v>
      </c>
      <c r="E4344" s="16">
        <f>IFERROR(__xludf.DUMMYFUNCTION("""COMPUTED_VALUE"""),63.0)</f>
        <v>63</v>
      </c>
      <c r="F4344" s="19" t="str">
        <f>IFERROR(__xludf.DUMMYFUNCTION("""COMPUTED_VALUE"""),"BLACK")</f>
        <v>BLACK</v>
      </c>
      <c r="G4344" s="20" t="str">
        <f>IFERROR(__xludf.DUMMYFUNCTION("""COMPUTED_VALUE"""),"Uncle Sams Cider (11/12/2021) 02")</f>
        <v>Uncle Sams Cider (11/12/2021) 02</v>
      </c>
      <c r="H4344" s="19"/>
    </row>
    <row r="4345">
      <c r="A4345" s="9"/>
      <c r="B4345" s="15"/>
      <c r="C4345" s="9">
        <f>IFERROR(__xludf.DUMMYFUNCTION("""COMPUTED_VALUE"""),44559.858644375)</f>
        <v>44559.85864</v>
      </c>
      <c r="D4345" s="15">
        <f>IFERROR(__xludf.DUMMYFUNCTION("""COMPUTED_VALUE"""),1.012)</f>
        <v>1.012</v>
      </c>
      <c r="E4345" s="16">
        <f>IFERROR(__xludf.DUMMYFUNCTION("""COMPUTED_VALUE"""),63.0)</f>
        <v>63</v>
      </c>
      <c r="F4345" s="19" t="str">
        <f>IFERROR(__xludf.DUMMYFUNCTION("""COMPUTED_VALUE"""),"BLACK")</f>
        <v>BLACK</v>
      </c>
      <c r="G4345" s="20" t="str">
        <f>IFERROR(__xludf.DUMMYFUNCTION("""COMPUTED_VALUE"""),"Uncle Sams Cider (11/12/2021) 02")</f>
        <v>Uncle Sams Cider (11/12/2021) 02</v>
      </c>
      <c r="H4345" s="19"/>
    </row>
    <row r="4346">
      <c r="A4346" s="9"/>
      <c r="B4346" s="15"/>
      <c r="C4346" s="9">
        <f>IFERROR(__xludf.DUMMYFUNCTION("""COMPUTED_VALUE"""),44559.8482106134)</f>
        <v>44559.84821</v>
      </c>
      <c r="D4346" s="15">
        <f>IFERROR(__xludf.DUMMYFUNCTION("""COMPUTED_VALUE"""),1.012)</f>
        <v>1.012</v>
      </c>
      <c r="E4346" s="16">
        <f>IFERROR(__xludf.DUMMYFUNCTION("""COMPUTED_VALUE"""),63.0)</f>
        <v>63</v>
      </c>
      <c r="F4346" s="19" t="str">
        <f>IFERROR(__xludf.DUMMYFUNCTION("""COMPUTED_VALUE"""),"BLACK")</f>
        <v>BLACK</v>
      </c>
      <c r="G4346" s="20" t="str">
        <f>IFERROR(__xludf.DUMMYFUNCTION("""COMPUTED_VALUE"""),"Uncle Sams Cider (11/12/2021) 02")</f>
        <v>Uncle Sams Cider (11/12/2021) 02</v>
      </c>
      <c r="H4346" s="19"/>
    </row>
    <row r="4347">
      <c r="A4347" s="9"/>
      <c r="B4347" s="15"/>
      <c r="C4347" s="9">
        <f>IFERROR(__xludf.DUMMYFUNCTION("""COMPUTED_VALUE"""),44559.8377558217)</f>
        <v>44559.83776</v>
      </c>
      <c r="D4347" s="15">
        <f>IFERROR(__xludf.DUMMYFUNCTION("""COMPUTED_VALUE"""),1.012)</f>
        <v>1.012</v>
      </c>
      <c r="E4347" s="16">
        <f>IFERROR(__xludf.DUMMYFUNCTION("""COMPUTED_VALUE"""),63.0)</f>
        <v>63</v>
      </c>
      <c r="F4347" s="19" t="str">
        <f>IFERROR(__xludf.DUMMYFUNCTION("""COMPUTED_VALUE"""),"BLACK")</f>
        <v>BLACK</v>
      </c>
      <c r="G4347" s="20" t="str">
        <f>IFERROR(__xludf.DUMMYFUNCTION("""COMPUTED_VALUE"""),"Uncle Sams Cider (11/12/2021) 02")</f>
        <v>Uncle Sams Cider (11/12/2021) 02</v>
      </c>
      <c r="H4347" s="19"/>
    </row>
    <row r="4348">
      <c r="A4348" s="9"/>
      <c r="B4348" s="15"/>
      <c r="C4348" s="9">
        <f>IFERROR(__xludf.DUMMYFUNCTION("""COMPUTED_VALUE"""),44559.8273232986)</f>
        <v>44559.82732</v>
      </c>
      <c r="D4348" s="15">
        <f>IFERROR(__xludf.DUMMYFUNCTION("""COMPUTED_VALUE"""),1.012)</f>
        <v>1.012</v>
      </c>
      <c r="E4348" s="16">
        <f>IFERROR(__xludf.DUMMYFUNCTION("""COMPUTED_VALUE"""),63.0)</f>
        <v>63</v>
      </c>
      <c r="F4348" s="19" t="str">
        <f>IFERROR(__xludf.DUMMYFUNCTION("""COMPUTED_VALUE"""),"BLACK")</f>
        <v>BLACK</v>
      </c>
      <c r="G4348" s="20" t="str">
        <f>IFERROR(__xludf.DUMMYFUNCTION("""COMPUTED_VALUE"""),"Uncle Sams Cider (11/12/2021) 02")</f>
        <v>Uncle Sams Cider (11/12/2021) 02</v>
      </c>
      <c r="H4348" s="19"/>
    </row>
    <row r="4349">
      <c r="A4349" s="9"/>
      <c r="B4349" s="15"/>
      <c r="C4349" s="9">
        <f>IFERROR(__xludf.DUMMYFUNCTION("""COMPUTED_VALUE"""),44559.8169038888)</f>
        <v>44559.8169</v>
      </c>
      <c r="D4349" s="15">
        <f>IFERROR(__xludf.DUMMYFUNCTION("""COMPUTED_VALUE"""),1.012)</f>
        <v>1.012</v>
      </c>
      <c r="E4349" s="16">
        <f>IFERROR(__xludf.DUMMYFUNCTION("""COMPUTED_VALUE"""),63.0)</f>
        <v>63</v>
      </c>
      <c r="F4349" s="19" t="str">
        <f>IFERROR(__xludf.DUMMYFUNCTION("""COMPUTED_VALUE"""),"BLACK")</f>
        <v>BLACK</v>
      </c>
      <c r="G4349" s="20" t="str">
        <f>IFERROR(__xludf.DUMMYFUNCTION("""COMPUTED_VALUE"""),"Uncle Sams Cider (11/12/2021) 02")</f>
        <v>Uncle Sams Cider (11/12/2021) 02</v>
      </c>
      <c r="H4349" s="19"/>
    </row>
    <row r="4350">
      <c r="A4350" s="9"/>
      <c r="B4350" s="15"/>
      <c r="C4350" s="9">
        <f>IFERROR(__xludf.DUMMYFUNCTION("""COMPUTED_VALUE"""),44559.8064717476)</f>
        <v>44559.80647</v>
      </c>
      <c r="D4350" s="15">
        <f>IFERROR(__xludf.DUMMYFUNCTION("""COMPUTED_VALUE"""),1.012)</f>
        <v>1.012</v>
      </c>
      <c r="E4350" s="16">
        <f>IFERROR(__xludf.DUMMYFUNCTION("""COMPUTED_VALUE"""),63.0)</f>
        <v>63</v>
      </c>
      <c r="F4350" s="19" t="str">
        <f>IFERROR(__xludf.DUMMYFUNCTION("""COMPUTED_VALUE"""),"BLACK")</f>
        <v>BLACK</v>
      </c>
      <c r="G4350" s="20" t="str">
        <f>IFERROR(__xludf.DUMMYFUNCTION("""COMPUTED_VALUE"""),"Uncle Sams Cider (11/12/2021) 02")</f>
        <v>Uncle Sams Cider (11/12/2021) 02</v>
      </c>
      <c r="H4350" s="19"/>
    </row>
    <row r="4351">
      <c r="A4351" s="9"/>
      <c r="B4351" s="15"/>
      <c r="C4351" s="9">
        <f>IFERROR(__xludf.DUMMYFUNCTION("""COMPUTED_VALUE"""),44559.7960505555)</f>
        <v>44559.79605</v>
      </c>
      <c r="D4351" s="15">
        <f>IFERROR(__xludf.DUMMYFUNCTION("""COMPUTED_VALUE"""),1.012)</f>
        <v>1.012</v>
      </c>
      <c r="E4351" s="16">
        <f>IFERROR(__xludf.DUMMYFUNCTION("""COMPUTED_VALUE"""),63.0)</f>
        <v>63</v>
      </c>
      <c r="F4351" s="19" t="str">
        <f>IFERROR(__xludf.DUMMYFUNCTION("""COMPUTED_VALUE"""),"BLACK")</f>
        <v>BLACK</v>
      </c>
      <c r="G4351" s="20" t="str">
        <f>IFERROR(__xludf.DUMMYFUNCTION("""COMPUTED_VALUE"""),"Uncle Sams Cider (11/12/2021) 02")</f>
        <v>Uncle Sams Cider (11/12/2021) 02</v>
      </c>
      <c r="H4351" s="19"/>
    </row>
    <row r="4352">
      <c r="A4352" s="9"/>
      <c r="B4352" s="15"/>
      <c r="C4352" s="9">
        <f>IFERROR(__xludf.DUMMYFUNCTION("""COMPUTED_VALUE"""),44559.7856298263)</f>
        <v>44559.78563</v>
      </c>
      <c r="D4352" s="15">
        <f>IFERROR(__xludf.DUMMYFUNCTION("""COMPUTED_VALUE"""),1.012)</f>
        <v>1.012</v>
      </c>
      <c r="E4352" s="16">
        <f>IFERROR(__xludf.DUMMYFUNCTION("""COMPUTED_VALUE"""),63.0)</f>
        <v>63</v>
      </c>
      <c r="F4352" s="19" t="str">
        <f>IFERROR(__xludf.DUMMYFUNCTION("""COMPUTED_VALUE"""),"BLACK")</f>
        <v>BLACK</v>
      </c>
      <c r="G4352" s="20" t="str">
        <f>IFERROR(__xludf.DUMMYFUNCTION("""COMPUTED_VALUE"""),"Uncle Sams Cider (11/12/2021) 02")</f>
        <v>Uncle Sams Cider (11/12/2021) 02</v>
      </c>
      <c r="H4352" s="19"/>
    </row>
    <row r="4353">
      <c r="A4353" s="9"/>
      <c r="B4353" s="15"/>
      <c r="C4353" s="9">
        <f>IFERROR(__xludf.DUMMYFUNCTION("""COMPUTED_VALUE"""),44559.7752090277)</f>
        <v>44559.77521</v>
      </c>
      <c r="D4353" s="15">
        <f>IFERROR(__xludf.DUMMYFUNCTION("""COMPUTED_VALUE"""),1.012)</f>
        <v>1.012</v>
      </c>
      <c r="E4353" s="16">
        <f>IFERROR(__xludf.DUMMYFUNCTION("""COMPUTED_VALUE"""),63.0)</f>
        <v>63</v>
      </c>
      <c r="F4353" s="19" t="str">
        <f>IFERROR(__xludf.DUMMYFUNCTION("""COMPUTED_VALUE"""),"BLACK")</f>
        <v>BLACK</v>
      </c>
      <c r="G4353" s="20" t="str">
        <f>IFERROR(__xludf.DUMMYFUNCTION("""COMPUTED_VALUE"""),"Uncle Sams Cider (11/12/2021) 02")</f>
        <v>Uncle Sams Cider (11/12/2021) 02</v>
      </c>
      <c r="H4353" s="19"/>
    </row>
    <row r="4354">
      <c r="A4354" s="9"/>
      <c r="B4354" s="15"/>
      <c r="C4354" s="9">
        <f>IFERROR(__xludf.DUMMYFUNCTION("""COMPUTED_VALUE"""),44559.7647855787)</f>
        <v>44559.76479</v>
      </c>
      <c r="D4354" s="15">
        <f>IFERROR(__xludf.DUMMYFUNCTION("""COMPUTED_VALUE"""),1.012)</f>
        <v>1.012</v>
      </c>
      <c r="E4354" s="16">
        <f>IFERROR(__xludf.DUMMYFUNCTION("""COMPUTED_VALUE"""),63.0)</f>
        <v>63</v>
      </c>
      <c r="F4354" s="19" t="str">
        <f>IFERROR(__xludf.DUMMYFUNCTION("""COMPUTED_VALUE"""),"BLACK")</f>
        <v>BLACK</v>
      </c>
      <c r="G4354" s="20" t="str">
        <f>IFERROR(__xludf.DUMMYFUNCTION("""COMPUTED_VALUE"""),"Uncle Sams Cider (11/12/2021) 02")</f>
        <v>Uncle Sams Cider (11/12/2021) 02</v>
      </c>
      <c r="H4354" s="19"/>
    </row>
    <row r="4355">
      <c r="A4355" s="9"/>
      <c r="B4355" s="15"/>
      <c r="C4355" s="9">
        <f>IFERROR(__xludf.DUMMYFUNCTION("""COMPUTED_VALUE"""),44559.7543530324)</f>
        <v>44559.75435</v>
      </c>
      <c r="D4355" s="15">
        <f>IFERROR(__xludf.DUMMYFUNCTION("""COMPUTED_VALUE"""),1.012)</f>
        <v>1.012</v>
      </c>
      <c r="E4355" s="16">
        <f>IFERROR(__xludf.DUMMYFUNCTION("""COMPUTED_VALUE"""),63.0)</f>
        <v>63</v>
      </c>
      <c r="F4355" s="19" t="str">
        <f>IFERROR(__xludf.DUMMYFUNCTION("""COMPUTED_VALUE"""),"BLACK")</f>
        <v>BLACK</v>
      </c>
      <c r="G4355" s="20" t="str">
        <f>IFERROR(__xludf.DUMMYFUNCTION("""COMPUTED_VALUE"""),"Uncle Sams Cider (11/12/2021) 02")</f>
        <v>Uncle Sams Cider (11/12/2021) 02</v>
      </c>
      <c r="H4355" s="19"/>
    </row>
    <row r="4356">
      <c r="A4356" s="9"/>
      <c r="B4356" s="15"/>
      <c r="C4356" s="9">
        <f>IFERROR(__xludf.DUMMYFUNCTION("""COMPUTED_VALUE"""),44559.7439315393)</f>
        <v>44559.74393</v>
      </c>
      <c r="D4356" s="15">
        <f>IFERROR(__xludf.DUMMYFUNCTION("""COMPUTED_VALUE"""),1.012)</f>
        <v>1.012</v>
      </c>
      <c r="E4356" s="16">
        <f>IFERROR(__xludf.DUMMYFUNCTION("""COMPUTED_VALUE"""),63.0)</f>
        <v>63</v>
      </c>
      <c r="F4356" s="19" t="str">
        <f>IFERROR(__xludf.DUMMYFUNCTION("""COMPUTED_VALUE"""),"BLACK")</f>
        <v>BLACK</v>
      </c>
      <c r="G4356" s="20" t="str">
        <f>IFERROR(__xludf.DUMMYFUNCTION("""COMPUTED_VALUE"""),"Uncle Sams Cider (11/12/2021) 02")</f>
        <v>Uncle Sams Cider (11/12/2021) 02</v>
      </c>
      <c r="H4356" s="19"/>
    </row>
    <row r="4357">
      <c r="A4357" s="9"/>
      <c r="B4357" s="15"/>
      <c r="C4357" s="9">
        <f>IFERROR(__xludf.DUMMYFUNCTION("""COMPUTED_VALUE"""),44559.7335101157)</f>
        <v>44559.73351</v>
      </c>
      <c r="D4357" s="15">
        <f>IFERROR(__xludf.DUMMYFUNCTION("""COMPUTED_VALUE"""),1.012)</f>
        <v>1.012</v>
      </c>
      <c r="E4357" s="16">
        <f>IFERROR(__xludf.DUMMYFUNCTION("""COMPUTED_VALUE"""),63.0)</f>
        <v>63</v>
      </c>
      <c r="F4357" s="19" t="str">
        <f>IFERROR(__xludf.DUMMYFUNCTION("""COMPUTED_VALUE"""),"BLACK")</f>
        <v>BLACK</v>
      </c>
      <c r="G4357" s="20" t="str">
        <f>IFERROR(__xludf.DUMMYFUNCTION("""COMPUTED_VALUE"""),"Uncle Sams Cider (11/12/2021) 02")</f>
        <v>Uncle Sams Cider (11/12/2021) 02</v>
      </c>
      <c r="H4357" s="19"/>
    </row>
    <row r="4358">
      <c r="A4358" s="9"/>
      <c r="B4358" s="15"/>
      <c r="C4358" s="9">
        <f>IFERROR(__xludf.DUMMYFUNCTION("""COMPUTED_VALUE"""),44559.7230886458)</f>
        <v>44559.72309</v>
      </c>
      <c r="D4358" s="15">
        <f>IFERROR(__xludf.DUMMYFUNCTION("""COMPUTED_VALUE"""),1.012)</f>
        <v>1.012</v>
      </c>
      <c r="E4358" s="16">
        <f>IFERROR(__xludf.DUMMYFUNCTION("""COMPUTED_VALUE"""),63.0)</f>
        <v>63</v>
      </c>
      <c r="F4358" s="19" t="str">
        <f>IFERROR(__xludf.DUMMYFUNCTION("""COMPUTED_VALUE"""),"BLACK")</f>
        <v>BLACK</v>
      </c>
      <c r="G4358" s="20" t="str">
        <f>IFERROR(__xludf.DUMMYFUNCTION("""COMPUTED_VALUE"""),"Uncle Sams Cider (11/12/2021) 02")</f>
        <v>Uncle Sams Cider (11/12/2021) 02</v>
      </c>
      <c r="H4358" s="19"/>
    </row>
    <row r="4359">
      <c r="A4359" s="9"/>
      <c r="B4359" s="15"/>
      <c r="C4359" s="9">
        <f>IFERROR(__xludf.DUMMYFUNCTION("""COMPUTED_VALUE"""),44559.7126559374)</f>
        <v>44559.71266</v>
      </c>
      <c r="D4359" s="15">
        <f>IFERROR(__xludf.DUMMYFUNCTION("""COMPUTED_VALUE"""),1.012)</f>
        <v>1.012</v>
      </c>
      <c r="E4359" s="16">
        <f>IFERROR(__xludf.DUMMYFUNCTION("""COMPUTED_VALUE"""),63.0)</f>
        <v>63</v>
      </c>
      <c r="F4359" s="19" t="str">
        <f>IFERROR(__xludf.DUMMYFUNCTION("""COMPUTED_VALUE"""),"BLACK")</f>
        <v>BLACK</v>
      </c>
      <c r="G4359" s="20" t="str">
        <f>IFERROR(__xludf.DUMMYFUNCTION("""COMPUTED_VALUE"""),"Uncle Sams Cider (11/12/2021) 02")</f>
        <v>Uncle Sams Cider (11/12/2021) 02</v>
      </c>
      <c r="H4359" s="19"/>
    </row>
    <row r="4360">
      <c r="A4360" s="9"/>
      <c r="B4360" s="15"/>
      <c r="C4360" s="9">
        <f>IFERROR(__xludf.DUMMYFUNCTION("""COMPUTED_VALUE"""),44559.7022349768)</f>
        <v>44559.70223</v>
      </c>
      <c r="D4360" s="15">
        <f>IFERROR(__xludf.DUMMYFUNCTION("""COMPUTED_VALUE"""),1.012)</f>
        <v>1.012</v>
      </c>
      <c r="E4360" s="16">
        <f>IFERROR(__xludf.DUMMYFUNCTION("""COMPUTED_VALUE"""),63.0)</f>
        <v>63</v>
      </c>
      <c r="F4360" s="19" t="str">
        <f>IFERROR(__xludf.DUMMYFUNCTION("""COMPUTED_VALUE"""),"BLACK")</f>
        <v>BLACK</v>
      </c>
      <c r="G4360" s="20" t="str">
        <f>IFERROR(__xludf.DUMMYFUNCTION("""COMPUTED_VALUE"""),"Uncle Sams Cider (11/12/2021) 02")</f>
        <v>Uncle Sams Cider (11/12/2021) 02</v>
      </c>
      <c r="H4360" s="19"/>
    </row>
    <row r="4361">
      <c r="A4361" s="9"/>
      <c r="B4361" s="15"/>
      <c r="C4361" s="9">
        <f>IFERROR(__xludf.DUMMYFUNCTION("""COMPUTED_VALUE"""),44559.6918138541)</f>
        <v>44559.69181</v>
      </c>
      <c r="D4361" s="15">
        <f>IFERROR(__xludf.DUMMYFUNCTION("""COMPUTED_VALUE"""),1.012)</f>
        <v>1.012</v>
      </c>
      <c r="E4361" s="16">
        <f>IFERROR(__xludf.DUMMYFUNCTION("""COMPUTED_VALUE"""),63.0)</f>
        <v>63</v>
      </c>
      <c r="F4361" s="19" t="str">
        <f>IFERROR(__xludf.DUMMYFUNCTION("""COMPUTED_VALUE"""),"BLACK")</f>
        <v>BLACK</v>
      </c>
      <c r="G4361" s="20" t="str">
        <f>IFERROR(__xludf.DUMMYFUNCTION("""COMPUTED_VALUE"""),"Uncle Sams Cider (11/12/2021) 02")</f>
        <v>Uncle Sams Cider (11/12/2021) 02</v>
      </c>
      <c r="H4361" s="19"/>
    </row>
    <row r="4362">
      <c r="A4362" s="9"/>
      <c r="B4362" s="15"/>
      <c r="C4362" s="9">
        <f>IFERROR(__xludf.DUMMYFUNCTION("""COMPUTED_VALUE"""),44559.6813817592)</f>
        <v>44559.68138</v>
      </c>
      <c r="D4362" s="15">
        <f>IFERROR(__xludf.DUMMYFUNCTION("""COMPUTED_VALUE"""),1.012)</f>
        <v>1.012</v>
      </c>
      <c r="E4362" s="16">
        <f>IFERROR(__xludf.DUMMYFUNCTION("""COMPUTED_VALUE"""),63.0)</f>
        <v>63</v>
      </c>
      <c r="F4362" s="19" t="str">
        <f>IFERROR(__xludf.DUMMYFUNCTION("""COMPUTED_VALUE"""),"BLACK")</f>
        <v>BLACK</v>
      </c>
      <c r="G4362" s="20" t="str">
        <f>IFERROR(__xludf.DUMMYFUNCTION("""COMPUTED_VALUE"""),"Uncle Sams Cider (11/12/2021) 02")</f>
        <v>Uncle Sams Cider (11/12/2021) 02</v>
      </c>
      <c r="H4362" s="19"/>
    </row>
    <row r="4363">
      <c r="A4363" s="9"/>
      <c r="B4363" s="15"/>
      <c r="C4363" s="9">
        <f>IFERROR(__xludf.DUMMYFUNCTION("""COMPUTED_VALUE"""),44559.6709603703)</f>
        <v>44559.67096</v>
      </c>
      <c r="D4363" s="15">
        <f>IFERROR(__xludf.DUMMYFUNCTION("""COMPUTED_VALUE"""),1.012)</f>
        <v>1.012</v>
      </c>
      <c r="E4363" s="16">
        <f>IFERROR(__xludf.DUMMYFUNCTION("""COMPUTED_VALUE"""),63.0)</f>
        <v>63</v>
      </c>
      <c r="F4363" s="19" t="str">
        <f>IFERROR(__xludf.DUMMYFUNCTION("""COMPUTED_VALUE"""),"BLACK")</f>
        <v>BLACK</v>
      </c>
      <c r="G4363" s="20" t="str">
        <f>IFERROR(__xludf.DUMMYFUNCTION("""COMPUTED_VALUE"""),"Uncle Sams Cider (11/12/2021) 02")</f>
        <v>Uncle Sams Cider (11/12/2021) 02</v>
      </c>
      <c r="H4363" s="19"/>
    </row>
    <row r="4364">
      <c r="A4364" s="9"/>
      <c r="B4364" s="15"/>
      <c r="C4364" s="9">
        <f>IFERROR(__xludf.DUMMYFUNCTION("""COMPUTED_VALUE"""),44559.6605396527)</f>
        <v>44559.66054</v>
      </c>
      <c r="D4364" s="15">
        <f>IFERROR(__xludf.DUMMYFUNCTION("""COMPUTED_VALUE"""),1.012)</f>
        <v>1.012</v>
      </c>
      <c r="E4364" s="16">
        <f>IFERROR(__xludf.DUMMYFUNCTION("""COMPUTED_VALUE"""),63.0)</f>
        <v>63</v>
      </c>
      <c r="F4364" s="19" t="str">
        <f>IFERROR(__xludf.DUMMYFUNCTION("""COMPUTED_VALUE"""),"BLACK")</f>
        <v>BLACK</v>
      </c>
      <c r="G4364" s="20" t="str">
        <f>IFERROR(__xludf.DUMMYFUNCTION("""COMPUTED_VALUE"""),"Uncle Sams Cider (11/12/2021) 02")</f>
        <v>Uncle Sams Cider (11/12/2021) 02</v>
      </c>
      <c r="H4364" s="19"/>
    </row>
    <row r="4365">
      <c r="A4365" s="9"/>
      <c r="B4365" s="15"/>
      <c r="C4365" s="9">
        <f>IFERROR(__xludf.DUMMYFUNCTION("""COMPUTED_VALUE"""),44559.6501175115)</f>
        <v>44559.65012</v>
      </c>
      <c r="D4365" s="15">
        <f>IFERROR(__xludf.DUMMYFUNCTION("""COMPUTED_VALUE"""),1.012)</f>
        <v>1.012</v>
      </c>
      <c r="E4365" s="16">
        <f>IFERROR(__xludf.DUMMYFUNCTION("""COMPUTED_VALUE"""),63.0)</f>
        <v>63</v>
      </c>
      <c r="F4365" s="19" t="str">
        <f>IFERROR(__xludf.DUMMYFUNCTION("""COMPUTED_VALUE"""),"BLACK")</f>
        <v>BLACK</v>
      </c>
      <c r="G4365" s="20" t="str">
        <f>IFERROR(__xludf.DUMMYFUNCTION("""COMPUTED_VALUE"""),"Uncle Sams Cider (11/12/2021) 02")</f>
        <v>Uncle Sams Cider (11/12/2021) 02</v>
      </c>
      <c r="H4365" s="19"/>
    </row>
    <row r="4366">
      <c r="A4366" s="9"/>
      <c r="B4366" s="15"/>
      <c r="C4366" s="9">
        <f>IFERROR(__xludf.DUMMYFUNCTION("""COMPUTED_VALUE"""),44559.6396962847)</f>
        <v>44559.6397</v>
      </c>
      <c r="D4366" s="15">
        <f>IFERROR(__xludf.DUMMYFUNCTION("""COMPUTED_VALUE"""),1.012)</f>
        <v>1.012</v>
      </c>
      <c r="E4366" s="16">
        <f>IFERROR(__xludf.DUMMYFUNCTION("""COMPUTED_VALUE"""),63.0)</f>
        <v>63</v>
      </c>
      <c r="F4366" s="19" t="str">
        <f>IFERROR(__xludf.DUMMYFUNCTION("""COMPUTED_VALUE"""),"BLACK")</f>
        <v>BLACK</v>
      </c>
      <c r="G4366" s="20" t="str">
        <f>IFERROR(__xludf.DUMMYFUNCTION("""COMPUTED_VALUE"""),"Uncle Sams Cider (11/12/2021) 02")</f>
        <v>Uncle Sams Cider (11/12/2021) 02</v>
      </c>
      <c r="H4366" s="19"/>
    </row>
    <row r="4367">
      <c r="A4367" s="9"/>
      <c r="B4367" s="15"/>
      <c r="C4367" s="9">
        <f>IFERROR(__xludf.DUMMYFUNCTION("""COMPUTED_VALUE"""),44559.6292634837)</f>
        <v>44559.62926</v>
      </c>
      <c r="D4367" s="15">
        <f>IFERROR(__xludf.DUMMYFUNCTION("""COMPUTED_VALUE"""),1.012)</f>
        <v>1.012</v>
      </c>
      <c r="E4367" s="16">
        <f>IFERROR(__xludf.DUMMYFUNCTION("""COMPUTED_VALUE"""),63.0)</f>
        <v>63</v>
      </c>
      <c r="F4367" s="19" t="str">
        <f>IFERROR(__xludf.DUMMYFUNCTION("""COMPUTED_VALUE"""),"BLACK")</f>
        <v>BLACK</v>
      </c>
      <c r="G4367" s="20" t="str">
        <f>IFERROR(__xludf.DUMMYFUNCTION("""COMPUTED_VALUE"""),"Uncle Sams Cider (11/12/2021) 02")</f>
        <v>Uncle Sams Cider (11/12/2021) 02</v>
      </c>
      <c r="H4367" s="19"/>
    </row>
    <row r="4368">
      <c r="A4368" s="9"/>
      <c r="B4368" s="15"/>
      <c r="C4368" s="9">
        <f>IFERROR(__xludf.DUMMYFUNCTION("""COMPUTED_VALUE"""),44559.6188089004)</f>
        <v>44559.61881</v>
      </c>
      <c r="D4368" s="15">
        <f>IFERROR(__xludf.DUMMYFUNCTION("""COMPUTED_VALUE"""),1.012)</f>
        <v>1.012</v>
      </c>
      <c r="E4368" s="16">
        <f>IFERROR(__xludf.DUMMYFUNCTION("""COMPUTED_VALUE"""),63.0)</f>
        <v>63</v>
      </c>
      <c r="F4368" s="19" t="str">
        <f>IFERROR(__xludf.DUMMYFUNCTION("""COMPUTED_VALUE"""),"BLACK")</f>
        <v>BLACK</v>
      </c>
      <c r="G4368" s="20" t="str">
        <f>IFERROR(__xludf.DUMMYFUNCTION("""COMPUTED_VALUE"""),"Uncle Sams Cider (11/12/2021) 02")</f>
        <v>Uncle Sams Cider (11/12/2021) 02</v>
      </c>
      <c r="H4368" s="19"/>
    </row>
    <row r="4369">
      <c r="A4369" s="9"/>
      <c r="B4369" s="15"/>
      <c r="C4369" s="9">
        <f>IFERROR(__xludf.DUMMYFUNCTION("""COMPUTED_VALUE"""),44559.6083759606)</f>
        <v>44559.60838</v>
      </c>
      <c r="D4369" s="15">
        <f>IFERROR(__xludf.DUMMYFUNCTION("""COMPUTED_VALUE"""),1.012)</f>
        <v>1.012</v>
      </c>
      <c r="E4369" s="16">
        <f>IFERROR(__xludf.DUMMYFUNCTION("""COMPUTED_VALUE"""),63.0)</f>
        <v>63</v>
      </c>
      <c r="F4369" s="19" t="str">
        <f>IFERROR(__xludf.DUMMYFUNCTION("""COMPUTED_VALUE"""),"BLACK")</f>
        <v>BLACK</v>
      </c>
      <c r="G4369" s="20" t="str">
        <f>IFERROR(__xludf.DUMMYFUNCTION("""COMPUTED_VALUE"""),"Uncle Sams Cider (11/12/2021) 02")</f>
        <v>Uncle Sams Cider (11/12/2021) 02</v>
      </c>
      <c r="H4369" s="19"/>
    </row>
    <row r="4370">
      <c r="A4370" s="9"/>
      <c r="B4370" s="15"/>
      <c r="C4370" s="9">
        <f>IFERROR(__xludf.DUMMYFUNCTION("""COMPUTED_VALUE"""),44559.5979303935)</f>
        <v>44559.59793</v>
      </c>
      <c r="D4370" s="15">
        <f>IFERROR(__xludf.DUMMYFUNCTION("""COMPUTED_VALUE"""),1.012)</f>
        <v>1.012</v>
      </c>
      <c r="E4370" s="16">
        <f>IFERROR(__xludf.DUMMYFUNCTION("""COMPUTED_VALUE"""),63.0)</f>
        <v>63</v>
      </c>
      <c r="F4370" s="19" t="str">
        <f>IFERROR(__xludf.DUMMYFUNCTION("""COMPUTED_VALUE"""),"BLACK")</f>
        <v>BLACK</v>
      </c>
      <c r="G4370" s="20" t="str">
        <f>IFERROR(__xludf.DUMMYFUNCTION("""COMPUTED_VALUE"""),"Uncle Sams Cider (11/12/2021) 02")</f>
        <v>Uncle Sams Cider (11/12/2021) 02</v>
      </c>
      <c r="H4370" s="19"/>
    </row>
    <row r="4371">
      <c r="A4371" s="9"/>
      <c r="B4371" s="15"/>
      <c r="C4371" s="9">
        <f>IFERROR(__xludf.DUMMYFUNCTION("""COMPUTED_VALUE"""),44559.5875109375)</f>
        <v>44559.58751</v>
      </c>
      <c r="D4371" s="15">
        <f>IFERROR(__xludf.DUMMYFUNCTION("""COMPUTED_VALUE"""),1.012)</f>
        <v>1.012</v>
      </c>
      <c r="E4371" s="16">
        <f>IFERROR(__xludf.DUMMYFUNCTION("""COMPUTED_VALUE"""),63.0)</f>
        <v>63</v>
      </c>
      <c r="F4371" s="19" t="str">
        <f>IFERROR(__xludf.DUMMYFUNCTION("""COMPUTED_VALUE"""),"BLACK")</f>
        <v>BLACK</v>
      </c>
      <c r="G4371" s="20" t="str">
        <f>IFERROR(__xludf.DUMMYFUNCTION("""COMPUTED_VALUE"""),"Uncle Sams Cider (11/12/2021) 02")</f>
        <v>Uncle Sams Cider (11/12/2021) 02</v>
      </c>
      <c r="H4371" s="19"/>
    </row>
    <row r="4372">
      <c r="A4372" s="9"/>
      <c r="B4372" s="15"/>
      <c r="C4372" s="9">
        <f>IFERROR(__xludf.DUMMYFUNCTION("""COMPUTED_VALUE"""),44559.5770781134)</f>
        <v>44559.57708</v>
      </c>
      <c r="D4372" s="15">
        <f>IFERROR(__xludf.DUMMYFUNCTION("""COMPUTED_VALUE"""),1.012)</f>
        <v>1.012</v>
      </c>
      <c r="E4372" s="16">
        <f>IFERROR(__xludf.DUMMYFUNCTION("""COMPUTED_VALUE"""),63.0)</f>
        <v>63</v>
      </c>
      <c r="F4372" s="19" t="str">
        <f>IFERROR(__xludf.DUMMYFUNCTION("""COMPUTED_VALUE"""),"BLACK")</f>
        <v>BLACK</v>
      </c>
      <c r="G4372" s="20" t="str">
        <f>IFERROR(__xludf.DUMMYFUNCTION("""COMPUTED_VALUE"""),"Uncle Sams Cider (11/12/2021) 02")</f>
        <v>Uncle Sams Cider (11/12/2021) 02</v>
      </c>
      <c r="H4372" s="19"/>
    </row>
    <row r="4373">
      <c r="A4373" s="9"/>
      <c r="B4373" s="15"/>
      <c r="C4373" s="9">
        <f>IFERROR(__xludf.DUMMYFUNCTION("""COMPUTED_VALUE"""),44559.5666460879)</f>
        <v>44559.56665</v>
      </c>
      <c r="D4373" s="15">
        <f>IFERROR(__xludf.DUMMYFUNCTION("""COMPUTED_VALUE"""),1.012)</f>
        <v>1.012</v>
      </c>
      <c r="E4373" s="16">
        <f>IFERROR(__xludf.DUMMYFUNCTION("""COMPUTED_VALUE"""),63.0)</f>
        <v>63</v>
      </c>
      <c r="F4373" s="19" t="str">
        <f>IFERROR(__xludf.DUMMYFUNCTION("""COMPUTED_VALUE"""),"BLACK")</f>
        <v>BLACK</v>
      </c>
      <c r="G4373" s="20" t="str">
        <f>IFERROR(__xludf.DUMMYFUNCTION("""COMPUTED_VALUE"""),"Uncle Sams Cider (11/12/2021) 02")</f>
        <v>Uncle Sams Cider (11/12/2021) 02</v>
      </c>
      <c r="H4373" s="19"/>
    </row>
    <row r="4374">
      <c r="A4374" s="9"/>
      <c r="B4374" s="15"/>
      <c r="C4374" s="9">
        <f>IFERROR(__xludf.DUMMYFUNCTION("""COMPUTED_VALUE"""),44559.5562255787)</f>
        <v>44559.55623</v>
      </c>
      <c r="D4374" s="15">
        <f>IFERROR(__xludf.DUMMYFUNCTION("""COMPUTED_VALUE"""),1.012)</f>
        <v>1.012</v>
      </c>
      <c r="E4374" s="16">
        <f>IFERROR(__xludf.DUMMYFUNCTION("""COMPUTED_VALUE"""),63.0)</f>
        <v>63</v>
      </c>
      <c r="F4374" s="19" t="str">
        <f>IFERROR(__xludf.DUMMYFUNCTION("""COMPUTED_VALUE"""),"BLACK")</f>
        <v>BLACK</v>
      </c>
      <c r="G4374" s="20" t="str">
        <f>IFERROR(__xludf.DUMMYFUNCTION("""COMPUTED_VALUE"""),"Uncle Sams Cider (11/12/2021) 02")</f>
        <v>Uncle Sams Cider (11/12/2021) 02</v>
      </c>
      <c r="H4374" s="19"/>
    </row>
    <row r="4375">
      <c r="A4375" s="9"/>
      <c r="B4375" s="15"/>
      <c r="C4375" s="9">
        <f>IFERROR(__xludf.DUMMYFUNCTION("""COMPUTED_VALUE"""),44559.5458044328)</f>
        <v>44559.5458</v>
      </c>
      <c r="D4375" s="15">
        <f>IFERROR(__xludf.DUMMYFUNCTION("""COMPUTED_VALUE"""),1.012)</f>
        <v>1.012</v>
      </c>
      <c r="E4375" s="16">
        <f>IFERROR(__xludf.DUMMYFUNCTION("""COMPUTED_VALUE"""),63.0)</f>
        <v>63</v>
      </c>
      <c r="F4375" s="19" t="str">
        <f>IFERROR(__xludf.DUMMYFUNCTION("""COMPUTED_VALUE"""),"BLACK")</f>
        <v>BLACK</v>
      </c>
      <c r="G4375" s="20" t="str">
        <f>IFERROR(__xludf.DUMMYFUNCTION("""COMPUTED_VALUE"""),"Uncle Sams Cider (11/12/2021) 02")</f>
        <v>Uncle Sams Cider (11/12/2021) 02</v>
      </c>
      <c r="H4375" s="19"/>
    </row>
    <row r="4376">
      <c r="A4376" s="9"/>
      <c r="B4376" s="15"/>
      <c r="C4376" s="9">
        <f>IFERROR(__xludf.DUMMYFUNCTION("""COMPUTED_VALUE"""),44559.5353822569)</f>
        <v>44559.53538</v>
      </c>
      <c r="D4376" s="15">
        <f>IFERROR(__xludf.DUMMYFUNCTION("""COMPUTED_VALUE"""),1.012)</f>
        <v>1.012</v>
      </c>
      <c r="E4376" s="16">
        <f>IFERROR(__xludf.DUMMYFUNCTION("""COMPUTED_VALUE"""),63.0)</f>
        <v>63</v>
      </c>
      <c r="F4376" s="19" t="str">
        <f>IFERROR(__xludf.DUMMYFUNCTION("""COMPUTED_VALUE"""),"BLACK")</f>
        <v>BLACK</v>
      </c>
      <c r="G4376" s="20" t="str">
        <f>IFERROR(__xludf.DUMMYFUNCTION("""COMPUTED_VALUE"""),"Uncle Sams Cider (11/12/2021) 02")</f>
        <v>Uncle Sams Cider (11/12/2021) 02</v>
      </c>
      <c r="H4376" s="19"/>
    </row>
    <row r="4377">
      <c r="A4377" s="9"/>
      <c r="B4377" s="15"/>
      <c r="C4377" s="9">
        <f>IFERROR(__xludf.DUMMYFUNCTION("""COMPUTED_VALUE"""),44559.5249494907)</f>
        <v>44559.52495</v>
      </c>
      <c r="D4377" s="15">
        <f>IFERROR(__xludf.DUMMYFUNCTION("""COMPUTED_VALUE"""),1.012)</f>
        <v>1.012</v>
      </c>
      <c r="E4377" s="16">
        <f>IFERROR(__xludf.DUMMYFUNCTION("""COMPUTED_VALUE"""),63.0)</f>
        <v>63</v>
      </c>
      <c r="F4377" s="19" t="str">
        <f>IFERROR(__xludf.DUMMYFUNCTION("""COMPUTED_VALUE"""),"BLACK")</f>
        <v>BLACK</v>
      </c>
      <c r="G4377" s="20" t="str">
        <f>IFERROR(__xludf.DUMMYFUNCTION("""COMPUTED_VALUE"""),"Uncle Sams Cider (11/12/2021) 02")</f>
        <v>Uncle Sams Cider (11/12/2021) 02</v>
      </c>
      <c r="H4377" s="19"/>
    </row>
    <row r="4378">
      <c r="A4378" s="9"/>
      <c r="B4378" s="15"/>
      <c r="C4378" s="9">
        <f>IFERROR(__xludf.DUMMYFUNCTION("""COMPUTED_VALUE"""),44559.5145281018)</f>
        <v>44559.51453</v>
      </c>
      <c r="D4378" s="15">
        <f>IFERROR(__xludf.DUMMYFUNCTION("""COMPUTED_VALUE"""),1.013)</f>
        <v>1.013</v>
      </c>
      <c r="E4378" s="16">
        <f>IFERROR(__xludf.DUMMYFUNCTION("""COMPUTED_VALUE"""),63.0)</f>
        <v>63</v>
      </c>
      <c r="F4378" s="19" t="str">
        <f>IFERROR(__xludf.DUMMYFUNCTION("""COMPUTED_VALUE"""),"BLACK")</f>
        <v>BLACK</v>
      </c>
      <c r="G4378" s="20" t="str">
        <f>IFERROR(__xludf.DUMMYFUNCTION("""COMPUTED_VALUE"""),"Uncle Sams Cider (11/12/2021) 02")</f>
        <v>Uncle Sams Cider (11/12/2021) 02</v>
      </c>
      <c r="H4378" s="19"/>
    </row>
    <row r="4379">
      <c r="A4379" s="9"/>
      <c r="B4379" s="15"/>
      <c r="C4379" s="9">
        <f>IFERROR(__xludf.DUMMYFUNCTION("""COMPUTED_VALUE"""),44559.5040956481)</f>
        <v>44559.5041</v>
      </c>
      <c r="D4379" s="15">
        <f>IFERROR(__xludf.DUMMYFUNCTION("""COMPUTED_VALUE"""),1.012)</f>
        <v>1.012</v>
      </c>
      <c r="E4379" s="16">
        <f>IFERROR(__xludf.DUMMYFUNCTION("""COMPUTED_VALUE"""),63.0)</f>
        <v>63</v>
      </c>
      <c r="F4379" s="19" t="str">
        <f>IFERROR(__xludf.DUMMYFUNCTION("""COMPUTED_VALUE"""),"BLACK")</f>
        <v>BLACK</v>
      </c>
      <c r="G4379" s="20" t="str">
        <f>IFERROR(__xludf.DUMMYFUNCTION("""COMPUTED_VALUE"""),"Uncle Sams Cider (11/12/2021) 02")</f>
        <v>Uncle Sams Cider (11/12/2021) 02</v>
      </c>
      <c r="H4379" s="19"/>
    </row>
    <row r="4380">
      <c r="A4380" s="9"/>
      <c r="B4380" s="15"/>
      <c r="C4380" s="9">
        <f>IFERROR(__xludf.DUMMYFUNCTION("""COMPUTED_VALUE"""),44559.4936744328)</f>
        <v>44559.49367</v>
      </c>
      <c r="D4380" s="15">
        <f>IFERROR(__xludf.DUMMYFUNCTION("""COMPUTED_VALUE"""),1.012)</f>
        <v>1.012</v>
      </c>
      <c r="E4380" s="16">
        <f>IFERROR(__xludf.DUMMYFUNCTION("""COMPUTED_VALUE"""),63.0)</f>
        <v>63</v>
      </c>
      <c r="F4380" s="19" t="str">
        <f>IFERROR(__xludf.DUMMYFUNCTION("""COMPUTED_VALUE"""),"BLACK")</f>
        <v>BLACK</v>
      </c>
      <c r="G4380" s="20" t="str">
        <f>IFERROR(__xludf.DUMMYFUNCTION("""COMPUTED_VALUE"""),"Uncle Sams Cider (11/12/2021) 02")</f>
        <v>Uncle Sams Cider (11/12/2021) 02</v>
      </c>
      <c r="H4380" s="19"/>
    </row>
    <row r="4381">
      <c r="A4381" s="9"/>
      <c r="B4381" s="15"/>
      <c r="C4381" s="9">
        <f>IFERROR(__xludf.DUMMYFUNCTION("""COMPUTED_VALUE"""),44559.4832523379)</f>
        <v>44559.48325</v>
      </c>
      <c r="D4381" s="15">
        <f>IFERROR(__xludf.DUMMYFUNCTION("""COMPUTED_VALUE"""),1.012)</f>
        <v>1.012</v>
      </c>
      <c r="E4381" s="16">
        <f>IFERROR(__xludf.DUMMYFUNCTION("""COMPUTED_VALUE"""),63.0)</f>
        <v>63</v>
      </c>
      <c r="F4381" s="19" t="str">
        <f>IFERROR(__xludf.DUMMYFUNCTION("""COMPUTED_VALUE"""),"BLACK")</f>
        <v>BLACK</v>
      </c>
      <c r="G4381" s="20" t="str">
        <f>IFERROR(__xludf.DUMMYFUNCTION("""COMPUTED_VALUE"""),"Uncle Sams Cider (11/12/2021) 02")</f>
        <v>Uncle Sams Cider (11/12/2021) 02</v>
      </c>
      <c r="H4381" s="19"/>
    </row>
    <row r="4382">
      <c r="A4382" s="9"/>
      <c r="B4382" s="15"/>
      <c r="C4382" s="9">
        <f>IFERROR(__xludf.DUMMYFUNCTION("""COMPUTED_VALUE"""),44559.4728075925)</f>
        <v>44559.47281</v>
      </c>
      <c r="D4382" s="15">
        <f>IFERROR(__xludf.DUMMYFUNCTION("""COMPUTED_VALUE"""),1.012)</f>
        <v>1.012</v>
      </c>
      <c r="E4382" s="16">
        <f>IFERROR(__xludf.DUMMYFUNCTION("""COMPUTED_VALUE"""),63.0)</f>
        <v>63</v>
      </c>
      <c r="F4382" s="19" t="str">
        <f>IFERROR(__xludf.DUMMYFUNCTION("""COMPUTED_VALUE"""),"BLACK")</f>
        <v>BLACK</v>
      </c>
      <c r="G4382" s="20" t="str">
        <f>IFERROR(__xludf.DUMMYFUNCTION("""COMPUTED_VALUE"""),"Uncle Sams Cider (11/12/2021) 02")</f>
        <v>Uncle Sams Cider (11/12/2021) 02</v>
      </c>
      <c r="H4382" s="19"/>
    </row>
    <row r="4383">
      <c r="A4383" s="9"/>
      <c r="B4383" s="15"/>
      <c r="C4383" s="9">
        <f>IFERROR(__xludf.DUMMYFUNCTION("""COMPUTED_VALUE"""),44559.4623751273)</f>
        <v>44559.46238</v>
      </c>
      <c r="D4383" s="15">
        <f>IFERROR(__xludf.DUMMYFUNCTION("""COMPUTED_VALUE"""),1.012)</f>
        <v>1.012</v>
      </c>
      <c r="E4383" s="16">
        <f>IFERROR(__xludf.DUMMYFUNCTION("""COMPUTED_VALUE"""),63.0)</f>
        <v>63</v>
      </c>
      <c r="F4383" s="19" t="str">
        <f>IFERROR(__xludf.DUMMYFUNCTION("""COMPUTED_VALUE"""),"BLACK")</f>
        <v>BLACK</v>
      </c>
      <c r="G4383" s="20" t="str">
        <f>IFERROR(__xludf.DUMMYFUNCTION("""COMPUTED_VALUE"""),"Uncle Sams Cider (11/12/2021) 02")</f>
        <v>Uncle Sams Cider (11/12/2021) 02</v>
      </c>
      <c r="H4383" s="19"/>
    </row>
    <row r="4384">
      <c r="A4384" s="9"/>
      <c r="B4384" s="15"/>
      <c r="C4384" s="9">
        <f>IFERROR(__xludf.DUMMYFUNCTION("""COMPUTED_VALUE"""),44559.4519278819)</f>
        <v>44559.45193</v>
      </c>
      <c r="D4384" s="15">
        <f>IFERROR(__xludf.DUMMYFUNCTION("""COMPUTED_VALUE"""),1.012)</f>
        <v>1.012</v>
      </c>
      <c r="E4384" s="16">
        <f>IFERROR(__xludf.DUMMYFUNCTION("""COMPUTED_VALUE"""),63.0)</f>
        <v>63</v>
      </c>
      <c r="F4384" s="19" t="str">
        <f>IFERROR(__xludf.DUMMYFUNCTION("""COMPUTED_VALUE"""),"BLACK")</f>
        <v>BLACK</v>
      </c>
      <c r="G4384" s="20" t="str">
        <f>IFERROR(__xludf.DUMMYFUNCTION("""COMPUTED_VALUE"""),"Uncle Sams Cider (11/12/2021) 02")</f>
        <v>Uncle Sams Cider (11/12/2021) 02</v>
      </c>
      <c r="H4384" s="19"/>
    </row>
    <row r="4385">
      <c r="A4385" s="9"/>
      <c r="B4385" s="15"/>
      <c r="C4385" s="9">
        <f>IFERROR(__xludf.DUMMYFUNCTION("""COMPUTED_VALUE"""),44559.4415038888)</f>
        <v>44559.4415</v>
      </c>
      <c r="D4385" s="15">
        <f>IFERROR(__xludf.DUMMYFUNCTION("""COMPUTED_VALUE"""),1.012)</f>
        <v>1.012</v>
      </c>
      <c r="E4385" s="16">
        <f>IFERROR(__xludf.DUMMYFUNCTION("""COMPUTED_VALUE"""),63.0)</f>
        <v>63</v>
      </c>
      <c r="F4385" s="19" t="str">
        <f>IFERROR(__xludf.DUMMYFUNCTION("""COMPUTED_VALUE"""),"BLACK")</f>
        <v>BLACK</v>
      </c>
      <c r="G4385" s="20" t="str">
        <f>IFERROR(__xludf.DUMMYFUNCTION("""COMPUTED_VALUE"""),"Uncle Sams Cider (11/12/2021) 02")</f>
        <v>Uncle Sams Cider (11/12/2021) 02</v>
      </c>
      <c r="H4385" s="19"/>
    </row>
    <row r="4386">
      <c r="A4386" s="9"/>
      <c r="B4386" s="15"/>
      <c r="C4386" s="9">
        <f>IFERROR(__xludf.DUMMYFUNCTION("""COMPUTED_VALUE"""),44559.4310829745)</f>
        <v>44559.43108</v>
      </c>
      <c r="D4386" s="15">
        <f>IFERROR(__xludf.DUMMYFUNCTION("""COMPUTED_VALUE"""),1.012)</f>
        <v>1.012</v>
      </c>
      <c r="E4386" s="16">
        <f>IFERROR(__xludf.DUMMYFUNCTION("""COMPUTED_VALUE"""),63.0)</f>
        <v>63</v>
      </c>
      <c r="F4386" s="19" t="str">
        <f>IFERROR(__xludf.DUMMYFUNCTION("""COMPUTED_VALUE"""),"BLACK")</f>
        <v>BLACK</v>
      </c>
      <c r="G4386" s="20" t="str">
        <f>IFERROR(__xludf.DUMMYFUNCTION("""COMPUTED_VALUE"""),"Uncle Sams Cider (11/12/2021) 02")</f>
        <v>Uncle Sams Cider (11/12/2021) 02</v>
      </c>
      <c r="H4386" s="19"/>
    </row>
    <row r="4387">
      <c r="A4387" s="9"/>
      <c r="B4387" s="15"/>
      <c r="C4387" s="9">
        <f>IFERROR(__xludf.DUMMYFUNCTION("""COMPUTED_VALUE"""),44559.420652037)</f>
        <v>44559.42065</v>
      </c>
      <c r="D4387" s="15">
        <f>IFERROR(__xludf.DUMMYFUNCTION("""COMPUTED_VALUE"""),1.012)</f>
        <v>1.012</v>
      </c>
      <c r="E4387" s="16">
        <f>IFERROR(__xludf.DUMMYFUNCTION("""COMPUTED_VALUE"""),63.0)</f>
        <v>63</v>
      </c>
      <c r="F4387" s="19" t="str">
        <f>IFERROR(__xludf.DUMMYFUNCTION("""COMPUTED_VALUE"""),"BLACK")</f>
        <v>BLACK</v>
      </c>
      <c r="G4387" s="20" t="str">
        <f>IFERROR(__xludf.DUMMYFUNCTION("""COMPUTED_VALUE"""),"Uncle Sams Cider (11/12/2021) 02")</f>
        <v>Uncle Sams Cider (11/12/2021) 02</v>
      </c>
      <c r="H4387" s="19"/>
    </row>
    <row r="4388">
      <c r="A4388" s="9"/>
      <c r="B4388" s="15"/>
      <c r="C4388" s="9">
        <f>IFERROR(__xludf.DUMMYFUNCTION("""COMPUTED_VALUE"""),44559.4102309722)</f>
        <v>44559.41023</v>
      </c>
      <c r="D4388" s="15">
        <f>IFERROR(__xludf.DUMMYFUNCTION("""COMPUTED_VALUE"""),1.012)</f>
        <v>1.012</v>
      </c>
      <c r="E4388" s="16">
        <f>IFERROR(__xludf.DUMMYFUNCTION("""COMPUTED_VALUE"""),63.0)</f>
        <v>63</v>
      </c>
      <c r="F4388" s="19" t="str">
        <f>IFERROR(__xludf.DUMMYFUNCTION("""COMPUTED_VALUE"""),"BLACK")</f>
        <v>BLACK</v>
      </c>
      <c r="G4388" s="20" t="str">
        <f>IFERROR(__xludf.DUMMYFUNCTION("""COMPUTED_VALUE"""),"Uncle Sams Cider (11/12/2021) 02")</f>
        <v>Uncle Sams Cider (11/12/2021) 02</v>
      </c>
      <c r="H4388" s="19"/>
    </row>
    <row r="4389">
      <c r="A4389" s="9"/>
      <c r="B4389" s="15"/>
      <c r="C4389" s="9">
        <f>IFERROR(__xludf.DUMMYFUNCTION("""COMPUTED_VALUE"""),44559.3998085069)</f>
        <v>44559.39981</v>
      </c>
      <c r="D4389" s="15">
        <f>IFERROR(__xludf.DUMMYFUNCTION("""COMPUTED_VALUE"""),1.012)</f>
        <v>1.012</v>
      </c>
      <c r="E4389" s="16">
        <f>IFERROR(__xludf.DUMMYFUNCTION("""COMPUTED_VALUE"""),63.0)</f>
        <v>63</v>
      </c>
      <c r="F4389" s="19" t="str">
        <f>IFERROR(__xludf.DUMMYFUNCTION("""COMPUTED_VALUE"""),"BLACK")</f>
        <v>BLACK</v>
      </c>
      <c r="G4389" s="20" t="str">
        <f>IFERROR(__xludf.DUMMYFUNCTION("""COMPUTED_VALUE"""),"Uncle Sams Cider (11/12/2021) 02")</f>
        <v>Uncle Sams Cider (11/12/2021) 02</v>
      </c>
      <c r="H4389" s="19"/>
    </row>
    <row r="4390">
      <c r="A4390" s="9"/>
      <c r="B4390" s="15"/>
      <c r="C4390" s="9">
        <f>IFERROR(__xludf.DUMMYFUNCTION("""COMPUTED_VALUE"""),44559.3893521527)</f>
        <v>44559.38935</v>
      </c>
      <c r="D4390" s="15">
        <f>IFERROR(__xludf.DUMMYFUNCTION("""COMPUTED_VALUE"""),1.012)</f>
        <v>1.012</v>
      </c>
      <c r="E4390" s="16">
        <f>IFERROR(__xludf.DUMMYFUNCTION("""COMPUTED_VALUE"""),63.0)</f>
        <v>63</v>
      </c>
      <c r="F4390" s="19" t="str">
        <f>IFERROR(__xludf.DUMMYFUNCTION("""COMPUTED_VALUE"""),"BLACK")</f>
        <v>BLACK</v>
      </c>
      <c r="G4390" s="20" t="str">
        <f>IFERROR(__xludf.DUMMYFUNCTION("""COMPUTED_VALUE"""),"Uncle Sams Cider (11/12/2021) 02")</f>
        <v>Uncle Sams Cider (11/12/2021) 02</v>
      </c>
      <c r="H4390" s="19"/>
    </row>
    <row r="4391">
      <c r="A4391" s="9"/>
      <c r="B4391" s="15"/>
      <c r="C4391" s="9">
        <f>IFERROR(__xludf.DUMMYFUNCTION("""COMPUTED_VALUE"""),44559.3789309143)</f>
        <v>44559.37893</v>
      </c>
      <c r="D4391" s="15">
        <f>IFERROR(__xludf.DUMMYFUNCTION("""COMPUTED_VALUE"""),1.012)</f>
        <v>1.012</v>
      </c>
      <c r="E4391" s="16">
        <f>IFERROR(__xludf.DUMMYFUNCTION("""COMPUTED_VALUE"""),63.0)</f>
        <v>63</v>
      </c>
      <c r="F4391" s="19" t="str">
        <f>IFERROR(__xludf.DUMMYFUNCTION("""COMPUTED_VALUE"""),"BLACK")</f>
        <v>BLACK</v>
      </c>
      <c r="G4391" s="20" t="str">
        <f>IFERROR(__xludf.DUMMYFUNCTION("""COMPUTED_VALUE"""),"Uncle Sams Cider (11/12/2021) 02")</f>
        <v>Uncle Sams Cider (11/12/2021) 02</v>
      </c>
      <c r="H4391" s="19"/>
    </row>
    <row r="4392">
      <c r="A4392" s="9"/>
      <c r="B4392" s="15"/>
      <c r="C4392" s="9">
        <f>IFERROR(__xludf.DUMMYFUNCTION("""COMPUTED_VALUE"""),44559.3684743171)</f>
        <v>44559.36847</v>
      </c>
      <c r="D4392" s="15">
        <f>IFERROR(__xludf.DUMMYFUNCTION("""COMPUTED_VALUE"""),1.012)</f>
        <v>1.012</v>
      </c>
      <c r="E4392" s="16">
        <f>IFERROR(__xludf.DUMMYFUNCTION("""COMPUTED_VALUE"""),64.0)</f>
        <v>64</v>
      </c>
      <c r="F4392" s="19" t="str">
        <f>IFERROR(__xludf.DUMMYFUNCTION("""COMPUTED_VALUE"""),"BLACK")</f>
        <v>BLACK</v>
      </c>
      <c r="G4392" s="20" t="str">
        <f>IFERROR(__xludf.DUMMYFUNCTION("""COMPUTED_VALUE"""),"Uncle Sams Cider (11/12/2021) 02")</f>
        <v>Uncle Sams Cider (11/12/2021) 02</v>
      </c>
      <c r="H4392" s="19"/>
    </row>
    <row r="4393">
      <c r="A4393" s="9"/>
      <c r="B4393" s="15"/>
      <c r="C4393" s="9">
        <f>IFERROR(__xludf.DUMMYFUNCTION("""COMPUTED_VALUE"""),44559.3580524884)</f>
        <v>44559.35805</v>
      </c>
      <c r="D4393" s="15">
        <f>IFERROR(__xludf.DUMMYFUNCTION("""COMPUTED_VALUE"""),1.012)</f>
        <v>1.012</v>
      </c>
      <c r="E4393" s="16">
        <f>IFERROR(__xludf.DUMMYFUNCTION("""COMPUTED_VALUE"""),63.0)</f>
        <v>63</v>
      </c>
      <c r="F4393" s="19" t="str">
        <f>IFERROR(__xludf.DUMMYFUNCTION("""COMPUTED_VALUE"""),"BLACK")</f>
        <v>BLACK</v>
      </c>
      <c r="G4393" s="20" t="str">
        <f>IFERROR(__xludf.DUMMYFUNCTION("""COMPUTED_VALUE"""),"Uncle Sams Cider (11/12/2021) 02")</f>
        <v>Uncle Sams Cider (11/12/2021) 02</v>
      </c>
      <c r="H4393" s="19"/>
    </row>
    <row r="4394">
      <c r="A4394" s="9"/>
      <c r="B4394" s="15"/>
      <c r="C4394" s="9">
        <f>IFERROR(__xludf.DUMMYFUNCTION("""COMPUTED_VALUE"""),44559.3476332986)</f>
        <v>44559.34763</v>
      </c>
      <c r="D4394" s="15">
        <f>IFERROR(__xludf.DUMMYFUNCTION("""COMPUTED_VALUE"""),1.012)</f>
        <v>1.012</v>
      </c>
      <c r="E4394" s="16">
        <f>IFERROR(__xludf.DUMMYFUNCTION("""COMPUTED_VALUE"""),63.0)</f>
        <v>63</v>
      </c>
      <c r="F4394" s="19" t="str">
        <f>IFERROR(__xludf.DUMMYFUNCTION("""COMPUTED_VALUE"""),"BLACK")</f>
        <v>BLACK</v>
      </c>
      <c r="G4394" s="20" t="str">
        <f>IFERROR(__xludf.DUMMYFUNCTION("""COMPUTED_VALUE"""),"Uncle Sams Cider (11/12/2021) 02")</f>
        <v>Uncle Sams Cider (11/12/2021) 02</v>
      </c>
      <c r="H4394" s="19"/>
    </row>
    <row r="4395">
      <c r="A4395" s="9"/>
      <c r="B4395" s="15"/>
      <c r="C4395" s="9">
        <f>IFERROR(__xludf.DUMMYFUNCTION("""COMPUTED_VALUE"""),44559.3372112962)</f>
        <v>44559.33721</v>
      </c>
      <c r="D4395" s="15">
        <f>IFERROR(__xludf.DUMMYFUNCTION("""COMPUTED_VALUE"""),1.012)</f>
        <v>1.012</v>
      </c>
      <c r="E4395" s="16">
        <f>IFERROR(__xludf.DUMMYFUNCTION("""COMPUTED_VALUE"""),63.0)</f>
        <v>63</v>
      </c>
      <c r="F4395" s="19" t="str">
        <f>IFERROR(__xludf.DUMMYFUNCTION("""COMPUTED_VALUE"""),"BLACK")</f>
        <v>BLACK</v>
      </c>
      <c r="G4395" s="20" t="str">
        <f>IFERROR(__xludf.DUMMYFUNCTION("""COMPUTED_VALUE"""),"Uncle Sams Cider (11/12/2021) 02")</f>
        <v>Uncle Sams Cider (11/12/2021) 02</v>
      </c>
      <c r="H4395" s="19"/>
    </row>
    <row r="4396">
      <c r="A4396" s="9"/>
      <c r="B4396" s="15"/>
      <c r="C4396" s="9">
        <f>IFERROR(__xludf.DUMMYFUNCTION("""COMPUTED_VALUE"""),44559.326790405)</f>
        <v>44559.32679</v>
      </c>
      <c r="D4396" s="15">
        <f>IFERROR(__xludf.DUMMYFUNCTION("""COMPUTED_VALUE"""),1.012)</f>
        <v>1.012</v>
      </c>
      <c r="E4396" s="16">
        <f>IFERROR(__xludf.DUMMYFUNCTION("""COMPUTED_VALUE"""),63.0)</f>
        <v>63</v>
      </c>
      <c r="F4396" s="19" t="str">
        <f>IFERROR(__xludf.DUMMYFUNCTION("""COMPUTED_VALUE"""),"BLACK")</f>
        <v>BLACK</v>
      </c>
      <c r="G4396" s="20" t="str">
        <f>IFERROR(__xludf.DUMMYFUNCTION("""COMPUTED_VALUE"""),"Uncle Sams Cider (11/12/2021) 02")</f>
        <v>Uncle Sams Cider (11/12/2021) 02</v>
      </c>
      <c r="H4396" s="19"/>
    </row>
    <row r="4397">
      <c r="A4397" s="9"/>
      <c r="B4397" s="15"/>
      <c r="C4397" s="9">
        <f>IFERROR(__xludf.DUMMYFUNCTION("""COMPUTED_VALUE"""),44559.3163568749)</f>
        <v>44559.31636</v>
      </c>
      <c r="D4397" s="15">
        <f>IFERROR(__xludf.DUMMYFUNCTION("""COMPUTED_VALUE"""),1.012)</f>
        <v>1.012</v>
      </c>
      <c r="E4397" s="16">
        <f>IFERROR(__xludf.DUMMYFUNCTION("""COMPUTED_VALUE"""),63.0)</f>
        <v>63</v>
      </c>
      <c r="F4397" s="19" t="str">
        <f>IFERROR(__xludf.DUMMYFUNCTION("""COMPUTED_VALUE"""),"BLACK")</f>
        <v>BLACK</v>
      </c>
      <c r="G4397" s="20" t="str">
        <f>IFERROR(__xludf.DUMMYFUNCTION("""COMPUTED_VALUE"""),"Uncle Sams Cider (11/12/2021) 02")</f>
        <v>Uncle Sams Cider (11/12/2021) 02</v>
      </c>
      <c r="H4397" s="19"/>
    </row>
    <row r="4398">
      <c r="A4398" s="9"/>
      <c r="B4398" s="15"/>
      <c r="C4398" s="9">
        <f>IFERROR(__xludf.DUMMYFUNCTION("""COMPUTED_VALUE"""),44559.3059374537)</f>
        <v>44559.30594</v>
      </c>
      <c r="D4398" s="15">
        <f>IFERROR(__xludf.DUMMYFUNCTION("""COMPUTED_VALUE"""),1.012)</f>
        <v>1.012</v>
      </c>
      <c r="E4398" s="16">
        <f>IFERROR(__xludf.DUMMYFUNCTION("""COMPUTED_VALUE"""),63.0)</f>
        <v>63</v>
      </c>
      <c r="F4398" s="19" t="str">
        <f>IFERROR(__xludf.DUMMYFUNCTION("""COMPUTED_VALUE"""),"BLACK")</f>
        <v>BLACK</v>
      </c>
      <c r="G4398" s="20" t="str">
        <f>IFERROR(__xludf.DUMMYFUNCTION("""COMPUTED_VALUE"""),"Uncle Sams Cider (11/12/2021) 02")</f>
        <v>Uncle Sams Cider (11/12/2021) 02</v>
      </c>
      <c r="H4398" s="19"/>
    </row>
    <row r="4399">
      <c r="A4399" s="9"/>
      <c r="B4399" s="15"/>
      <c r="C4399" s="9">
        <f>IFERROR(__xludf.DUMMYFUNCTION("""COMPUTED_VALUE"""),44559.2954936689)</f>
        <v>44559.29549</v>
      </c>
      <c r="D4399" s="15">
        <f>IFERROR(__xludf.DUMMYFUNCTION("""COMPUTED_VALUE"""),1.012)</f>
        <v>1.012</v>
      </c>
      <c r="E4399" s="16">
        <f>IFERROR(__xludf.DUMMYFUNCTION("""COMPUTED_VALUE"""),63.0)</f>
        <v>63</v>
      </c>
      <c r="F4399" s="19" t="str">
        <f>IFERROR(__xludf.DUMMYFUNCTION("""COMPUTED_VALUE"""),"BLACK")</f>
        <v>BLACK</v>
      </c>
      <c r="G4399" s="20" t="str">
        <f>IFERROR(__xludf.DUMMYFUNCTION("""COMPUTED_VALUE"""),"Uncle Sams Cider (11/12/2021) 02")</f>
        <v>Uncle Sams Cider (11/12/2021) 02</v>
      </c>
      <c r="H4399" s="19"/>
    </row>
    <row r="4400">
      <c r="A4400" s="9"/>
      <c r="B4400" s="15"/>
      <c r="C4400" s="9">
        <f>IFERROR(__xludf.DUMMYFUNCTION("""COMPUTED_VALUE"""),44559.2850722453)</f>
        <v>44559.28507</v>
      </c>
      <c r="D4400" s="15">
        <f>IFERROR(__xludf.DUMMYFUNCTION("""COMPUTED_VALUE"""),1.012)</f>
        <v>1.012</v>
      </c>
      <c r="E4400" s="16">
        <f>IFERROR(__xludf.DUMMYFUNCTION("""COMPUTED_VALUE"""),63.0)</f>
        <v>63</v>
      </c>
      <c r="F4400" s="19" t="str">
        <f>IFERROR(__xludf.DUMMYFUNCTION("""COMPUTED_VALUE"""),"BLACK")</f>
        <v>BLACK</v>
      </c>
      <c r="G4400" s="20" t="str">
        <f>IFERROR(__xludf.DUMMYFUNCTION("""COMPUTED_VALUE"""),"Uncle Sams Cider (11/12/2021) 02")</f>
        <v>Uncle Sams Cider (11/12/2021) 02</v>
      </c>
      <c r="H4400" s="19"/>
    </row>
    <row r="4401">
      <c r="A4401" s="9"/>
      <c r="B4401" s="15"/>
      <c r="C4401" s="9">
        <f>IFERROR(__xludf.DUMMYFUNCTION("""COMPUTED_VALUE"""),44559.27465103)</f>
        <v>44559.27465</v>
      </c>
      <c r="D4401" s="15">
        <f>IFERROR(__xludf.DUMMYFUNCTION("""COMPUTED_VALUE"""),1.012)</f>
        <v>1.012</v>
      </c>
      <c r="E4401" s="16">
        <f>IFERROR(__xludf.DUMMYFUNCTION("""COMPUTED_VALUE"""),63.0)</f>
        <v>63</v>
      </c>
      <c r="F4401" s="19" t="str">
        <f>IFERROR(__xludf.DUMMYFUNCTION("""COMPUTED_VALUE"""),"BLACK")</f>
        <v>BLACK</v>
      </c>
      <c r="G4401" s="20" t="str">
        <f>IFERROR(__xludf.DUMMYFUNCTION("""COMPUTED_VALUE"""),"Uncle Sams Cider (11/12/2021) 02")</f>
        <v>Uncle Sams Cider (11/12/2021) 02</v>
      </c>
      <c r="H4401" s="19"/>
    </row>
    <row r="4402">
      <c r="A4402" s="9"/>
      <c r="B4402" s="15"/>
      <c r="C4402" s="9">
        <f>IFERROR(__xludf.DUMMYFUNCTION("""COMPUTED_VALUE"""),44559.2642312962)</f>
        <v>44559.26423</v>
      </c>
      <c r="D4402" s="15">
        <f>IFERROR(__xludf.DUMMYFUNCTION("""COMPUTED_VALUE"""),1.012)</f>
        <v>1.012</v>
      </c>
      <c r="E4402" s="16">
        <f>IFERROR(__xludf.DUMMYFUNCTION("""COMPUTED_VALUE"""),63.0)</f>
        <v>63</v>
      </c>
      <c r="F4402" s="19" t="str">
        <f>IFERROR(__xludf.DUMMYFUNCTION("""COMPUTED_VALUE"""),"BLACK")</f>
        <v>BLACK</v>
      </c>
      <c r="G4402" s="20" t="str">
        <f>IFERROR(__xludf.DUMMYFUNCTION("""COMPUTED_VALUE"""),"Uncle Sams Cider (11/12/2021) 02")</f>
        <v>Uncle Sams Cider (11/12/2021) 02</v>
      </c>
      <c r="H4402" s="19"/>
    </row>
    <row r="4403">
      <c r="A4403" s="9"/>
      <c r="B4403" s="15"/>
      <c r="C4403" s="9">
        <f>IFERROR(__xludf.DUMMYFUNCTION("""COMPUTED_VALUE"""),44559.2538096296)</f>
        <v>44559.25381</v>
      </c>
      <c r="D4403" s="15">
        <f>IFERROR(__xludf.DUMMYFUNCTION("""COMPUTED_VALUE"""),1.012)</f>
        <v>1.012</v>
      </c>
      <c r="E4403" s="16">
        <f>IFERROR(__xludf.DUMMYFUNCTION("""COMPUTED_VALUE"""),63.0)</f>
        <v>63</v>
      </c>
      <c r="F4403" s="19" t="str">
        <f>IFERROR(__xludf.DUMMYFUNCTION("""COMPUTED_VALUE"""),"BLACK")</f>
        <v>BLACK</v>
      </c>
      <c r="G4403" s="20" t="str">
        <f>IFERROR(__xludf.DUMMYFUNCTION("""COMPUTED_VALUE"""),"Uncle Sams Cider (11/12/2021) 02")</f>
        <v>Uncle Sams Cider (11/12/2021) 02</v>
      </c>
      <c r="H4403" s="19"/>
    </row>
    <row r="4404">
      <c r="A4404" s="9"/>
      <c r="B4404" s="15"/>
      <c r="C4404" s="9">
        <f>IFERROR(__xludf.DUMMYFUNCTION("""COMPUTED_VALUE"""),44559.2433885763)</f>
        <v>44559.24339</v>
      </c>
      <c r="D4404" s="15">
        <f>IFERROR(__xludf.DUMMYFUNCTION("""COMPUTED_VALUE"""),1.012)</f>
        <v>1.012</v>
      </c>
      <c r="E4404" s="16">
        <f>IFERROR(__xludf.DUMMYFUNCTION("""COMPUTED_VALUE"""),63.0)</f>
        <v>63</v>
      </c>
      <c r="F4404" s="19" t="str">
        <f>IFERROR(__xludf.DUMMYFUNCTION("""COMPUTED_VALUE"""),"BLACK")</f>
        <v>BLACK</v>
      </c>
      <c r="G4404" s="20" t="str">
        <f>IFERROR(__xludf.DUMMYFUNCTION("""COMPUTED_VALUE"""),"Uncle Sams Cider (11/12/2021) 02")</f>
        <v>Uncle Sams Cider (11/12/2021) 02</v>
      </c>
      <c r="H4404" s="19"/>
    </row>
    <row r="4405">
      <c r="A4405" s="9"/>
      <c r="B4405" s="15"/>
      <c r="C4405" s="9">
        <f>IFERROR(__xludf.DUMMYFUNCTION("""COMPUTED_VALUE"""),44559.2329699305)</f>
        <v>44559.23297</v>
      </c>
      <c r="D4405" s="15">
        <f>IFERROR(__xludf.DUMMYFUNCTION("""COMPUTED_VALUE"""),1.012)</f>
        <v>1.012</v>
      </c>
      <c r="E4405" s="16">
        <f>IFERROR(__xludf.DUMMYFUNCTION("""COMPUTED_VALUE"""),63.0)</f>
        <v>63</v>
      </c>
      <c r="F4405" s="19" t="str">
        <f>IFERROR(__xludf.DUMMYFUNCTION("""COMPUTED_VALUE"""),"BLACK")</f>
        <v>BLACK</v>
      </c>
      <c r="G4405" s="20" t="str">
        <f>IFERROR(__xludf.DUMMYFUNCTION("""COMPUTED_VALUE"""),"Uncle Sams Cider (11/12/2021) 02")</f>
        <v>Uncle Sams Cider (11/12/2021) 02</v>
      </c>
      <c r="H4405" s="19"/>
    </row>
    <row r="4406">
      <c r="A4406" s="9"/>
      <c r="B4406" s="15"/>
      <c r="C4406" s="9">
        <f>IFERROR(__xludf.DUMMYFUNCTION("""COMPUTED_VALUE"""),44559.2225491087)</f>
        <v>44559.22255</v>
      </c>
      <c r="D4406" s="15">
        <f>IFERROR(__xludf.DUMMYFUNCTION("""COMPUTED_VALUE"""),1.012)</f>
        <v>1.012</v>
      </c>
      <c r="E4406" s="16">
        <f>IFERROR(__xludf.DUMMYFUNCTION("""COMPUTED_VALUE"""),63.0)</f>
        <v>63</v>
      </c>
      <c r="F4406" s="19" t="str">
        <f>IFERROR(__xludf.DUMMYFUNCTION("""COMPUTED_VALUE"""),"BLACK")</f>
        <v>BLACK</v>
      </c>
      <c r="G4406" s="20" t="str">
        <f>IFERROR(__xludf.DUMMYFUNCTION("""COMPUTED_VALUE"""),"Uncle Sams Cider (11/12/2021) 02")</f>
        <v>Uncle Sams Cider (11/12/2021) 02</v>
      </c>
      <c r="H4406" s="19"/>
    </row>
    <row r="4407">
      <c r="A4407" s="9"/>
      <c r="B4407" s="15"/>
      <c r="C4407" s="9">
        <f>IFERROR(__xludf.DUMMYFUNCTION("""COMPUTED_VALUE"""),44559.2121045601)</f>
        <v>44559.2121</v>
      </c>
      <c r="D4407" s="15">
        <f>IFERROR(__xludf.DUMMYFUNCTION("""COMPUTED_VALUE"""),1.012)</f>
        <v>1.012</v>
      </c>
      <c r="E4407" s="16">
        <f>IFERROR(__xludf.DUMMYFUNCTION("""COMPUTED_VALUE"""),63.0)</f>
        <v>63</v>
      </c>
      <c r="F4407" s="19" t="str">
        <f>IFERROR(__xludf.DUMMYFUNCTION("""COMPUTED_VALUE"""),"BLACK")</f>
        <v>BLACK</v>
      </c>
      <c r="G4407" s="20" t="str">
        <f>IFERROR(__xludf.DUMMYFUNCTION("""COMPUTED_VALUE"""),"Uncle Sams Cider (11/12/2021) 02")</f>
        <v>Uncle Sams Cider (11/12/2021) 02</v>
      </c>
      <c r="H4407" s="19"/>
    </row>
    <row r="4408">
      <c r="A4408" s="9"/>
      <c r="B4408" s="15"/>
      <c r="C4408" s="9">
        <f>IFERROR(__xludf.DUMMYFUNCTION("""COMPUTED_VALUE"""),44559.2016723263)</f>
        <v>44559.20167</v>
      </c>
      <c r="D4408" s="15">
        <f>IFERROR(__xludf.DUMMYFUNCTION("""COMPUTED_VALUE"""),1.012)</f>
        <v>1.012</v>
      </c>
      <c r="E4408" s="16">
        <f>IFERROR(__xludf.DUMMYFUNCTION("""COMPUTED_VALUE"""),63.0)</f>
        <v>63</v>
      </c>
      <c r="F4408" s="19" t="str">
        <f>IFERROR(__xludf.DUMMYFUNCTION("""COMPUTED_VALUE"""),"BLACK")</f>
        <v>BLACK</v>
      </c>
      <c r="G4408" s="20" t="str">
        <f>IFERROR(__xludf.DUMMYFUNCTION("""COMPUTED_VALUE"""),"Uncle Sams Cider (11/12/2021) 02")</f>
        <v>Uncle Sams Cider (11/12/2021) 02</v>
      </c>
      <c r="H4408" s="19"/>
    </row>
    <row r="4409">
      <c r="A4409" s="9"/>
      <c r="B4409" s="15"/>
      <c r="C4409" s="9">
        <f>IFERROR(__xludf.DUMMYFUNCTION("""COMPUTED_VALUE"""),44559.1912416898)</f>
        <v>44559.19124</v>
      </c>
      <c r="D4409" s="15">
        <f>IFERROR(__xludf.DUMMYFUNCTION("""COMPUTED_VALUE"""),1.013)</f>
        <v>1.013</v>
      </c>
      <c r="E4409" s="16">
        <f>IFERROR(__xludf.DUMMYFUNCTION("""COMPUTED_VALUE"""),64.0)</f>
        <v>64</v>
      </c>
      <c r="F4409" s="19" t="str">
        <f>IFERROR(__xludf.DUMMYFUNCTION("""COMPUTED_VALUE"""),"BLACK")</f>
        <v>BLACK</v>
      </c>
      <c r="G4409" s="20" t="str">
        <f>IFERROR(__xludf.DUMMYFUNCTION("""COMPUTED_VALUE"""),"Uncle Sams Cider (11/12/2021) 02")</f>
        <v>Uncle Sams Cider (11/12/2021) 02</v>
      </c>
      <c r="H4409" s="19"/>
    </row>
    <row r="4410">
      <c r="A4410" s="9"/>
      <c r="B4410" s="15"/>
      <c r="C4410" s="9">
        <f>IFERROR(__xludf.DUMMYFUNCTION("""COMPUTED_VALUE"""),44559.1808206018)</f>
        <v>44559.18082</v>
      </c>
      <c r="D4410" s="15">
        <f>IFERROR(__xludf.DUMMYFUNCTION("""COMPUTED_VALUE"""),1.012)</f>
        <v>1.012</v>
      </c>
      <c r="E4410" s="16">
        <f>IFERROR(__xludf.DUMMYFUNCTION("""COMPUTED_VALUE"""),63.0)</f>
        <v>63</v>
      </c>
      <c r="F4410" s="19" t="str">
        <f>IFERROR(__xludf.DUMMYFUNCTION("""COMPUTED_VALUE"""),"BLACK")</f>
        <v>BLACK</v>
      </c>
      <c r="G4410" s="20" t="str">
        <f>IFERROR(__xludf.DUMMYFUNCTION("""COMPUTED_VALUE"""),"Uncle Sams Cider (11/12/2021) 02")</f>
        <v>Uncle Sams Cider (11/12/2021) 02</v>
      </c>
      <c r="H4410" s="19"/>
    </row>
    <row r="4411">
      <c r="A4411" s="9"/>
      <c r="B4411" s="15"/>
      <c r="C4411" s="9">
        <f>IFERROR(__xludf.DUMMYFUNCTION("""COMPUTED_VALUE"""),44559.1703981481)</f>
        <v>44559.1704</v>
      </c>
      <c r="D4411" s="15">
        <f>IFERROR(__xludf.DUMMYFUNCTION("""COMPUTED_VALUE"""),1.012)</f>
        <v>1.012</v>
      </c>
      <c r="E4411" s="16">
        <f>IFERROR(__xludf.DUMMYFUNCTION("""COMPUTED_VALUE"""),63.0)</f>
        <v>63</v>
      </c>
      <c r="F4411" s="19" t="str">
        <f>IFERROR(__xludf.DUMMYFUNCTION("""COMPUTED_VALUE"""),"BLACK")</f>
        <v>BLACK</v>
      </c>
      <c r="G4411" s="20" t="str">
        <f>IFERROR(__xludf.DUMMYFUNCTION("""COMPUTED_VALUE"""),"Uncle Sams Cider (11/12/2021) 02")</f>
        <v>Uncle Sams Cider (11/12/2021) 02</v>
      </c>
      <c r="H4411" s="19"/>
    </row>
    <row r="4412">
      <c r="A4412" s="9"/>
      <c r="B4412" s="15"/>
      <c r="C4412" s="9">
        <f>IFERROR(__xludf.DUMMYFUNCTION("""COMPUTED_VALUE"""),44559.159979155)</f>
        <v>44559.15998</v>
      </c>
      <c r="D4412" s="15">
        <f>IFERROR(__xludf.DUMMYFUNCTION("""COMPUTED_VALUE"""),1.012)</f>
        <v>1.012</v>
      </c>
      <c r="E4412" s="16">
        <f>IFERROR(__xludf.DUMMYFUNCTION("""COMPUTED_VALUE"""),64.0)</f>
        <v>64</v>
      </c>
      <c r="F4412" s="19" t="str">
        <f>IFERROR(__xludf.DUMMYFUNCTION("""COMPUTED_VALUE"""),"BLACK")</f>
        <v>BLACK</v>
      </c>
      <c r="G4412" s="20" t="str">
        <f>IFERROR(__xludf.DUMMYFUNCTION("""COMPUTED_VALUE"""),"Uncle Sams Cider (11/12/2021) 02")</f>
        <v>Uncle Sams Cider (11/12/2021) 02</v>
      </c>
      <c r="H4412" s="19"/>
    </row>
    <row r="4413">
      <c r="A4413" s="9"/>
      <c r="B4413" s="15"/>
      <c r="C4413" s="9">
        <f>IFERROR(__xludf.DUMMYFUNCTION("""COMPUTED_VALUE"""),44559.1495581018)</f>
        <v>44559.14956</v>
      </c>
      <c r="D4413" s="15">
        <f>IFERROR(__xludf.DUMMYFUNCTION("""COMPUTED_VALUE"""),1.012)</f>
        <v>1.012</v>
      </c>
      <c r="E4413" s="16">
        <f>IFERROR(__xludf.DUMMYFUNCTION("""COMPUTED_VALUE"""),64.0)</f>
        <v>64</v>
      </c>
      <c r="F4413" s="19" t="str">
        <f>IFERROR(__xludf.DUMMYFUNCTION("""COMPUTED_VALUE"""),"BLACK")</f>
        <v>BLACK</v>
      </c>
      <c r="G4413" s="20" t="str">
        <f>IFERROR(__xludf.DUMMYFUNCTION("""COMPUTED_VALUE"""),"Uncle Sams Cider (11/12/2021) 02")</f>
        <v>Uncle Sams Cider (11/12/2021) 02</v>
      </c>
      <c r="H4413" s="19"/>
    </row>
    <row r="4414">
      <c r="A4414" s="9"/>
      <c r="B4414" s="15"/>
      <c r="C4414" s="9">
        <f>IFERROR(__xludf.DUMMYFUNCTION("""COMPUTED_VALUE"""),44559.1391367592)</f>
        <v>44559.13914</v>
      </c>
      <c r="D4414" s="15">
        <f>IFERROR(__xludf.DUMMYFUNCTION("""COMPUTED_VALUE"""),1.012)</f>
        <v>1.012</v>
      </c>
      <c r="E4414" s="16">
        <f>IFERROR(__xludf.DUMMYFUNCTION("""COMPUTED_VALUE"""),64.0)</f>
        <v>64</v>
      </c>
      <c r="F4414" s="19" t="str">
        <f>IFERROR(__xludf.DUMMYFUNCTION("""COMPUTED_VALUE"""),"BLACK")</f>
        <v>BLACK</v>
      </c>
      <c r="G4414" s="20" t="str">
        <f>IFERROR(__xludf.DUMMYFUNCTION("""COMPUTED_VALUE"""),"Uncle Sams Cider (11/12/2021) 02")</f>
        <v>Uncle Sams Cider (11/12/2021) 02</v>
      </c>
      <c r="H4414" s="19"/>
    </row>
    <row r="4415">
      <c r="A4415" s="9"/>
      <c r="B4415" s="15"/>
      <c r="C4415" s="9">
        <f>IFERROR(__xludf.DUMMYFUNCTION("""COMPUTED_VALUE"""),44559.1287153703)</f>
        <v>44559.12872</v>
      </c>
      <c r="D4415" s="15">
        <f>IFERROR(__xludf.DUMMYFUNCTION("""COMPUTED_VALUE"""),1.012)</f>
        <v>1.012</v>
      </c>
      <c r="E4415" s="16">
        <f>IFERROR(__xludf.DUMMYFUNCTION("""COMPUTED_VALUE"""),63.0)</f>
        <v>63</v>
      </c>
      <c r="F4415" s="19" t="str">
        <f>IFERROR(__xludf.DUMMYFUNCTION("""COMPUTED_VALUE"""),"BLACK")</f>
        <v>BLACK</v>
      </c>
      <c r="G4415" s="20" t="str">
        <f>IFERROR(__xludf.DUMMYFUNCTION("""COMPUTED_VALUE"""),"Uncle Sams Cider (11/12/2021) 02")</f>
        <v>Uncle Sams Cider (11/12/2021) 02</v>
      </c>
      <c r="H4415" s="19"/>
    </row>
    <row r="4416">
      <c r="A4416" s="9"/>
      <c r="B4416" s="15"/>
      <c r="C4416" s="9">
        <f>IFERROR(__xludf.DUMMYFUNCTION("""COMPUTED_VALUE"""),44559.1182941898)</f>
        <v>44559.11829</v>
      </c>
      <c r="D4416" s="15">
        <f>IFERROR(__xludf.DUMMYFUNCTION("""COMPUTED_VALUE"""),1.013)</f>
        <v>1.013</v>
      </c>
      <c r="E4416" s="16">
        <f>IFERROR(__xludf.DUMMYFUNCTION("""COMPUTED_VALUE"""),64.0)</f>
        <v>64</v>
      </c>
      <c r="F4416" s="19" t="str">
        <f>IFERROR(__xludf.DUMMYFUNCTION("""COMPUTED_VALUE"""),"BLACK")</f>
        <v>BLACK</v>
      </c>
      <c r="G4416" s="20" t="str">
        <f>IFERROR(__xludf.DUMMYFUNCTION("""COMPUTED_VALUE"""),"Uncle Sams Cider (11/12/2021) 02")</f>
        <v>Uncle Sams Cider (11/12/2021) 02</v>
      </c>
      <c r="H4416" s="19"/>
    </row>
    <row r="4417">
      <c r="A4417" s="9"/>
      <c r="B4417" s="15"/>
      <c r="C4417" s="9">
        <f>IFERROR(__xludf.DUMMYFUNCTION("""COMPUTED_VALUE"""),44559.1078481597)</f>
        <v>44559.10785</v>
      </c>
      <c r="D4417" s="15">
        <f>IFERROR(__xludf.DUMMYFUNCTION("""COMPUTED_VALUE"""),1.012)</f>
        <v>1.012</v>
      </c>
      <c r="E4417" s="16">
        <f>IFERROR(__xludf.DUMMYFUNCTION("""COMPUTED_VALUE"""),64.0)</f>
        <v>64</v>
      </c>
      <c r="F4417" s="19" t="str">
        <f>IFERROR(__xludf.DUMMYFUNCTION("""COMPUTED_VALUE"""),"BLACK")</f>
        <v>BLACK</v>
      </c>
      <c r="G4417" s="20" t="str">
        <f>IFERROR(__xludf.DUMMYFUNCTION("""COMPUTED_VALUE"""),"Uncle Sams Cider (11/12/2021) 02")</f>
        <v>Uncle Sams Cider (11/12/2021) 02</v>
      </c>
      <c r="H4417" s="19"/>
    </row>
    <row r="4418">
      <c r="A4418" s="9"/>
      <c r="B4418" s="15"/>
      <c r="C4418" s="9">
        <f>IFERROR(__xludf.DUMMYFUNCTION("""COMPUTED_VALUE"""),44559.0974140972)</f>
        <v>44559.09741</v>
      </c>
      <c r="D4418" s="15">
        <f>IFERROR(__xludf.DUMMYFUNCTION("""COMPUTED_VALUE"""),1.013)</f>
        <v>1.013</v>
      </c>
      <c r="E4418" s="16">
        <f>IFERROR(__xludf.DUMMYFUNCTION("""COMPUTED_VALUE"""),64.0)</f>
        <v>64</v>
      </c>
      <c r="F4418" s="19" t="str">
        <f>IFERROR(__xludf.DUMMYFUNCTION("""COMPUTED_VALUE"""),"BLACK")</f>
        <v>BLACK</v>
      </c>
      <c r="G4418" s="20" t="str">
        <f>IFERROR(__xludf.DUMMYFUNCTION("""COMPUTED_VALUE"""),"Uncle Sams Cider (11/12/2021) 02")</f>
        <v>Uncle Sams Cider (11/12/2021) 02</v>
      </c>
      <c r="H4418" s="19"/>
    </row>
    <row r="4419">
      <c r="A4419" s="9"/>
      <c r="B4419" s="15"/>
      <c r="C4419" s="9">
        <f>IFERROR(__xludf.DUMMYFUNCTION("""COMPUTED_VALUE"""),44559.0869923958)</f>
        <v>44559.08699</v>
      </c>
      <c r="D4419" s="15">
        <f>IFERROR(__xludf.DUMMYFUNCTION("""COMPUTED_VALUE"""),1.013)</f>
        <v>1.013</v>
      </c>
      <c r="E4419" s="16">
        <f>IFERROR(__xludf.DUMMYFUNCTION("""COMPUTED_VALUE"""),64.0)</f>
        <v>64</v>
      </c>
      <c r="F4419" s="19" t="str">
        <f>IFERROR(__xludf.DUMMYFUNCTION("""COMPUTED_VALUE"""),"BLACK")</f>
        <v>BLACK</v>
      </c>
      <c r="G4419" s="20" t="str">
        <f>IFERROR(__xludf.DUMMYFUNCTION("""COMPUTED_VALUE"""),"Uncle Sams Cider (11/12/2021) 02")</f>
        <v>Uncle Sams Cider (11/12/2021) 02</v>
      </c>
      <c r="H4419" s="19"/>
    </row>
    <row r="4420">
      <c r="A4420" s="9"/>
      <c r="B4420" s="15"/>
      <c r="C4420" s="9">
        <f>IFERROR(__xludf.DUMMYFUNCTION("""COMPUTED_VALUE"""),44559.0765709375)</f>
        <v>44559.07657</v>
      </c>
      <c r="D4420" s="15">
        <f>IFERROR(__xludf.DUMMYFUNCTION("""COMPUTED_VALUE"""),1.013)</f>
        <v>1.013</v>
      </c>
      <c r="E4420" s="16">
        <f>IFERROR(__xludf.DUMMYFUNCTION("""COMPUTED_VALUE"""),64.0)</f>
        <v>64</v>
      </c>
      <c r="F4420" s="19" t="str">
        <f>IFERROR(__xludf.DUMMYFUNCTION("""COMPUTED_VALUE"""),"BLACK")</f>
        <v>BLACK</v>
      </c>
      <c r="G4420" s="20" t="str">
        <f>IFERROR(__xludf.DUMMYFUNCTION("""COMPUTED_VALUE"""),"Uncle Sams Cider (11/12/2021) 02")</f>
        <v>Uncle Sams Cider (11/12/2021) 02</v>
      </c>
      <c r="H4420" s="19"/>
    </row>
    <row r="4421">
      <c r="A4421" s="9"/>
      <c r="B4421" s="15"/>
      <c r="C4421" s="9">
        <f>IFERROR(__xludf.DUMMYFUNCTION("""COMPUTED_VALUE"""),44559.066148912)</f>
        <v>44559.06615</v>
      </c>
      <c r="D4421" s="15">
        <f>IFERROR(__xludf.DUMMYFUNCTION("""COMPUTED_VALUE"""),1.012)</f>
        <v>1.012</v>
      </c>
      <c r="E4421" s="16">
        <f>IFERROR(__xludf.DUMMYFUNCTION("""COMPUTED_VALUE"""),64.0)</f>
        <v>64</v>
      </c>
      <c r="F4421" s="19" t="str">
        <f>IFERROR(__xludf.DUMMYFUNCTION("""COMPUTED_VALUE"""),"BLACK")</f>
        <v>BLACK</v>
      </c>
      <c r="G4421" s="20" t="str">
        <f>IFERROR(__xludf.DUMMYFUNCTION("""COMPUTED_VALUE"""),"Uncle Sams Cider (11/12/2021) 02")</f>
        <v>Uncle Sams Cider (11/12/2021) 02</v>
      </c>
      <c r="H4421" s="19"/>
    </row>
    <row r="4422">
      <c r="A4422" s="9"/>
      <c r="B4422" s="15"/>
      <c r="C4422" s="9">
        <f>IFERROR(__xludf.DUMMYFUNCTION("""COMPUTED_VALUE"""),44559.0557282175)</f>
        <v>44559.05573</v>
      </c>
      <c r="D4422" s="15">
        <f>IFERROR(__xludf.DUMMYFUNCTION("""COMPUTED_VALUE"""),1.012)</f>
        <v>1.012</v>
      </c>
      <c r="E4422" s="16">
        <f>IFERROR(__xludf.DUMMYFUNCTION("""COMPUTED_VALUE"""),64.0)</f>
        <v>64</v>
      </c>
      <c r="F4422" s="19" t="str">
        <f>IFERROR(__xludf.DUMMYFUNCTION("""COMPUTED_VALUE"""),"BLACK")</f>
        <v>BLACK</v>
      </c>
      <c r="G4422" s="20" t="str">
        <f>IFERROR(__xludf.DUMMYFUNCTION("""COMPUTED_VALUE"""),"Uncle Sams Cider (11/12/2021) 02")</f>
        <v>Uncle Sams Cider (11/12/2021) 02</v>
      </c>
      <c r="H4422" s="19"/>
    </row>
    <row r="4423">
      <c r="A4423" s="9"/>
      <c r="B4423" s="15"/>
      <c r="C4423" s="9">
        <f>IFERROR(__xludf.DUMMYFUNCTION("""COMPUTED_VALUE"""),44559.0452731597)</f>
        <v>44559.04527</v>
      </c>
      <c r="D4423" s="15">
        <f>IFERROR(__xludf.DUMMYFUNCTION("""COMPUTED_VALUE"""),1.012)</f>
        <v>1.012</v>
      </c>
      <c r="E4423" s="16">
        <f>IFERROR(__xludf.DUMMYFUNCTION("""COMPUTED_VALUE"""),64.0)</f>
        <v>64</v>
      </c>
      <c r="F4423" s="19" t="str">
        <f>IFERROR(__xludf.DUMMYFUNCTION("""COMPUTED_VALUE"""),"BLACK")</f>
        <v>BLACK</v>
      </c>
      <c r="G4423" s="20" t="str">
        <f>IFERROR(__xludf.DUMMYFUNCTION("""COMPUTED_VALUE"""),"Uncle Sams Cider (11/12/2021) 02")</f>
        <v>Uncle Sams Cider (11/12/2021) 02</v>
      </c>
      <c r="H4423" s="19"/>
    </row>
    <row r="4424">
      <c r="A4424" s="9"/>
      <c r="B4424" s="15"/>
      <c r="C4424" s="9">
        <f>IFERROR(__xludf.DUMMYFUNCTION("""COMPUTED_VALUE"""),44559.0348526504)</f>
        <v>44559.03485</v>
      </c>
      <c r="D4424" s="15">
        <f>IFERROR(__xludf.DUMMYFUNCTION("""COMPUTED_VALUE"""),1.012)</f>
        <v>1.012</v>
      </c>
      <c r="E4424" s="16">
        <f>IFERROR(__xludf.DUMMYFUNCTION("""COMPUTED_VALUE"""),64.0)</f>
        <v>64</v>
      </c>
      <c r="F4424" s="19" t="str">
        <f>IFERROR(__xludf.DUMMYFUNCTION("""COMPUTED_VALUE"""),"BLACK")</f>
        <v>BLACK</v>
      </c>
      <c r="G4424" s="20" t="str">
        <f>IFERROR(__xludf.DUMMYFUNCTION("""COMPUTED_VALUE"""),"Uncle Sams Cider (11/12/2021) 02")</f>
        <v>Uncle Sams Cider (11/12/2021) 02</v>
      </c>
      <c r="H4424" s="19"/>
    </row>
    <row r="4425">
      <c r="A4425" s="9"/>
      <c r="B4425" s="15"/>
      <c r="C4425" s="9">
        <f>IFERROR(__xludf.DUMMYFUNCTION("""COMPUTED_VALUE"""),44559.0244197569)</f>
        <v>44559.02442</v>
      </c>
      <c r="D4425" s="15">
        <f>IFERROR(__xludf.DUMMYFUNCTION("""COMPUTED_VALUE"""),1.013)</f>
        <v>1.013</v>
      </c>
      <c r="E4425" s="16">
        <f>IFERROR(__xludf.DUMMYFUNCTION("""COMPUTED_VALUE"""),64.0)</f>
        <v>64</v>
      </c>
      <c r="F4425" s="19" t="str">
        <f>IFERROR(__xludf.DUMMYFUNCTION("""COMPUTED_VALUE"""),"BLACK")</f>
        <v>BLACK</v>
      </c>
      <c r="G4425" s="20" t="str">
        <f>IFERROR(__xludf.DUMMYFUNCTION("""COMPUTED_VALUE"""),"Uncle Sams Cider (11/12/2021) 02")</f>
        <v>Uncle Sams Cider (11/12/2021) 02</v>
      </c>
      <c r="H4425" s="19"/>
    </row>
    <row r="4426">
      <c r="A4426" s="9"/>
      <c r="B4426" s="15"/>
      <c r="C4426" s="9">
        <f>IFERROR(__xludf.DUMMYFUNCTION("""COMPUTED_VALUE"""),44559.0139861342)</f>
        <v>44559.01399</v>
      </c>
      <c r="D4426" s="15">
        <f>IFERROR(__xludf.DUMMYFUNCTION("""COMPUTED_VALUE"""),1.012)</f>
        <v>1.012</v>
      </c>
      <c r="E4426" s="16">
        <f>IFERROR(__xludf.DUMMYFUNCTION("""COMPUTED_VALUE"""),64.0)</f>
        <v>64</v>
      </c>
      <c r="F4426" s="19" t="str">
        <f>IFERROR(__xludf.DUMMYFUNCTION("""COMPUTED_VALUE"""),"BLACK")</f>
        <v>BLACK</v>
      </c>
      <c r="G4426" s="20" t="str">
        <f>IFERROR(__xludf.DUMMYFUNCTION("""COMPUTED_VALUE"""),"Uncle Sams Cider (11/12/2021) 02")</f>
        <v>Uncle Sams Cider (11/12/2021) 02</v>
      </c>
      <c r="H4426" s="19"/>
    </row>
    <row r="4427">
      <c r="A4427" s="9"/>
      <c r="B4427" s="15"/>
      <c r="C4427" s="9">
        <f>IFERROR(__xludf.DUMMYFUNCTION("""COMPUTED_VALUE"""),44559.0035537962)</f>
        <v>44559.00355</v>
      </c>
      <c r="D4427" s="15">
        <f>IFERROR(__xludf.DUMMYFUNCTION("""COMPUTED_VALUE"""),1.012)</f>
        <v>1.012</v>
      </c>
      <c r="E4427" s="16">
        <f>IFERROR(__xludf.DUMMYFUNCTION("""COMPUTED_VALUE"""),64.0)</f>
        <v>64</v>
      </c>
      <c r="F4427" s="19" t="str">
        <f>IFERROR(__xludf.DUMMYFUNCTION("""COMPUTED_VALUE"""),"BLACK")</f>
        <v>BLACK</v>
      </c>
      <c r="G4427" s="20" t="str">
        <f>IFERROR(__xludf.DUMMYFUNCTION("""COMPUTED_VALUE"""),"Uncle Sams Cider (11/12/2021) 02")</f>
        <v>Uncle Sams Cider (11/12/2021) 02</v>
      </c>
      <c r="H4427" s="19"/>
    </row>
    <row r="4428">
      <c r="A4428" s="9"/>
      <c r="B4428" s="15"/>
      <c r="C4428" s="9">
        <f>IFERROR(__xludf.DUMMYFUNCTION("""COMPUTED_VALUE"""),44558.9930972453)</f>
        <v>44558.9931</v>
      </c>
      <c r="D4428" s="15">
        <f>IFERROR(__xludf.DUMMYFUNCTION("""COMPUTED_VALUE"""),1.013)</f>
        <v>1.013</v>
      </c>
      <c r="E4428" s="16">
        <f>IFERROR(__xludf.DUMMYFUNCTION("""COMPUTED_VALUE"""),64.0)</f>
        <v>64</v>
      </c>
      <c r="F4428" s="19" t="str">
        <f>IFERROR(__xludf.DUMMYFUNCTION("""COMPUTED_VALUE"""),"BLACK")</f>
        <v>BLACK</v>
      </c>
      <c r="G4428" s="20" t="str">
        <f>IFERROR(__xludf.DUMMYFUNCTION("""COMPUTED_VALUE"""),"Uncle Sams Cider (11/12/2021) 02")</f>
        <v>Uncle Sams Cider (11/12/2021) 02</v>
      </c>
      <c r="H4428" s="19"/>
    </row>
    <row r="4429">
      <c r="A4429" s="9"/>
      <c r="B4429" s="15"/>
      <c r="C4429" s="9">
        <f>IFERROR(__xludf.DUMMYFUNCTION("""COMPUTED_VALUE"""),44558.9826737268)</f>
        <v>44558.98267</v>
      </c>
      <c r="D4429" s="15">
        <f>IFERROR(__xludf.DUMMYFUNCTION("""COMPUTED_VALUE"""),1.013)</f>
        <v>1.013</v>
      </c>
      <c r="E4429" s="16">
        <f>IFERROR(__xludf.DUMMYFUNCTION("""COMPUTED_VALUE"""),64.0)</f>
        <v>64</v>
      </c>
      <c r="F4429" s="19" t="str">
        <f>IFERROR(__xludf.DUMMYFUNCTION("""COMPUTED_VALUE"""),"BLACK")</f>
        <v>BLACK</v>
      </c>
      <c r="G4429" s="20" t="str">
        <f>IFERROR(__xludf.DUMMYFUNCTION("""COMPUTED_VALUE"""),"Uncle Sams Cider (11/12/2021) 02")</f>
        <v>Uncle Sams Cider (11/12/2021) 02</v>
      </c>
      <c r="H4429" s="19"/>
    </row>
    <row r="4430">
      <c r="A4430" s="9"/>
      <c r="B4430" s="15"/>
      <c r="C4430" s="9">
        <f>IFERROR(__xludf.DUMMYFUNCTION("""COMPUTED_VALUE"""),44558.9722517245)</f>
        <v>44558.97225</v>
      </c>
      <c r="D4430" s="15">
        <f>IFERROR(__xludf.DUMMYFUNCTION("""COMPUTED_VALUE"""),1.012)</f>
        <v>1.012</v>
      </c>
      <c r="E4430" s="16">
        <f>IFERROR(__xludf.DUMMYFUNCTION("""COMPUTED_VALUE"""),64.0)</f>
        <v>64</v>
      </c>
      <c r="F4430" s="19" t="str">
        <f>IFERROR(__xludf.DUMMYFUNCTION("""COMPUTED_VALUE"""),"BLACK")</f>
        <v>BLACK</v>
      </c>
      <c r="G4430" s="20" t="str">
        <f>IFERROR(__xludf.DUMMYFUNCTION("""COMPUTED_VALUE"""),"Uncle Sams Cider (11/12/2021) 02")</f>
        <v>Uncle Sams Cider (11/12/2021) 02</v>
      </c>
      <c r="H4430" s="19"/>
    </row>
    <row r="4431">
      <c r="A4431" s="9"/>
      <c r="B4431" s="15"/>
      <c r="C4431" s="9">
        <f>IFERROR(__xludf.DUMMYFUNCTION("""COMPUTED_VALUE"""),44558.9617972685)</f>
        <v>44558.9618</v>
      </c>
      <c r="D4431" s="15">
        <f>IFERROR(__xludf.DUMMYFUNCTION("""COMPUTED_VALUE"""),1.012)</f>
        <v>1.012</v>
      </c>
      <c r="E4431" s="16">
        <f>IFERROR(__xludf.DUMMYFUNCTION("""COMPUTED_VALUE"""),64.0)</f>
        <v>64</v>
      </c>
      <c r="F4431" s="19" t="str">
        <f>IFERROR(__xludf.DUMMYFUNCTION("""COMPUTED_VALUE"""),"BLACK")</f>
        <v>BLACK</v>
      </c>
      <c r="G4431" s="20" t="str">
        <f>IFERROR(__xludf.DUMMYFUNCTION("""COMPUTED_VALUE"""),"Uncle Sams Cider (11/12/2021) 02")</f>
        <v>Uncle Sams Cider (11/12/2021) 02</v>
      </c>
      <c r="H4431" s="19"/>
    </row>
    <row r="4432">
      <c r="A4432" s="9"/>
      <c r="B4432" s="15"/>
      <c r="C4432" s="9">
        <f>IFERROR(__xludf.DUMMYFUNCTION("""COMPUTED_VALUE"""),44558.9513754513)</f>
        <v>44558.95138</v>
      </c>
      <c r="D4432" s="15">
        <f>IFERROR(__xludf.DUMMYFUNCTION("""COMPUTED_VALUE"""),1.013)</f>
        <v>1.013</v>
      </c>
      <c r="E4432" s="16">
        <f>IFERROR(__xludf.DUMMYFUNCTION("""COMPUTED_VALUE"""),64.0)</f>
        <v>64</v>
      </c>
      <c r="F4432" s="19" t="str">
        <f>IFERROR(__xludf.DUMMYFUNCTION("""COMPUTED_VALUE"""),"BLACK")</f>
        <v>BLACK</v>
      </c>
      <c r="G4432" s="20" t="str">
        <f>IFERROR(__xludf.DUMMYFUNCTION("""COMPUTED_VALUE"""),"Uncle Sams Cider (11/12/2021) 02")</f>
        <v>Uncle Sams Cider (11/12/2021) 02</v>
      </c>
      <c r="H4432" s="19"/>
    </row>
    <row r="4433">
      <c r="A4433" s="9"/>
      <c r="B4433" s="15"/>
      <c r="C4433" s="9">
        <f>IFERROR(__xludf.DUMMYFUNCTION("""COMPUTED_VALUE"""),44558.9409415625)</f>
        <v>44558.94094</v>
      </c>
      <c r="D4433" s="15">
        <f>IFERROR(__xludf.DUMMYFUNCTION("""COMPUTED_VALUE"""),1.012)</f>
        <v>1.012</v>
      </c>
      <c r="E4433" s="16">
        <f>IFERROR(__xludf.DUMMYFUNCTION("""COMPUTED_VALUE"""),64.0)</f>
        <v>64</v>
      </c>
      <c r="F4433" s="19" t="str">
        <f>IFERROR(__xludf.DUMMYFUNCTION("""COMPUTED_VALUE"""),"BLACK")</f>
        <v>BLACK</v>
      </c>
      <c r="G4433" s="20" t="str">
        <f>IFERROR(__xludf.DUMMYFUNCTION("""COMPUTED_VALUE"""),"Uncle Sams Cider (11/12/2021) 02")</f>
        <v>Uncle Sams Cider (11/12/2021) 02</v>
      </c>
      <c r="H4433" s="19"/>
    </row>
    <row r="4434">
      <c r="A4434" s="9"/>
      <c r="B4434" s="15"/>
      <c r="C4434" s="9">
        <f>IFERROR(__xludf.DUMMYFUNCTION("""COMPUTED_VALUE"""),44558.9305197916)</f>
        <v>44558.93052</v>
      </c>
      <c r="D4434" s="15">
        <f>IFERROR(__xludf.DUMMYFUNCTION("""COMPUTED_VALUE"""),1.012)</f>
        <v>1.012</v>
      </c>
      <c r="E4434" s="16">
        <f>IFERROR(__xludf.DUMMYFUNCTION("""COMPUTED_VALUE"""),64.0)</f>
        <v>64</v>
      </c>
      <c r="F4434" s="19" t="str">
        <f>IFERROR(__xludf.DUMMYFUNCTION("""COMPUTED_VALUE"""),"BLACK")</f>
        <v>BLACK</v>
      </c>
      <c r="G4434" s="20" t="str">
        <f>IFERROR(__xludf.DUMMYFUNCTION("""COMPUTED_VALUE"""),"Uncle Sams Cider (11/12/2021) 02")</f>
        <v>Uncle Sams Cider (11/12/2021) 02</v>
      </c>
      <c r="H4434" s="19"/>
    </row>
    <row r="4435">
      <c r="A4435" s="9"/>
      <c r="B4435" s="15"/>
      <c r="C4435" s="9">
        <f>IFERROR(__xludf.DUMMYFUNCTION("""COMPUTED_VALUE"""),44558.9200995601)</f>
        <v>44558.9201</v>
      </c>
      <c r="D4435" s="15">
        <f>IFERROR(__xludf.DUMMYFUNCTION("""COMPUTED_VALUE"""),1.013)</f>
        <v>1.013</v>
      </c>
      <c r="E4435" s="16">
        <f>IFERROR(__xludf.DUMMYFUNCTION("""COMPUTED_VALUE"""),64.0)</f>
        <v>64</v>
      </c>
      <c r="F4435" s="19" t="str">
        <f>IFERROR(__xludf.DUMMYFUNCTION("""COMPUTED_VALUE"""),"BLACK")</f>
        <v>BLACK</v>
      </c>
      <c r="G4435" s="20" t="str">
        <f>IFERROR(__xludf.DUMMYFUNCTION("""COMPUTED_VALUE"""),"Uncle Sams Cider (11/12/2021) 02")</f>
        <v>Uncle Sams Cider (11/12/2021) 02</v>
      </c>
      <c r="H4435" s="19"/>
    </row>
    <row r="4436">
      <c r="A4436" s="9"/>
      <c r="B4436" s="15"/>
      <c r="C4436" s="9">
        <f>IFERROR(__xludf.DUMMYFUNCTION("""COMPUTED_VALUE"""),44558.9096438194)</f>
        <v>44558.90964</v>
      </c>
      <c r="D4436" s="15">
        <f>IFERROR(__xludf.DUMMYFUNCTION("""COMPUTED_VALUE"""),1.012)</f>
        <v>1.012</v>
      </c>
      <c r="E4436" s="16">
        <f>IFERROR(__xludf.DUMMYFUNCTION("""COMPUTED_VALUE"""),64.0)</f>
        <v>64</v>
      </c>
      <c r="F4436" s="19" t="str">
        <f>IFERROR(__xludf.DUMMYFUNCTION("""COMPUTED_VALUE"""),"BLACK")</f>
        <v>BLACK</v>
      </c>
      <c r="G4436" s="20" t="str">
        <f>IFERROR(__xludf.DUMMYFUNCTION("""COMPUTED_VALUE"""),"Uncle Sams Cider (11/12/2021) 02")</f>
        <v>Uncle Sams Cider (11/12/2021) 02</v>
      </c>
      <c r="H4436" s="19"/>
    </row>
    <row r="4437">
      <c r="A4437" s="9"/>
      <c r="B4437" s="15"/>
      <c r="C4437" s="9">
        <f>IFERROR(__xludf.DUMMYFUNCTION("""COMPUTED_VALUE"""),44558.8992223379)</f>
        <v>44558.89922</v>
      </c>
      <c r="D4437" s="15">
        <f>IFERROR(__xludf.DUMMYFUNCTION("""COMPUTED_VALUE"""),1.013)</f>
        <v>1.013</v>
      </c>
      <c r="E4437" s="16">
        <f>IFERROR(__xludf.DUMMYFUNCTION("""COMPUTED_VALUE"""),64.0)</f>
        <v>64</v>
      </c>
      <c r="F4437" s="19" t="str">
        <f>IFERROR(__xludf.DUMMYFUNCTION("""COMPUTED_VALUE"""),"BLACK")</f>
        <v>BLACK</v>
      </c>
      <c r="G4437" s="20" t="str">
        <f>IFERROR(__xludf.DUMMYFUNCTION("""COMPUTED_VALUE"""),"Uncle Sams Cider (11/12/2021) 02")</f>
        <v>Uncle Sams Cider (11/12/2021) 02</v>
      </c>
      <c r="H4437" s="19"/>
    </row>
    <row r="4438">
      <c r="A4438" s="9"/>
      <c r="B4438" s="15"/>
      <c r="C4438" s="9">
        <f>IFERROR(__xludf.DUMMYFUNCTION("""COMPUTED_VALUE"""),44558.8887656597)</f>
        <v>44558.88877</v>
      </c>
      <c r="D4438" s="15">
        <f>IFERROR(__xludf.DUMMYFUNCTION("""COMPUTED_VALUE"""),1.012)</f>
        <v>1.012</v>
      </c>
      <c r="E4438" s="16">
        <f>IFERROR(__xludf.DUMMYFUNCTION("""COMPUTED_VALUE"""),64.0)</f>
        <v>64</v>
      </c>
      <c r="F4438" s="19" t="str">
        <f>IFERROR(__xludf.DUMMYFUNCTION("""COMPUTED_VALUE"""),"BLACK")</f>
        <v>BLACK</v>
      </c>
      <c r="G4438" s="20" t="str">
        <f>IFERROR(__xludf.DUMMYFUNCTION("""COMPUTED_VALUE"""),"Uncle Sams Cider (11/12/2021) 02")</f>
        <v>Uncle Sams Cider (11/12/2021) 02</v>
      </c>
      <c r="H4438" s="19"/>
    </row>
    <row r="4439">
      <c r="A4439" s="9"/>
      <c r="B4439" s="15"/>
      <c r="C4439" s="9">
        <f>IFERROR(__xludf.DUMMYFUNCTION("""COMPUTED_VALUE"""),44558.8783099652)</f>
        <v>44558.87831</v>
      </c>
      <c r="D4439" s="15">
        <f>IFERROR(__xludf.DUMMYFUNCTION("""COMPUTED_VALUE"""),1.012)</f>
        <v>1.012</v>
      </c>
      <c r="E4439" s="16">
        <f>IFERROR(__xludf.DUMMYFUNCTION("""COMPUTED_VALUE"""),64.0)</f>
        <v>64</v>
      </c>
      <c r="F4439" s="19" t="str">
        <f>IFERROR(__xludf.DUMMYFUNCTION("""COMPUTED_VALUE"""),"BLACK")</f>
        <v>BLACK</v>
      </c>
      <c r="G4439" s="20" t="str">
        <f>IFERROR(__xludf.DUMMYFUNCTION("""COMPUTED_VALUE"""),"Uncle Sams Cider (11/12/2021) 02")</f>
        <v>Uncle Sams Cider (11/12/2021) 02</v>
      </c>
      <c r="H4439" s="19"/>
    </row>
    <row r="4440">
      <c r="A4440" s="9"/>
      <c r="B4440" s="15"/>
      <c r="C4440" s="9">
        <f>IFERROR(__xludf.DUMMYFUNCTION("""COMPUTED_VALUE"""),44558.867888449)</f>
        <v>44558.86789</v>
      </c>
      <c r="D4440" s="15">
        <f>IFERROR(__xludf.DUMMYFUNCTION("""COMPUTED_VALUE"""),1.012)</f>
        <v>1.012</v>
      </c>
      <c r="E4440" s="16">
        <f>IFERROR(__xludf.DUMMYFUNCTION("""COMPUTED_VALUE"""),64.0)</f>
        <v>64</v>
      </c>
      <c r="F4440" s="19" t="str">
        <f>IFERROR(__xludf.DUMMYFUNCTION("""COMPUTED_VALUE"""),"BLACK")</f>
        <v>BLACK</v>
      </c>
      <c r="G4440" s="20" t="str">
        <f>IFERROR(__xludf.DUMMYFUNCTION("""COMPUTED_VALUE"""),"Uncle Sams Cider (11/12/2021) 02")</f>
        <v>Uncle Sams Cider (11/12/2021) 02</v>
      </c>
      <c r="H4440" s="19"/>
    </row>
    <row r="4441">
      <c r="A4441" s="9"/>
      <c r="B4441" s="15"/>
      <c r="C4441" s="9">
        <f>IFERROR(__xludf.DUMMYFUNCTION("""COMPUTED_VALUE"""),44558.8574563425)</f>
        <v>44558.85746</v>
      </c>
      <c r="D4441" s="15">
        <f>IFERROR(__xludf.DUMMYFUNCTION("""COMPUTED_VALUE"""),1.012)</f>
        <v>1.012</v>
      </c>
      <c r="E4441" s="16">
        <f>IFERROR(__xludf.DUMMYFUNCTION("""COMPUTED_VALUE"""),64.0)</f>
        <v>64</v>
      </c>
      <c r="F4441" s="19" t="str">
        <f>IFERROR(__xludf.DUMMYFUNCTION("""COMPUTED_VALUE"""),"BLACK")</f>
        <v>BLACK</v>
      </c>
      <c r="G4441" s="20" t="str">
        <f>IFERROR(__xludf.DUMMYFUNCTION("""COMPUTED_VALUE"""),"Uncle Sams Cider (11/12/2021) 02")</f>
        <v>Uncle Sams Cider (11/12/2021) 02</v>
      </c>
      <c r="H4441" s="19"/>
    </row>
    <row r="4442">
      <c r="A4442" s="9"/>
      <c r="B4442" s="15"/>
      <c r="C4442" s="9">
        <f>IFERROR(__xludf.DUMMYFUNCTION("""COMPUTED_VALUE"""),44558.8470350462)</f>
        <v>44558.84704</v>
      </c>
      <c r="D4442" s="15">
        <f>IFERROR(__xludf.DUMMYFUNCTION("""COMPUTED_VALUE"""),1.013)</f>
        <v>1.013</v>
      </c>
      <c r="E4442" s="16">
        <f>IFERROR(__xludf.DUMMYFUNCTION("""COMPUTED_VALUE"""),64.0)</f>
        <v>64</v>
      </c>
      <c r="F4442" s="19" t="str">
        <f>IFERROR(__xludf.DUMMYFUNCTION("""COMPUTED_VALUE"""),"BLACK")</f>
        <v>BLACK</v>
      </c>
      <c r="G4442" s="20" t="str">
        <f>IFERROR(__xludf.DUMMYFUNCTION("""COMPUTED_VALUE"""),"Uncle Sams Cider (11/12/2021) 02")</f>
        <v>Uncle Sams Cider (11/12/2021) 02</v>
      </c>
      <c r="H4442" s="19"/>
    </row>
    <row r="4443">
      <c r="A4443" s="9"/>
      <c r="B4443" s="15"/>
      <c r="C4443" s="9">
        <f>IFERROR(__xludf.DUMMYFUNCTION("""COMPUTED_VALUE"""),44558.8366034375)</f>
        <v>44558.8366</v>
      </c>
      <c r="D4443" s="15">
        <f>IFERROR(__xludf.DUMMYFUNCTION("""COMPUTED_VALUE"""),1.012)</f>
        <v>1.012</v>
      </c>
      <c r="E4443" s="16">
        <f>IFERROR(__xludf.DUMMYFUNCTION("""COMPUTED_VALUE"""),64.0)</f>
        <v>64</v>
      </c>
      <c r="F4443" s="19" t="str">
        <f>IFERROR(__xludf.DUMMYFUNCTION("""COMPUTED_VALUE"""),"BLACK")</f>
        <v>BLACK</v>
      </c>
      <c r="G4443" s="20" t="str">
        <f>IFERROR(__xludf.DUMMYFUNCTION("""COMPUTED_VALUE"""),"Uncle Sams Cider (11/12/2021) 02")</f>
        <v>Uncle Sams Cider (11/12/2021) 02</v>
      </c>
      <c r="H4443" s="19"/>
    </row>
    <row r="4444">
      <c r="A4444" s="9"/>
      <c r="B4444" s="15"/>
      <c r="C4444" s="9">
        <f>IFERROR(__xludf.DUMMYFUNCTION("""COMPUTED_VALUE"""),44558.8261837037)</f>
        <v>44558.82618</v>
      </c>
      <c r="D4444" s="15">
        <f>IFERROR(__xludf.DUMMYFUNCTION("""COMPUTED_VALUE"""),1.013)</f>
        <v>1.013</v>
      </c>
      <c r="E4444" s="16">
        <f>IFERROR(__xludf.DUMMYFUNCTION("""COMPUTED_VALUE"""),64.0)</f>
        <v>64</v>
      </c>
      <c r="F4444" s="19" t="str">
        <f>IFERROR(__xludf.DUMMYFUNCTION("""COMPUTED_VALUE"""),"BLACK")</f>
        <v>BLACK</v>
      </c>
      <c r="G4444" s="20" t="str">
        <f>IFERROR(__xludf.DUMMYFUNCTION("""COMPUTED_VALUE"""),"Uncle Sams Cider (11/12/2021) 02")</f>
        <v>Uncle Sams Cider (11/12/2021) 02</v>
      </c>
      <c r="H4444" s="19"/>
    </row>
    <row r="4445">
      <c r="A4445" s="9"/>
      <c r="B4445" s="15"/>
      <c r="C4445" s="9">
        <f>IFERROR(__xludf.DUMMYFUNCTION("""COMPUTED_VALUE"""),44558.8157624305)</f>
        <v>44558.81576</v>
      </c>
      <c r="D4445" s="15">
        <f>IFERROR(__xludf.DUMMYFUNCTION("""COMPUTED_VALUE"""),1.012)</f>
        <v>1.012</v>
      </c>
      <c r="E4445" s="16">
        <f>IFERROR(__xludf.DUMMYFUNCTION("""COMPUTED_VALUE"""),64.0)</f>
        <v>64</v>
      </c>
      <c r="F4445" s="19" t="str">
        <f>IFERROR(__xludf.DUMMYFUNCTION("""COMPUTED_VALUE"""),"BLACK")</f>
        <v>BLACK</v>
      </c>
      <c r="G4445" s="20" t="str">
        <f>IFERROR(__xludf.DUMMYFUNCTION("""COMPUTED_VALUE"""),"Uncle Sams Cider (11/12/2021) 02")</f>
        <v>Uncle Sams Cider (11/12/2021) 02</v>
      </c>
      <c r="H4445" s="19"/>
    </row>
    <row r="4446">
      <c r="A4446" s="9"/>
      <c r="B4446" s="15"/>
      <c r="C4446" s="9">
        <f>IFERROR(__xludf.DUMMYFUNCTION("""COMPUTED_VALUE"""),44558.8053402199)</f>
        <v>44558.80534</v>
      </c>
      <c r="D4446" s="15">
        <f>IFERROR(__xludf.DUMMYFUNCTION("""COMPUTED_VALUE"""),1.013)</f>
        <v>1.013</v>
      </c>
      <c r="E4446" s="16">
        <f>IFERROR(__xludf.DUMMYFUNCTION("""COMPUTED_VALUE"""),64.0)</f>
        <v>64</v>
      </c>
      <c r="F4446" s="19" t="str">
        <f>IFERROR(__xludf.DUMMYFUNCTION("""COMPUTED_VALUE"""),"BLACK")</f>
        <v>BLACK</v>
      </c>
      <c r="G4446" s="20" t="str">
        <f>IFERROR(__xludf.DUMMYFUNCTION("""COMPUTED_VALUE"""),"Uncle Sams Cider (11/12/2021) 02")</f>
        <v>Uncle Sams Cider (11/12/2021) 02</v>
      </c>
      <c r="H4446" s="19"/>
    </row>
    <row r="4447">
      <c r="A4447" s="9"/>
      <c r="B4447" s="15"/>
      <c r="C4447" s="9">
        <f>IFERROR(__xludf.DUMMYFUNCTION("""COMPUTED_VALUE"""),44558.7948948726)</f>
        <v>44558.79489</v>
      </c>
      <c r="D4447" s="15">
        <f>IFERROR(__xludf.DUMMYFUNCTION("""COMPUTED_VALUE"""),1.013)</f>
        <v>1.013</v>
      </c>
      <c r="E4447" s="16">
        <f>IFERROR(__xludf.DUMMYFUNCTION("""COMPUTED_VALUE"""),64.0)</f>
        <v>64</v>
      </c>
      <c r="F4447" s="19" t="str">
        <f>IFERROR(__xludf.DUMMYFUNCTION("""COMPUTED_VALUE"""),"BLACK")</f>
        <v>BLACK</v>
      </c>
      <c r="G4447" s="20" t="str">
        <f>IFERROR(__xludf.DUMMYFUNCTION("""COMPUTED_VALUE"""),"Uncle Sams Cider (11/12/2021) 02")</f>
        <v>Uncle Sams Cider (11/12/2021) 02</v>
      </c>
      <c r="H4447" s="19"/>
    </row>
    <row r="4448">
      <c r="A4448" s="9"/>
      <c r="B4448" s="15"/>
      <c r="C4448" s="9">
        <f>IFERROR(__xludf.DUMMYFUNCTION("""COMPUTED_VALUE"""),44558.7844731712)</f>
        <v>44558.78447</v>
      </c>
      <c r="D4448" s="15">
        <f>IFERROR(__xludf.DUMMYFUNCTION("""COMPUTED_VALUE"""),1.012)</f>
        <v>1.012</v>
      </c>
      <c r="E4448" s="16">
        <f>IFERROR(__xludf.DUMMYFUNCTION("""COMPUTED_VALUE"""),64.0)</f>
        <v>64</v>
      </c>
      <c r="F4448" s="19" t="str">
        <f>IFERROR(__xludf.DUMMYFUNCTION("""COMPUTED_VALUE"""),"BLACK")</f>
        <v>BLACK</v>
      </c>
      <c r="G4448" s="20" t="str">
        <f>IFERROR(__xludf.DUMMYFUNCTION("""COMPUTED_VALUE"""),"Uncle Sams Cider (11/12/2021) 02")</f>
        <v>Uncle Sams Cider (11/12/2021) 02</v>
      </c>
      <c r="H4448" s="19"/>
    </row>
    <row r="4449">
      <c r="A4449" s="9"/>
      <c r="B4449" s="15"/>
      <c r="C4449" s="9">
        <f>IFERROR(__xludf.DUMMYFUNCTION("""COMPUTED_VALUE"""),44558.7740523148)</f>
        <v>44558.77405</v>
      </c>
      <c r="D4449" s="15">
        <f>IFERROR(__xludf.DUMMYFUNCTION("""COMPUTED_VALUE"""),1.013)</f>
        <v>1.013</v>
      </c>
      <c r="E4449" s="16">
        <f>IFERROR(__xludf.DUMMYFUNCTION("""COMPUTED_VALUE"""),64.0)</f>
        <v>64</v>
      </c>
      <c r="F4449" s="19" t="str">
        <f>IFERROR(__xludf.DUMMYFUNCTION("""COMPUTED_VALUE"""),"BLACK")</f>
        <v>BLACK</v>
      </c>
      <c r="G4449" s="20" t="str">
        <f>IFERROR(__xludf.DUMMYFUNCTION("""COMPUTED_VALUE"""),"Uncle Sams Cider (11/12/2021) 02")</f>
        <v>Uncle Sams Cider (11/12/2021) 02</v>
      </c>
      <c r="H4449" s="19"/>
    </row>
    <row r="4450">
      <c r="A4450" s="9"/>
      <c r="B4450" s="15"/>
      <c r="C4450" s="9">
        <f>IFERROR(__xludf.DUMMYFUNCTION("""COMPUTED_VALUE"""),44558.763631574)</f>
        <v>44558.76363</v>
      </c>
      <c r="D4450" s="15">
        <f>IFERROR(__xludf.DUMMYFUNCTION("""COMPUTED_VALUE"""),1.013)</f>
        <v>1.013</v>
      </c>
      <c r="E4450" s="16">
        <f>IFERROR(__xludf.DUMMYFUNCTION("""COMPUTED_VALUE"""),64.0)</f>
        <v>64</v>
      </c>
      <c r="F4450" s="19" t="str">
        <f>IFERROR(__xludf.DUMMYFUNCTION("""COMPUTED_VALUE"""),"BLACK")</f>
        <v>BLACK</v>
      </c>
      <c r="G4450" s="20" t="str">
        <f>IFERROR(__xludf.DUMMYFUNCTION("""COMPUTED_VALUE"""),"Uncle Sams Cider (11/12/2021) 02")</f>
        <v>Uncle Sams Cider (11/12/2021) 02</v>
      </c>
      <c r="H4450" s="19"/>
    </row>
    <row r="4451">
      <c r="A4451" s="9"/>
      <c r="B4451" s="15"/>
      <c r="C4451" s="9">
        <f>IFERROR(__xludf.DUMMYFUNCTION("""COMPUTED_VALUE"""),44558.753209699)</f>
        <v>44558.75321</v>
      </c>
      <c r="D4451" s="15">
        <f>IFERROR(__xludf.DUMMYFUNCTION("""COMPUTED_VALUE"""),1.013)</f>
        <v>1.013</v>
      </c>
      <c r="E4451" s="16">
        <f>IFERROR(__xludf.DUMMYFUNCTION("""COMPUTED_VALUE"""),64.0)</f>
        <v>64</v>
      </c>
      <c r="F4451" s="19" t="str">
        <f>IFERROR(__xludf.DUMMYFUNCTION("""COMPUTED_VALUE"""),"BLACK")</f>
        <v>BLACK</v>
      </c>
      <c r="G4451" s="20" t="str">
        <f>IFERROR(__xludf.DUMMYFUNCTION("""COMPUTED_VALUE"""),"Uncle Sams Cider (11/12/2021) 02")</f>
        <v>Uncle Sams Cider (11/12/2021) 02</v>
      </c>
      <c r="H4451" s="19"/>
    </row>
    <row r="4452">
      <c r="A4452" s="9"/>
      <c r="B4452" s="15"/>
      <c r="C4452" s="9">
        <f>IFERROR(__xludf.DUMMYFUNCTION("""COMPUTED_VALUE"""),44558.7427639004)</f>
        <v>44558.74276</v>
      </c>
      <c r="D4452" s="15">
        <f>IFERROR(__xludf.DUMMYFUNCTION("""COMPUTED_VALUE"""),1.012)</f>
        <v>1.012</v>
      </c>
      <c r="E4452" s="16">
        <f>IFERROR(__xludf.DUMMYFUNCTION("""COMPUTED_VALUE"""),64.0)</f>
        <v>64</v>
      </c>
      <c r="F4452" s="19" t="str">
        <f>IFERROR(__xludf.DUMMYFUNCTION("""COMPUTED_VALUE"""),"BLACK")</f>
        <v>BLACK</v>
      </c>
      <c r="G4452" s="20" t="str">
        <f>IFERROR(__xludf.DUMMYFUNCTION("""COMPUTED_VALUE"""),"Uncle Sams Cider (11/12/2021) 02")</f>
        <v>Uncle Sams Cider (11/12/2021) 02</v>
      </c>
      <c r="H4452" s="19"/>
    </row>
    <row r="4453">
      <c r="A4453" s="9"/>
      <c r="B4453" s="15"/>
      <c r="C4453" s="9">
        <f>IFERROR(__xludf.DUMMYFUNCTION("""COMPUTED_VALUE"""),44558.7323442824)</f>
        <v>44558.73234</v>
      </c>
      <c r="D4453" s="15">
        <f>IFERROR(__xludf.DUMMYFUNCTION("""COMPUTED_VALUE"""),1.013)</f>
        <v>1.013</v>
      </c>
      <c r="E4453" s="16">
        <f>IFERROR(__xludf.DUMMYFUNCTION("""COMPUTED_VALUE"""),64.0)</f>
        <v>64</v>
      </c>
      <c r="F4453" s="19" t="str">
        <f>IFERROR(__xludf.DUMMYFUNCTION("""COMPUTED_VALUE"""),"BLACK")</f>
        <v>BLACK</v>
      </c>
      <c r="G4453" s="20" t="str">
        <f>IFERROR(__xludf.DUMMYFUNCTION("""COMPUTED_VALUE"""),"Uncle Sams Cider (11/12/2021) 02")</f>
        <v>Uncle Sams Cider (11/12/2021) 02</v>
      </c>
      <c r="H4453" s="19"/>
    </row>
    <row r="4454">
      <c r="A4454" s="9"/>
      <c r="B4454" s="15"/>
      <c r="C4454" s="9">
        <f>IFERROR(__xludf.DUMMYFUNCTION("""COMPUTED_VALUE"""),44558.7219241203)</f>
        <v>44558.72192</v>
      </c>
      <c r="D4454" s="15">
        <f>IFERROR(__xludf.DUMMYFUNCTION("""COMPUTED_VALUE"""),1.013)</f>
        <v>1.013</v>
      </c>
      <c r="E4454" s="16">
        <f>IFERROR(__xludf.DUMMYFUNCTION("""COMPUTED_VALUE"""),64.0)</f>
        <v>64</v>
      </c>
      <c r="F4454" s="19" t="str">
        <f>IFERROR(__xludf.DUMMYFUNCTION("""COMPUTED_VALUE"""),"BLACK")</f>
        <v>BLACK</v>
      </c>
      <c r="G4454" s="20" t="str">
        <f>IFERROR(__xludf.DUMMYFUNCTION("""COMPUTED_VALUE"""),"Uncle Sams Cider (11/12/2021) 02")</f>
        <v>Uncle Sams Cider (11/12/2021) 02</v>
      </c>
      <c r="H4454" s="19"/>
    </row>
    <row r="4455">
      <c r="A4455" s="9"/>
      <c r="B4455" s="15"/>
      <c r="C4455" s="9">
        <f>IFERROR(__xludf.DUMMYFUNCTION("""COMPUTED_VALUE"""),44558.7114905324)</f>
        <v>44558.71149</v>
      </c>
      <c r="D4455" s="15">
        <f>IFERROR(__xludf.DUMMYFUNCTION("""COMPUTED_VALUE"""),1.012)</f>
        <v>1.012</v>
      </c>
      <c r="E4455" s="16">
        <f>IFERROR(__xludf.DUMMYFUNCTION("""COMPUTED_VALUE"""),64.0)</f>
        <v>64</v>
      </c>
      <c r="F4455" s="19" t="str">
        <f>IFERROR(__xludf.DUMMYFUNCTION("""COMPUTED_VALUE"""),"BLACK")</f>
        <v>BLACK</v>
      </c>
      <c r="G4455" s="20" t="str">
        <f>IFERROR(__xludf.DUMMYFUNCTION("""COMPUTED_VALUE"""),"Uncle Sams Cider (11/12/2021) 02")</f>
        <v>Uncle Sams Cider (11/12/2021) 02</v>
      </c>
      <c r="H4455" s="19"/>
    </row>
    <row r="4456">
      <c r="A4456" s="9"/>
      <c r="B4456" s="15"/>
      <c r="C4456" s="9">
        <f>IFERROR(__xludf.DUMMYFUNCTION("""COMPUTED_VALUE"""),44558.7010692476)</f>
        <v>44558.70107</v>
      </c>
      <c r="D4456" s="15">
        <f>IFERROR(__xludf.DUMMYFUNCTION("""COMPUTED_VALUE"""),1.012)</f>
        <v>1.012</v>
      </c>
      <c r="E4456" s="16">
        <f>IFERROR(__xludf.DUMMYFUNCTION("""COMPUTED_VALUE"""),64.0)</f>
        <v>64</v>
      </c>
      <c r="F4456" s="19" t="str">
        <f>IFERROR(__xludf.DUMMYFUNCTION("""COMPUTED_VALUE"""),"BLACK")</f>
        <v>BLACK</v>
      </c>
      <c r="G4456" s="20" t="str">
        <f>IFERROR(__xludf.DUMMYFUNCTION("""COMPUTED_VALUE"""),"Uncle Sams Cider (11/12/2021) 02")</f>
        <v>Uncle Sams Cider (11/12/2021) 02</v>
      </c>
      <c r="H4456" s="19"/>
    </row>
    <row r="4457">
      <c r="A4457" s="9"/>
      <c r="B4457" s="15"/>
      <c r="C4457" s="9">
        <f>IFERROR(__xludf.DUMMYFUNCTION("""COMPUTED_VALUE"""),44558.6906384027)</f>
        <v>44558.69064</v>
      </c>
      <c r="D4457" s="15">
        <f>IFERROR(__xludf.DUMMYFUNCTION("""COMPUTED_VALUE"""),1.012)</f>
        <v>1.012</v>
      </c>
      <c r="E4457" s="16">
        <f>IFERROR(__xludf.DUMMYFUNCTION("""COMPUTED_VALUE"""),64.0)</f>
        <v>64</v>
      </c>
      <c r="F4457" s="19" t="str">
        <f>IFERROR(__xludf.DUMMYFUNCTION("""COMPUTED_VALUE"""),"BLACK")</f>
        <v>BLACK</v>
      </c>
      <c r="G4457" s="20" t="str">
        <f>IFERROR(__xludf.DUMMYFUNCTION("""COMPUTED_VALUE"""),"Uncle Sams Cider (11/12/2021) 02")</f>
        <v>Uncle Sams Cider (11/12/2021) 02</v>
      </c>
      <c r="H4457" s="19"/>
    </row>
    <row r="4458">
      <c r="A4458" s="9"/>
      <c r="B4458" s="15"/>
      <c r="C4458" s="9">
        <f>IFERROR(__xludf.DUMMYFUNCTION("""COMPUTED_VALUE"""),44558.6802167245)</f>
        <v>44558.68022</v>
      </c>
      <c r="D4458" s="15">
        <f>IFERROR(__xludf.DUMMYFUNCTION("""COMPUTED_VALUE"""),1.013)</f>
        <v>1.013</v>
      </c>
      <c r="E4458" s="16">
        <f>IFERROR(__xludf.DUMMYFUNCTION("""COMPUTED_VALUE"""),64.0)</f>
        <v>64</v>
      </c>
      <c r="F4458" s="19" t="str">
        <f>IFERROR(__xludf.DUMMYFUNCTION("""COMPUTED_VALUE"""),"BLACK")</f>
        <v>BLACK</v>
      </c>
      <c r="G4458" s="20" t="str">
        <f>IFERROR(__xludf.DUMMYFUNCTION("""COMPUTED_VALUE"""),"Uncle Sams Cider (11/12/2021) 02")</f>
        <v>Uncle Sams Cider (11/12/2021) 02</v>
      </c>
      <c r="H4458" s="19"/>
    </row>
    <row r="4459">
      <c r="A4459" s="9"/>
      <c r="B4459" s="15"/>
      <c r="C4459" s="9">
        <f>IFERROR(__xludf.DUMMYFUNCTION("""COMPUTED_VALUE"""),44558.6697598958)</f>
        <v>44558.66976</v>
      </c>
      <c r="D4459" s="15">
        <f>IFERROR(__xludf.DUMMYFUNCTION("""COMPUTED_VALUE"""),1.012)</f>
        <v>1.012</v>
      </c>
      <c r="E4459" s="16">
        <f>IFERROR(__xludf.DUMMYFUNCTION("""COMPUTED_VALUE"""),64.0)</f>
        <v>64</v>
      </c>
      <c r="F4459" s="19" t="str">
        <f>IFERROR(__xludf.DUMMYFUNCTION("""COMPUTED_VALUE"""),"BLACK")</f>
        <v>BLACK</v>
      </c>
      <c r="G4459" s="20" t="str">
        <f>IFERROR(__xludf.DUMMYFUNCTION("""COMPUTED_VALUE"""),"Uncle Sams Cider (11/12/2021) 02")</f>
        <v>Uncle Sams Cider (11/12/2021) 02</v>
      </c>
      <c r="H4459" s="19"/>
    </row>
    <row r="4460">
      <c r="A4460" s="9"/>
      <c r="B4460" s="15"/>
      <c r="C4460" s="9">
        <f>IFERROR(__xludf.DUMMYFUNCTION("""COMPUTED_VALUE"""),44558.6593418518)</f>
        <v>44558.65934</v>
      </c>
      <c r="D4460" s="15">
        <f>IFERROR(__xludf.DUMMYFUNCTION("""COMPUTED_VALUE"""),1.012)</f>
        <v>1.012</v>
      </c>
      <c r="E4460" s="16">
        <f>IFERROR(__xludf.DUMMYFUNCTION("""COMPUTED_VALUE"""),64.0)</f>
        <v>64</v>
      </c>
      <c r="F4460" s="19" t="str">
        <f>IFERROR(__xludf.DUMMYFUNCTION("""COMPUTED_VALUE"""),"BLACK")</f>
        <v>BLACK</v>
      </c>
      <c r="G4460" s="20" t="str">
        <f>IFERROR(__xludf.DUMMYFUNCTION("""COMPUTED_VALUE"""),"Uncle Sams Cider (11/12/2021) 02")</f>
        <v>Uncle Sams Cider (11/12/2021) 02</v>
      </c>
      <c r="H4460" s="19"/>
    </row>
    <row r="4461">
      <c r="A4461" s="9"/>
      <c r="B4461" s="15"/>
      <c r="C4461" s="9">
        <f>IFERROR(__xludf.DUMMYFUNCTION("""COMPUTED_VALUE"""),44558.648909074)</f>
        <v>44558.64891</v>
      </c>
      <c r="D4461" s="15">
        <f>IFERROR(__xludf.DUMMYFUNCTION("""COMPUTED_VALUE"""),1.013)</f>
        <v>1.013</v>
      </c>
      <c r="E4461" s="16">
        <f>IFERROR(__xludf.DUMMYFUNCTION("""COMPUTED_VALUE"""),64.0)</f>
        <v>64</v>
      </c>
      <c r="F4461" s="19" t="str">
        <f>IFERROR(__xludf.DUMMYFUNCTION("""COMPUTED_VALUE"""),"BLACK")</f>
        <v>BLACK</v>
      </c>
      <c r="G4461" s="20" t="str">
        <f>IFERROR(__xludf.DUMMYFUNCTION("""COMPUTED_VALUE"""),"Uncle Sams Cider (11/12/2021) 02")</f>
        <v>Uncle Sams Cider (11/12/2021) 02</v>
      </c>
      <c r="H4461" s="19"/>
    </row>
    <row r="4462">
      <c r="A4462" s="9"/>
      <c r="B4462" s="15"/>
      <c r="C4462" s="9">
        <f>IFERROR(__xludf.DUMMYFUNCTION("""COMPUTED_VALUE"""),44558.6384880439)</f>
        <v>44558.63849</v>
      </c>
      <c r="D4462" s="15">
        <f>IFERROR(__xludf.DUMMYFUNCTION("""COMPUTED_VALUE"""),1.012)</f>
        <v>1.012</v>
      </c>
      <c r="E4462" s="16">
        <f>IFERROR(__xludf.DUMMYFUNCTION("""COMPUTED_VALUE"""),64.0)</f>
        <v>64</v>
      </c>
      <c r="F4462" s="19" t="str">
        <f>IFERROR(__xludf.DUMMYFUNCTION("""COMPUTED_VALUE"""),"BLACK")</f>
        <v>BLACK</v>
      </c>
      <c r="G4462" s="20" t="str">
        <f>IFERROR(__xludf.DUMMYFUNCTION("""COMPUTED_VALUE"""),"Uncle Sams Cider (11/12/2021) 02")</f>
        <v>Uncle Sams Cider (11/12/2021) 02</v>
      </c>
      <c r="H4462" s="19"/>
    </row>
    <row r="4463">
      <c r="A4463" s="9"/>
      <c r="B4463" s="15"/>
      <c r="C4463" s="9">
        <f>IFERROR(__xludf.DUMMYFUNCTION("""COMPUTED_VALUE"""),44558.6280686574)</f>
        <v>44558.62807</v>
      </c>
      <c r="D4463" s="15">
        <f>IFERROR(__xludf.DUMMYFUNCTION("""COMPUTED_VALUE"""),1.012)</f>
        <v>1.012</v>
      </c>
      <c r="E4463" s="16">
        <f>IFERROR(__xludf.DUMMYFUNCTION("""COMPUTED_VALUE"""),64.0)</f>
        <v>64</v>
      </c>
      <c r="F4463" s="19" t="str">
        <f>IFERROR(__xludf.DUMMYFUNCTION("""COMPUTED_VALUE"""),"BLACK")</f>
        <v>BLACK</v>
      </c>
      <c r="G4463" s="20" t="str">
        <f>IFERROR(__xludf.DUMMYFUNCTION("""COMPUTED_VALUE"""),"Uncle Sams Cider (11/12/2021) 02")</f>
        <v>Uncle Sams Cider (11/12/2021) 02</v>
      </c>
      <c r="H4463" s="19"/>
    </row>
    <row r="4464">
      <c r="A4464" s="9"/>
      <c r="B4464" s="15"/>
      <c r="C4464" s="9">
        <f>IFERROR(__xludf.DUMMYFUNCTION("""COMPUTED_VALUE"""),44558.6176484838)</f>
        <v>44558.61765</v>
      </c>
      <c r="D4464" s="15">
        <f>IFERROR(__xludf.DUMMYFUNCTION("""COMPUTED_VALUE"""),1.013)</f>
        <v>1.013</v>
      </c>
      <c r="E4464" s="16">
        <f>IFERROR(__xludf.DUMMYFUNCTION("""COMPUTED_VALUE"""),64.0)</f>
        <v>64</v>
      </c>
      <c r="F4464" s="19" t="str">
        <f>IFERROR(__xludf.DUMMYFUNCTION("""COMPUTED_VALUE"""),"BLACK")</f>
        <v>BLACK</v>
      </c>
      <c r="G4464" s="20" t="str">
        <f>IFERROR(__xludf.DUMMYFUNCTION("""COMPUTED_VALUE"""),"Uncle Sams Cider (11/12/2021) 02")</f>
        <v>Uncle Sams Cider (11/12/2021) 02</v>
      </c>
      <c r="H4464" s="19"/>
    </row>
    <row r="4465">
      <c r="A4465" s="9"/>
      <c r="B4465" s="15"/>
      <c r="C4465" s="9">
        <f>IFERROR(__xludf.DUMMYFUNCTION("""COMPUTED_VALUE"""),44558.607227581)</f>
        <v>44558.60723</v>
      </c>
      <c r="D4465" s="15">
        <f>IFERROR(__xludf.DUMMYFUNCTION("""COMPUTED_VALUE"""),1.012)</f>
        <v>1.012</v>
      </c>
      <c r="E4465" s="16">
        <f>IFERROR(__xludf.DUMMYFUNCTION("""COMPUTED_VALUE"""),64.0)</f>
        <v>64</v>
      </c>
      <c r="F4465" s="19" t="str">
        <f>IFERROR(__xludf.DUMMYFUNCTION("""COMPUTED_VALUE"""),"BLACK")</f>
        <v>BLACK</v>
      </c>
      <c r="G4465" s="20" t="str">
        <f>IFERROR(__xludf.DUMMYFUNCTION("""COMPUTED_VALUE"""),"Uncle Sams Cider (11/12/2021) 02")</f>
        <v>Uncle Sams Cider (11/12/2021) 02</v>
      </c>
      <c r="H4465" s="19"/>
    </row>
    <row r="4466">
      <c r="A4466" s="9"/>
      <c r="B4466" s="15"/>
      <c r="C4466" s="9">
        <f>IFERROR(__xludf.DUMMYFUNCTION("""COMPUTED_VALUE"""),44558.5967718055)</f>
        <v>44558.59677</v>
      </c>
      <c r="D4466" s="15">
        <f>IFERROR(__xludf.DUMMYFUNCTION("""COMPUTED_VALUE"""),1.013)</f>
        <v>1.013</v>
      </c>
      <c r="E4466" s="16">
        <f>IFERROR(__xludf.DUMMYFUNCTION("""COMPUTED_VALUE"""),64.0)</f>
        <v>64</v>
      </c>
      <c r="F4466" s="19" t="str">
        <f>IFERROR(__xludf.DUMMYFUNCTION("""COMPUTED_VALUE"""),"BLACK")</f>
        <v>BLACK</v>
      </c>
      <c r="G4466" s="20" t="str">
        <f>IFERROR(__xludf.DUMMYFUNCTION("""COMPUTED_VALUE"""),"Uncle Sams Cider (11/12/2021) 02")</f>
        <v>Uncle Sams Cider (11/12/2021) 02</v>
      </c>
      <c r="H4466" s="19"/>
    </row>
    <row r="4467">
      <c r="A4467" s="9"/>
      <c r="B4467" s="15"/>
      <c r="C4467" s="9">
        <f>IFERROR(__xludf.DUMMYFUNCTION("""COMPUTED_VALUE"""),44558.5863285416)</f>
        <v>44558.58633</v>
      </c>
      <c r="D4467" s="15">
        <f>IFERROR(__xludf.DUMMYFUNCTION("""COMPUTED_VALUE"""),1.012)</f>
        <v>1.012</v>
      </c>
      <c r="E4467" s="16">
        <f>IFERROR(__xludf.DUMMYFUNCTION("""COMPUTED_VALUE"""),64.0)</f>
        <v>64</v>
      </c>
      <c r="F4467" s="19" t="str">
        <f>IFERROR(__xludf.DUMMYFUNCTION("""COMPUTED_VALUE"""),"BLACK")</f>
        <v>BLACK</v>
      </c>
      <c r="G4467" s="20" t="str">
        <f>IFERROR(__xludf.DUMMYFUNCTION("""COMPUTED_VALUE"""),"Uncle Sams Cider (11/12/2021) 02")</f>
        <v>Uncle Sams Cider (11/12/2021) 02</v>
      </c>
      <c r="H4467" s="19"/>
    </row>
    <row r="4468">
      <c r="A4468" s="9"/>
      <c r="B4468" s="15"/>
      <c r="C4468" s="9">
        <f>IFERROR(__xludf.DUMMYFUNCTION("""COMPUTED_VALUE"""),44558.5758852083)</f>
        <v>44558.57589</v>
      </c>
      <c r="D4468" s="15">
        <f>IFERROR(__xludf.DUMMYFUNCTION("""COMPUTED_VALUE"""),1.012)</f>
        <v>1.012</v>
      </c>
      <c r="E4468" s="16">
        <f>IFERROR(__xludf.DUMMYFUNCTION("""COMPUTED_VALUE"""),64.0)</f>
        <v>64</v>
      </c>
      <c r="F4468" s="19" t="str">
        <f>IFERROR(__xludf.DUMMYFUNCTION("""COMPUTED_VALUE"""),"BLACK")</f>
        <v>BLACK</v>
      </c>
      <c r="G4468" s="20" t="str">
        <f>IFERROR(__xludf.DUMMYFUNCTION("""COMPUTED_VALUE"""),"Uncle Sams Cider (11/12/2021) 02")</f>
        <v>Uncle Sams Cider (11/12/2021) 02</v>
      </c>
      <c r="H4468" s="19"/>
    </row>
    <row r="4469">
      <c r="A4469" s="9"/>
      <c r="B4469" s="15"/>
      <c r="C4469" s="9">
        <f>IFERROR(__xludf.DUMMYFUNCTION("""COMPUTED_VALUE"""),44558.5654516898)</f>
        <v>44558.56545</v>
      </c>
      <c r="D4469" s="15">
        <f>IFERROR(__xludf.DUMMYFUNCTION("""COMPUTED_VALUE"""),1.013)</f>
        <v>1.013</v>
      </c>
      <c r="E4469" s="16">
        <f>IFERROR(__xludf.DUMMYFUNCTION("""COMPUTED_VALUE"""),64.0)</f>
        <v>64</v>
      </c>
      <c r="F4469" s="19" t="str">
        <f>IFERROR(__xludf.DUMMYFUNCTION("""COMPUTED_VALUE"""),"BLACK")</f>
        <v>BLACK</v>
      </c>
      <c r="G4469" s="20" t="str">
        <f>IFERROR(__xludf.DUMMYFUNCTION("""COMPUTED_VALUE"""),"Uncle Sams Cider (11/12/2021) 02")</f>
        <v>Uncle Sams Cider (11/12/2021) 02</v>
      </c>
      <c r="H4469" s="19"/>
    </row>
    <row r="4470">
      <c r="A4470" s="9"/>
      <c r="B4470" s="15"/>
      <c r="C4470" s="9">
        <f>IFERROR(__xludf.DUMMYFUNCTION("""COMPUTED_VALUE"""),44558.5550300231)</f>
        <v>44558.55503</v>
      </c>
      <c r="D4470" s="15">
        <f>IFERROR(__xludf.DUMMYFUNCTION("""COMPUTED_VALUE"""),1.012)</f>
        <v>1.012</v>
      </c>
      <c r="E4470" s="16">
        <f>IFERROR(__xludf.DUMMYFUNCTION("""COMPUTED_VALUE"""),64.0)</f>
        <v>64</v>
      </c>
      <c r="F4470" s="19" t="str">
        <f>IFERROR(__xludf.DUMMYFUNCTION("""COMPUTED_VALUE"""),"BLACK")</f>
        <v>BLACK</v>
      </c>
      <c r="G4470" s="20" t="str">
        <f>IFERROR(__xludf.DUMMYFUNCTION("""COMPUTED_VALUE"""),"Uncle Sams Cider (11/12/2021) 02")</f>
        <v>Uncle Sams Cider (11/12/2021) 02</v>
      </c>
      <c r="H4470" s="19"/>
    </row>
    <row r="4471">
      <c r="A4471" s="9"/>
      <c r="B4471" s="15"/>
      <c r="C4471" s="9">
        <f>IFERROR(__xludf.DUMMYFUNCTION("""COMPUTED_VALUE"""),44558.5445854745)</f>
        <v>44558.54459</v>
      </c>
      <c r="D4471" s="15">
        <f>IFERROR(__xludf.DUMMYFUNCTION("""COMPUTED_VALUE"""),1.013)</f>
        <v>1.013</v>
      </c>
      <c r="E4471" s="16">
        <f>IFERROR(__xludf.DUMMYFUNCTION("""COMPUTED_VALUE"""),64.0)</f>
        <v>64</v>
      </c>
      <c r="F4471" s="19" t="str">
        <f>IFERROR(__xludf.DUMMYFUNCTION("""COMPUTED_VALUE"""),"BLACK")</f>
        <v>BLACK</v>
      </c>
      <c r="G4471" s="20" t="str">
        <f>IFERROR(__xludf.DUMMYFUNCTION("""COMPUTED_VALUE"""),"Uncle Sams Cider (11/12/2021) 02")</f>
        <v>Uncle Sams Cider (11/12/2021) 02</v>
      </c>
      <c r="H4471" s="19"/>
    </row>
    <row r="4472">
      <c r="A4472" s="9"/>
      <c r="B4472" s="15"/>
      <c r="C4472" s="9">
        <f>IFERROR(__xludf.DUMMYFUNCTION("""COMPUTED_VALUE"""),44558.5341533333)</f>
        <v>44558.53415</v>
      </c>
      <c r="D4472" s="15">
        <f>IFERROR(__xludf.DUMMYFUNCTION("""COMPUTED_VALUE"""),1.013)</f>
        <v>1.013</v>
      </c>
      <c r="E4472" s="16">
        <f>IFERROR(__xludf.DUMMYFUNCTION("""COMPUTED_VALUE"""),64.0)</f>
        <v>64</v>
      </c>
      <c r="F4472" s="19" t="str">
        <f>IFERROR(__xludf.DUMMYFUNCTION("""COMPUTED_VALUE"""),"BLACK")</f>
        <v>BLACK</v>
      </c>
      <c r="G4472" s="20" t="str">
        <f>IFERROR(__xludf.DUMMYFUNCTION("""COMPUTED_VALUE"""),"Uncle Sams Cider (11/12/2021) 02")</f>
        <v>Uncle Sams Cider (11/12/2021) 02</v>
      </c>
      <c r="H4472" s="19"/>
    </row>
    <row r="4473">
      <c r="A4473" s="9"/>
      <c r="B4473" s="15"/>
      <c r="C4473" s="9">
        <f>IFERROR(__xludf.DUMMYFUNCTION("""COMPUTED_VALUE"""),44558.5237319328)</f>
        <v>44558.52373</v>
      </c>
      <c r="D4473" s="15">
        <f>IFERROR(__xludf.DUMMYFUNCTION("""COMPUTED_VALUE"""),1.012)</f>
        <v>1.012</v>
      </c>
      <c r="E4473" s="16">
        <f>IFERROR(__xludf.DUMMYFUNCTION("""COMPUTED_VALUE"""),64.0)</f>
        <v>64</v>
      </c>
      <c r="F4473" s="19" t="str">
        <f>IFERROR(__xludf.DUMMYFUNCTION("""COMPUTED_VALUE"""),"BLACK")</f>
        <v>BLACK</v>
      </c>
      <c r="G4473" s="20" t="str">
        <f>IFERROR(__xludf.DUMMYFUNCTION("""COMPUTED_VALUE"""),"Uncle Sams Cider (11/12/2021) 02")</f>
        <v>Uncle Sams Cider (11/12/2021) 02</v>
      </c>
      <c r="H4473" s="19"/>
    </row>
    <row r="4474">
      <c r="A4474" s="9"/>
      <c r="B4474" s="15"/>
      <c r="C4474" s="9">
        <f>IFERROR(__xludf.DUMMYFUNCTION("""COMPUTED_VALUE"""),44558.5133094212)</f>
        <v>44558.51331</v>
      </c>
      <c r="D4474" s="15">
        <f>IFERROR(__xludf.DUMMYFUNCTION("""COMPUTED_VALUE"""),1.013)</f>
        <v>1.013</v>
      </c>
      <c r="E4474" s="16">
        <f>IFERROR(__xludf.DUMMYFUNCTION("""COMPUTED_VALUE"""),64.0)</f>
        <v>64</v>
      </c>
      <c r="F4474" s="19" t="str">
        <f>IFERROR(__xludf.DUMMYFUNCTION("""COMPUTED_VALUE"""),"BLACK")</f>
        <v>BLACK</v>
      </c>
      <c r="G4474" s="20" t="str">
        <f>IFERROR(__xludf.DUMMYFUNCTION("""COMPUTED_VALUE"""),"Uncle Sams Cider (11/12/2021) 02")</f>
        <v>Uncle Sams Cider (11/12/2021) 02</v>
      </c>
      <c r="H4474" s="19"/>
    </row>
    <row r="4475">
      <c r="A4475" s="9"/>
      <c r="B4475" s="15"/>
      <c r="C4475" s="9">
        <f>IFERROR(__xludf.DUMMYFUNCTION("""COMPUTED_VALUE"""),44558.5028876157)</f>
        <v>44558.50289</v>
      </c>
      <c r="D4475" s="15">
        <f>IFERROR(__xludf.DUMMYFUNCTION("""COMPUTED_VALUE"""),1.012)</f>
        <v>1.012</v>
      </c>
      <c r="E4475" s="16">
        <f>IFERROR(__xludf.DUMMYFUNCTION("""COMPUTED_VALUE"""),64.0)</f>
        <v>64</v>
      </c>
      <c r="F4475" s="19" t="str">
        <f>IFERROR(__xludf.DUMMYFUNCTION("""COMPUTED_VALUE"""),"BLACK")</f>
        <v>BLACK</v>
      </c>
      <c r="G4475" s="20" t="str">
        <f>IFERROR(__xludf.DUMMYFUNCTION("""COMPUTED_VALUE"""),"Uncle Sams Cider (11/12/2021) 02")</f>
        <v>Uncle Sams Cider (11/12/2021) 02</v>
      </c>
      <c r="H4475" s="19"/>
    </row>
    <row r="4476">
      <c r="A4476" s="9"/>
      <c r="B4476" s="15"/>
      <c r="C4476" s="9">
        <f>IFERROR(__xludf.DUMMYFUNCTION("""COMPUTED_VALUE"""),44558.49246728)</f>
        <v>44558.49247</v>
      </c>
      <c r="D4476" s="15">
        <f>IFERROR(__xludf.DUMMYFUNCTION("""COMPUTED_VALUE"""),1.012)</f>
        <v>1.012</v>
      </c>
      <c r="E4476" s="16">
        <f>IFERROR(__xludf.DUMMYFUNCTION("""COMPUTED_VALUE"""),64.0)</f>
        <v>64</v>
      </c>
      <c r="F4476" s="19" t="str">
        <f>IFERROR(__xludf.DUMMYFUNCTION("""COMPUTED_VALUE"""),"BLACK")</f>
        <v>BLACK</v>
      </c>
      <c r="G4476" s="20" t="str">
        <f>IFERROR(__xludf.DUMMYFUNCTION("""COMPUTED_VALUE"""),"Uncle Sams Cider (11/12/2021) 02")</f>
        <v>Uncle Sams Cider (11/12/2021) 02</v>
      </c>
      <c r="H4476" s="19"/>
    </row>
    <row r="4477">
      <c r="A4477" s="9"/>
      <c r="B4477" s="15"/>
      <c r="C4477" s="9">
        <f>IFERROR(__xludf.DUMMYFUNCTION("""COMPUTED_VALUE"""),44558.4820367013)</f>
        <v>44558.48204</v>
      </c>
      <c r="D4477" s="15">
        <f>IFERROR(__xludf.DUMMYFUNCTION("""COMPUTED_VALUE"""),1.013)</f>
        <v>1.013</v>
      </c>
      <c r="E4477" s="16">
        <f>IFERROR(__xludf.DUMMYFUNCTION("""COMPUTED_VALUE"""),64.0)</f>
        <v>64</v>
      </c>
      <c r="F4477" s="19" t="str">
        <f>IFERROR(__xludf.DUMMYFUNCTION("""COMPUTED_VALUE"""),"BLACK")</f>
        <v>BLACK</v>
      </c>
      <c r="G4477" s="20" t="str">
        <f>IFERROR(__xludf.DUMMYFUNCTION("""COMPUTED_VALUE"""),"Uncle Sams Cider (11/12/2021) 02")</f>
        <v>Uncle Sams Cider (11/12/2021) 02</v>
      </c>
      <c r="H4477" s="19"/>
    </row>
    <row r="4478">
      <c r="A4478" s="9"/>
      <c r="B4478" s="15"/>
      <c r="C4478" s="9">
        <f>IFERROR(__xludf.DUMMYFUNCTION("""COMPUTED_VALUE"""),44558.4716034374)</f>
        <v>44558.4716</v>
      </c>
      <c r="D4478" s="15">
        <f>IFERROR(__xludf.DUMMYFUNCTION("""COMPUTED_VALUE"""),1.013)</f>
        <v>1.013</v>
      </c>
      <c r="E4478" s="16">
        <f>IFERROR(__xludf.DUMMYFUNCTION("""COMPUTED_VALUE"""),64.0)</f>
        <v>64</v>
      </c>
      <c r="F4478" s="19" t="str">
        <f>IFERROR(__xludf.DUMMYFUNCTION("""COMPUTED_VALUE"""),"BLACK")</f>
        <v>BLACK</v>
      </c>
      <c r="G4478" s="20" t="str">
        <f>IFERROR(__xludf.DUMMYFUNCTION("""COMPUTED_VALUE"""),"Uncle Sams Cider (11/12/2021) 02")</f>
        <v>Uncle Sams Cider (11/12/2021) 02</v>
      </c>
      <c r="H4478" s="19"/>
    </row>
    <row r="4479">
      <c r="A4479" s="9"/>
      <c r="B4479" s="15"/>
      <c r="C4479" s="9">
        <f>IFERROR(__xludf.DUMMYFUNCTION("""COMPUTED_VALUE"""),44558.4611816551)</f>
        <v>44558.46118</v>
      </c>
      <c r="D4479" s="15">
        <f>IFERROR(__xludf.DUMMYFUNCTION("""COMPUTED_VALUE"""),1.013)</f>
        <v>1.013</v>
      </c>
      <c r="E4479" s="16">
        <f>IFERROR(__xludf.DUMMYFUNCTION("""COMPUTED_VALUE"""),64.0)</f>
        <v>64</v>
      </c>
      <c r="F4479" s="19" t="str">
        <f>IFERROR(__xludf.DUMMYFUNCTION("""COMPUTED_VALUE"""),"BLACK")</f>
        <v>BLACK</v>
      </c>
      <c r="G4479" s="20" t="str">
        <f>IFERROR(__xludf.DUMMYFUNCTION("""COMPUTED_VALUE"""),"Uncle Sams Cider (11/12/2021) 02")</f>
        <v>Uncle Sams Cider (11/12/2021) 02</v>
      </c>
      <c r="H4479" s="19"/>
    </row>
    <row r="4480">
      <c r="A4480" s="9"/>
      <c r="B4480" s="15"/>
      <c r="C4480" s="9">
        <f>IFERROR(__xludf.DUMMYFUNCTION("""COMPUTED_VALUE"""),44558.4507485648)</f>
        <v>44558.45075</v>
      </c>
      <c r="D4480" s="15">
        <f>IFERROR(__xludf.DUMMYFUNCTION("""COMPUTED_VALUE"""),1.013)</f>
        <v>1.013</v>
      </c>
      <c r="E4480" s="16">
        <f>IFERROR(__xludf.DUMMYFUNCTION("""COMPUTED_VALUE"""),64.0)</f>
        <v>64</v>
      </c>
      <c r="F4480" s="19" t="str">
        <f>IFERROR(__xludf.DUMMYFUNCTION("""COMPUTED_VALUE"""),"BLACK")</f>
        <v>BLACK</v>
      </c>
      <c r="G4480" s="20" t="str">
        <f>IFERROR(__xludf.DUMMYFUNCTION("""COMPUTED_VALUE"""),"Uncle Sams Cider (11/12/2021) 02")</f>
        <v>Uncle Sams Cider (11/12/2021) 02</v>
      </c>
      <c r="H4480" s="19"/>
    </row>
    <row r="4481">
      <c r="A4481" s="9"/>
      <c r="B4481" s="15"/>
      <c r="C4481" s="9">
        <f>IFERROR(__xludf.DUMMYFUNCTION("""COMPUTED_VALUE"""),44558.4403262847)</f>
        <v>44558.44033</v>
      </c>
      <c r="D4481" s="15">
        <f>IFERROR(__xludf.DUMMYFUNCTION("""COMPUTED_VALUE"""),1.013)</f>
        <v>1.013</v>
      </c>
      <c r="E4481" s="16">
        <f>IFERROR(__xludf.DUMMYFUNCTION("""COMPUTED_VALUE"""),64.0)</f>
        <v>64</v>
      </c>
      <c r="F4481" s="19" t="str">
        <f>IFERROR(__xludf.DUMMYFUNCTION("""COMPUTED_VALUE"""),"BLACK")</f>
        <v>BLACK</v>
      </c>
      <c r="G4481" s="20" t="str">
        <f>IFERROR(__xludf.DUMMYFUNCTION("""COMPUTED_VALUE"""),"Uncle Sams Cider (11/12/2021) 02")</f>
        <v>Uncle Sams Cider (11/12/2021) 02</v>
      </c>
      <c r="H4481" s="19"/>
    </row>
    <row r="4482">
      <c r="A4482" s="9"/>
      <c r="B4482" s="15"/>
      <c r="C4482" s="9">
        <f>IFERROR(__xludf.DUMMYFUNCTION("""COMPUTED_VALUE"""),44558.429905)</f>
        <v>44558.42991</v>
      </c>
      <c r="D4482" s="15">
        <f>IFERROR(__xludf.DUMMYFUNCTION("""COMPUTED_VALUE"""),1.013)</f>
        <v>1.013</v>
      </c>
      <c r="E4482" s="16">
        <f>IFERROR(__xludf.DUMMYFUNCTION("""COMPUTED_VALUE"""),64.0)</f>
        <v>64</v>
      </c>
      <c r="F4482" s="19" t="str">
        <f>IFERROR(__xludf.DUMMYFUNCTION("""COMPUTED_VALUE"""),"BLACK")</f>
        <v>BLACK</v>
      </c>
      <c r="G4482" s="20" t="str">
        <f>IFERROR(__xludf.DUMMYFUNCTION("""COMPUTED_VALUE"""),"Uncle Sams Cider (11/12/2021) 02")</f>
        <v>Uncle Sams Cider (11/12/2021) 02</v>
      </c>
      <c r="H4482" s="19"/>
    </row>
    <row r="4483">
      <c r="A4483" s="9"/>
      <c r="B4483" s="15"/>
      <c r="C4483" s="9">
        <f>IFERROR(__xludf.DUMMYFUNCTION("""COMPUTED_VALUE"""),44558.4194871296)</f>
        <v>44558.41949</v>
      </c>
      <c r="D4483" s="15">
        <f>IFERROR(__xludf.DUMMYFUNCTION("""COMPUTED_VALUE"""),1.013)</f>
        <v>1.013</v>
      </c>
      <c r="E4483" s="16">
        <f>IFERROR(__xludf.DUMMYFUNCTION("""COMPUTED_VALUE"""),64.0)</f>
        <v>64</v>
      </c>
      <c r="F4483" s="19" t="str">
        <f>IFERROR(__xludf.DUMMYFUNCTION("""COMPUTED_VALUE"""),"BLACK")</f>
        <v>BLACK</v>
      </c>
      <c r="G4483" s="20" t="str">
        <f>IFERROR(__xludf.DUMMYFUNCTION("""COMPUTED_VALUE"""),"Uncle Sams Cider (11/12/2021) 02")</f>
        <v>Uncle Sams Cider (11/12/2021) 02</v>
      </c>
      <c r="H4483" s="19"/>
    </row>
    <row r="4484">
      <c r="A4484" s="9"/>
      <c r="B4484" s="15"/>
      <c r="C4484" s="9">
        <f>IFERROR(__xludf.DUMMYFUNCTION("""COMPUTED_VALUE"""),44558.4090645254)</f>
        <v>44558.40906</v>
      </c>
      <c r="D4484" s="15">
        <f>IFERROR(__xludf.DUMMYFUNCTION("""COMPUTED_VALUE"""),1.013)</f>
        <v>1.013</v>
      </c>
      <c r="E4484" s="16">
        <f>IFERROR(__xludf.DUMMYFUNCTION("""COMPUTED_VALUE"""),64.0)</f>
        <v>64</v>
      </c>
      <c r="F4484" s="19" t="str">
        <f>IFERROR(__xludf.DUMMYFUNCTION("""COMPUTED_VALUE"""),"BLACK")</f>
        <v>BLACK</v>
      </c>
      <c r="G4484" s="20" t="str">
        <f>IFERROR(__xludf.DUMMYFUNCTION("""COMPUTED_VALUE"""),"Uncle Sams Cider (11/12/2021) 02")</f>
        <v>Uncle Sams Cider (11/12/2021) 02</v>
      </c>
      <c r="H4484" s="19"/>
    </row>
    <row r="4485">
      <c r="A4485" s="9"/>
      <c r="B4485" s="15"/>
      <c r="C4485" s="9">
        <f>IFERROR(__xludf.DUMMYFUNCTION("""COMPUTED_VALUE"""),44558.3986427083)</f>
        <v>44558.39864</v>
      </c>
      <c r="D4485" s="15">
        <f>IFERROR(__xludf.DUMMYFUNCTION("""COMPUTED_VALUE"""),1.013)</f>
        <v>1.013</v>
      </c>
      <c r="E4485" s="16">
        <f>IFERROR(__xludf.DUMMYFUNCTION("""COMPUTED_VALUE"""),64.0)</f>
        <v>64</v>
      </c>
      <c r="F4485" s="19" t="str">
        <f>IFERROR(__xludf.DUMMYFUNCTION("""COMPUTED_VALUE"""),"BLACK")</f>
        <v>BLACK</v>
      </c>
      <c r="G4485" s="20" t="str">
        <f>IFERROR(__xludf.DUMMYFUNCTION("""COMPUTED_VALUE"""),"Uncle Sams Cider (11/12/2021) 02")</f>
        <v>Uncle Sams Cider (11/12/2021) 02</v>
      </c>
      <c r="H4485" s="19"/>
    </row>
    <row r="4486">
      <c r="A4486" s="9"/>
      <c r="B4486" s="15"/>
      <c r="C4486" s="9">
        <f>IFERROR(__xludf.DUMMYFUNCTION("""COMPUTED_VALUE"""),44558.3882226736)</f>
        <v>44558.38822</v>
      </c>
      <c r="D4486" s="15">
        <f>IFERROR(__xludf.DUMMYFUNCTION("""COMPUTED_VALUE"""),1.013)</f>
        <v>1.013</v>
      </c>
      <c r="E4486" s="16">
        <f>IFERROR(__xludf.DUMMYFUNCTION("""COMPUTED_VALUE"""),64.0)</f>
        <v>64</v>
      </c>
      <c r="F4486" s="19" t="str">
        <f>IFERROR(__xludf.DUMMYFUNCTION("""COMPUTED_VALUE"""),"BLACK")</f>
        <v>BLACK</v>
      </c>
      <c r="G4486" s="20" t="str">
        <f>IFERROR(__xludf.DUMMYFUNCTION("""COMPUTED_VALUE"""),"Uncle Sams Cider (11/12/2021) 02")</f>
        <v>Uncle Sams Cider (11/12/2021) 02</v>
      </c>
      <c r="H4486" s="19"/>
    </row>
    <row r="4487">
      <c r="A4487" s="9"/>
      <c r="B4487" s="15"/>
      <c r="C4487" s="9">
        <f>IFERROR(__xludf.DUMMYFUNCTION("""COMPUTED_VALUE"""),44558.3777924768)</f>
        <v>44558.37779</v>
      </c>
      <c r="D4487" s="15">
        <f>IFERROR(__xludf.DUMMYFUNCTION("""COMPUTED_VALUE"""),1.013)</f>
        <v>1.013</v>
      </c>
      <c r="E4487" s="16">
        <f>IFERROR(__xludf.DUMMYFUNCTION("""COMPUTED_VALUE"""),64.0)</f>
        <v>64</v>
      </c>
      <c r="F4487" s="19" t="str">
        <f>IFERROR(__xludf.DUMMYFUNCTION("""COMPUTED_VALUE"""),"BLACK")</f>
        <v>BLACK</v>
      </c>
      <c r="G4487" s="20" t="str">
        <f>IFERROR(__xludf.DUMMYFUNCTION("""COMPUTED_VALUE"""),"Uncle Sams Cider (11/12/2021) 02")</f>
        <v>Uncle Sams Cider (11/12/2021) 02</v>
      </c>
      <c r="H4487" s="19"/>
    </row>
    <row r="4488">
      <c r="A4488" s="9"/>
      <c r="B4488" s="15"/>
      <c r="C4488" s="9">
        <f>IFERROR(__xludf.DUMMYFUNCTION("""COMPUTED_VALUE"""),44558.3673585532)</f>
        <v>44558.36736</v>
      </c>
      <c r="D4488" s="15">
        <f>IFERROR(__xludf.DUMMYFUNCTION("""COMPUTED_VALUE"""),1.013)</f>
        <v>1.013</v>
      </c>
      <c r="E4488" s="16">
        <f>IFERROR(__xludf.DUMMYFUNCTION("""COMPUTED_VALUE"""),64.0)</f>
        <v>64</v>
      </c>
      <c r="F4488" s="19" t="str">
        <f>IFERROR(__xludf.DUMMYFUNCTION("""COMPUTED_VALUE"""),"BLACK")</f>
        <v>BLACK</v>
      </c>
      <c r="G4488" s="20" t="str">
        <f>IFERROR(__xludf.DUMMYFUNCTION("""COMPUTED_VALUE"""),"Uncle Sams Cider (11/12/2021) 02")</f>
        <v>Uncle Sams Cider (11/12/2021) 02</v>
      </c>
      <c r="H4488" s="19"/>
    </row>
    <row r="4489">
      <c r="A4489" s="9"/>
      <c r="B4489" s="15"/>
      <c r="C4489" s="9">
        <f>IFERROR(__xludf.DUMMYFUNCTION("""COMPUTED_VALUE"""),44558.3569259722)</f>
        <v>44558.35693</v>
      </c>
      <c r="D4489" s="15">
        <f>IFERROR(__xludf.DUMMYFUNCTION("""COMPUTED_VALUE"""),1.013)</f>
        <v>1.013</v>
      </c>
      <c r="E4489" s="16">
        <f>IFERROR(__xludf.DUMMYFUNCTION("""COMPUTED_VALUE"""),64.0)</f>
        <v>64</v>
      </c>
      <c r="F4489" s="19" t="str">
        <f>IFERROR(__xludf.DUMMYFUNCTION("""COMPUTED_VALUE"""),"BLACK")</f>
        <v>BLACK</v>
      </c>
      <c r="G4489" s="20" t="str">
        <f>IFERROR(__xludf.DUMMYFUNCTION("""COMPUTED_VALUE"""),"Uncle Sams Cider (11/12/2021) 02")</f>
        <v>Uncle Sams Cider (11/12/2021) 02</v>
      </c>
      <c r="H4489" s="19"/>
    </row>
    <row r="4490">
      <c r="A4490" s="9"/>
      <c r="B4490" s="15"/>
      <c r="C4490" s="9">
        <f>IFERROR(__xludf.DUMMYFUNCTION("""COMPUTED_VALUE"""),44558.3465040046)</f>
        <v>44558.3465</v>
      </c>
      <c r="D4490" s="15">
        <f>IFERROR(__xludf.DUMMYFUNCTION("""COMPUTED_VALUE"""),1.012)</f>
        <v>1.012</v>
      </c>
      <c r="E4490" s="16">
        <f>IFERROR(__xludf.DUMMYFUNCTION("""COMPUTED_VALUE"""),64.0)</f>
        <v>64</v>
      </c>
      <c r="F4490" s="19" t="str">
        <f>IFERROR(__xludf.DUMMYFUNCTION("""COMPUTED_VALUE"""),"BLACK")</f>
        <v>BLACK</v>
      </c>
      <c r="G4490" s="20" t="str">
        <f>IFERROR(__xludf.DUMMYFUNCTION("""COMPUTED_VALUE"""),"Uncle Sams Cider (11/12/2021) 02")</f>
        <v>Uncle Sams Cider (11/12/2021) 02</v>
      </c>
      <c r="H4490" s="19"/>
    </row>
    <row r="4491">
      <c r="A4491" s="9"/>
      <c r="B4491" s="15"/>
      <c r="C4491" s="9">
        <f>IFERROR(__xludf.DUMMYFUNCTION("""COMPUTED_VALUE"""),44558.3360827546)</f>
        <v>44558.33608</v>
      </c>
      <c r="D4491" s="15">
        <f>IFERROR(__xludf.DUMMYFUNCTION("""COMPUTED_VALUE"""),1.013)</f>
        <v>1.013</v>
      </c>
      <c r="E4491" s="16">
        <f>IFERROR(__xludf.DUMMYFUNCTION("""COMPUTED_VALUE"""),64.0)</f>
        <v>64</v>
      </c>
      <c r="F4491" s="19" t="str">
        <f>IFERROR(__xludf.DUMMYFUNCTION("""COMPUTED_VALUE"""),"BLACK")</f>
        <v>BLACK</v>
      </c>
      <c r="G4491" s="20" t="str">
        <f>IFERROR(__xludf.DUMMYFUNCTION("""COMPUTED_VALUE"""),"Uncle Sams Cider (11/12/2021) 02")</f>
        <v>Uncle Sams Cider (11/12/2021) 02</v>
      </c>
      <c r="H4491" s="19"/>
    </row>
    <row r="4492">
      <c r="A4492" s="9"/>
      <c r="B4492" s="15"/>
      <c r="C4492" s="9">
        <f>IFERROR(__xludf.DUMMYFUNCTION("""COMPUTED_VALUE"""),44558.3256496759)</f>
        <v>44558.32565</v>
      </c>
      <c r="D4492" s="15">
        <f>IFERROR(__xludf.DUMMYFUNCTION("""COMPUTED_VALUE"""),1.013)</f>
        <v>1.013</v>
      </c>
      <c r="E4492" s="16">
        <f>IFERROR(__xludf.DUMMYFUNCTION("""COMPUTED_VALUE"""),64.0)</f>
        <v>64</v>
      </c>
      <c r="F4492" s="19" t="str">
        <f>IFERROR(__xludf.DUMMYFUNCTION("""COMPUTED_VALUE"""),"BLACK")</f>
        <v>BLACK</v>
      </c>
      <c r="G4492" s="20" t="str">
        <f>IFERROR(__xludf.DUMMYFUNCTION("""COMPUTED_VALUE"""),"Uncle Sams Cider (11/12/2021) 02")</f>
        <v>Uncle Sams Cider (11/12/2021) 02</v>
      </c>
      <c r="H4492" s="19"/>
    </row>
    <row r="4493">
      <c r="A4493" s="9"/>
      <c r="B4493" s="15"/>
      <c r="C4493" s="9">
        <f>IFERROR(__xludf.DUMMYFUNCTION("""COMPUTED_VALUE"""),44558.3152056712)</f>
        <v>44558.31521</v>
      </c>
      <c r="D4493" s="15">
        <f>IFERROR(__xludf.DUMMYFUNCTION("""COMPUTED_VALUE"""),1.013)</f>
        <v>1.013</v>
      </c>
      <c r="E4493" s="16">
        <f>IFERROR(__xludf.DUMMYFUNCTION("""COMPUTED_VALUE"""),64.0)</f>
        <v>64</v>
      </c>
      <c r="F4493" s="19" t="str">
        <f>IFERROR(__xludf.DUMMYFUNCTION("""COMPUTED_VALUE"""),"BLACK")</f>
        <v>BLACK</v>
      </c>
      <c r="G4493" s="20" t="str">
        <f>IFERROR(__xludf.DUMMYFUNCTION("""COMPUTED_VALUE"""),"Uncle Sams Cider (11/12/2021) 02")</f>
        <v>Uncle Sams Cider (11/12/2021) 02</v>
      </c>
      <c r="H4493" s="19"/>
    </row>
    <row r="4494">
      <c r="A4494" s="9"/>
      <c r="B4494" s="15"/>
      <c r="C4494" s="9">
        <f>IFERROR(__xludf.DUMMYFUNCTION("""COMPUTED_VALUE"""),44558.3047847569)</f>
        <v>44558.30478</v>
      </c>
      <c r="D4494" s="15">
        <f>IFERROR(__xludf.DUMMYFUNCTION("""COMPUTED_VALUE"""),1.013)</f>
        <v>1.013</v>
      </c>
      <c r="E4494" s="16">
        <f>IFERROR(__xludf.DUMMYFUNCTION("""COMPUTED_VALUE"""),64.0)</f>
        <v>64</v>
      </c>
      <c r="F4494" s="19" t="str">
        <f>IFERROR(__xludf.DUMMYFUNCTION("""COMPUTED_VALUE"""),"BLACK")</f>
        <v>BLACK</v>
      </c>
      <c r="G4494" s="20" t="str">
        <f>IFERROR(__xludf.DUMMYFUNCTION("""COMPUTED_VALUE"""),"Uncle Sams Cider (11/12/2021) 02")</f>
        <v>Uncle Sams Cider (11/12/2021) 02</v>
      </c>
      <c r="H4494" s="19"/>
    </row>
    <row r="4495">
      <c r="A4495" s="9"/>
      <c r="B4495" s="15"/>
      <c r="C4495" s="9">
        <f>IFERROR(__xludf.DUMMYFUNCTION("""COMPUTED_VALUE"""),44558.2943639467)</f>
        <v>44558.29436</v>
      </c>
      <c r="D4495" s="15">
        <f>IFERROR(__xludf.DUMMYFUNCTION("""COMPUTED_VALUE"""),1.013)</f>
        <v>1.013</v>
      </c>
      <c r="E4495" s="16">
        <f>IFERROR(__xludf.DUMMYFUNCTION("""COMPUTED_VALUE"""),64.0)</f>
        <v>64</v>
      </c>
      <c r="F4495" s="19" t="str">
        <f>IFERROR(__xludf.DUMMYFUNCTION("""COMPUTED_VALUE"""),"BLACK")</f>
        <v>BLACK</v>
      </c>
      <c r="G4495" s="20" t="str">
        <f>IFERROR(__xludf.DUMMYFUNCTION("""COMPUTED_VALUE"""),"Uncle Sams Cider (11/12/2021) 02")</f>
        <v>Uncle Sams Cider (11/12/2021) 02</v>
      </c>
      <c r="H4495" s="19"/>
    </row>
    <row r="4496">
      <c r="A4496" s="9"/>
      <c r="B4496" s="15"/>
      <c r="C4496" s="9">
        <f>IFERROR(__xludf.DUMMYFUNCTION("""COMPUTED_VALUE"""),44558.2838970949)</f>
        <v>44558.2839</v>
      </c>
      <c r="D4496" s="15">
        <f>IFERROR(__xludf.DUMMYFUNCTION("""COMPUTED_VALUE"""),1.013)</f>
        <v>1.013</v>
      </c>
      <c r="E4496" s="16">
        <f>IFERROR(__xludf.DUMMYFUNCTION("""COMPUTED_VALUE"""),64.0)</f>
        <v>64</v>
      </c>
      <c r="F4496" s="19" t="str">
        <f>IFERROR(__xludf.DUMMYFUNCTION("""COMPUTED_VALUE"""),"BLACK")</f>
        <v>BLACK</v>
      </c>
      <c r="G4496" s="20" t="str">
        <f>IFERROR(__xludf.DUMMYFUNCTION("""COMPUTED_VALUE"""),"Uncle Sams Cider (11/12/2021) 02")</f>
        <v>Uncle Sams Cider (11/12/2021) 02</v>
      </c>
      <c r="H4496" s="19"/>
    </row>
    <row r="4497">
      <c r="A4497" s="9"/>
      <c r="B4497" s="15"/>
      <c r="C4497" s="9">
        <f>IFERROR(__xludf.DUMMYFUNCTION("""COMPUTED_VALUE"""),44558.2734636226)</f>
        <v>44558.27346</v>
      </c>
      <c r="D4497" s="15">
        <f>IFERROR(__xludf.DUMMYFUNCTION("""COMPUTED_VALUE"""),1.013)</f>
        <v>1.013</v>
      </c>
      <c r="E4497" s="16">
        <f>IFERROR(__xludf.DUMMYFUNCTION("""COMPUTED_VALUE"""),64.0)</f>
        <v>64</v>
      </c>
      <c r="F4497" s="19" t="str">
        <f>IFERROR(__xludf.DUMMYFUNCTION("""COMPUTED_VALUE"""),"BLACK")</f>
        <v>BLACK</v>
      </c>
      <c r="G4497" s="20" t="str">
        <f>IFERROR(__xludf.DUMMYFUNCTION("""COMPUTED_VALUE"""),"Uncle Sams Cider (11/12/2021) 02")</f>
        <v>Uncle Sams Cider (11/12/2021) 02</v>
      </c>
      <c r="H4497" s="19"/>
    </row>
    <row r="4498">
      <c r="A4498" s="9"/>
      <c r="B4498" s="15"/>
      <c r="C4498" s="9">
        <f>IFERROR(__xludf.DUMMYFUNCTION("""COMPUTED_VALUE"""),44558.263042037)</f>
        <v>44558.26304</v>
      </c>
      <c r="D4498" s="15">
        <f>IFERROR(__xludf.DUMMYFUNCTION("""COMPUTED_VALUE"""),1.013)</f>
        <v>1.013</v>
      </c>
      <c r="E4498" s="16">
        <f>IFERROR(__xludf.DUMMYFUNCTION("""COMPUTED_VALUE"""),64.0)</f>
        <v>64</v>
      </c>
      <c r="F4498" s="19" t="str">
        <f>IFERROR(__xludf.DUMMYFUNCTION("""COMPUTED_VALUE"""),"BLACK")</f>
        <v>BLACK</v>
      </c>
      <c r="G4498" s="20" t="str">
        <f>IFERROR(__xludf.DUMMYFUNCTION("""COMPUTED_VALUE"""),"Uncle Sams Cider (11/12/2021) 02")</f>
        <v>Uncle Sams Cider (11/12/2021) 02</v>
      </c>
      <c r="H4498" s="19"/>
    </row>
    <row r="4499">
      <c r="A4499" s="9"/>
      <c r="B4499" s="15"/>
      <c r="C4499" s="9">
        <f>IFERROR(__xludf.DUMMYFUNCTION("""COMPUTED_VALUE"""),44558.2526081944)</f>
        <v>44558.25261</v>
      </c>
      <c r="D4499" s="15">
        <f>IFERROR(__xludf.DUMMYFUNCTION("""COMPUTED_VALUE"""),1.013)</f>
        <v>1.013</v>
      </c>
      <c r="E4499" s="16">
        <f>IFERROR(__xludf.DUMMYFUNCTION("""COMPUTED_VALUE"""),64.0)</f>
        <v>64</v>
      </c>
      <c r="F4499" s="19" t="str">
        <f>IFERROR(__xludf.DUMMYFUNCTION("""COMPUTED_VALUE"""),"BLACK")</f>
        <v>BLACK</v>
      </c>
      <c r="G4499" s="20" t="str">
        <f>IFERROR(__xludf.DUMMYFUNCTION("""COMPUTED_VALUE"""),"Uncle Sams Cider (11/12/2021) 02")</f>
        <v>Uncle Sams Cider (11/12/2021) 02</v>
      </c>
      <c r="H4499" s="19"/>
    </row>
    <row r="4500">
      <c r="A4500" s="9"/>
      <c r="B4500" s="15"/>
      <c r="C4500" s="9">
        <f>IFERROR(__xludf.DUMMYFUNCTION("""COMPUTED_VALUE"""),44558.2421516782)</f>
        <v>44558.24215</v>
      </c>
      <c r="D4500" s="15">
        <f>IFERROR(__xludf.DUMMYFUNCTION("""COMPUTED_VALUE"""),1.013)</f>
        <v>1.013</v>
      </c>
      <c r="E4500" s="16">
        <f>IFERROR(__xludf.DUMMYFUNCTION("""COMPUTED_VALUE"""),64.0)</f>
        <v>64</v>
      </c>
      <c r="F4500" s="19" t="str">
        <f>IFERROR(__xludf.DUMMYFUNCTION("""COMPUTED_VALUE"""),"BLACK")</f>
        <v>BLACK</v>
      </c>
      <c r="G4500" s="20" t="str">
        <f>IFERROR(__xludf.DUMMYFUNCTION("""COMPUTED_VALUE"""),"Uncle Sams Cider (11/12/2021) 02")</f>
        <v>Uncle Sams Cider (11/12/2021) 02</v>
      </c>
      <c r="H4500" s="19"/>
    </row>
    <row r="4501">
      <c r="A4501" s="9"/>
      <c r="B4501" s="15"/>
      <c r="C4501" s="9">
        <f>IFERROR(__xludf.DUMMYFUNCTION("""COMPUTED_VALUE"""),44558.2317281134)</f>
        <v>44558.23173</v>
      </c>
      <c r="D4501" s="15">
        <f>IFERROR(__xludf.DUMMYFUNCTION("""COMPUTED_VALUE"""),1.013)</f>
        <v>1.013</v>
      </c>
      <c r="E4501" s="16">
        <f>IFERROR(__xludf.DUMMYFUNCTION("""COMPUTED_VALUE"""),64.0)</f>
        <v>64</v>
      </c>
      <c r="F4501" s="19" t="str">
        <f>IFERROR(__xludf.DUMMYFUNCTION("""COMPUTED_VALUE"""),"BLACK")</f>
        <v>BLACK</v>
      </c>
      <c r="G4501" s="20" t="str">
        <f>IFERROR(__xludf.DUMMYFUNCTION("""COMPUTED_VALUE"""),"Uncle Sams Cider (11/12/2021) 02")</f>
        <v>Uncle Sams Cider (11/12/2021) 02</v>
      </c>
      <c r="H4501" s="19"/>
    </row>
    <row r="4502">
      <c r="A4502" s="9"/>
      <c r="B4502" s="15"/>
      <c r="C4502" s="9">
        <f>IFERROR(__xludf.DUMMYFUNCTION("""COMPUTED_VALUE"""),44558.2213052314)</f>
        <v>44558.22131</v>
      </c>
      <c r="D4502" s="15">
        <f>IFERROR(__xludf.DUMMYFUNCTION("""COMPUTED_VALUE"""),1.013)</f>
        <v>1.013</v>
      </c>
      <c r="E4502" s="16">
        <f>IFERROR(__xludf.DUMMYFUNCTION("""COMPUTED_VALUE"""),64.0)</f>
        <v>64</v>
      </c>
      <c r="F4502" s="19" t="str">
        <f>IFERROR(__xludf.DUMMYFUNCTION("""COMPUTED_VALUE"""),"BLACK")</f>
        <v>BLACK</v>
      </c>
      <c r="G4502" s="20" t="str">
        <f>IFERROR(__xludf.DUMMYFUNCTION("""COMPUTED_VALUE"""),"Uncle Sams Cider (11/12/2021) 02")</f>
        <v>Uncle Sams Cider (11/12/2021) 02</v>
      </c>
      <c r="H4502" s="19"/>
    </row>
    <row r="4503">
      <c r="A4503" s="9"/>
      <c r="B4503" s="15"/>
      <c r="C4503" s="9">
        <f>IFERROR(__xludf.DUMMYFUNCTION("""COMPUTED_VALUE"""),44558.2108846412)</f>
        <v>44558.21088</v>
      </c>
      <c r="D4503" s="15">
        <f>IFERROR(__xludf.DUMMYFUNCTION("""COMPUTED_VALUE"""),1.013)</f>
        <v>1.013</v>
      </c>
      <c r="E4503" s="16">
        <f>IFERROR(__xludf.DUMMYFUNCTION("""COMPUTED_VALUE"""),64.0)</f>
        <v>64</v>
      </c>
      <c r="F4503" s="19" t="str">
        <f>IFERROR(__xludf.DUMMYFUNCTION("""COMPUTED_VALUE"""),"BLACK")</f>
        <v>BLACK</v>
      </c>
      <c r="G4503" s="20" t="str">
        <f>IFERROR(__xludf.DUMMYFUNCTION("""COMPUTED_VALUE"""),"Uncle Sams Cider (11/12/2021) 02")</f>
        <v>Uncle Sams Cider (11/12/2021) 02</v>
      </c>
      <c r="H4503" s="19"/>
    </row>
    <row r="4504">
      <c r="A4504" s="9"/>
      <c r="B4504" s="15"/>
      <c r="C4504" s="9">
        <f>IFERROR(__xludf.DUMMYFUNCTION("""COMPUTED_VALUE"""),44558.2004519212)</f>
        <v>44558.20045</v>
      </c>
      <c r="D4504" s="15">
        <f>IFERROR(__xludf.DUMMYFUNCTION("""COMPUTED_VALUE"""),1.013)</f>
        <v>1.013</v>
      </c>
      <c r="E4504" s="16">
        <f>IFERROR(__xludf.DUMMYFUNCTION("""COMPUTED_VALUE"""),64.0)</f>
        <v>64</v>
      </c>
      <c r="F4504" s="19" t="str">
        <f>IFERROR(__xludf.DUMMYFUNCTION("""COMPUTED_VALUE"""),"BLACK")</f>
        <v>BLACK</v>
      </c>
      <c r="G4504" s="20" t="str">
        <f>IFERROR(__xludf.DUMMYFUNCTION("""COMPUTED_VALUE"""),"Uncle Sams Cider (11/12/2021) 02")</f>
        <v>Uncle Sams Cider (11/12/2021) 02</v>
      </c>
      <c r="H4504" s="19"/>
    </row>
    <row r="4505">
      <c r="A4505" s="9"/>
      <c r="B4505" s="15"/>
      <c r="C4505" s="9">
        <f>IFERROR(__xludf.DUMMYFUNCTION("""COMPUTED_VALUE"""),44558.1900312268)</f>
        <v>44558.19003</v>
      </c>
      <c r="D4505" s="15">
        <f>IFERROR(__xludf.DUMMYFUNCTION("""COMPUTED_VALUE"""),1.013)</f>
        <v>1.013</v>
      </c>
      <c r="E4505" s="16">
        <f>IFERROR(__xludf.DUMMYFUNCTION("""COMPUTED_VALUE"""),64.0)</f>
        <v>64</v>
      </c>
      <c r="F4505" s="19" t="str">
        <f>IFERROR(__xludf.DUMMYFUNCTION("""COMPUTED_VALUE"""),"BLACK")</f>
        <v>BLACK</v>
      </c>
      <c r="G4505" s="20" t="str">
        <f>IFERROR(__xludf.DUMMYFUNCTION("""COMPUTED_VALUE"""),"Uncle Sams Cider (11/12/2021) 02")</f>
        <v>Uncle Sams Cider (11/12/2021) 02</v>
      </c>
      <c r="H4505" s="19"/>
    </row>
    <row r="4506">
      <c r="A4506" s="9"/>
      <c r="B4506" s="15"/>
      <c r="C4506" s="9">
        <f>IFERROR(__xludf.DUMMYFUNCTION("""COMPUTED_VALUE"""),44558.179609537)</f>
        <v>44558.17961</v>
      </c>
      <c r="D4506" s="15">
        <f>IFERROR(__xludf.DUMMYFUNCTION("""COMPUTED_VALUE"""),1.013)</f>
        <v>1.013</v>
      </c>
      <c r="E4506" s="16">
        <f>IFERROR(__xludf.DUMMYFUNCTION("""COMPUTED_VALUE"""),64.0)</f>
        <v>64</v>
      </c>
      <c r="F4506" s="19" t="str">
        <f>IFERROR(__xludf.DUMMYFUNCTION("""COMPUTED_VALUE"""),"BLACK")</f>
        <v>BLACK</v>
      </c>
      <c r="G4506" s="20" t="str">
        <f>IFERROR(__xludf.DUMMYFUNCTION("""COMPUTED_VALUE"""),"Uncle Sams Cider (11/12/2021) 02")</f>
        <v>Uncle Sams Cider (11/12/2021) 02</v>
      </c>
      <c r="H4506" s="19"/>
    </row>
    <row r="4507">
      <c r="A4507" s="9"/>
      <c r="B4507" s="15"/>
      <c r="C4507" s="9">
        <f>IFERROR(__xludf.DUMMYFUNCTION("""COMPUTED_VALUE"""),44558.1691787152)</f>
        <v>44558.16918</v>
      </c>
      <c r="D4507" s="15">
        <f>IFERROR(__xludf.DUMMYFUNCTION("""COMPUTED_VALUE"""),1.013)</f>
        <v>1.013</v>
      </c>
      <c r="E4507" s="16">
        <f>IFERROR(__xludf.DUMMYFUNCTION("""COMPUTED_VALUE"""),64.0)</f>
        <v>64</v>
      </c>
      <c r="F4507" s="19" t="str">
        <f>IFERROR(__xludf.DUMMYFUNCTION("""COMPUTED_VALUE"""),"BLACK")</f>
        <v>BLACK</v>
      </c>
      <c r="G4507" s="20" t="str">
        <f>IFERROR(__xludf.DUMMYFUNCTION("""COMPUTED_VALUE"""),"Uncle Sams Cider (11/12/2021) 02")</f>
        <v>Uncle Sams Cider (11/12/2021) 02</v>
      </c>
      <c r="H4507" s="19"/>
    </row>
    <row r="4508">
      <c r="A4508" s="9"/>
      <c r="B4508" s="15"/>
      <c r="C4508" s="9">
        <f>IFERROR(__xludf.DUMMYFUNCTION("""COMPUTED_VALUE"""),44558.1587569907)</f>
        <v>44558.15876</v>
      </c>
      <c r="D4508" s="15">
        <f>IFERROR(__xludf.DUMMYFUNCTION("""COMPUTED_VALUE"""),1.013)</f>
        <v>1.013</v>
      </c>
      <c r="E4508" s="16">
        <f>IFERROR(__xludf.DUMMYFUNCTION("""COMPUTED_VALUE"""),64.0)</f>
        <v>64</v>
      </c>
      <c r="F4508" s="19" t="str">
        <f>IFERROR(__xludf.DUMMYFUNCTION("""COMPUTED_VALUE"""),"BLACK")</f>
        <v>BLACK</v>
      </c>
      <c r="G4508" s="20" t="str">
        <f>IFERROR(__xludf.DUMMYFUNCTION("""COMPUTED_VALUE"""),"Uncle Sams Cider (11/12/2021) 02")</f>
        <v>Uncle Sams Cider (11/12/2021) 02</v>
      </c>
      <c r="H4508" s="19"/>
    </row>
    <row r="4509">
      <c r="A4509" s="9"/>
      <c r="B4509" s="15"/>
      <c r="C4509" s="9">
        <f>IFERROR(__xludf.DUMMYFUNCTION("""COMPUTED_VALUE"""),44558.1482762152)</f>
        <v>44558.14828</v>
      </c>
      <c r="D4509" s="15">
        <f>IFERROR(__xludf.DUMMYFUNCTION("""COMPUTED_VALUE"""),1.013)</f>
        <v>1.013</v>
      </c>
      <c r="E4509" s="16">
        <f>IFERROR(__xludf.DUMMYFUNCTION("""COMPUTED_VALUE"""),64.0)</f>
        <v>64</v>
      </c>
      <c r="F4509" s="19" t="str">
        <f>IFERROR(__xludf.DUMMYFUNCTION("""COMPUTED_VALUE"""),"BLACK")</f>
        <v>BLACK</v>
      </c>
      <c r="G4509" s="20" t="str">
        <f>IFERROR(__xludf.DUMMYFUNCTION("""COMPUTED_VALUE"""),"Uncle Sams Cider (11/12/2021) 02")</f>
        <v>Uncle Sams Cider (11/12/2021) 02</v>
      </c>
      <c r="H4509" s="19"/>
    </row>
    <row r="4510">
      <c r="A4510" s="9"/>
      <c r="B4510" s="15"/>
      <c r="C4510" s="9">
        <f>IFERROR(__xludf.DUMMYFUNCTION("""COMPUTED_VALUE"""),44558.1378196643)</f>
        <v>44558.13782</v>
      </c>
      <c r="D4510" s="15">
        <f>IFERROR(__xludf.DUMMYFUNCTION("""COMPUTED_VALUE"""),1.013)</f>
        <v>1.013</v>
      </c>
      <c r="E4510" s="16">
        <f>IFERROR(__xludf.DUMMYFUNCTION("""COMPUTED_VALUE"""),64.0)</f>
        <v>64</v>
      </c>
      <c r="F4510" s="19" t="str">
        <f>IFERROR(__xludf.DUMMYFUNCTION("""COMPUTED_VALUE"""),"BLACK")</f>
        <v>BLACK</v>
      </c>
      <c r="G4510" s="20" t="str">
        <f>IFERROR(__xludf.DUMMYFUNCTION("""COMPUTED_VALUE"""),"Uncle Sams Cider (11/12/2021) 02")</f>
        <v>Uncle Sams Cider (11/12/2021) 02</v>
      </c>
      <c r="H4510" s="19"/>
    </row>
    <row r="4511">
      <c r="A4511" s="9"/>
      <c r="B4511" s="15"/>
      <c r="C4511" s="9">
        <f>IFERROR(__xludf.DUMMYFUNCTION("""COMPUTED_VALUE"""),44558.1273622916)</f>
        <v>44558.12736</v>
      </c>
      <c r="D4511" s="15">
        <f>IFERROR(__xludf.DUMMYFUNCTION("""COMPUTED_VALUE"""),1.013)</f>
        <v>1.013</v>
      </c>
      <c r="E4511" s="16">
        <f>IFERROR(__xludf.DUMMYFUNCTION("""COMPUTED_VALUE"""),64.0)</f>
        <v>64</v>
      </c>
      <c r="F4511" s="19" t="str">
        <f>IFERROR(__xludf.DUMMYFUNCTION("""COMPUTED_VALUE"""),"BLACK")</f>
        <v>BLACK</v>
      </c>
      <c r="G4511" s="20" t="str">
        <f>IFERROR(__xludf.DUMMYFUNCTION("""COMPUTED_VALUE"""),"Uncle Sams Cider (11/12/2021) 02")</f>
        <v>Uncle Sams Cider (11/12/2021) 02</v>
      </c>
      <c r="H4511" s="19"/>
    </row>
    <row r="4512">
      <c r="A4512" s="9"/>
      <c r="B4512" s="15"/>
      <c r="C4512" s="9">
        <f>IFERROR(__xludf.DUMMYFUNCTION("""COMPUTED_VALUE"""),44558.1168358564)</f>
        <v>44558.11684</v>
      </c>
      <c r="D4512" s="15">
        <f>IFERROR(__xludf.DUMMYFUNCTION("""COMPUTED_VALUE"""),1.013)</f>
        <v>1.013</v>
      </c>
      <c r="E4512" s="16">
        <f>IFERROR(__xludf.DUMMYFUNCTION("""COMPUTED_VALUE"""),64.0)</f>
        <v>64</v>
      </c>
      <c r="F4512" s="19" t="str">
        <f>IFERROR(__xludf.DUMMYFUNCTION("""COMPUTED_VALUE"""),"BLACK")</f>
        <v>BLACK</v>
      </c>
      <c r="G4512" s="20" t="str">
        <f>IFERROR(__xludf.DUMMYFUNCTION("""COMPUTED_VALUE"""),"Uncle Sams Cider (11/12/2021) 02")</f>
        <v>Uncle Sams Cider (11/12/2021) 02</v>
      </c>
      <c r="H4512" s="19"/>
    </row>
    <row r="4513">
      <c r="A4513" s="9"/>
      <c r="B4513" s="15"/>
      <c r="C4513" s="9">
        <f>IFERROR(__xludf.DUMMYFUNCTION("""COMPUTED_VALUE"""),44558.1064034722)</f>
        <v>44558.1064</v>
      </c>
      <c r="D4513" s="15">
        <f>IFERROR(__xludf.DUMMYFUNCTION("""COMPUTED_VALUE"""),1.013)</f>
        <v>1.013</v>
      </c>
      <c r="E4513" s="16">
        <f>IFERROR(__xludf.DUMMYFUNCTION("""COMPUTED_VALUE"""),64.0)</f>
        <v>64</v>
      </c>
      <c r="F4513" s="19" t="str">
        <f>IFERROR(__xludf.DUMMYFUNCTION("""COMPUTED_VALUE"""),"BLACK")</f>
        <v>BLACK</v>
      </c>
      <c r="G4513" s="20" t="str">
        <f>IFERROR(__xludf.DUMMYFUNCTION("""COMPUTED_VALUE"""),"Uncle Sams Cider (11/12/2021) 02")</f>
        <v>Uncle Sams Cider (11/12/2021) 02</v>
      </c>
      <c r="H4513" s="19"/>
    </row>
    <row r="4514">
      <c r="A4514" s="9"/>
      <c r="B4514" s="15"/>
      <c r="C4514" s="9">
        <f>IFERROR(__xludf.DUMMYFUNCTION("""COMPUTED_VALUE"""),44558.0959228587)</f>
        <v>44558.09592</v>
      </c>
      <c r="D4514" s="15">
        <f>IFERROR(__xludf.DUMMYFUNCTION("""COMPUTED_VALUE"""),1.013)</f>
        <v>1.013</v>
      </c>
      <c r="E4514" s="16">
        <f>IFERROR(__xludf.DUMMYFUNCTION("""COMPUTED_VALUE"""),64.0)</f>
        <v>64</v>
      </c>
      <c r="F4514" s="19" t="str">
        <f>IFERROR(__xludf.DUMMYFUNCTION("""COMPUTED_VALUE"""),"BLACK")</f>
        <v>BLACK</v>
      </c>
      <c r="G4514" s="20" t="str">
        <f>IFERROR(__xludf.DUMMYFUNCTION("""COMPUTED_VALUE"""),"Uncle Sams Cider (11/12/2021) 02")</f>
        <v>Uncle Sams Cider (11/12/2021) 02</v>
      </c>
      <c r="H4514" s="19"/>
    </row>
    <row r="4515">
      <c r="A4515" s="9"/>
      <c r="B4515" s="15"/>
      <c r="C4515" s="9">
        <f>IFERROR(__xludf.DUMMYFUNCTION("""COMPUTED_VALUE"""),44558.0854785185)</f>
        <v>44558.08548</v>
      </c>
      <c r="D4515" s="15">
        <f>IFERROR(__xludf.DUMMYFUNCTION("""COMPUTED_VALUE"""),1.013)</f>
        <v>1.013</v>
      </c>
      <c r="E4515" s="16">
        <f>IFERROR(__xludf.DUMMYFUNCTION("""COMPUTED_VALUE"""),64.0)</f>
        <v>64</v>
      </c>
      <c r="F4515" s="19" t="str">
        <f>IFERROR(__xludf.DUMMYFUNCTION("""COMPUTED_VALUE"""),"BLACK")</f>
        <v>BLACK</v>
      </c>
      <c r="G4515" s="20" t="str">
        <f>IFERROR(__xludf.DUMMYFUNCTION("""COMPUTED_VALUE"""),"Uncle Sams Cider (11/12/2021) 02")</f>
        <v>Uncle Sams Cider (11/12/2021) 02</v>
      </c>
      <c r="H4515" s="19"/>
    </row>
    <row r="4516">
      <c r="A4516" s="9"/>
      <c r="B4516" s="15"/>
      <c r="C4516" s="9">
        <f>IFERROR(__xludf.DUMMYFUNCTION("""COMPUTED_VALUE"""),44558.0750555555)</f>
        <v>44558.07506</v>
      </c>
      <c r="D4516" s="15">
        <f>IFERROR(__xludf.DUMMYFUNCTION("""COMPUTED_VALUE"""),1.013)</f>
        <v>1.013</v>
      </c>
      <c r="E4516" s="16">
        <f>IFERROR(__xludf.DUMMYFUNCTION("""COMPUTED_VALUE"""),64.0)</f>
        <v>64</v>
      </c>
      <c r="F4516" s="19" t="str">
        <f>IFERROR(__xludf.DUMMYFUNCTION("""COMPUTED_VALUE"""),"BLACK")</f>
        <v>BLACK</v>
      </c>
      <c r="G4516" s="20" t="str">
        <f>IFERROR(__xludf.DUMMYFUNCTION("""COMPUTED_VALUE"""),"Uncle Sams Cider (11/12/2021) 02")</f>
        <v>Uncle Sams Cider (11/12/2021) 02</v>
      </c>
      <c r="H4516" s="19"/>
    </row>
    <row r="4517">
      <c r="A4517" s="9"/>
      <c r="B4517" s="15"/>
      <c r="C4517" s="9">
        <f>IFERROR(__xludf.DUMMYFUNCTION("""COMPUTED_VALUE"""),44558.0645766666)</f>
        <v>44558.06458</v>
      </c>
      <c r="D4517" s="15">
        <f>IFERROR(__xludf.DUMMYFUNCTION("""COMPUTED_VALUE"""),1.013)</f>
        <v>1.013</v>
      </c>
      <c r="E4517" s="16">
        <f>IFERROR(__xludf.DUMMYFUNCTION("""COMPUTED_VALUE"""),64.0)</f>
        <v>64</v>
      </c>
      <c r="F4517" s="19" t="str">
        <f>IFERROR(__xludf.DUMMYFUNCTION("""COMPUTED_VALUE"""),"BLACK")</f>
        <v>BLACK</v>
      </c>
      <c r="G4517" s="20" t="str">
        <f>IFERROR(__xludf.DUMMYFUNCTION("""COMPUTED_VALUE"""),"Uncle Sams Cider (11/12/2021) 02")</f>
        <v>Uncle Sams Cider (11/12/2021) 02</v>
      </c>
      <c r="H4517" s="19"/>
    </row>
    <row r="4518">
      <c r="A4518" s="9"/>
      <c r="B4518" s="15"/>
      <c r="C4518" s="9">
        <f>IFERROR(__xludf.DUMMYFUNCTION("""COMPUTED_VALUE"""),44558.0541196296)</f>
        <v>44558.05412</v>
      </c>
      <c r="D4518" s="15">
        <f>IFERROR(__xludf.DUMMYFUNCTION("""COMPUTED_VALUE"""),1.013)</f>
        <v>1.013</v>
      </c>
      <c r="E4518" s="16">
        <f>IFERROR(__xludf.DUMMYFUNCTION("""COMPUTED_VALUE"""),64.0)</f>
        <v>64</v>
      </c>
      <c r="F4518" s="19" t="str">
        <f>IFERROR(__xludf.DUMMYFUNCTION("""COMPUTED_VALUE"""),"BLACK")</f>
        <v>BLACK</v>
      </c>
      <c r="G4518" s="20" t="str">
        <f>IFERROR(__xludf.DUMMYFUNCTION("""COMPUTED_VALUE"""),"Uncle Sams Cider (11/12/2021) 02")</f>
        <v>Uncle Sams Cider (11/12/2021) 02</v>
      </c>
      <c r="H4518" s="19"/>
    </row>
    <row r="4519">
      <c r="A4519" s="9"/>
      <c r="B4519" s="15"/>
      <c r="C4519" s="9">
        <f>IFERROR(__xludf.DUMMYFUNCTION("""COMPUTED_VALUE"""),44558.0436981134)</f>
        <v>44558.0437</v>
      </c>
      <c r="D4519" s="15">
        <f>IFERROR(__xludf.DUMMYFUNCTION("""COMPUTED_VALUE"""),1.013)</f>
        <v>1.013</v>
      </c>
      <c r="E4519" s="16">
        <f>IFERROR(__xludf.DUMMYFUNCTION("""COMPUTED_VALUE"""),65.0)</f>
        <v>65</v>
      </c>
      <c r="F4519" s="19" t="str">
        <f>IFERROR(__xludf.DUMMYFUNCTION("""COMPUTED_VALUE"""),"BLACK")</f>
        <v>BLACK</v>
      </c>
      <c r="G4519" s="20" t="str">
        <f>IFERROR(__xludf.DUMMYFUNCTION("""COMPUTED_VALUE"""),"Uncle Sams Cider (11/12/2021) 02")</f>
        <v>Uncle Sams Cider (11/12/2021) 02</v>
      </c>
      <c r="H4519" s="19"/>
    </row>
    <row r="4520">
      <c r="A4520" s="9"/>
      <c r="B4520" s="15"/>
      <c r="C4520" s="9">
        <f>IFERROR(__xludf.DUMMYFUNCTION("""COMPUTED_VALUE"""),44558.0332557638)</f>
        <v>44558.03326</v>
      </c>
      <c r="D4520" s="15">
        <f>IFERROR(__xludf.DUMMYFUNCTION("""COMPUTED_VALUE"""),1.013)</f>
        <v>1.013</v>
      </c>
      <c r="E4520" s="16">
        <f>IFERROR(__xludf.DUMMYFUNCTION("""COMPUTED_VALUE"""),65.0)</f>
        <v>65</v>
      </c>
      <c r="F4520" s="19" t="str">
        <f>IFERROR(__xludf.DUMMYFUNCTION("""COMPUTED_VALUE"""),"BLACK")</f>
        <v>BLACK</v>
      </c>
      <c r="G4520" s="20" t="str">
        <f>IFERROR(__xludf.DUMMYFUNCTION("""COMPUTED_VALUE"""),"Uncle Sams Cider (11/12/2021) 02")</f>
        <v>Uncle Sams Cider (11/12/2021) 02</v>
      </c>
      <c r="H4520" s="19"/>
    </row>
    <row r="4521">
      <c r="A4521" s="9"/>
      <c r="B4521" s="15"/>
      <c r="C4521" s="9">
        <f>IFERROR(__xludf.DUMMYFUNCTION("""COMPUTED_VALUE"""),44558.0228340509)</f>
        <v>44558.02283</v>
      </c>
      <c r="D4521" s="15">
        <f>IFERROR(__xludf.DUMMYFUNCTION("""COMPUTED_VALUE"""),1.013)</f>
        <v>1.013</v>
      </c>
      <c r="E4521" s="16">
        <f>IFERROR(__xludf.DUMMYFUNCTION("""COMPUTED_VALUE"""),65.0)</f>
        <v>65</v>
      </c>
      <c r="F4521" s="19" t="str">
        <f>IFERROR(__xludf.DUMMYFUNCTION("""COMPUTED_VALUE"""),"BLACK")</f>
        <v>BLACK</v>
      </c>
      <c r="G4521" s="20" t="str">
        <f>IFERROR(__xludf.DUMMYFUNCTION("""COMPUTED_VALUE"""),"Uncle Sams Cider (11/12/2021) 02")</f>
        <v>Uncle Sams Cider (11/12/2021) 02</v>
      </c>
      <c r="H4521" s="19"/>
    </row>
    <row r="4522">
      <c r="A4522" s="9"/>
      <c r="B4522" s="15"/>
      <c r="C4522" s="9">
        <f>IFERROR(__xludf.DUMMYFUNCTION("""COMPUTED_VALUE"""),44558.0124149537)</f>
        <v>44558.01241</v>
      </c>
      <c r="D4522" s="15">
        <f>IFERROR(__xludf.DUMMYFUNCTION("""COMPUTED_VALUE"""),1.013)</f>
        <v>1.013</v>
      </c>
      <c r="E4522" s="16">
        <f>IFERROR(__xludf.DUMMYFUNCTION("""COMPUTED_VALUE"""),65.0)</f>
        <v>65</v>
      </c>
      <c r="F4522" s="19" t="str">
        <f>IFERROR(__xludf.DUMMYFUNCTION("""COMPUTED_VALUE"""),"BLACK")</f>
        <v>BLACK</v>
      </c>
      <c r="G4522" s="20" t="str">
        <f>IFERROR(__xludf.DUMMYFUNCTION("""COMPUTED_VALUE"""),"Uncle Sams Cider (11/12/2021) 02")</f>
        <v>Uncle Sams Cider (11/12/2021) 02</v>
      </c>
      <c r="H4522" s="19"/>
    </row>
    <row r="4523">
      <c r="A4523" s="9"/>
      <c r="B4523" s="15"/>
      <c r="C4523" s="9">
        <f>IFERROR(__xludf.DUMMYFUNCTION("""COMPUTED_VALUE"""),44558.0019701967)</f>
        <v>44558.00197</v>
      </c>
      <c r="D4523" s="15">
        <f>IFERROR(__xludf.DUMMYFUNCTION("""COMPUTED_VALUE"""),1.013)</f>
        <v>1.013</v>
      </c>
      <c r="E4523" s="16">
        <f>IFERROR(__xludf.DUMMYFUNCTION("""COMPUTED_VALUE"""),65.0)</f>
        <v>65</v>
      </c>
      <c r="F4523" s="19" t="str">
        <f>IFERROR(__xludf.DUMMYFUNCTION("""COMPUTED_VALUE"""),"BLACK")</f>
        <v>BLACK</v>
      </c>
      <c r="G4523" s="20" t="str">
        <f>IFERROR(__xludf.DUMMYFUNCTION("""COMPUTED_VALUE"""),"Uncle Sams Cider (11/12/2021) 02")</f>
        <v>Uncle Sams Cider (11/12/2021) 02</v>
      </c>
      <c r="H4523" s="19"/>
    </row>
    <row r="4524">
      <c r="A4524" s="9"/>
      <c r="B4524" s="15"/>
      <c r="C4524" s="9">
        <f>IFERROR(__xludf.DUMMYFUNCTION("""COMPUTED_VALUE"""),44557.9915501157)</f>
        <v>44557.99155</v>
      </c>
      <c r="D4524" s="15">
        <f>IFERROR(__xludf.DUMMYFUNCTION("""COMPUTED_VALUE"""),1.013)</f>
        <v>1.013</v>
      </c>
      <c r="E4524" s="16">
        <f>IFERROR(__xludf.DUMMYFUNCTION("""COMPUTED_VALUE"""),65.0)</f>
        <v>65</v>
      </c>
      <c r="F4524" s="19" t="str">
        <f>IFERROR(__xludf.DUMMYFUNCTION("""COMPUTED_VALUE"""),"BLACK")</f>
        <v>BLACK</v>
      </c>
      <c r="G4524" s="20" t="str">
        <f>IFERROR(__xludf.DUMMYFUNCTION("""COMPUTED_VALUE"""),"Uncle Sams Cider (11/12/2021) 02")</f>
        <v>Uncle Sams Cider (11/12/2021) 02</v>
      </c>
      <c r="H4524" s="19"/>
    </row>
    <row r="4525">
      <c r="A4525" s="9"/>
      <c r="B4525" s="15"/>
      <c r="C4525" s="9">
        <f>IFERROR(__xludf.DUMMYFUNCTION("""COMPUTED_VALUE"""),44557.9811177893)</f>
        <v>44557.98112</v>
      </c>
      <c r="D4525" s="15">
        <f>IFERROR(__xludf.DUMMYFUNCTION("""COMPUTED_VALUE"""),1.013)</f>
        <v>1.013</v>
      </c>
      <c r="E4525" s="16">
        <f>IFERROR(__xludf.DUMMYFUNCTION("""COMPUTED_VALUE"""),65.0)</f>
        <v>65</v>
      </c>
      <c r="F4525" s="19" t="str">
        <f>IFERROR(__xludf.DUMMYFUNCTION("""COMPUTED_VALUE"""),"BLACK")</f>
        <v>BLACK</v>
      </c>
      <c r="G4525" s="20" t="str">
        <f>IFERROR(__xludf.DUMMYFUNCTION("""COMPUTED_VALUE"""),"Uncle Sams Cider (11/12/2021) 02")</f>
        <v>Uncle Sams Cider (11/12/2021) 02</v>
      </c>
      <c r="H4525" s="19"/>
    </row>
    <row r="4526">
      <c r="A4526" s="9"/>
      <c r="B4526" s="15"/>
      <c r="C4526" s="9">
        <f>IFERROR(__xludf.DUMMYFUNCTION("""COMPUTED_VALUE"""),44557.9706853124)</f>
        <v>44557.97069</v>
      </c>
      <c r="D4526" s="15">
        <f>IFERROR(__xludf.DUMMYFUNCTION("""COMPUTED_VALUE"""),1.013)</f>
        <v>1.013</v>
      </c>
      <c r="E4526" s="16">
        <f>IFERROR(__xludf.DUMMYFUNCTION("""COMPUTED_VALUE"""),65.0)</f>
        <v>65</v>
      </c>
      <c r="F4526" s="19" t="str">
        <f>IFERROR(__xludf.DUMMYFUNCTION("""COMPUTED_VALUE"""),"BLACK")</f>
        <v>BLACK</v>
      </c>
      <c r="G4526" s="20" t="str">
        <f>IFERROR(__xludf.DUMMYFUNCTION("""COMPUTED_VALUE"""),"Uncle Sams Cider (11/12/2021) 02")</f>
        <v>Uncle Sams Cider (11/12/2021) 02</v>
      </c>
      <c r="H4526" s="19"/>
    </row>
    <row r="4527">
      <c r="A4527" s="9"/>
      <c r="B4527" s="15"/>
      <c r="C4527" s="9">
        <f>IFERROR(__xludf.DUMMYFUNCTION("""COMPUTED_VALUE"""),44557.9602528819)</f>
        <v>44557.96025</v>
      </c>
      <c r="D4527" s="15">
        <f>IFERROR(__xludf.DUMMYFUNCTION("""COMPUTED_VALUE"""),1.013)</f>
        <v>1.013</v>
      </c>
      <c r="E4527" s="16">
        <f>IFERROR(__xludf.DUMMYFUNCTION("""COMPUTED_VALUE"""),65.0)</f>
        <v>65</v>
      </c>
      <c r="F4527" s="19" t="str">
        <f>IFERROR(__xludf.DUMMYFUNCTION("""COMPUTED_VALUE"""),"BLACK")</f>
        <v>BLACK</v>
      </c>
      <c r="G4527" s="20" t="str">
        <f>IFERROR(__xludf.DUMMYFUNCTION("""COMPUTED_VALUE"""),"Uncle Sams Cider (11/12/2021) 02")</f>
        <v>Uncle Sams Cider (11/12/2021) 02</v>
      </c>
      <c r="H4527" s="19"/>
    </row>
    <row r="4528">
      <c r="A4528" s="9"/>
      <c r="B4528" s="15"/>
      <c r="C4528" s="9">
        <f>IFERROR(__xludf.DUMMYFUNCTION("""COMPUTED_VALUE"""),44557.9498319444)</f>
        <v>44557.94983</v>
      </c>
      <c r="D4528" s="15">
        <f>IFERROR(__xludf.DUMMYFUNCTION("""COMPUTED_VALUE"""),1.013)</f>
        <v>1.013</v>
      </c>
      <c r="E4528" s="16">
        <f>IFERROR(__xludf.DUMMYFUNCTION("""COMPUTED_VALUE"""),65.0)</f>
        <v>65</v>
      </c>
      <c r="F4528" s="19" t="str">
        <f>IFERROR(__xludf.DUMMYFUNCTION("""COMPUTED_VALUE"""),"BLACK")</f>
        <v>BLACK</v>
      </c>
      <c r="G4528" s="20" t="str">
        <f>IFERROR(__xludf.DUMMYFUNCTION("""COMPUTED_VALUE"""),"Uncle Sams Cider (11/12/2021) 02")</f>
        <v>Uncle Sams Cider (11/12/2021) 02</v>
      </c>
      <c r="H4528" s="19"/>
    </row>
    <row r="4529">
      <c r="A4529" s="9"/>
      <c r="B4529" s="15"/>
      <c r="C4529" s="9">
        <f>IFERROR(__xludf.DUMMYFUNCTION("""COMPUTED_VALUE"""),44557.9393871296)</f>
        <v>44557.93939</v>
      </c>
      <c r="D4529" s="15">
        <f>IFERROR(__xludf.DUMMYFUNCTION("""COMPUTED_VALUE"""),1.013)</f>
        <v>1.013</v>
      </c>
      <c r="E4529" s="16">
        <f>IFERROR(__xludf.DUMMYFUNCTION("""COMPUTED_VALUE"""),65.0)</f>
        <v>65</v>
      </c>
      <c r="F4529" s="19" t="str">
        <f>IFERROR(__xludf.DUMMYFUNCTION("""COMPUTED_VALUE"""),"BLACK")</f>
        <v>BLACK</v>
      </c>
      <c r="G4529" s="20" t="str">
        <f>IFERROR(__xludf.DUMMYFUNCTION("""COMPUTED_VALUE"""),"Uncle Sams Cider (11/12/2021) 02")</f>
        <v>Uncle Sams Cider (11/12/2021) 02</v>
      </c>
      <c r="H4529" s="19"/>
    </row>
    <row r="4530">
      <c r="A4530" s="9"/>
      <c r="B4530" s="15"/>
      <c r="C4530" s="9">
        <f>IFERROR(__xludf.DUMMYFUNCTION("""COMPUTED_VALUE"""),44557.9289662152)</f>
        <v>44557.92897</v>
      </c>
      <c r="D4530" s="15">
        <f>IFERROR(__xludf.DUMMYFUNCTION("""COMPUTED_VALUE"""),1.013)</f>
        <v>1.013</v>
      </c>
      <c r="E4530" s="16">
        <f>IFERROR(__xludf.DUMMYFUNCTION("""COMPUTED_VALUE"""),65.0)</f>
        <v>65</v>
      </c>
      <c r="F4530" s="19" t="str">
        <f>IFERROR(__xludf.DUMMYFUNCTION("""COMPUTED_VALUE"""),"BLACK")</f>
        <v>BLACK</v>
      </c>
      <c r="G4530" s="20" t="str">
        <f>IFERROR(__xludf.DUMMYFUNCTION("""COMPUTED_VALUE"""),"Uncle Sams Cider (11/12/2021) 02")</f>
        <v>Uncle Sams Cider (11/12/2021) 02</v>
      </c>
      <c r="H4530" s="19"/>
    </row>
    <row r="4531">
      <c r="A4531" s="9"/>
      <c r="B4531" s="15"/>
      <c r="C4531" s="9">
        <f>IFERROR(__xludf.DUMMYFUNCTION("""COMPUTED_VALUE"""),44557.9185441666)</f>
        <v>44557.91854</v>
      </c>
      <c r="D4531" s="15">
        <f>IFERROR(__xludf.DUMMYFUNCTION("""COMPUTED_VALUE"""),1.013)</f>
        <v>1.013</v>
      </c>
      <c r="E4531" s="16">
        <f>IFERROR(__xludf.DUMMYFUNCTION("""COMPUTED_VALUE"""),65.0)</f>
        <v>65</v>
      </c>
      <c r="F4531" s="19" t="str">
        <f>IFERROR(__xludf.DUMMYFUNCTION("""COMPUTED_VALUE"""),"BLACK")</f>
        <v>BLACK</v>
      </c>
      <c r="G4531" s="20" t="str">
        <f>IFERROR(__xludf.DUMMYFUNCTION("""COMPUTED_VALUE"""),"Uncle Sams Cider (11/12/2021) 02")</f>
        <v>Uncle Sams Cider (11/12/2021) 02</v>
      </c>
      <c r="H4531" s="19"/>
    </row>
    <row r="4532">
      <c r="A4532" s="9"/>
      <c r="B4532" s="15"/>
      <c r="C4532" s="9">
        <f>IFERROR(__xludf.DUMMYFUNCTION("""COMPUTED_VALUE"""),44557.9081244675)</f>
        <v>44557.90812</v>
      </c>
      <c r="D4532" s="15">
        <f>IFERROR(__xludf.DUMMYFUNCTION("""COMPUTED_VALUE"""),1.013)</f>
        <v>1.013</v>
      </c>
      <c r="E4532" s="16">
        <f>IFERROR(__xludf.DUMMYFUNCTION("""COMPUTED_VALUE"""),65.0)</f>
        <v>65</v>
      </c>
      <c r="F4532" s="19" t="str">
        <f>IFERROR(__xludf.DUMMYFUNCTION("""COMPUTED_VALUE"""),"BLACK")</f>
        <v>BLACK</v>
      </c>
      <c r="G4532" s="20" t="str">
        <f>IFERROR(__xludf.DUMMYFUNCTION("""COMPUTED_VALUE"""),"Uncle Sams Cider (11/12/2021) 02")</f>
        <v>Uncle Sams Cider (11/12/2021) 02</v>
      </c>
      <c r="H4532" s="19"/>
    </row>
    <row r="4533">
      <c r="A4533" s="9"/>
      <c r="B4533" s="15"/>
      <c r="C4533" s="9">
        <f>IFERROR(__xludf.DUMMYFUNCTION("""COMPUTED_VALUE"""),44557.8977015509)</f>
        <v>44557.8977</v>
      </c>
      <c r="D4533" s="15">
        <f>IFERROR(__xludf.DUMMYFUNCTION("""COMPUTED_VALUE"""),1.013)</f>
        <v>1.013</v>
      </c>
      <c r="E4533" s="16">
        <f>IFERROR(__xludf.DUMMYFUNCTION("""COMPUTED_VALUE"""),65.0)</f>
        <v>65</v>
      </c>
      <c r="F4533" s="19" t="str">
        <f>IFERROR(__xludf.DUMMYFUNCTION("""COMPUTED_VALUE"""),"BLACK")</f>
        <v>BLACK</v>
      </c>
      <c r="G4533" s="20" t="str">
        <f>IFERROR(__xludf.DUMMYFUNCTION("""COMPUTED_VALUE"""),"Uncle Sams Cider (11/12/2021) 02")</f>
        <v>Uncle Sams Cider (11/12/2021) 02</v>
      </c>
      <c r="H4533" s="19"/>
    </row>
    <row r="4534">
      <c r="A4534" s="9"/>
      <c r="B4534" s="15"/>
      <c r="C4534" s="9">
        <f>IFERROR(__xludf.DUMMYFUNCTION("""COMPUTED_VALUE"""),44557.8872773842)</f>
        <v>44557.88728</v>
      </c>
      <c r="D4534" s="15">
        <f>IFERROR(__xludf.DUMMYFUNCTION("""COMPUTED_VALUE"""),1.013)</f>
        <v>1.013</v>
      </c>
      <c r="E4534" s="16">
        <f>IFERROR(__xludf.DUMMYFUNCTION("""COMPUTED_VALUE"""),65.0)</f>
        <v>65</v>
      </c>
      <c r="F4534" s="19" t="str">
        <f>IFERROR(__xludf.DUMMYFUNCTION("""COMPUTED_VALUE"""),"BLACK")</f>
        <v>BLACK</v>
      </c>
      <c r="G4534" s="20" t="str">
        <f>IFERROR(__xludf.DUMMYFUNCTION("""COMPUTED_VALUE"""),"Uncle Sams Cider (11/12/2021) 02")</f>
        <v>Uncle Sams Cider (11/12/2021) 02</v>
      </c>
      <c r="H4534" s="19"/>
    </row>
    <row r="4535">
      <c r="A4535" s="9"/>
      <c r="B4535" s="15"/>
      <c r="C4535" s="9">
        <f>IFERROR(__xludf.DUMMYFUNCTION("""COMPUTED_VALUE"""),44557.8768455671)</f>
        <v>44557.87685</v>
      </c>
      <c r="D4535" s="15">
        <f>IFERROR(__xludf.DUMMYFUNCTION("""COMPUTED_VALUE"""),1.013)</f>
        <v>1.013</v>
      </c>
      <c r="E4535" s="16">
        <f>IFERROR(__xludf.DUMMYFUNCTION("""COMPUTED_VALUE"""),65.0)</f>
        <v>65</v>
      </c>
      <c r="F4535" s="19" t="str">
        <f>IFERROR(__xludf.DUMMYFUNCTION("""COMPUTED_VALUE"""),"BLACK")</f>
        <v>BLACK</v>
      </c>
      <c r="G4535" s="20" t="str">
        <f>IFERROR(__xludf.DUMMYFUNCTION("""COMPUTED_VALUE"""),"Uncle Sams Cider (11/12/2021) 02")</f>
        <v>Uncle Sams Cider (11/12/2021) 02</v>
      </c>
      <c r="H4535" s="19"/>
    </row>
    <row r="4536">
      <c r="A4536" s="9"/>
      <c r="B4536" s="15"/>
      <c r="C4536" s="9">
        <f>IFERROR(__xludf.DUMMYFUNCTION("""COMPUTED_VALUE"""),44557.8664248495)</f>
        <v>44557.86642</v>
      </c>
      <c r="D4536" s="15">
        <f>IFERROR(__xludf.DUMMYFUNCTION("""COMPUTED_VALUE"""),1.013)</f>
        <v>1.013</v>
      </c>
      <c r="E4536" s="16">
        <f>IFERROR(__xludf.DUMMYFUNCTION("""COMPUTED_VALUE"""),65.0)</f>
        <v>65</v>
      </c>
      <c r="F4536" s="19" t="str">
        <f>IFERROR(__xludf.DUMMYFUNCTION("""COMPUTED_VALUE"""),"BLACK")</f>
        <v>BLACK</v>
      </c>
      <c r="G4536" s="20" t="str">
        <f>IFERROR(__xludf.DUMMYFUNCTION("""COMPUTED_VALUE"""),"Uncle Sams Cider (11/12/2021) 02")</f>
        <v>Uncle Sams Cider (11/12/2021) 02</v>
      </c>
      <c r="H4536" s="19"/>
    </row>
    <row r="4537">
      <c r="A4537" s="9"/>
      <c r="B4537" s="15"/>
      <c r="C4537" s="9">
        <f>IFERROR(__xludf.DUMMYFUNCTION("""COMPUTED_VALUE"""),44557.8560042129)</f>
        <v>44557.856</v>
      </c>
      <c r="D4537" s="15">
        <f>IFERROR(__xludf.DUMMYFUNCTION("""COMPUTED_VALUE"""),1.013)</f>
        <v>1.013</v>
      </c>
      <c r="E4537" s="16">
        <f>IFERROR(__xludf.DUMMYFUNCTION("""COMPUTED_VALUE"""),65.0)</f>
        <v>65</v>
      </c>
      <c r="F4537" s="19" t="str">
        <f>IFERROR(__xludf.DUMMYFUNCTION("""COMPUTED_VALUE"""),"BLACK")</f>
        <v>BLACK</v>
      </c>
      <c r="G4537" s="20" t="str">
        <f>IFERROR(__xludf.DUMMYFUNCTION("""COMPUTED_VALUE"""),"Uncle Sams Cider (11/12/2021) 02")</f>
        <v>Uncle Sams Cider (11/12/2021) 02</v>
      </c>
      <c r="H4537" s="19"/>
    </row>
    <row r="4538">
      <c r="A4538" s="9"/>
      <c r="B4538" s="15"/>
      <c r="C4538" s="9">
        <f>IFERROR(__xludf.DUMMYFUNCTION("""COMPUTED_VALUE"""),44557.8455614814)</f>
        <v>44557.84556</v>
      </c>
      <c r="D4538" s="15">
        <f>IFERROR(__xludf.DUMMYFUNCTION("""COMPUTED_VALUE"""),1.013)</f>
        <v>1.013</v>
      </c>
      <c r="E4538" s="16">
        <f>IFERROR(__xludf.DUMMYFUNCTION("""COMPUTED_VALUE"""),65.0)</f>
        <v>65</v>
      </c>
      <c r="F4538" s="19" t="str">
        <f>IFERROR(__xludf.DUMMYFUNCTION("""COMPUTED_VALUE"""),"BLACK")</f>
        <v>BLACK</v>
      </c>
      <c r="G4538" s="20" t="str">
        <f>IFERROR(__xludf.DUMMYFUNCTION("""COMPUTED_VALUE"""),"Uncle Sams Cider (11/12/2021) 02")</f>
        <v>Uncle Sams Cider (11/12/2021) 02</v>
      </c>
      <c r="H4538" s="19"/>
    </row>
    <row r="4539">
      <c r="A4539" s="9"/>
      <c r="B4539" s="15"/>
      <c r="C4539" s="9">
        <f>IFERROR(__xludf.DUMMYFUNCTION("""COMPUTED_VALUE"""),44557.8351045486)</f>
        <v>44557.8351</v>
      </c>
      <c r="D4539" s="15">
        <f>IFERROR(__xludf.DUMMYFUNCTION("""COMPUTED_VALUE"""),1.013)</f>
        <v>1.013</v>
      </c>
      <c r="E4539" s="16">
        <f>IFERROR(__xludf.DUMMYFUNCTION("""COMPUTED_VALUE"""),65.0)</f>
        <v>65</v>
      </c>
      <c r="F4539" s="19" t="str">
        <f>IFERROR(__xludf.DUMMYFUNCTION("""COMPUTED_VALUE"""),"BLACK")</f>
        <v>BLACK</v>
      </c>
      <c r="G4539" s="20" t="str">
        <f>IFERROR(__xludf.DUMMYFUNCTION("""COMPUTED_VALUE"""),"Uncle Sams Cider (11/12/2021) 02")</f>
        <v>Uncle Sams Cider (11/12/2021) 02</v>
      </c>
      <c r="H4539" s="19"/>
    </row>
    <row r="4540">
      <c r="A4540" s="9"/>
      <c r="B4540" s="15"/>
      <c r="C4540" s="9">
        <f>IFERROR(__xludf.DUMMYFUNCTION("""COMPUTED_VALUE"""),44557.824673831)</f>
        <v>44557.82467</v>
      </c>
      <c r="D4540" s="15">
        <f>IFERROR(__xludf.DUMMYFUNCTION("""COMPUTED_VALUE"""),1.013)</f>
        <v>1.013</v>
      </c>
      <c r="E4540" s="16">
        <f>IFERROR(__xludf.DUMMYFUNCTION("""COMPUTED_VALUE"""),65.0)</f>
        <v>65</v>
      </c>
      <c r="F4540" s="19" t="str">
        <f>IFERROR(__xludf.DUMMYFUNCTION("""COMPUTED_VALUE"""),"BLACK")</f>
        <v>BLACK</v>
      </c>
      <c r="G4540" s="20" t="str">
        <f>IFERROR(__xludf.DUMMYFUNCTION("""COMPUTED_VALUE"""),"Uncle Sams Cider (11/12/2021) 02")</f>
        <v>Uncle Sams Cider (11/12/2021) 02</v>
      </c>
      <c r="H4540" s="19"/>
    </row>
    <row r="4541">
      <c r="A4541" s="9"/>
      <c r="B4541" s="15"/>
      <c r="C4541" s="9">
        <f>IFERROR(__xludf.DUMMYFUNCTION("""COMPUTED_VALUE"""),44557.8142527546)</f>
        <v>44557.81425</v>
      </c>
      <c r="D4541" s="15">
        <f>IFERROR(__xludf.DUMMYFUNCTION("""COMPUTED_VALUE"""),1.013)</f>
        <v>1.013</v>
      </c>
      <c r="E4541" s="16">
        <f>IFERROR(__xludf.DUMMYFUNCTION("""COMPUTED_VALUE"""),65.0)</f>
        <v>65</v>
      </c>
      <c r="F4541" s="19" t="str">
        <f>IFERROR(__xludf.DUMMYFUNCTION("""COMPUTED_VALUE"""),"BLACK")</f>
        <v>BLACK</v>
      </c>
      <c r="G4541" s="20" t="str">
        <f>IFERROR(__xludf.DUMMYFUNCTION("""COMPUTED_VALUE"""),"Uncle Sams Cider (11/12/2021) 02")</f>
        <v>Uncle Sams Cider (11/12/2021) 02</v>
      </c>
      <c r="H4541" s="19"/>
    </row>
    <row r="4542">
      <c r="A4542" s="9"/>
      <c r="B4542" s="15"/>
      <c r="C4542" s="9">
        <f>IFERROR(__xludf.DUMMYFUNCTION("""COMPUTED_VALUE"""),44557.8037632175)</f>
        <v>44557.80376</v>
      </c>
      <c r="D4542" s="15">
        <f>IFERROR(__xludf.DUMMYFUNCTION("""COMPUTED_VALUE"""),1.013)</f>
        <v>1.013</v>
      </c>
      <c r="E4542" s="16">
        <f>IFERROR(__xludf.DUMMYFUNCTION("""COMPUTED_VALUE"""),65.0)</f>
        <v>65</v>
      </c>
      <c r="F4542" s="19" t="str">
        <f>IFERROR(__xludf.DUMMYFUNCTION("""COMPUTED_VALUE"""),"BLACK")</f>
        <v>BLACK</v>
      </c>
      <c r="G4542" s="20" t="str">
        <f>IFERROR(__xludf.DUMMYFUNCTION("""COMPUTED_VALUE"""),"Uncle Sams Cider (11/12/2021) 02")</f>
        <v>Uncle Sams Cider (11/12/2021) 02</v>
      </c>
      <c r="H4542" s="19"/>
    </row>
    <row r="4543">
      <c r="A4543" s="9"/>
      <c r="B4543" s="15"/>
      <c r="C4543" s="9">
        <f>IFERROR(__xludf.DUMMYFUNCTION("""COMPUTED_VALUE"""),44557.7933425578)</f>
        <v>44557.79334</v>
      </c>
      <c r="D4543" s="15">
        <f>IFERROR(__xludf.DUMMYFUNCTION("""COMPUTED_VALUE"""),1.013)</f>
        <v>1.013</v>
      </c>
      <c r="E4543" s="16">
        <f>IFERROR(__xludf.DUMMYFUNCTION("""COMPUTED_VALUE"""),65.0)</f>
        <v>65</v>
      </c>
      <c r="F4543" s="19" t="str">
        <f>IFERROR(__xludf.DUMMYFUNCTION("""COMPUTED_VALUE"""),"BLACK")</f>
        <v>BLACK</v>
      </c>
      <c r="G4543" s="20" t="str">
        <f>IFERROR(__xludf.DUMMYFUNCTION("""COMPUTED_VALUE"""),"Uncle Sams Cider (11/12/2021) 02")</f>
        <v>Uncle Sams Cider (11/12/2021) 02</v>
      </c>
      <c r="H4543" s="19"/>
    </row>
    <row r="4544">
      <c r="A4544" s="9"/>
      <c r="B4544" s="15"/>
      <c r="C4544" s="9">
        <f>IFERROR(__xludf.DUMMYFUNCTION("""COMPUTED_VALUE"""),44557.7829216666)</f>
        <v>44557.78292</v>
      </c>
      <c r="D4544" s="15">
        <f>IFERROR(__xludf.DUMMYFUNCTION("""COMPUTED_VALUE"""),1.013)</f>
        <v>1.013</v>
      </c>
      <c r="E4544" s="16">
        <f>IFERROR(__xludf.DUMMYFUNCTION("""COMPUTED_VALUE"""),65.0)</f>
        <v>65</v>
      </c>
      <c r="F4544" s="19" t="str">
        <f>IFERROR(__xludf.DUMMYFUNCTION("""COMPUTED_VALUE"""),"BLACK")</f>
        <v>BLACK</v>
      </c>
      <c r="G4544" s="20" t="str">
        <f>IFERROR(__xludf.DUMMYFUNCTION("""COMPUTED_VALUE"""),"Uncle Sams Cider (11/12/2021) 02")</f>
        <v>Uncle Sams Cider (11/12/2021) 02</v>
      </c>
      <c r="H4544" s="19"/>
    </row>
    <row r="4545">
      <c r="A4545" s="9"/>
      <c r="B4545" s="15"/>
      <c r="C4545" s="9">
        <f>IFERROR(__xludf.DUMMYFUNCTION("""COMPUTED_VALUE"""),44557.772489618)</f>
        <v>44557.77249</v>
      </c>
      <c r="D4545" s="15">
        <f>IFERROR(__xludf.DUMMYFUNCTION("""COMPUTED_VALUE"""),1.013)</f>
        <v>1.013</v>
      </c>
      <c r="E4545" s="16">
        <f>IFERROR(__xludf.DUMMYFUNCTION("""COMPUTED_VALUE"""),65.0)</f>
        <v>65</v>
      </c>
      <c r="F4545" s="19" t="str">
        <f>IFERROR(__xludf.DUMMYFUNCTION("""COMPUTED_VALUE"""),"BLACK")</f>
        <v>BLACK</v>
      </c>
      <c r="G4545" s="20" t="str">
        <f>IFERROR(__xludf.DUMMYFUNCTION("""COMPUTED_VALUE"""),"Uncle Sams Cider (11/12/2021) 02")</f>
        <v>Uncle Sams Cider (11/12/2021) 02</v>
      </c>
      <c r="H4545" s="19"/>
    </row>
    <row r="4546">
      <c r="A4546" s="9"/>
      <c r="B4546" s="15"/>
      <c r="C4546" s="9">
        <f>IFERROR(__xludf.DUMMYFUNCTION("""COMPUTED_VALUE"""),44557.762067199)</f>
        <v>44557.76207</v>
      </c>
      <c r="D4546" s="15">
        <f>IFERROR(__xludf.DUMMYFUNCTION("""COMPUTED_VALUE"""),1.013)</f>
        <v>1.013</v>
      </c>
      <c r="E4546" s="16">
        <f>IFERROR(__xludf.DUMMYFUNCTION("""COMPUTED_VALUE"""),65.0)</f>
        <v>65</v>
      </c>
      <c r="F4546" s="19" t="str">
        <f>IFERROR(__xludf.DUMMYFUNCTION("""COMPUTED_VALUE"""),"BLACK")</f>
        <v>BLACK</v>
      </c>
      <c r="G4546" s="20" t="str">
        <f>IFERROR(__xludf.DUMMYFUNCTION("""COMPUTED_VALUE"""),"Uncle Sams Cider (11/12/2021) 02")</f>
        <v>Uncle Sams Cider (11/12/2021) 02</v>
      </c>
      <c r="H4546" s="19"/>
    </row>
    <row r="4547">
      <c r="A4547" s="9"/>
      <c r="B4547" s="15"/>
      <c r="C4547" s="9">
        <f>IFERROR(__xludf.DUMMYFUNCTION("""COMPUTED_VALUE"""),44557.7516465972)</f>
        <v>44557.75165</v>
      </c>
      <c r="D4547" s="15">
        <f>IFERROR(__xludf.DUMMYFUNCTION("""COMPUTED_VALUE"""),1.013)</f>
        <v>1.013</v>
      </c>
      <c r="E4547" s="16">
        <f>IFERROR(__xludf.DUMMYFUNCTION("""COMPUTED_VALUE"""),65.0)</f>
        <v>65</v>
      </c>
      <c r="F4547" s="19" t="str">
        <f>IFERROR(__xludf.DUMMYFUNCTION("""COMPUTED_VALUE"""),"BLACK")</f>
        <v>BLACK</v>
      </c>
      <c r="G4547" s="20" t="str">
        <f>IFERROR(__xludf.DUMMYFUNCTION("""COMPUTED_VALUE"""),"Uncle Sams Cider (11/12/2021) 02")</f>
        <v>Uncle Sams Cider (11/12/2021) 02</v>
      </c>
      <c r="H4547" s="19"/>
    </row>
    <row r="4548">
      <c r="A4548" s="9"/>
      <c r="B4548" s="15"/>
      <c r="C4548" s="9">
        <f>IFERROR(__xludf.DUMMYFUNCTION("""COMPUTED_VALUE"""),44557.7412260995)</f>
        <v>44557.74123</v>
      </c>
      <c r="D4548" s="15">
        <f>IFERROR(__xludf.DUMMYFUNCTION("""COMPUTED_VALUE"""),1.013)</f>
        <v>1.013</v>
      </c>
      <c r="E4548" s="16">
        <f>IFERROR(__xludf.DUMMYFUNCTION("""COMPUTED_VALUE"""),65.0)</f>
        <v>65</v>
      </c>
      <c r="F4548" s="19" t="str">
        <f>IFERROR(__xludf.DUMMYFUNCTION("""COMPUTED_VALUE"""),"BLACK")</f>
        <v>BLACK</v>
      </c>
      <c r="G4548" s="20" t="str">
        <f>IFERROR(__xludf.DUMMYFUNCTION("""COMPUTED_VALUE"""),"Uncle Sams Cider (11/12/2021) 02")</f>
        <v>Uncle Sams Cider (11/12/2021) 02</v>
      </c>
      <c r="H4548" s="19"/>
    </row>
    <row r="4549">
      <c r="A4549" s="9"/>
      <c r="B4549" s="15"/>
      <c r="C4549" s="9">
        <f>IFERROR(__xludf.DUMMYFUNCTION("""COMPUTED_VALUE"""),44557.7307931018)</f>
        <v>44557.73079</v>
      </c>
      <c r="D4549" s="15">
        <f>IFERROR(__xludf.DUMMYFUNCTION("""COMPUTED_VALUE"""),1.013)</f>
        <v>1.013</v>
      </c>
      <c r="E4549" s="16">
        <f>IFERROR(__xludf.DUMMYFUNCTION("""COMPUTED_VALUE"""),65.0)</f>
        <v>65</v>
      </c>
      <c r="F4549" s="19" t="str">
        <f>IFERROR(__xludf.DUMMYFUNCTION("""COMPUTED_VALUE"""),"BLACK")</f>
        <v>BLACK</v>
      </c>
      <c r="G4549" s="20" t="str">
        <f>IFERROR(__xludf.DUMMYFUNCTION("""COMPUTED_VALUE"""),"Uncle Sams Cider (11/12/2021) 02")</f>
        <v>Uncle Sams Cider (11/12/2021) 02</v>
      </c>
      <c r="H4549" s="19"/>
    </row>
    <row r="4550">
      <c r="A4550" s="9"/>
      <c r="B4550" s="15"/>
      <c r="C4550" s="9">
        <f>IFERROR(__xludf.DUMMYFUNCTION("""COMPUTED_VALUE"""),44557.720346875)</f>
        <v>44557.72035</v>
      </c>
      <c r="D4550" s="15">
        <f>IFERROR(__xludf.DUMMYFUNCTION("""COMPUTED_VALUE"""),1.013)</f>
        <v>1.013</v>
      </c>
      <c r="E4550" s="16">
        <f>IFERROR(__xludf.DUMMYFUNCTION("""COMPUTED_VALUE"""),65.0)</f>
        <v>65</v>
      </c>
      <c r="F4550" s="19" t="str">
        <f>IFERROR(__xludf.DUMMYFUNCTION("""COMPUTED_VALUE"""),"BLACK")</f>
        <v>BLACK</v>
      </c>
      <c r="G4550" s="20" t="str">
        <f>IFERROR(__xludf.DUMMYFUNCTION("""COMPUTED_VALUE"""),"Uncle Sams Cider (11/12/2021) 02")</f>
        <v>Uncle Sams Cider (11/12/2021) 02</v>
      </c>
      <c r="H4550" s="19"/>
    </row>
    <row r="4551">
      <c r="A4551" s="9"/>
      <c r="B4551" s="15"/>
      <c r="C4551" s="9">
        <f>IFERROR(__xludf.DUMMYFUNCTION("""COMPUTED_VALUE"""),44557.7098797453)</f>
        <v>44557.70988</v>
      </c>
      <c r="D4551" s="15">
        <f>IFERROR(__xludf.DUMMYFUNCTION("""COMPUTED_VALUE"""),1.013)</f>
        <v>1.013</v>
      </c>
      <c r="E4551" s="16">
        <f>IFERROR(__xludf.DUMMYFUNCTION("""COMPUTED_VALUE"""),65.0)</f>
        <v>65</v>
      </c>
      <c r="F4551" s="19" t="str">
        <f>IFERROR(__xludf.DUMMYFUNCTION("""COMPUTED_VALUE"""),"BLACK")</f>
        <v>BLACK</v>
      </c>
      <c r="G4551" s="20" t="str">
        <f>IFERROR(__xludf.DUMMYFUNCTION("""COMPUTED_VALUE"""),"Uncle Sams Cider (11/12/2021) 02")</f>
        <v>Uncle Sams Cider (11/12/2021) 02</v>
      </c>
      <c r="H4551" s="19"/>
    </row>
    <row r="4552">
      <c r="A4552" s="9"/>
      <c r="B4552" s="15"/>
      <c r="C4552" s="9">
        <f>IFERROR(__xludf.DUMMYFUNCTION("""COMPUTED_VALUE"""),44557.6994586921)</f>
        <v>44557.69946</v>
      </c>
      <c r="D4552" s="15">
        <f>IFERROR(__xludf.DUMMYFUNCTION("""COMPUTED_VALUE"""),1.013)</f>
        <v>1.013</v>
      </c>
      <c r="E4552" s="16">
        <f>IFERROR(__xludf.DUMMYFUNCTION("""COMPUTED_VALUE"""),65.0)</f>
        <v>65</v>
      </c>
      <c r="F4552" s="19" t="str">
        <f>IFERROR(__xludf.DUMMYFUNCTION("""COMPUTED_VALUE"""),"BLACK")</f>
        <v>BLACK</v>
      </c>
      <c r="G4552" s="20" t="str">
        <f>IFERROR(__xludf.DUMMYFUNCTION("""COMPUTED_VALUE"""),"Uncle Sams Cider (11/12/2021) 02")</f>
        <v>Uncle Sams Cider (11/12/2021) 02</v>
      </c>
      <c r="H4552" s="19"/>
    </row>
    <row r="4553">
      <c r="A4553" s="9"/>
      <c r="B4553" s="15"/>
      <c r="C4553" s="9">
        <f>IFERROR(__xludf.DUMMYFUNCTION("""COMPUTED_VALUE"""),44557.6890283217)</f>
        <v>44557.68903</v>
      </c>
      <c r="D4553" s="15">
        <f>IFERROR(__xludf.DUMMYFUNCTION("""COMPUTED_VALUE"""),1.013)</f>
        <v>1.013</v>
      </c>
      <c r="E4553" s="16">
        <f>IFERROR(__xludf.DUMMYFUNCTION("""COMPUTED_VALUE"""),65.0)</f>
        <v>65</v>
      </c>
      <c r="F4553" s="19" t="str">
        <f>IFERROR(__xludf.DUMMYFUNCTION("""COMPUTED_VALUE"""),"BLACK")</f>
        <v>BLACK</v>
      </c>
      <c r="G4553" s="20" t="str">
        <f>IFERROR(__xludf.DUMMYFUNCTION("""COMPUTED_VALUE"""),"Uncle Sams Cider (11/12/2021) 02")</f>
        <v>Uncle Sams Cider (11/12/2021) 02</v>
      </c>
      <c r="H4553" s="19"/>
    </row>
    <row r="4554">
      <c r="A4554" s="9"/>
      <c r="B4554" s="15"/>
      <c r="C4554" s="9">
        <f>IFERROR(__xludf.DUMMYFUNCTION("""COMPUTED_VALUE"""),44557.6785961574)</f>
        <v>44557.6786</v>
      </c>
      <c r="D4554" s="15">
        <f>IFERROR(__xludf.DUMMYFUNCTION("""COMPUTED_VALUE"""),1.013)</f>
        <v>1.013</v>
      </c>
      <c r="E4554" s="16">
        <f>IFERROR(__xludf.DUMMYFUNCTION("""COMPUTED_VALUE"""),65.0)</f>
        <v>65</v>
      </c>
      <c r="F4554" s="19" t="str">
        <f>IFERROR(__xludf.DUMMYFUNCTION("""COMPUTED_VALUE"""),"BLACK")</f>
        <v>BLACK</v>
      </c>
      <c r="G4554" s="20" t="str">
        <f>IFERROR(__xludf.DUMMYFUNCTION("""COMPUTED_VALUE"""),"Uncle Sams Cider (11/12/2021) 02")</f>
        <v>Uncle Sams Cider (11/12/2021) 02</v>
      </c>
      <c r="H4554" s="19"/>
    </row>
    <row r="4555">
      <c r="A4555" s="9"/>
      <c r="B4555" s="15"/>
      <c r="C4555" s="9">
        <f>IFERROR(__xludf.DUMMYFUNCTION("""COMPUTED_VALUE"""),44557.6681640972)</f>
        <v>44557.66816</v>
      </c>
      <c r="D4555" s="15">
        <f>IFERROR(__xludf.DUMMYFUNCTION("""COMPUTED_VALUE"""),1.013)</f>
        <v>1.013</v>
      </c>
      <c r="E4555" s="16">
        <f>IFERROR(__xludf.DUMMYFUNCTION("""COMPUTED_VALUE"""),65.0)</f>
        <v>65</v>
      </c>
      <c r="F4555" s="19" t="str">
        <f>IFERROR(__xludf.DUMMYFUNCTION("""COMPUTED_VALUE"""),"BLACK")</f>
        <v>BLACK</v>
      </c>
      <c r="G4555" s="20" t="str">
        <f>IFERROR(__xludf.DUMMYFUNCTION("""COMPUTED_VALUE"""),"Uncle Sams Cider (11/12/2021) 02")</f>
        <v>Uncle Sams Cider (11/12/2021) 02</v>
      </c>
      <c r="H4555" s="19"/>
    </row>
    <row r="4556">
      <c r="A4556" s="9"/>
      <c r="B4556" s="15"/>
      <c r="C4556" s="9">
        <f>IFERROR(__xludf.DUMMYFUNCTION("""COMPUTED_VALUE"""),44557.6577431944)</f>
        <v>44557.65774</v>
      </c>
      <c r="D4556" s="15">
        <f>IFERROR(__xludf.DUMMYFUNCTION("""COMPUTED_VALUE"""),1.013)</f>
        <v>1.013</v>
      </c>
      <c r="E4556" s="16">
        <f>IFERROR(__xludf.DUMMYFUNCTION("""COMPUTED_VALUE"""),65.0)</f>
        <v>65</v>
      </c>
      <c r="F4556" s="19" t="str">
        <f>IFERROR(__xludf.DUMMYFUNCTION("""COMPUTED_VALUE"""),"BLACK")</f>
        <v>BLACK</v>
      </c>
      <c r="G4556" s="20" t="str">
        <f>IFERROR(__xludf.DUMMYFUNCTION("""COMPUTED_VALUE"""),"Uncle Sams Cider (11/12/2021) 02")</f>
        <v>Uncle Sams Cider (11/12/2021) 02</v>
      </c>
      <c r="H4556" s="19"/>
    </row>
    <row r="4557">
      <c r="A4557" s="9"/>
      <c r="B4557" s="15"/>
      <c r="C4557" s="9">
        <f>IFERROR(__xludf.DUMMYFUNCTION("""COMPUTED_VALUE"""),44557.6473218518)</f>
        <v>44557.64732</v>
      </c>
      <c r="D4557" s="15">
        <f>IFERROR(__xludf.DUMMYFUNCTION("""COMPUTED_VALUE"""),1.013)</f>
        <v>1.013</v>
      </c>
      <c r="E4557" s="16">
        <f>IFERROR(__xludf.DUMMYFUNCTION("""COMPUTED_VALUE"""),65.0)</f>
        <v>65</v>
      </c>
      <c r="F4557" s="19" t="str">
        <f>IFERROR(__xludf.DUMMYFUNCTION("""COMPUTED_VALUE"""),"BLACK")</f>
        <v>BLACK</v>
      </c>
      <c r="G4557" s="20" t="str">
        <f>IFERROR(__xludf.DUMMYFUNCTION("""COMPUTED_VALUE"""),"Uncle Sams Cider (11/12/2021) 02")</f>
        <v>Uncle Sams Cider (11/12/2021) 02</v>
      </c>
      <c r="H4557" s="19"/>
    </row>
    <row r="4558">
      <c r="A4558" s="9"/>
      <c r="B4558" s="15"/>
      <c r="C4558" s="9">
        <f>IFERROR(__xludf.DUMMYFUNCTION("""COMPUTED_VALUE"""),44557.6368650694)</f>
        <v>44557.63687</v>
      </c>
      <c r="D4558" s="15">
        <f>IFERROR(__xludf.DUMMYFUNCTION("""COMPUTED_VALUE"""),1.013)</f>
        <v>1.013</v>
      </c>
      <c r="E4558" s="16">
        <f>IFERROR(__xludf.DUMMYFUNCTION("""COMPUTED_VALUE"""),65.0)</f>
        <v>65</v>
      </c>
      <c r="F4558" s="19" t="str">
        <f>IFERROR(__xludf.DUMMYFUNCTION("""COMPUTED_VALUE"""),"BLACK")</f>
        <v>BLACK</v>
      </c>
      <c r="G4558" s="20" t="str">
        <f>IFERROR(__xludf.DUMMYFUNCTION("""COMPUTED_VALUE"""),"Uncle Sams Cider (11/12/2021) 02")</f>
        <v>Uncle Sams Cider (11/12/2021) 02</v>
      </c>
      <c r="H4558" s="19"/>
    </row>
    <row r="4559">
      <c r="A4559" s="9"/>
      <c r="B4559" s="15"/>
      <c r="C4559" s="9">
        <f>IFERROR(__xludf.DUMMYFUNCTION("""COMPUTED_VALUE"""),44557.626398993)</f>
        <v>44557.6264</v>
      </c>
      <c r="D4559" s="15">
        <f>IFERROR(__xludf.DUMMYFUNCTION("""COMPUTED_VALUE"""),1.013)</f>
        <v>1.013</v>
      </c>
      <c r="E4559" s="16">
        <f>IFERROR(__xludf.DUMMYFUNCTION("""COMPUTED_VALUE"""),65.0)</f>
        <v>65</v>
      </c>
      <c r="F4559" s="19" t="str">
        <f>IFERROR(__xludf.DUMMYFUNCTION("""COMPUTED_VALUE"""),"BLACK")</f>
        <v>BLACK</v>
      </c>
      <c r="G4559" s="20" t="str">
        <f>IFERROR(__xludf.DUMMYFUNCTION("""COMPUTED_VALUE"""),"Uncle Sams Cider (11/12/2021) 02")</f>
        <v>Uncle Sams Cider (11/12/2021) 02</v>
      </c>
      <c r="H4559" s="19"/>
    </row>
    <row r="4560">
      <c r="A4560" s="9"/>
      <c r="B4560" s="15"/>
      <c r="C4560" s="9">
        <f>IFERROR(__xludf.DUMMYFUNCTION("""COMPUTED_VALUE"""),44557.6159538888)</f>
        <v>44557.61595</v>
      </c>
      <c r="D4560" s="15">
        <f>IFERROR(__xludf.DUMMYFUNCTION("""COMPUTED_VALUE"""),1.013)</f>
        <v>1.013</v>
      </c>
      <c r="E4560" s="16">
        <f>IFERROR(__xludf.DUMMYFUNCTION("""COMPUTED_VALUE"""),65.0)</f>
        <v>65</v>
      </c>
      <c r="F4560" s="19" t="str">
        <f>IFERROR(__xludf.DUMMYFUNCTION("""COMPUTED_VALUE"""),"BLACK")</f>
        <v>BLACK</v>
      </c>
      <c r="G4560" s="20" t="str">
        <f>IFERROR(__xludf.DUMMYFUNCTION("""COMPUTED_VALUE"""),"Uncle Sams Cider (11/12/2021) 02")</f>
        <v>Uncle Sams Cider (11/12/2021) 02</v>
      </c>
      <c r="H4560" s="19"/>
    </row>
    <row r="4561">
      <c r="A4561" s="9"/>
      <c r="B4561" s="15"/>
      <c r="C4561" s="9">
        <f>IFERROR(__xludf.DUMMYFUNCTION("""COMPUTED_VALUE"""),44557.6055359606)</f>
        <v>44557.60554</v>
      </c>
      <c r="D4561" s="15">
        <f>IFERROR(__xludf.DUMMYFUNCTION("""COMPUTED_VALUE"""),1.013)</f>
        <v>1.013</v>
      </c>
      <c r="E4561" s="16">
        <f>IFERROR(__xludf.DUMMYFUNCTION("""COMPUTED_VALUE"""),65.0)</f>
        <v>65</v>
      </c>
      <c r="F4561" s="19" t="str">
        <f>IFERROR(__xludf.DUMMYFUNCTION("""COMPUTED_VALUE"""),"BLACK")</f>
        <v>BLACK</v>
      </c>
      <c r="G4561" s="20" t="str">
        <f>IFERROR(__xludf.DUMMYFUNCTION("""COMPUTED_VALUE"""),"Uncle Sams Cider (11/12/2021) 02")</f>
        <v>Uncle Sams Cider (11/12/2021) 02</v>
      </c>
      <c r="H4561" s="19"/>
    </row>
    <row r="4562">
      <c r="A4562" s="9"/>
      <c r="B4562" s="15"/>
      <c r="C4562" s="9">
        <f>IFERROR(__xludf.DUMMYFUNCTION("""COMPUTED_VALUE"""),44557.5951030671)</f>
        <v>44557.5951</v>
      </c>
      <c r="D4562" s="15">
        <f>IFERROR(__xludf.DUMMYFUNCTION("""COMPUTED_VALUE"""),1.013)</f>
        <v>1.013</v>
      </c>
      <c r="E4562" s="16">
        <f>IFERROR(__xludf.DUMMYFUNCTION("""COMPUTED_VALUE"""),65.0)</f>
        <v>65</v>
      </c>
      <c r="F4562" s="19" t="str">
        <f>IFERROR(__xludf.DUMMYFUNCTION("""COMPUTED_VALUE"""),"BLACK")</f>
        <v>BLACK</v>
      </c>
      <c r="G4562" s="20" t="str">
        <f>IFERROR(__xludf.DUMMYFUNCTION("""COMPUTED_VALUE"""),"Uncle Sams Cider (11/12/2021) 02")</f>
        <v>Uncle Sams Cider (11/12/2021) 02</v>
      </c>
      <c r="H4562" s="19"/>
    </row>
    <row r="4563">
      <c r="A4563" s="9"/>
      <c r="B4563" s="15"/>
      <c r="C4563" s="9">
        <f>IFERROR(__xludf.DUMMYFUNCTION("""COMPUTED_VALUE"""),44557.5846704166)</f>
        <v>44557.58467</v>
      </c>
      <c r="D4563" s="15">
        <f>IFERROR(__xludf.DUMMYFUNCTION("""COMPUTED_VALUE"""),1.013)</f>
        <v>1.013</v>
      </c>
      <c r="E4563" s="16">
        <f>IFERROR(__xludf.DUMMYFUNCTION("""COMPUTED_VALUE"""),65.0)</f>
        <v>65</v>
      </c>
      <c r="F4563" s="19" t="str">
        <f>IFERROR(__xludf.DUMMYFUNCTION("""COMPUTED_VALUE"""),"BLACK")</f>
        <v>BLACK</v>
      </c>
      <c r="G4563" s="20" t="str">
        <f>IFERROR(__xludf.DUMMYFUNCTION("""COMPUTED_VALUE"""),"Uncle Sams Cider (11/12/2021) 02")</f>
        <v>Uncle Sams Cider (11/12/2021) 02</v>
      </c>
      <c r="H4563" s="19"/>
    </row>
    <row r="4564">
      <c r="A4564" s="9"/>
      <c r="B4564" s="15"/>
      <c r="C4564" s="9">
        <f>IFERROR(__xludf.DUMMYFUNCTION("""COMPUTED_VALUE"""),44557.5742368518)</f>
        <v>44557.57424</v>
      </c>
      <c r="D4564" s="15">
        <f>IFERROR(__xludf.DUMMYFUNCTION("""COMPUTED_VALUE"""),1.013)</f>
        <v>1.013</v>
      </c>
      <c r="E4564" s="16">
        <f>IFERROR(__xludf.DUMMYFUNCTION("""COMPUTED_VALUE"""),65.0)</f>
        <v>65</v>
      </c>
      <c r="F4564" s="19" t="str">
        <f>IFERROR(__xludf.DUMMYFUNCTION("""COMPUTED_VALUE"""),"BLACK")</f>
        <v>BLACK</v>
      </c>
      <c r="G4564" s="20" t="str">
        <f>IFERROR(__xludf.DUMMYFUNCTION("""COMPUTED_VALUE"""),"Uncle Sams Cider (11/12/2021) 02")</f>
        <v>Uncle Sams Cider (11/12/2021) 02</v>
      </c>
      <c r="H4564" s="19"/>
    </row>
    <row r="4565">
      <c r="A4565" s="9"/>
      <c r="B4565" s="15"/>
      <c r="C4565" s="9">
        <f>IFERROR(__xludf.DUMMYFUNCTION("""COMPUTED_VALUE"""),44557.563778449)</f>
        <v>44557.56378</v>
      </c>
      <c r="D4565" s="15">
        <f>IFERROR(__xludf.DUMMYFUNCTION("""COMPUTED_VALUE"""),1.013)</f>
        <v>1.013</v>
      </c>
      <c r="E4565" s="16">
        <f>IFERROR(__xludf.DUMMYFUNCTION("""COMPUTED_VALUE"""),65.0)</f>
        <v>65</v>
      </c>
      <c r="F4565" s="19" t="str">
        <f>IFERROR(__xludf.DUMMYFUNCTION("""COMPUTED_VALUE"""),"BLACK")</f>
        <v>BLACK</v>
      </c>
      <c r="G4565" s="20" t="str">
        <f>IFERROR(__xludf.DUMMYFUNCTION("""COMPUTED_VALUE"""),"Uncle Sams Cider (11/12/2021) 02")</f>
        <v>Uncle Sams Cider (11/12/2021) 02</v>
      </c>
      <c r="H4565" s="19"/>
    </row>
    <row r="4566">
      <c r="A4566" s="9"/>
      <c r="B4566" s="15"/>
      <c r="C4566" s="9">
        <f>IFERROR(__xludf.DUMMYFUNCTION("""COMPUTED_VALUE"""),44557.5533567824)</f>
        <v>44557.55336</v>
      </c>
      <c r="D4566" s="15">
        <f>IFERROR(__xludf.DUMMYFUNCTION("""COMPUTED_VALUE"""),1.013)</f>
        <v>1.013</v>
      </c>
      <c r="E4566" s="16">
        <f>IFERROR(__xludf.DUMMYFUNCTION("""COMPUTED_VALUE"""),65.0)</f>
        <v>65</v>
      </c>
      <c r="F4566" s="19" t="str">
        <f>IFERROR(__xludf.DUMMYFUNCTION("""COMPUTED_VALUE"""),"BLACK")</f>
        <v>BLACK</v>
      </c>
      <c r="G4566" s="20" t="str">
        <f>IFERROR(__xludf.DUMMYFUNCTION("""COMPUTED_VALUE"""),"Uncle Sams Cider (11/12/2021) 02")</f>
        <v>Uncle Sams Cider (11/12/2021) 02</v>
      </c>
      <c r="H4566" s="19"/>
    </row>
    <row r="4567">
      <c r="A4567" s="9"/>
      <c r="B4567" s="15"/>
      <c r="C4567" s="9">
        <f>IFERROR(__xludf.DUMMYFUNCTION("""COMPUTED_VALUE"""),44557.5429358564)</f>
        <v>44557.54294</v>
      </c>
      <c r="D4567" s="15">
        <f>IFERROR(__xludf.DUMMYFUNCTION("""COMPUTED_VALUE"""),1.013)</f>
        <v>1.013</v>
      </c>
      <c r="E4567" s="16">
        <f>IFERROR(__xludf.DUMMYFUNCTION("""COMPUTED_VALUE"""),65.0)</f>
        <v>65</v>
      </c>
      <c r="F4567" s="19" t="str">
        <f>IFERROR(__xludf.DUMMYFUNCTION("""COMPUTED_VALUE"""),"BLACK")</f>
        <v>BLACK</v>
      </c>
      <c r="G4567" s="20" t="str">
        <f>IFERROR(__xludf.DUMMYFUNCTION("""COMPUTED_VALUE"""),"Uncle Sams Cider (11/12/2021) 02")</f>
        <v>Uncle Sams Cider (11/12/2021) 02</v>
      </c>
      <c r="H4567" s="19"/>
    </row>
    <row r="4568">
      <c r="A4568" s="9"/>
      <c r="B4568" s="15"/>
      <c r="C4568" s="9">
        <f>IFERROR(__xludf.DUMMYFUNCTION("""COMPUTED_VALUE"""),44557.5324798958)</f>
        <v>44557.53248</v>
      </c>
      <c r="D4568" s="15">
        <f>IFERROR(__xludf.DUMMYFUNCTION("""COMPUTED_VALUE"""),1.013)</f>
        <v>1.013</v>
      </c>
      <c r="E4568" s="16">
        <f>IFERROR(__xludf.DUMMYFUNCTION("""COMPUTED_VALUE"""),65.0)</f>
        <v>65</v>
      </c>
      <c r="F4568" s="19" t="str">
        <f>IFERROR(__xludf.DUMMYFUNCTION("""COMPUTED_VALUE"""),"BLACK")</f>
        <v>BLACK</v>
      </c>
      <c r="G4568" s="20" t="str">
        <f>IFERROR(__xludf.DUMMYFUNCTION("""COMPUTED_VALUE"""),"Uncle Sams Cider (11/12/2021) 02")</f>
        <v>Uncle Sams Cider (11/12/2021) 02</v>
      </c>
      <c r="H4568" s="19"/>
    </row>
    <row r="4569">
      <c r="A4569" s="9"/>
      <c r="B4569" s="15"/>
      <c r="C4569" s="9">
        <f>IFERROR(__xludf.DUMMYFUNCTION("""COMPUTED_VALUE"""),44557.5220353587)</f>
        <v>44557.52204</v>
      </c>
      <c r="D4569" s="15">
        <f>IFERROR(__xludf.DUMMYFUNCTION("""COMPUTED_VALUE"""),1.013)</f>
        <v>1.013</v>
      </c>
      <c r="E4569" s="16">
        <f>IFERROR(__xludf.DUMMYFUNCTION("""COMPUTED_VALUE"""),65.0)</f>
        <v>65</v>
      </c>
      <c r="F4569" s="19" t="str">
        <f>IFERROR(__xludf.DUMMYFUNCTION("""COMPUTED_VALUE"""),"BLACK")</f>
        <v>BLACK</v>
      </c>
      <c r="G4569" s="20" t="str">
        <f>IFERROR(__xludf.DUMMYFUNCTION("""COMPUTED_VALUE"""),"Uncle Sams Cider (11/12/2021) 02")</f>
        <v>Uncle Sams Cider (11/12/2021) 02</v>
      </c>
      <c r="H4569" s="19"/>
    </row>
    <row r="4570">
      <c r="A4570" s="9"/>
      <c r="B4570" s="15"/>
      <c r="C4570" s="9">
        <f>IFERROR(__xludf.DUMMYFUNCTION("""COMPUTED_VALUE"""),44557.5116137731)</f>
        <v>44557.51161</v>
      </c>
      <c r="D4570" s="15">
        <f>IFERROR(__xludf.DUMMYFUNCTION("""COMPUTED_VALUE"""),1.013)</f>
        <v>1.013</v>
      </c>
      <c r="E4570" s="16">
        <f>IFERROR(__xludf.DUMMYFUNCTION("""COMPUTED_VALUE"""),65.0)</f>
        <v>65</v>
      </c>
      <c r="F4570" s="19" t="str">
        <f>IFERROR(__xludf.DUMMYFUNCTION("""COMPUTED_VALUE"""),"BLACK")</f>
        <v>BLACK</v>
      </c>
      <c r="G4570" s="20" t="str">
        <f>IFERROR(__xludf.DUMMYFUNCTION("""COMPUTED_VALUE"""),"Uncle Sams Cider (11/12/2021) 02")</f>
        <v>Uncle Sams Cider (11/12/2021) 02</v>
      </c>
      <c r="H4570" s="19"/>
    </row>
    <row r="4571">
      <c r="A4571" s="9"/>
      <c r="B4571" s="15"/>
      <c r="C4571" s="9">
        <f>IFERROR(__xludf.DUMMYFUNCTION("""COMPUTED_VALUE"""),44557.5011811921)</f>
        <v>44557.50118</v>
      </c>
      <c r="D4571" s="15">
        <f>IFERROR(__xludf.DUMMYFUNCTION("""COMPUTED_VALUE"""),1.013)</f>
        <v>1.013</v>
      </c>
      <c r="E4571" s="16">
        <f>IFERROR(__xludf.DUMMYFUNCTION("""COMPUTED_VALUE"""),65.0)</f>
        <v>65</v>
      </c>
      <c r="F4571" s="19" t="str">
        <f>IFERROR(__xludf.DUMMYFUNCTION("""COMPUTED_VALUE"""),"BLACK")</f>
        <v>BLACK</v>
      </c>
      <c r="G4571" s="20" t="str">
        <f>IFERROR(__xludf.DUMMYFUNCTION("""COMPUTED_VALUE"""),"Uncle Sams Cider (11/12/2021) 02")</f>
        <v>Uncle Sams Cider (11/12/2021) 02</v>
      </c>
      <c r="H4571" s="19"/>
    </row>
    <row r="4572">
      <c r="A4572" s="9"/>
      <c r="B4572" s="15"/>
      <c r="C4572" s="9">
        <f>IFERROR(__xludf.DUMMYFUNCTION("""COMPUTED_VALUE"""),44557.490750081)</f>
        <v>44557.49075</v>
      </c>
      <c r="D4572" s="15">
        <f>IFERROR(__xludf.DUMMYFUNCTION("""COMPUTED_VALUE"""),1.013)</f>
        <v>1.013</v>
      </c>
      <c r="E4572" s="16">
        <f>IFERROR(__xludf.DUMMYFUNCTION("""COMPUTED_VALUE"""),65.0)</f>
        <v>65</v>
      </c>
      <c r="F4572" s="19" t="str">
        <f>IFERROR(__xludf.DUMMYFUNCTION("""COMPUTED_VALUE"""),"BLACK")</f>
        <v>BLACK</v>
      </c>
      <c r="G4572" s="20" t="str">
        <f>IFERROR(__xludf.DUMMYFUNCTION("""COMPUTED_VALUE"""),"Uncle Sams Cider (11/12/2021) 02")</f>
        <v>Uncle Sams Cider (11/12/2021) 02</v>
      </c>
      <c r="H4572" s="19"/>
    </row>
    <row r="4573">
      <c r="A4573" s="9"/>
      <c r="B4573" s="15"/>
      <c r="C4573" s="9">
        <f>IFERROR(__xludf.DUMMYFUNCTION("""COMPUTED_VALUE"""),44557.4802941319)</f>
        <v>44557.48029</v>
      </c>
      <c r="D4573" s="15">
        <f>IFERROR(__xludf.DUMMYFUNCTION("""COMPUTED_VALUE"""),1.013)</f>
        <v>1.013</v>
      </c>
      <c r="E4573" s="16">
        <f>IFERROR(__xludf.DUMMYFUNCTION("""COMPUTED_VALUE"""),65.0)</f>
        <v>65</v>
      </c>
      <c r="F4573" s="19" t="str">
        <f>IFERROR(__xludf.DUMMYFUNCTION("""COMPUTED_VALUE"""),"BLACK")</f>
        <v>BLACK</v>
      </c>
      <c r="G4573" s="20" t="str">
        <f>IFERROR(__xludf.DUMMYFUNCTION("""COMPUTED_VALUE"""),"Uncle Sams Cider (11/12/2021) 02")</f>
        <v>Uncle Sams Cider (11/12/2021) 02</v>
      </c>
      <c r="H4573" s="19"/>
    </row>
    <row r="4574">
      <c r="A4574" s="9"/>
      <c r="B4574" s="15"/>
      <c r="C4574" s="9">
        <f>IFERROR(__xludf.DUMMYFUNCTION("""COMPUTED_VALUE"""),44557.4698748958)</f>
        <v>44557.46987</v>
      </c>
      <c r="D4574" s="15">
        <f>IFERROR(__xludf.DUMMYFUNCTION("""COMPUTED_VALUE"""),1.013)</f>
        <v>1.013</v>
      </c>
      <c r="E4574" s="16">
        <f>IFERROR(__xludf.DUMMYFUNCTION("""COMPUTED_VALUE"""),65.0)</f>
        <v>65</v>
      </c>
      <c r="F4574" s="19" t="str">
        <f>IFERROR(__xludf.DUMMYFUNCTION("""COMPUTED_VALUE"""),"BLACK")</f>
        <v>BLACK</v>
      </c>
      <c r="G4574" s="20" t="str">
        <f>IFERROR(__xludf.DUMMYFUNCTION("""COMPUTED_VALUE"""),"Uncle Sams Cider (11/12/2021) 02")</f>
        <v>Uncle Sams Cider (11/12/2021) 02</v>
      </c>
      <c r="H4574" s="19"/>
    </row>
    <row r="4575">
      <c r="A4575" s="9"/>
      <c r="B4575" s="15"/>
      <c r="C4575" s="9">
        <f>IFERROR(__xludf.DUMMYFUNCTION("""COMPUTED_VALUE"""),44557.4594528819)</f>
        <v>44557.45945</v>
      </c>
      <c r="D4575" s="15">
        <f>IFERROR(__xludf.DUMMYFUNCTION("""COMPUTED_VALUE"""),1.013)</f>
        <v>1.013</v>
      </c>
      <c r="E4575" s="16">
        <f>IFERROR(__xludf.DUMMYFUNCTION("""COMPUTED_VALUE"""),65.0)</f>
        <v>65</v>
      </c>
      <c r="F4575" s="19" t="str">
        <f>IFERROR(__xludf.DUMMYFUNCTION("""COMPUTED_VALUE"""),"BLACK")</f>
        <v>BLACK</v>
      </c>
      <c r="G4575" s="20" t="str">
        <f>IFERROR(__xludf.DUMMYFUNCTION("""COMPUTED_VALUE"""),"Uncle Sams Cider (11/12/2021) 02")</f>
        <v>Uncle Sams Cider (11/12/2021) 02</v>
      </c>
      <c r="H4575" s="19"/>
    </row>
    <row r="4576">
      <c r="A4576" s="9"/>
      <c r="B4576" s="15"/>
      <c r="C4576" s="9">
        <f>IFERROR(__xludf.DUMMYFUNCTION("""COMPUTED_VALUE"""),44557.4490071643)</f>
        <v>44557.44901</v>
      </c>
      <c r="D4576" s="15">
        <f>IFERROR(__xludf.DUMMYFUNCTION("""COMPUTED_VALUE"""),1.013)</f>
        <v>1.013</v>
      </c>
      <c r="E4576" s="16">
        <f>IFERROR(__xludf.DUMMYFUNCTION("""COMPUTED_VALUE"""),65.0)</f>
        <v>65</v>
      </c>
      <c r="F4576" s="19" t="str">
        <f>IFERROR(__xludf.DUMMYFUNCTION("""COMPUTED_VALUE"""),"BLACK")</f>
        <v>BLACK</v>
      </c>
      <c r="G4576" s="20" t="str">
        <f>IFERROR(__xludf.DUMMYFUNCTION("""COMPUTED_VALUE"""),"Uncle Sams Cider (11/12/2021) 02")</f>
        <v>Uncle Sams Cider (11/12/2021) 02</v>
      </c>
      <c r="H4576" s="19"/>
    </row>
    <row r="4577">
      <c r="A4577" s="9"/>
      <c r="B4577" s="15"/>
      <c r="C4577" s="9">
        <f>IFERROR(__xludf.DUMMYFUNCTION("""COMPUTED_VALUE"""),44557.4385753009)</f>
        <v>44557.43858</v>
      </c>
      <c r="D4577" s="15">
        <f>IFERROR(__xludf.DUMMYFUNCTION("""COMPUTED_VALUE"""),1.013)</f>
        <v>1.013</v>
      </c>
      <c r="E4577" s="16">
        <f>IFERROR(__xludf.DUMMYFUNCTION("""COMPUTED_VALUE"""),65.0)</f>
        <v>65</v>
      </c>
      <c r="F4577" s="19" t="str">
        <f>IFERROR(__xludf.DUMMYFUNCTION("""COMPUTED_VALUE"""),"BLACK")</f>
        <v>BLACK</v>
      </c>
      <c r="G4577" s="20" t="str">
        <f>IFERROR(__xludf.DUMMYFUNCTION("""COMPUTED_VALUE"""),"Uncle Sams Cider (11/12/2021) 02")</f>
        <v>Uncle Sams Cider (11/12/2021) 02</v>
      </c>
      <c r="H4577" s="19"/>
    </row>
    <row r="4578">
      <c r="A4578" s="9"/>
      <c r="B4578" s="15"/>
      <c r="C4578" s="9">
        <f>IFERROR(__xludf.DUMMYFUNCTION("""COMPUTED_VALUE"""),44557.4281416666)</f>
        <v>44557.42814</v>
      </c>
      <c r="D4578" s="15">
        <f>IFERROR(__xludf.DUMMYFUNCTION("""COMPUTED_VALUE"""),1.013)</f>
        <v>1.013</v>
      </c>
      <c r="E4578" s="16">
        <f>IFERROR(__xludf.DUMMYFUNCTION("""COMPUTED_VALUE"""),65.0)</f>
        <v>65</v>
      </c>
      <c r="F4578" s="19" t="str">
        <f>IFERROR(__xludf.DUMMYFUNCTION("""COMPUTED_VALUE"""),"BLACK")</f>
        <v>BLACK</v>
      </c>
      <c r="G4578" s="20" t="str">
        <f>IFERROR(__xludf.DUMMYFUNCTION("""COMPUTED_VALUE"""),"Uncle Sams Cider (11/12/2021) 02")</f>
        <v>Uncle Sams Cider (11/12/2021) 02</v>
      </c>
      <c r="H4578" s="19"/>
    </row>
    <row r="4579">
      <c r="A4579" s="9"/>
      <c r="B4579" s="15"/>
      <c r="C4579" s="9">
        <f>IFERROR(__xludf.DUMMYFUNCTION("""COMPUTED_VALUE"""),44557.417708287)</f>
        <v>44557.41771</v>
      </c>
      <c r="D4579" s="15">
        <f>IFERROR(__xludf.DUMMYFUNCTION("""COMPUTED_VALUE"""),1.013)</f>
        <v>1.013</v>
      </c>
      <c r="E4579" s="16">
        <f>IFERROR(__xludf.DUMMYFUNCTION("""COMPUTED_VALUE"""),65.0)</f>
        <v>65</v>
      </c>
      <c r="F4579" s="19" t="str">
        <f>IFERROR(__xludf.DUMMYFUNCTION("""COMPUTED_VALUE"""),"BLACK")</f>
        <v>BLACK</v>
      </c>
      <c r="G4579" s="20" t="str">
        <f>IFERROR(__xludf.DUMMYFUNCTION("""COMPUTED_VALUE"""),"Uncle Sams Cider (11/12/2021) 02")</f>
        <v>Uncle Sams Cider (11/12/2021) 02</v>
      </c>
      <c r="H4579" s="19"/>
    </row>
    <row r="4580">
      <c r="A4580" s="9"/>
      <c r="B4580" s="15"/>
      <c r="C4580" s="9">
        <f>IFERROR(__xludf.DUMMYFUNCTION("""COMPUTED_VALUE"""),44557.4072760416)</f>
        <v>44557.40728</v>
      </c>
      <c r="D4580" s="15">
        <f>IFERROR(__xludf.DUMMYFUNCTION("""COMPUTED_VALUE"""),1.013)</f>
        <v>1.013</v>
      </c>
      <c r="E4580" s="16">
        <f>IFERROR(__xludf.DUMMYFUNCTION("""COMPUTED_VALUE"""),65.0)</f>
        <v>65</v>
      </c>
      <c r="F4580" s="19" t="str">
        <f>IFERROR(__xludf.DUMMYFUNCTION("""COMPUTED_VALUE"""),"BLACK")</f>
        <v>BLACK</v>
      </c>
      <c r="G4580" s="20" t="str">
        <f>IFERROR(__xludf.DUMMYFUNCTION("""COMPUTED_VALUE"""),"Uncle Sams Cider (11/12/2021) 02")</f>
        <v>Uncle Sams Cider (11/12/2021) 02</v>
      </c>
      <c r="H4580" s="19"/>
    </row>
    <row r="4581">
      <c r="A4581" s="9"/>
      <c r="B4581" s="15"/>
      <c r="C4581" s="9">
        <f>IFERROR(__xludf.DUMMYFUNCTION("""COMPUTED_VALUE"""),44557.3968555787)</f>
        <v>44557.39686</v>
      </c>
      <c r="D4581" s="15">
        <f>IFERROR(__xludf.DUMMYFUNCTION("""COMPUTED_VALUE"""),1.013)</f>
        <v>1.013</v>
      </c>
      <c r="E4581" s="16">
        <f>IFERROR(__xludf.DUMMYFUNCTION("""COMPUTED_VALUE"""),65.0)</f>
        <v>65</v>
      </c>
      <c r="F4581" s="19" t="str">
        <f>IFERROR(__xludf.DUMMYFUNCTION("""COMPUTED_VALUE"""),"BLACK")</f>
        <v>BLACK</v>
      </c>
      <c r="G4581" s="20" t="str">
        <f>IFERROR(__xludf.DUMMYFUNCTION("""COMPUTED_VALUE"""),"Uncle Sams Cider (11/12/2021) 02")</f>
        <v>Uncle Sams Cider (11/12/2021) 02</v>
      </c>
      <c r="H4581" s="19"/>
    </row>
    <row r="4582">
      <c r="A4582" s="9"/>
      <c r="B4582" s="15"/>
      <c r="C4582" s="9">
        <f>IFERROR(__xludf.DUMMYFUNCTION("""COMPUTED_VALUE"""),44557.3863767129)</f>
        <v>44557.38638</v>
      </c>
      <c r="D4582" s="15">
        <f>IFERROR(__xludf.DUMMYFUNCTION("""COMPUTED_VALUE"""),1.013)</f>
        <v>1.013</v>
      </c>
      <c r="E4582" s="16">
        <f>IFERROR(__xludf.DUMMYFUNCTION("""COMPUTED_VALUE"""),65.0)</f>
        <v>65</v>
      </c>
      <c r="F4582" s="19" t="str">
        <f>IFERROR(__xludf.DUMMYFUNCTION("""COMPUTED_VALUE"""),"BLACK")</f>
        <v>BLACK</v>
      </c>
      <c r="G4582" s="20" t="str">
        <f>IFERROR(__xludf.DUMMYFUNCTION("""COMPUTED_VALUE"""),"Uncle Sams Cider (11/12/2021) 02")</f>
        <v>Uncle Sams Cider (11/12/2021) 02</v>
      </c>
      <c r="H4582" s="19"/>
    </row>
    <row r="4583">
      <c r="A4583" s="9"/>
      <c r="B4583" s="15"/>
      <c r="C4583" s="9">
        <f>IFERROR(__xludf.DUMMYFUNCTION("""COMPUTED_VALUE"""),44557.3759204282)</f>
        <v>44557.37592</v>
      </c>
      <c r="D4583" s="15">
        <f>IFERROR(__xludf.DUMMYFUNCTION("""COMPUTED_VALUE"""),1.013)</f>
        <v>1.013</v>
      </c>
      <c r="E4583" s="16">
        <f>IFERROR(__xludf.DUMMYFUNCTION("""COMPUTED_VALUE"""),65.0)</f>
        <v>65</v>
      </c>
      <c r="F4583" s="19" t="str">
        <f>IFERROR(__xludf.DUMMYFUNCTION("""COMPUTED_VALUE"""),"BLACK")</f>
        <v>BLACK</v>
      </c>
      <c r="G4583" s="20" t="str">
        <f>IFERROR(__xludf.DUMMYFUNCTION("""COMPUTED_VALUE"""),"Uncle Sams Cider (11/12/2021) 02")</f>
        <v>Uncle Sams Cider (11/12/2021) 02</v>
      </c>
      <c r="H4583" s="19"/>
    </row>
    <row r="4584">
      <c r="A4584" s="9"/>
      <c r="B4584" s="15"/>
      <c r="C4584" s="9">
        <f>IFERROR(__xludf.DUMMYFUNCTION("""COMPUTED_VALUE"""),44557.3654868518)</f>
        <v>44557.36549</v>
      </c>
      <c r="D4584" s="15">
        <f>IFERROR(__xludf.DUMMYFUNCTION("""COMPUTED_VALUE"""),1.013)</f>
        <v>1.013</v>
      </c>
      <c r="E4584" s="16">
        <f>IFERROR(__xludf.DUMMYFUNCTION("""COMPUTED_VALUE"""),65.0)</f>
        <v>65</v>
      </c>
      <c r="F4584" s="19" t="str">
        <f>IFERROR(__xludf.DUMMYFUNCTION("""COMPUTED_VALUE"""),"BLACK")</f>
        <v>BLACK</v>
      </c>
      <c r="G4584" s="20" t="str">
        <f>IFERROR(__xludf.DUMMYFUNCTION("""COMPUTED_VALUE"""),"Uncle Sams Cider (11/12/2021) 02")</f>
        <v>Uncle Sams Cider (11/12/2021) 02</v>
      </c>
      <c r="H4584" s="19"/>
    </row>
    <row r="4585">
      <c r="A4585" s="9"/>
      <c r="B4585" s="15"/>
      <c r="C4585" s="9">
        <f>IFERROR(__xludf.DUMMYFUNCTION("""COMPUTED_VALUE"""),44557.3550421643)</f>
        <v>44557.35504</v>
      </c>
      <c r="D4585" s="15">
        <f>IFERROR(__xludf.DUMMYFUNCTION("""COMPUTED_VALUE"""),1.013)</f>
        <v>1.013</v>
      </c>
      <c r="E4585" s="16">
        <f>IFERROR(__xludf.DUMMYFUNCTION("""COMPUTED_VALUE"""),66.0)</f>
        <v>66</v>
      </c>
      <c r="F4585" s="19" t="str">
        <f>IFERROR(__xludf.DUMMYFUNCTION("""COMPUTED_VALUE"""),"BLACK")</f>
        <v>BLACK</v>
      </c>
      <c r="G4585" s="20" t="str">
        <f>IFERROR(__xludf.DUMMYFUNCTION("""COMPUTED_VALUE"""),"Uncle Sams Cider (11/12/2021) 02")</f>
        <v>Uncle Sams Cider (11/12/2021) 02</v>
      </c>
      <c r="H4585" s="19"/>
    </row>
    <row r="4586">
      <c r="A4586" s="9"/>
      <c r="B4586" s="15"/>
      <c r="C4586" s="9">
        <f>IFERROR(__xludf.DUMMYFUNCTION("""COMPUTED_VALUE"""),44557.3446095138)</f>
        <v>44557.34461</v>
      </c>
      <c r="D4586" s="15">
        <f>IFERROR(__xludf.DUMMYFUNCTION("""COMPUTED_VALUE"""),1.013)</f>
        <v>1.013</v>
      </c>
      <c r="E4586" s="16">
        <f>IFERROR(__xludf.DUMMYFUNCTION("""COMPUTED_VALUE"""),65.0)</f>
        <v>65</v>
      </c>
      <c r="F4586" s="19" t="str">
        <f>IFERROR(__xludf.DUMMYFUNCTION("""COMPUTED_VALUE"""),"BLACK")</f>
        <v>BLACK</v>
      </c>
      <c r="G4586" s="20" t="str">
        <f>IFERROR(__xludf.DUMMYFUNCTION("""COMPUTED_VALUE"""),"Uncle Sams Cider (11/12/2021) 02")</f>
        <v>Uncle Sams Cider (11/12/2021) 02</v>
      </c>
      <c r="H4586" s="19"/>
    </row>
    <row r="4587">
      <c r="A4587" s="9"/>
      <c r="B4587" s="15"/>
      <c r="C4587" s="9">
        <f>IFERROR(__xludf.DUMMYFUNCTION("""COMPUTED_VALUE"""),44557.3341786689)</f>
        <v>44557.33418</v>
      </c>
      <c r="D4587" s="15">
        <f>IFERROR(__xludf.DUMMYFUNCTION("""COMPUTED_VALUE"""),1.013)</f>
        <v>1.013</v>
      </c>
      <c r="E4587" s="16">
        <f>IFERROR(__xludf.DUMMYFUNCTION("""COMPUTED_VALUE"""),65.0)</f>
        <v>65</v>
      </c>
      <c r="F4587" s="19" t="str">
        <f>IFERROR(__xludf.DUMMYFUNCTION("""COMPUTED_VALUE"""),"BLACK")</f>
        <v>BLACK</v>
      </c>
      <c r="G4587" s="20" t="str">
        <f>IFERROR(__xludf.DUMMYFUNCTION("""COMPUTED_VALUE"""),"Uncle Sams Cider (11/12/2021) 02")</f>
        <v>Uncle Sams Cider (11/12/2021) 02</v>
      </c>
      <c r="H4587" s="19"/>
    </row>
    <row r="4588">
      <c r="A4588" s="9"/>
      <c r="B4588" s="15"/>
      <c r="C4588" s="9">
        <f>IFERROR(__xludf.DUMMYFUNCTION("""COMPUTED_VALUE"""),44557.3237443981)</f>
        <v>44557.32374</v>
      </c>
      <c r="D4588" s="15">
        <f>IFERROR(__xludf.DUMMYFUNCTION("""COMPUTED_VALUE"""),1.013)</f>
        <v>1.013</v>
      </c>
      <c r="E4588" s="16">
        <f>IFERROR(__xludf.DUMMYFUNCTION("""COMPUTED_VALUE"""),66.0)</f>
        <v>66</v>
      </c>
      <c r="F4588" s="19" t="str">
        <f>IFERROR(__xludf.DUMMYFUNCTION("""COMPUTED_VALUE"""),"BLACK")</f>
        <v>BLACK</v>
      </c>
      <c r="G4588" s="20" t="str">
        <f>IFERROR(__xludf.DUMMYFUNCTION("""COMPUTED_VALUE"""),"Uncle Sams Cider (11/12/2021) 02")</f>
        <v>Uncle Sams Cider (11/12/2021) 02</v>
      </c>
      <c r="H4588" s="19"/>
    </row>
    <row r="4589">
      <c r="A4589" s="9"/>
      <c r="B4589" s="15"/>
      <c r="C4589" s="9">
        <f>IFERROR(__xludf.DUMMYFUNCTION("""COMPUTED_VALUE"""),44557.3133235763)</f>
        <v>44557.31332</v>
      </c>
      <c r="D4589" s="15">
        <f>IFERROR(__xludf.DUMMYFUNCTION("""COMPUTED_VALUE"""),1.013)</f>
        <v>1.013</v>
      </c>
      <c r="E4589" s="16">
        <f>IFERROR(__xludf.DUMMYFUNCTION("""COMPUTED_VALUE"""),66.0)</f>
        <v>66</v>
      </c>
      <c r="F4589" s="19" t="str">
        <f>IFERROR(__xludf.DUMMYFUNCTION("""COMPUTED_VALUE"""),"BLACK")</f>
        <v>BLACK</v>
      </c>
      <c r="G4589" s="20" t="str">
        <f>IFERROR(__xludf.DUMMYFUNCTION("""COMPUTED_VALUE"""),"Uncle Sams Cider (11/12/2021) 02")</f>
        <v>Uncle Sams Cider (11/12/2021) 02</v>
      </c>
      <c r="H4589" s="19"/>
    </row>
    <row r="4590">
      <c r="A4590" s="9"/>
      <c r="B4590" s="15"/>
      <c r="C4590" s="9">
        <f>IFERROR(__xludf.DUMMYFUNCTION("""COMPUTED_VALUE"""),44557.3029026041)</f>
        <v>44557.3029</v>
      </c>
      <c r="D4590" s="15">
        <f>IFERROR(__xludf.DUMMYFUNCTION("""COMPUTED_VALUE"""),1.013)</f>
        <v>1.013</v>
      </c>
      <c r="E4590" s="16">
        <f>IFERROR(__xludf.DUMMYFUNCTION("""COMPUTED_VALUE"""),65.0)</f>
        <v>65</v>
      </c>
      <c r="F4590" s="19" t="str">
        <f>IFERROR(__xludf.DUMMYFUNCTION("""COMPUTED_VALUE"""),"BLACK")</f>
        <v>BLACK</v>
      </c>
      <c r="G4590" s="20" t="str">
        <f>IFERROR(__xludf.DUMMYFUNCTION("""COMPUTED_VALUE"""),"Uncle Sams Cider (11/12/2021) 02")</f>
        <v>Uncle Sams Cider (11/12/2021) 02</v>
      </c>
      <c r="H4590" s="19"/>
    </row>
    <row r="4591">
      <c r="A4591" s="9"/>
      <c r="B4591" s="15"/>
      <c r="C4591" s="9">
        <f>IFERROR(__xludf.DUMMYFUNCTION("""COMPUTED_VALUE"""),44557.292480162)</f>
        <v>44557.29248</v>
      </c>
      <c r="D4591" s="15">
        <f>IFERROR(__xludf.DUMMYFUNCTION("""COMPUTED_VALUE"""),1.013)</f>
        <v>1.013</v>
      </c>
      <c r="E4591" s="16">
        <f>IFERROR(__xludf.DUMMYFUNCTION("""COMPUTED_VALUE"""),66.0)</f>
        <v>66</v>
      </c>
      <c r="F4591" s="19" t="str">
        <f>IFERROR(__xludf.DUMMYFUNCTION("""COMPUTED_VALUE"""),"BLACK")</f>
        <v>BLACK</v>
      </c>
      <c r="G4591" s="20" t="str">
        <f>IFERROR(__xludf.DUMMYFUNCTION("""COMPUTED_VALUE"""),"Uncle Sams Cider (11/12/2021) 02")</f>
        <v>Uncle Sams Cider (11/12/2021) 02</v>
      </c>
      <c r="H4591" s="19"/>
    </row>
    <row r="4592">
      <c r="A4592" s="9"/>
      <c r="B4592" s="15"/>
      <c r="C4592" s="9">
        <f>IFERROR(__xludf.DUMMYFUNCTION("""COMPUTED_VALUE"""),44557.2820599652)</f>
        <v>44557.28206</v>
      </c>
      <c r="D4592" s="15">
        <f>IFERROR(__xludf.DUMMYFUNCTION("""COMPUTED_VALUE"""),1.013)</f>
        <v>1.013</v>
      </c>
      <c r="E4592" s="16">
        <f>IFERROR(__xludf.DUMMYFUNCTION("""COMPUTED_VALUE"""),66.0)</f>
        <v>66</v>
      </c>
      <c r="F4592" s="19" t="str">
        <f>IFERROR(__xludf.DUMMYFUNCTION("""COMPUTED_VALUE"""),"BLACK")</f>
        <v>BLACK</v>
      </c>
      <c r="G4592" s="20" t="str">
        <f>IFERROR(__xludf.DUMMYFUNCTION("""COMPUTED_VALUE"""),"Uncle Sams Cider (11/12/2021) 02")</f>
        <v>Uncle Sams Cider (11/12/2021) 02</v>
      </c>
      <c r="H4592" s="19"/>
    </row>
    <row r="4593">
      <c r="A4593" s="9"/>
      <c r="B4593" s="15"/>
      <c r="C4593" s="9">
        <f>IFERROR(__xludf.DUMMYFUNCTION("""COMPUTED_VALUE"""),44557.2716390277)</f>
        <v>44557.27164</v>
      </c>
      <c r="D4593" s="15">
        <f>IFERROR(__xludf.DUMMYFUNCTION("""COMPUTED_VALUE"""),1.013)</f>
        <v>1.013</v>
      </c>
      <c r="E4593" s="16">
        <f>IFERROR(__xludf.DUMMYFUNCTION("""COMPUTED_VALUE"""),66.0)</f>
        <v>66</v>
      </c>
      <c r="F4593" s="19" t="str">
        <f>IFERROR(__xludf.DUMMYFUNCTION("""COMPUTED_VALUE"""),"BLACK")</f>
        <v>BLACK</v>
      </c>
      <c r="G4593" s="20" t="str">
        <f>IFERROR(__xludf.DUMMYFUNCTION("""COMPUTED_VALUE"""),"Uncle Sams Cider (11/12/2021) 02")</f>
        <v>Uncle Sams Cider (11/12/2021) 02</v>
      </c>
      <c r="H4593" s="19"/>
    </row>
    <row r="4594">
      <c r="A4594" s="9"/>
      <c r="B4594" s="15"/>
      <c r="C4594" s="9">
        <f>IFERROR(__xludf.DUMMYFUNCTION("""COMPUTED_VALUE"""),44557.2612064351)</f>
        <v>44557.26121</v>
      </c>
      <c r="D4594" s="15">
        <f>IFERROR(__xludf.DUMMYFUNCTION("""COMPUTED_VALUE"""),1.013)</f>
        <v>1.013</v>
      </c>
      <c r="E4594" s="16">
        <f>IFERROR(__xludf.DUMMYFUNCTION("""COMPUTED_VALUE"""),66.0)</f>
        <v>66</v>
      </c>
      <c r="F4594" s="19" t="str">
        <f>IFERROR(__xludf.DUMMYFUNCTION("""COMPUTED_VALUE"""),"BLACK")</f>
        <v>BLACK</v>
      </c>
      <c r="G4594" s="20" t="str">
        <f>IFERROR(__xludf.DUMMYFUNCTION("""COMPUTED_VALUE"""),"Uncle Sams Cider (11/12/2021) 02")</f>
        <v>Uncle Sams Cider (11/12/2021) 02</v>
      </c>
      <c r="H4594" s="19"/>
    </row>
    <row r="4595">
      <c r="A4595" s="9"/>
      <c r="B4595" s="15"/>
      <c r="C4595" s="9">
        <f>IFERROR(__xludf.DUMMYFUNCTION("""COMPUTED_VALUE"""),44557.250702581)</f>
        <v>44557.2507</v>
      </c>
      <c r="D4595" s="15">
        <f>IFERROR(__xludf.DUMMYFUNCTION("""COMPUTED_VALUE"""),1.013)</f>
        <v>1.013</v>
      </c>
      <c r="E4595" s="16">
        <f>IFERROR(__xludf.DUMMYFUNCTION("""COMPUTED_VALUE"""),66.0)</f>
        <v>66</v>
      </c>
      <c r="F4595" s="19" t="str">
        <f>IFERROR(__xludf.DUMMYFUNCTION("""COMPUTED_VALUE"""),"BLACK")</f>
        <v>BLACK</v>
      </c>
      <c r="G4595" s="20" t="str">
        <f>IFERROR(__xludf.DUMMYFUNCTION("""COMPUTED_VALUE"""),"Uncle Sams Cider (11/12/2021) 02")</f>
        <v>Uncle Sams Cider (11/12/2021) 02</v>
      </c>
      <c r="H4595" s="19"/>
    </row>
    <row r="4596">
      <c r="A4596" s="9"/>
      <c r="B4596" s="15"/>
      <c r="C4596" s="9">
        <f>IFERROR(__xludf.DUMMYFUNCTION("""COMPUTED_VALUE"""),44557.2402468634)</f>
        <v>44557.24025</v>
      </c>
      <c r="D4596" s="15">
        <f>IFERROR(__xludf.DUMMYFUNCTION("""COMPUTED_VALUE"""),1.013)</f>
        <v>1.013</v>
      </c>
      <c r="E4596" s="16">
        <f>IFERROR(__xludf.DUMMYFUNCTION("""COMPUTED_VALUE"""),66.0)</f>
        <v>66</v>
      </c>
      <c r="F4596" s="19" t="str">
        <f>IFERROR(__xludf.DUMMYFUNCTION("""COMPUTED_VALUE"""),"BLACK")</f>
        <v>BLACK</v>
      </c>
      <c r="G4596" s="20" t="str">
        <f>IFERROR(__xludf.DUMMYFUNCTION("""COMPUTED_VALUE"""),"Uncle Sams Cider (11/12/2021) 02")</f>
        <v>Uncle Sams Cider (11/12/2021) 02</v>
      </c>
      <c r="H4596" s="19"/>
    </row>
    <row r="4597">
      <c r="A4597" s="9"/>
      <c r="B4597" s="15"/>
      <c r="C4597" s="9">
        <f>IFERROR(__xludf.DUMMYFUNCTION("""COMPUTED_VALUE"""),44557.2298248611)</f>
        <v>44557.22982</v>
      </c>
      <c r="D4597" s="15">
        <f>IFERROR(__xludf.DUMMYFUNCTION("""COMPUTED_VALUE"""),1.013)</f>
        <v>1.013</v>
      </c>
      <c r="E4597" s="16">
        <f>IFERROR(__xludf.DUMMYFUNCTION("""COMPUTED_VALUE"""),66.0)</f>
        <v>66</v>
      </c>
      <c r="F4597" s="19" t="str">
        <f>IFERROR(__xludf.DUMMYFUNCTION("""COMPUTED_VALUE"""),"BLACK")</f>
        <v>BLACK</v>
      </c>
      <c r="G4597" s="20" t="str">
        <f>IFERROR(__xludf.DUMMYFUNCTION("""COMPUTED_VALUE"""),"Uncle Sams Cider (11/12/2021) 02")</f>
        <v>Uncle Sams Cider (11/12/2021) 02</v>
      </c>
      <c r="H4597" s="19"/>
    </row>
    <row r="4598">
      <c r="A4598" s="9"/>
      <c r="B4598" s="15"/>
      <c r="C4598" s="9">
        <f>IFERROR(__xludf.DUMMYFUNCTION("""COMPUTED_VALUE"""),44557.2193684722)</f>
        <v>44557.21937</v>
      </c>
      <c r="D4598" s="15">
        <f>IFERROR(__xludf.DUMMYFUNCTION("""COMPUTED_VALUE"""),1.013)</f>
        <v>1.013</v>
      </c>
      <c r="E4598" s="16">
        <f>IFERROR(__xludf.DUMMYFUNCTION("""COMPUTED_VALUE"""),66.0)</f>
        <v>66</v>
      </c>
      <c r="F4598" s="19" t="str">
        <f>IFERROR(__xludf.DUMMYFUNCTION("""COMPUTED_VALUE"""),"BLACK")</f>
        <v>BLACK</v>
      </c>
      <c r="G4598" s="20" t="str">
        <f>IFERROR(__xludf.DUMMYFUNCTION("""COMPUTED_VALUE"""),"Uncle Sams Cider (11/12/2021) 02")</f>
        <v>Uncle Sams Cider (11/12/2021) 02</v>
      </c>
      <c r="H4598" s="19"/>
    </row>
    <row r="4599">
      <c r="A4599" s="9"/>
      <c r="B4599" s="15"/>
      <c r="C4599" s="9">
        <f>IFERROR(__xludf.DUMMYFUNCTION("""COMPUTED_VALUE"""),44557.2089470717)</f>
        <v>44557.20895</v>
      </c>
      <c r="D4599" s="15">
        <f>IFERROR(__xludf.DUMMYFUNCTION("""COMPUTED_VALUE"""),1.013)</f>
        <v>1.013</v>
      </c>
      <c r="E4599" s="16">
        <f>IFERROR(__xludf.DUMMYFUNCTION("""COMPUTED_VALUE"""),66.0)</f>
        <v>66</v>
      </c>
      <c r="F4599" s="19" t="str">
        <f>IFERROR(__xludf.DUMMYFUNCTION("""COMPUTED_VALUE"""),"BLACK")</f>
        <v>BLACK</v>
      </c>
      <c r="G4599" s="20" t="str">
        <f>IFERROR(__xludf.DUMMYFUNCTION("""COMPUTED_VALUE"""),"Uncle Sams Cider (11/12/2021) 02")</f>
        <v>Uncle Sams Cider (11/12/2021) 02</v>
      </c>
      <c r="H4599" s="19"/>
    </row>
    <row r="4600">
      <c r="A4600" s="9"/>
      <c r="B4600" s="15"/>
      <c r="C4600" s="9">
        <f>IFERROR(__xludf.DUMMYFUNCTION("""COMPUTED_VALUE"""),44557.1985261921)</f>
        <v>44557.19853</v>
      </c>
      <c r="D4600" s="15">
        <f>IFERROR(__xludf.DUMMYFUNCTION("""COMPUTED_VALUE"""),1.013)</f>
        <v>1.013</v>
      </c>
      <c r="E4600" s="16">
        <f>IFERROR(__xludf.DUMMYFUNCTION("""COMPUTED_VALUE"""),66.0)</f>
        <v>66</v>
      </c>
      <c r="F4600" s="19" t="str">
        <f>IFERROR(__xludf.DUMMYFUNCTION("""COMPUTED_VALUE"""),"BLACK")</f>
        <v>BLACK</v>
      </c>
      <c r="G4600" s="20" t="str">
        <f>IFERROR(__xludf.DUMMYFUNCTION("""COMPUTED_VALUE"""),"Uncle Sams Cider (11/12/2021) 02")</f>
        <v>Uncle Sams Cider (11/12/2021) 02</v>
      </c>
      <c r="H4600" s="19"/>
    </row>
    <row r="4601">
      <c r="A4601" s="9"/>
      <c r="B4601" s="15"/>
      <c r="C4601" s="9">
        <f>IFERROR(__xludf.DUMMYFUNCTION("""COMPUTED_VALUE"""),44557.188094155)</f>
        <v>44557.18809</v>
      </c>
      <c r="D4601" s="15">
        <f>IFERROR(__xludf.DUMMYFUNCTION("""COMPUTED_VALUE"""),1.013)</f>
        <v>1.013</v>
      </c>
      <c r="E4601" s="16">
        <f>IFERROR(__xludf.DUMMYFUNCTION("""COMPUTED_VALUE"""),66.0)</f>
        <v>66</v>
      </c>
      <c r="F4601" s="19" t="str">
        <f>IFERROR(__xludf.DUMMYFUNCTION("""COMPUTED_VALUE"""),"BLACK")</f>
        <v>BLACK</v>
      </c>
      <c r="G4601" s="20" t="str">
        <f>IFERROR(__xludf.DUMMYFUNCTION("""COMPUTED_VALUE"""),"Uncle Sams Cider (11/12/2021) 02")</f>
        <v>Uncle Sams Cider (11/12/2021) 02</v>
      </c>
      <c r="H4601" s="19"/>
    </row>
    <row r="4602">
      <c r="A4602" s="9"/>
      <c r="B4602" s="15"/>
      <c r="C4602" s="9">
        <f>IFERROR(__xludf.DUMMYFUNCTION("""COMPUTED_VALUE"""),44557.1776734953)</f>
        <v>44557.17767</v>
      </c>
      <c r="D4602" s="15">
        <f>IFERROR(__xludf.DUMMYFUNCTION("""COMPUTED_VALUE"""),1.013)</f>
        <v>1.013</v>
      </c>
      <c r="E4602" s="16">
        <f>IFERROR(__xludf.DUMMYFUNCTION("""COMPUTED_VALUE"""),66.0)</f>
        <v>66</v>
      </c>
      <c r="F4602" s="19" t="str">
        <f>IFERROR(__xludf.DUMMYFUNCTION("""COMPUTED_VALUE"""),"BLACK")</f>
        <v>BLACK</v>
      </c>
      <c r="G4602" s="20" t="str">
        <f>IFERROR(__xludf.DUMMYFUNCTION("""COMPUTED_VALUE"""),"Uncle Sams Cider (11/12/2021) 02")</f>
        <v>Uncle Sams Cider (11/12/2021) 02</v>
      </c>
      <c r="H4602" s="19"/>
    </row>
    <row r="4603">
      <c r="A4603" s="9"/>
      <c r="B4603" s="15"/>
      <c r="C4603" s="9">
        <f>IFERROR(__xludf.DUMMYFUNCTION("""COMPUTED_VALUE"""),44557.167253287)</f>
        <v>44557.16725</v>
      </c>
      <c r="D4603" s="15">
        <f>IFERROR(__xludf.DUMMYFUNCTION("""COMPUTED_VALUE"""),1.013)</f>
        <v>1.013</v>
      </c>
      <c r="E4603" s="16">
        <f>IFERROR(__xludf.DUMMYFUNCTION("""COMPUTED_VALUE"""),66.0)</f>
        <v>66</v>
      </c>
      <c r="F4603" s="19" t="str">
        <f>IFERROR(__xludf.DUMMYFUNCTION("""COMPUTED_VALUE"""),"BLACK")</f>
        <v>BLACK</v>
      </c>
      <c r="G4603" s="20" t="str">
        <f>IFERROR(__xludf.DUMMYFUNCTION("""COMPUTED_VALUE"""),"Uncle Sams Cider (11/12/2021) 02")</f>
        <v>Uncle Sams Cider (11/12/2021) 02</v>
      </c>
      <c r="H4603" s="19"/>
    </row>
    <row r="4604">
      <c r="A4604" s="9"/>
      <c r="B4604" s="15"/>
      <c r="C4604" s="9">
        <f>IFERROR(__xludf.DUMMYFUNCTION("""COMPUTED_VALUE"""),44557.1567982986)</f>
        <v>44557.1568</v>
      </c>
      <c r="D4604" s="15">
        <f>IFERROR(__xludf.DUMMYFUNCTION("""COMPUTED_VALUE"""),1.013)</f>
        <v>1.013</v>
      </c>
      <c r="E4604" s="16">
        <f>IFERROR(__xludf.DUMMYFUNCTION("""COMPUTED_VALUE"""),66.0)</f>
        <v>66</v>
      </c>
      <c r="F4604" s="19" t="str">
        <f>IFERROR(__xludf.DUMMYFUNCTION("""COMPUTED_VALUE"""),"BLACK")</f>
        <v>BLACK</v>
      </c>
      <c r="G4604" s="20" t="str">
        <f>IFERROR(__xludf.DUMMYFUNCTION("""COMPUTED_VALUE"""),"Uncle Sams Cider (11/12/2021) 02")</f>
        <v>Uncle Sams Cider (11/12/2021) 02</v>
      </c>
      <c r="H4604" s="19"/>
    </row>
    <row r="4605">
      <c r="A4605" s="9"/>
      <c r="B4605" s="15"/>
      <c r="C4605" s="9">
        <f>IFERROR(__xludf.DUMMYFUNCTION("""COMPUTED_VALUE"""),44557.1463542245)</f>
        <v>44557.14635</v>
      </c>
      <c r="D4605" s="15">
        <f>IFERROR(__xludf.DUMMYFUNCTION("""COMPUTED_VALUE"""),1.013)</f>
        <v>1.013</v>
      </c>
      <c r="E4605" s="16">
        <f>IFERROR(__xludf.DUMMYFUNCTION("""COMPUTED_VALUE"""),66.0)</f>
        <v>66</v>
      </c>
      <c r="F4605" s="19" t="str">
        <f>IFERROR(__xludf.DUMMYFUNCTION("""COMPUTED_VALUE"""),"BLACK")</f>
        <v>BLACK</v>
      </c>
      <c r="G4605" s="20" t="str">
        <f>IFERROR(__xludf.DUMMYFUNCTION("""COMPUTED_VALUE"""),"Uncle Sams Cider (11/12/2021) 02")</f>
        <v>Uncle Sams Cider (11/12/2021) 02</v>
      </c>
      <c r="H4605" s="19"/>
    </row>
    <row r="4606">
      <c r="A4606" s="9"/>
      <c r="B4606" s="15"/>
      <c r="C4606" s="9">
        <f>IFERROR(__xludf.DUMMYFUNCTION("""COMPUTED_VALUE"""),44557.1359329513)</f>
        <v>44557.13593</v>
      </c>
      <c r="D4606" s="15">
        <f>IFERROR(__xludf.DUMMYFUNCTION("""COMPUTED_VALUE"""),1.013)</f>
        <v>1.013</v>
      </c>
      <c r="E4606" s="16">
        <f>IFERROR(__xludf.DUMMYFUNCTION("""COMPUTED_VALUE"""),66.0)</f>
        <v>66</v>
      </c>
      <c r="F4606" s="19" t="str">
        <f>IFERROR(__xludf.DUMMYFUNCTION("""COMPUTED_VALUE"""),"BLACK")</f>
        <v>BLACK</v>
      </c>
      <c r="G4606" s="20" t="str">
        <f>IFERROR(__xludf.DUMMYFUNCTION("""COMPUTED_VALUE"""),"Uncle Sams Cider (11/12/2021) 02")</f>
        <v>Uncle Sams Cider (11/12/2021) 02</v>
      </c>
      <c r="H4606" s="19"/>
    </row>
    <row r="4607">
      <c r="A4607" s="9"/>
      <c r="B4607" s="15"/>
      <c r="C4607" s="9">
        <f>IFERROR(__xludf.DUMMYFUNCTION("""COMPUTED_VALUE"""),44557.1255001736)</f>
        <v>44557.1255</v>
      </c>
      <c r="D4607" s="15">
        <f>IFERROR(__xludf.DUMMYFUNCTION("""COMPUTED_VALUE"""),1.013)</f>
        <v>1.013</v>
      </c>
      <c r="E4607" s="16">
        <f>IFERROR(__xludf.DUMMYFUNCTION("""COMPUTED_VALUE"""),66.0)</f>
        <v>66</v>
      </c>
      <c r="F4607" s="19" t="str">
        <f>IFERROR(__xludf.DUMMYFUNCTION("""COMPUTED_VALUE"""),"BLACK")</f>
        <v>BLACK</v>
      </c>
      <c r="G4607" s="20" t="str">
        <f>IFERROR(__xludf.DUMMYFUNCTION("""COMPUTED_VALUE"""),"Uncle Sams Cider (11/12/2021) 02")</f>
        <v>Uncle Sams Cider (11/12/2021) 02</v>
      </c>
      <c r="H4607" s="19"/>
    </row>
    <row r="4608">
      <c r="A4608" s="9"/>
      <c r="B4608" s="15"/>
      <c r="C4608" s="9">
        <f>IFERROR(__xludf.DUMMYFUNCTION("""COMPUTED_VALUE"""),44557.1150792361)</f>
        <v>44557.11508</v>
      </c>
      <c r="D4608" s="15">
        <f>IFERROR(__xludf.DUMMYFUNCTION("""COMPUTED_VALUE"""),1.013)</f>
        <v>1.013</v>
      </c>
      <c r="E4608" s="16">
        <f>IFERROR(__xludf.DUMMYFUNCTION("""COMPUTED_VALUE"""),66.0)</f>
        <v>66</v>
      </c>
      <c r="F4608" s="19" t="str">
        <f>IFERROR(__xludf.DUMMYFUNCTION("""COMPUTED_VALUE"""),"BLACK")</f>
        <v>BLACK</v>
      </c>
      <c r="G4608" s="20" t="str">
        <f>IFERROR(__xludf.DUMMYFUNCTION("""COMPUTED_VALUE"""),"Uncle Sams Cider (11/12/2021) 02")</f>
        <v>Uncle Sams Cider (11/12/2021) 02</v>
      </c>
      <c r="H4608" s="19"/>
    </row>
    <row r="4609">
      <c r="A4609" s="9"/>
      <c r="B4609" s="15"/>
      <c r="C4609" s="9">
        <f>IFERROR(__xludf.DUMMYFUNCTION("""COMPUTED_VALUE"""),44557.1046478009)</f>
        <v>44557.10465</v>
      </c>
      <c r="D4609" s="15">
        <f>IFERROR(__xludf.DUMMYFUNCTION("""COMPUTED_VALUE"""),1.013)</f>
        <v>1.013</v>
      </c>
      <c r="E4609" s="16">
        <f>IFERROR(__xludf.DUMMYFUNCTION("""COMPUTED_VALUE"""),66.0)</f>
        <v>66</v>
      </c>
      <c r="F4609" s="19" t="str">
        <f>IFERROR(__xludf.DUMMYFUNCTION("""COMPUTED_VALUE"""),"BLACK")</f>
        <v>BLACK</v>
      </c>
      <c r="G4609" s="20" t="str">
        <f>IFERROR(__xludf.DUMMYFUNCTION("""COMPUTED_VALUE"""),"Uncle Sams Cider (11/12/2021) 02")</f>
        <v>Uncle Sams Cider (11/12/2021) 02</v>
      </c>
      <c r="H4609" s="19"/>
    </row>
    <row r="4610">
      <c r="A4610" s="9"/>
      <c r="B4610" s="15"/>
      <c r="C4610" s="9">
        <f>IFERROR(__xludf.DUMMYFUNCTION("""COMPUTED_VALUE"""),44557.0942286921)</f>
        <v>44557.09423</v>
      </c>
      <c r="D4610" s="15">
        <f>IFERROR(__xludf.DUMMYFUNCTION("""COMPUTED_VALUE"""),1.013)</f>
        <v>1.013</v>
      </c>
      <c r="E4610" s="16">
        <f>IFERROR(__xludf.DUMMYFUNCTION("""COMPUTED_VALUE"""),66.0)</f>
        <v>66</v>
      </c>
      <c r="F4610" s="19" t="str">
        <f>IFERROR(__xludf.DUMMYFUNCTION("""COMPUTED_VALUE"""),"BLACK")</f>
        <v>BLACK</v>
      </c>
      <c r="G4610" s="20" t="str">
        <f>IFERROR(__xludf.DUMMYFUNCTION("""COMPUTED_VALUE"""),"Uncle Sams Cider (11/12/2021) 02")</f>
        <v>Uncle Sams Cider (11/12/2021) 02</v>
      </c>
      <c r="H4610" s="19"/>
    </row>
    <row r="4611">
      <c r="A4611" s="9"/>
      <c r="B4611" s="15"/>
      <c r="C4611" s="9">
        <f>IFERROR(__xludf.DUMMYFUNCTION("""COMPUTED_VALUE"""),44557.0837954745)</f>
        <v>44557.0838</v>
      </c>
      <c r="D4611" s="15">
        <f>IFERROR(__xludf.DUMMYFUNCTION("""COMPUTED_VALUE"""),1.013)</f>
        <v>1.013</v>
      </c>
      <c r="E4611" s="16">
        <f>IFERROR(__xludf.DUMMYFUNCTION("""COMPUTED_VALUE"""),66.0)</f>
        <v>66</v>
      </c>
      <c r="F4611" s="19" t="str">
        <f>IFERROR(__xludf.DUMMYFUNCTION("""COMPUTED_VALUE"""),"BLACK")</f>
        <v>BLACK</v>
      </c>
      <c r="G4611" s="20" t="str">
        <f>IFERROR(__xludf.DUMMYFUNCTION("""COMPUTED_VALUE"""),"Uncle Sams Cider (11/12/2021) 02")</f>
        <v>Uncle Sams Cider (11/12/2021) 02</v>
      </c>
      <c r="H4611" s="19"/>
    </row>
    <row r="4612">
      <c r="A4612" s="9"/>
      <c r="B4612" s="15"/>
      <c r="C4612" s="9">
        <f>IFERROR(__xludf.DUMMYFUNCTION("""COMPUTED_VALUE"""),44557.0733513657)</f>
        <v>44557.07335</v>
      </c>
      <c r="D4612" s="15">
        <f>IFERROR(__xludf.DUMMYFUNCTION("""COMPUTED_VALUE"""),1.013)</f>
        <v>1.013</v>
      </c>
      <c r="E4612" s="16">
        <f>IFERROR(__xludf.DUMMYFUNCTION("""COMPUTED_VALUE"""),66.0)</f>
        <v>66</v>
      </c>
      <c r="F4612" s="19" t="str">
        <f>IFERROR(__xludf.DUMMYFUNCTION("""COMPUTED_VALUE"""),"BLACK")</f>
        <v>BLACK</v>
      </c>
      <c r="G4612" s="20" t="str">
        <f>IFERROR(__xludf.DUMMYFUNCTION("""COMPUTED_VALUE"""),"Uncle Sams Cider (11/12/2021) 02")</f>
        <v>Uncle Sams Cider (11/12/2021) 02</v>
      </c>
      <c r="H4612" s="19"/>
    </row>
    <row r="4613">
      <c r="A4613" s="9"/>
      <c r="B4613" s="15"/>
      <c r="C4613" s="9">
        <f>IFERROR(__xludf.DUMMYFUNCTION("""COMPUTED_VALUE"""),44557.0628956249)</f>
        <v>44557.0629</v>
      </c>
      <c r="D4613" s="15">
        <f>IFERROR(__xludf.DUMMYFUNCTION("""COMPUTED_VALUE"""),1.013)</f>
        <v>1.013</v>
      </c>
      <c r="E4613" s="16">
        <f>IFERROR(__xludf.DUMMYFUNCTION("""COMPUTED_VALUE"""),66.0)</f>
        <v>66</v>
      </c>
      <c r="F4613" s="19" t="str">
        <f>IFERROR(__xludf.DUMMYFUNCTION("""COMPUTED_VALUE"""),"BLACK")</f>
        <v>BLACK</v>
      </c>
      <c r="G4613" s="20" t="str">
        <f>IFERROR(__xludf.DUMMYFUNCTION("""COMPUTED_VALUE"""),"Uncle Sams Cider (11/12/2021) 02")</f>
        <v>Uncle Sams Cider (11/12/2021) 02</v>
      </c>
      <c r="H4613" s="19"/>
    </row>
    <row r="4614">
      <c r="A4614" s="9"/>
      <c r="B4614" s="15"/>
      <c r="C4614" s="9">
        <f>IFERROR(__xludf.DUMMYFUNCTION("""COMPUTED_VALUE"""),44557.0524736226)</f>
        <v>44557.05247</v>
      </c>
      <c r="D4614" s="15">
        <f>IFERROR(__xludf.DUMMYFUNCTION("""COMPUTED_VALUE"""),1.013)</f>
        <v>1.013</v>
      </c>
      <c r="E4614" s="16">
        <f>IFERROR(__xludf.DUMMYFUNCTION("""COMPUTED_VALUE"""),66.0)</f>
        <v>66</v>
      </c>
      <c r="F4614" s="19" t="str">
        <f>IFERROR(__xludf.DUMMYFUNCTION("""COMPUTED_VALUE"""),"BLACK")</f>
        <v>BLACK</v>
      </c>
      <c r="G4614" s="20" t="str">
        <f>IFERROR(__xludf.DUMMYFUNCTION("""COMPUTED_VALUE"""),"Uncle Sams Cider (11/12/2021) 02")</f>
        <v>Uncle Sams Cider (11/12/2021) 02</v>
      </c>
      <c r="H4614" s="19"/>
    </row>
    <row r="4615">
      <c r="A4615" s="9"/>
      <c r="B4615" s="15"/>
      <c r="C4615" s="9">
        <f>IFERROR(__xludf.DUMMYFUNCTION("""COMPUTED_VALUE"""),44557.0420506944)</f>
        <v>44557.04205</v>
      </c>
      <c r="D4615" s="15">
        <f>IFERROR(__xludf.DUMMYFUNCTION("""COMPUTED_VALUE"""),1.013)</f>
        <v>1.013</v>
      </c>
      <c r="E4615" s="16">
        <f>IFERROR(__xludf.DUMMYFUNCTION("""COMPUTED_VALUE"""),66.0)</f>
        <v>66</v>
      </c>
      <c r="F4615" s="19" t="str">
        <f>IFERROR(__xludf.DUMMYFUNCTION("""COMPUTED_VALUE"""),"BLACK")</f>
        <v>BLACK</v>
      </c>
      <c r="G4615" s="20" t="str">
        <f>IFERROR(__xludf.DUMMYFUNCTION("""COMPUTED_VALUE"""),"Uncle Sams Cider (11/12/2021) 02")</f>
        <v>Uncle Sams Cider (11/12/2021) 02</v>
      </c>
      <c r="H4615" s="19"/>
    </row>
    <row r="4616">
      <c r="A4616" s="9"/>
      <c r="B4616" s="15"/>
      <c r="C4616" s="9">
        <f>IFERROR(__xludf.DUMMYFUNCTION("""COMPUTED_VALUE"""),44557.031629699)</f>
        <v>44557.03163</v>
      </c>
      <c r="D4616" s="15">
        <f>IFERROR(__xludf.DUMMYFUNCTION("""COMPUTED_VALUE"""),1.013)</f>
        <v>1.013</v>
      </c>
      <c r="E4616" s="16">
        <f>IFERROR(__xludf.DUMMYFUNCTION("""COMPUTED_VALUE"""),66.0)</f>
        <v>66</v>
      </c>
      <c r="F4616" s="19" t="str">
        <f>IFERROR(__xludf.DUMMYFUNCTION("""COMPUTED_VALUE"""),"BLACK")</f>
        <v>BLACK</v>
      </c>
      <c r="G4616" s="20" t="str">
        <f>IFERROR(__xludf.DUMMYFUNCTION("""COMPUTED_VALUE"""),"Uncle Sams Cider (11/12/2021) 02")</f>
        <v>Uncle Sams Cider (11/12/2021) 02</v>
      </c>
      <c r="H4616" s="19"/>
    </row>
    <row r="4617">
      <c r="A4617" s="9"/>
      <c r="B4617" s="15"/>
      <c r="C4617" s="9">
        <f>IFERROR(__xludf.DUMMYFUNCTION("""COMPUTED_VALUE"""),44557.021173206)</f>
        <v>44557.02117</v>
      </c>
      <c r="D4617" s="15">
        <f>IFERROR(__xludf.DUMMYFUNCTION("""COMPUTED_VALUE"""),1.013)</f>
        <v>1.013</v>
      </c>
      <c r="E4617" s="16">
        <f>IFERROR(__xludf.DUMMYFUNCTION("""COMPUTED_VALUE"""),66.0)</f>
        <v>66</v>
      </c>
      <c r="F4617" s="19" t="str">
        <f>IFERROR(__xludf.DUMMYFUNCTION("""COMPUTED_VALUE"""),"BLACK")</f>
        <v>BLACK</v>
      </c>
      <c r="G4617" s="20" t="str">
        <f>IFERROR(__xludf.DUMMYFUNCTION("""COMPUTED_VALUE"""),"Uncle Sams Cider (11/12/2021) 02")</f>
        <v>Uncle Sams Cider (11/12/2021) 02</v>
      </c>
      <c r="H4617" s="19"/>
    </row>
    <row r="4618">
      <c r="A4618" s="9"/>
      <c r="B4618" s="15"/>
      <c r="C4618" s="9">
        <f>IFERROR(__xludf.DUMMYFUNCTION("""COMPUTED_VALUE"""),44557.0107509027)</f>
        <v>44557.01075</v>
      </c>
      <c r="D4618" s="15">
        <f>IFERROR(__xludf.DUMMYFUNCTION("""COMPUTED_VALUE"""),1.013)</f>
        <v>1.013</v>
      </c>
      <c r="E4618" s="16">
        <f>IFERROR(__xludf.DUMMYFUNCTION("""COMPUTED_VALUE"""),66.0)</f>
        <v>66</v>
      </c>
      <c r="F4618" s="19" t="str">
        <f>IFERROR(__xludf.DUMMYFUNCTION("""COMPUTED_VALUE"""),"BLACK")</f>
        <v>BLACK</v>
      </c>
      <c r="G4618" s="20" t="str">
        <f>IFERROR(__xludf.DUMMYFUNCTION("""COMPUTED_VALUE"""),"Uncle Sams Cider (11/12/2021) 02")</f>
        <v>Uncle Sams Cider (11/12/2021) 02</v>
      </c>
      <c r="H4618" s="19"/>
    </row>
    <row r="4619">
      <c r="A4619" s="9"/>
      <c r="B4619" s="15"/>
      <c r="C4619" s="9">
        <f>IFERROR(__xludf.DUMMYFUNCTION("""COMPUTED_VALUE"""),44557.0003299305)</f>
        <v>44557.00033</v>
      </c>
      <c r="D4619" s="15">
        <f>IFERROR(__xludf.DUMMYFUNCTION("""COMPUTED_VALUE"""),1.013)</f>
        <v>1.013</v>
      </c>
      <c r="E4619" s="16">
        <f>IFERROR(__xludf.DUMMYFUNCTION("""COMPUTED_VALUE"""),66.0)</f>
        <v>66</v>
      </c>
      <c r="F4619" s="19" t="str">
        <f>IFERROR(__xludf.DUMMYFUNCTION("""COMPUTED_VALUE"""),"BLACK")</f>
        <v>BLACK</v>
      </c>
      <c r="G4619" s="20" t="str">
        <f>IFERROR(__xludf.DUMMYFUNCTION("""COMPUTED_VALUE"""),"Uncle Sams Cider (11/12/2021) 02")</f>
        <v>Uncle Sams Cider (11/12/2021) 02</v>
      </c>
      <c r="H4619" s="19"/>
    </row>
    <row r="4620">
      <c r="A4620" s="9"/>
      <c r="B4620" s="15"/>
      <c r="C4620" s="9">
        <f>IFERROR(__xludf.DUMMYFUNCTION("""COMPUTED_VALUE"""),44556.989908368)</f>
        <v>44556.98991</v>
      </c>
      <c r="D4620" s="15">
        <f>IFERROR(__xludf.DUMMYFUNCTION("""COMPUTED_VALUE"""),1.013)</f>
        <v>1.013</v>
      </c>
      <c r="E4620" s="16">
        <f>IFERROR(__xludf.DUMMYFUNCTION("""COMPUTED_VALUE"""),66.0)</f>
        <v>66</v>
      </c>
      <c r="F4620" s="19" t="str">
        <f>IFERROR(__xludf.DUMMYFUNCTION("""COMPUTED_VALUE"""),"BLACK")</f>
        <v>BLACK</v>
      </c>
      <c r="G4620" s="20" t="str">
        <f>IFERROR(__xludf.DUMMYFUNCTION("""COMPUTED_VALUE"""),"Uncle Sams Cider (11/12/2021) 02")</f>
        <v>Uncle Sams Cider (11/12/2021) 02</v>
      </c>
      <c r="H4620" s="19"/>
    </row>
    <row r="4621">
      <c r="A4621" s="9"/>
      <c r="B4621" s="15"/>
      <c r="C4621" s="9">
        <f>IFERROR(__xludf.DUMMYFUNCTION("""COMPUTED_VALUE"""),44556.9794755092)</f>
        <v>44556.97948</v>
      </c>
      <c r="D4621" s="15">
        <f>IFERROR(__xludf.DUMMYFUNCTION("""COMPUTED_VALUE"""),1.013)</f>
        <v>1.013</v>
      </c>
      <c r="E4621" s="16">
        <f>IFERROR(__xludf.DUMMYFUNCTION("""COMPUTED_VALUE"""),66.0)</f>
        <v>66</v>
      </c>
      <c r="F4621" s="19" t="str">
        <f>IFERROR(__xludf.DUMMYFUNCTION("""COMPUTED_VALUE"""),"BLACK")</f>
        <v>BLACK</v>
      </c>
      <c r="G4621" s="20" t="str">
        <f>IFERROR(__xludf.DUMMYFUNCTION("""COMPUTED_VALUE"""),"Uncle Sams Cider (11/12/2021) 02")</f>
        <v>Uncle Sams Cider (11/12/2021) 02</v>
      </c>
      <c r="H4621" s="19"/>
    </row>
    <row r="4622">
      <c r="A4622" s="9"/>
      <c r="B4622" s="15"/>
      <c r="C4622" s="9">
        <f>IFERROR(__xludf.DUMMYFUNCTION("""COMPUTED_VALUE"""),44556.9690543171)</f>
        <v>44556.96905</v>
      </c>
      <c r="D4622" s="15">
        <f>IFERROR(__xludf.DUMMYFUNCTION("""COMPUTED_VALUE"""),1.013)</f>
        <v>1.013</v>
      </c>
      <c r="E4622" s="16">
        <f>IFERROR(__xludf.DUMMYFUNCTION("""COMPUTED_VALUE"""),66.0)</f>
        <v>66</v>
      </c>
      <c r="F4622" s="19" t="str">
        <f>IFERROR(__xludf.DUMMYFUNCTION("""COMPUTED_VALUE"""),"BLACK")</f>
        <v>BLACK</v>
      </c>
      <c r="G4622" s="20" t="str">
        <f>IFERROR(__xludf.DUMMYFUNCTION("""COMPUTED_VALUE"""),"Uncle Sams Cider (11/12/2021) 02")</f>
        <v>Uncle Sams Cider (11/12/2021) 02</v>
      </c>
      <c r="H4622" s="19"/>
    </row>
    <row r="4623">
      <c r="A4623" s="9"/>
      <c r="B4623" s="15"/>
      <c r="C4623" s="9">
        <f>IFERROR(__xludf.DUMMYFUNCTION("""COMPUTED_VALUE"""),44556.9586353125)</f>
        <v>44556.95864</v>
      </c>
      <c r="D4623" s="15">
        <f>IFERROR(__xludf.DUMMYFUNCTION("""COMPUTED_VALUE"""),1.013)</f>
        <v>1.013</v>
      </c>
      <c r="E4623" s="16">
        <f>IFERROR(__xludf.DUMMYFUNCTION("""COMPUTED_VALUE"""),66.0)</f>
        <v>66</v>
      </c>
      <c r="F4623" s="19" t="str">
        <f>IFERROR(__xludf.DUMMYFUNCTION("""COMPUTED_VALUE"""),"BLACK")</f>
        <v>BLACK</v>
      </c>
      <c r="G4623" s="20" t="str">
        <f>IFERROR(__xludf.DUMMYFUNCTION("""COMPUTED_VALUE"""),"Uncle Sams Cider (11/12/2021) 02")</f>
        <v>Uncle Sams Cider (11/12/2021) 02</v>
      </c>
      <c r="H4623" s="19"/>
    </row>
    <row r="4624">
      <c r="A4624" s="9"/>
      <c r="B4624" s="15"/>
      <c r="C4624" s="9">
        <f>IFERROR(__xludf.DUMMYFUNCTION("""COMPUTED_VALUE"""),44556.9481916782)</f>
        <v>44556.94819</v>
      </c>
      <c r="D4624" s="15">
        <f>IFERROR(__xludf.DUMMYFUNCTION("""COMPUTED_VALUE"""),1.013)</f>
        <v>1.013</v>
      </c>
      <c r="E4624" s="16">
        <f>IFERROR(__xludf.DUMMYFUNCTION("""COMPUTED_VALUE"""),66.0)</f>
        <v>66</v>
      </c>
      <c r="F4624" s="19" t="str">
        <f>IFERROR(__xludf.DUMMYFUNCTION("""COMPUTED_VALUE"""),"BLACK")</f>
        <v>BLACK</v>
      </c>
      <c r="G4624" s="20" t="str">
        <f>IFERROR(__xludf.DUMMYFUNCTION("""COMPUTED_VALUE"""),"Uncle Sams Cider (11/12/2021) 02")</f>
        <v>Uncle Sams Cider (11/12/2021) 02</v>
      </c>
      <c r="H4624" s="19"/>
    </row>
    <row r="4625">
      <c r="A4625" s="9"/>
      <c r="B4625" s="15"/>
      <c r="C4625" s="9">
        <f>IFERROR(__xludf.DUMMYFUNCTION("""COMPUTED_VALUE"""),44556.937769537)</f>
        <v>44556.93777</v>
      </c>
      <c r="D4625" s="15">
        <f>IFERROR(__xludf.DUMMYFUNCTION("""COMPUTED_VALUE"""),1.013)</f>
        <v>1.013</v>
      </c>
      <c r="E4625" s="16">
        <f>IFERROR(__xludf.DUMMYFUNCTION("""COMPUTED_VALUE"""),66.0)</f>
        <v>66</v>
      </c>
      <c r="F4625" s="19" t="str">
        <f>IFERROR(__xludf.DUMMYFUNCTION("""COMPUTED_VALUE"""),"BLACK")</f>
        <v>BLACK</v>
      </c>
      <c r="G4625" s="20" t="str">
        <f>IFERROR(__xludf.DUMMYFUNCTION("""COMPUTED_VALUE"""),"Uncle Sams Cider (11/12/2021) 02")</f>
        <v>Uncle Sams Cider (11/12/2021) 02</v>
      </c>
      <c r="H4625" s="19"/>
    </row>
    <row r="4626">
      <c r="A4626" s="9"/>
      <c r="B4626" s="15"/>
      <c r="C4626" s="9">
        <f>IFERROR(__xludf.DUMMYFUNCTION("""COMPUTED_VALUE"""),44556.92733625)</f>
        <v>44556.92734</v>
      </c>
      <c r="D4626" s="15">
        <f>IFERROR(__xludf.DUMMYFUNCTION("""COMPUTED_VALUE"""),1.013)</f>
        <v>1.013</v>
      </c>
      <c r="E4626" s="16">
        <f>IFERROR(__xludf.DUMMYFUNCTION("""COMPUTED_VALUE"""),66.0)</f>
        <v>66</v>
      </c>
      <c r="F4626" s="19" t="str">
        <f>IFERROR(__xludf.DUMMYFUNCTION("""COMPUTED_VALUE"""),"BLACK")</f>
        <v>BLACK</v>
      </c>
      <c r="G4626" s="20" t="str">
        <f>IFERROR(__xludf.DUMMYFUNCTION("""COMPUTED_VALUE"""),"Uncle Sams Cider (11/12/2021) 02")</f>
        <v>Uncle Sams Cider (11/12/2021) 02</v>
      </c>
      <c r="H4626" s="19"/>
    </row>
    <row r="4627">
      <c r="A4627" s="9"/>
      <c r="B4627" s="15"/>
      <c r="C4627" s="9">
        <f>IFERROR(__xludf.DUMMYFUNCTION("""COMPUTED_VALUE"""),44556.9168802546)</f>
        <v>44556.91688</v>
      </c>
      <c r="D4627" s="15">
        <f>IFERROR(__xludf.DUMMYFUNCTION("""COMPUTED_VALUE"""),1.013)</f>
        <v>1.013</v>
      </c>
      <c r="E4627" s="16">
        <f>IFERROR(__xludf.DUMMYFUNCTION("""COMPUTED_VALUE"""),66.0)</f>
        <v>66</v>
      </c>
      <c r="F4627" s="19" t="str">
        <f>IFERROR(__xludf.DUMMYFUNCTION("""COMPUTED_VALUE"""),"BLACK")</f>
        <v>BLACK</v>
      </c>
      <c r="G4627" s="20" t="str">
        <f>IFERROR(__xludf.DUMMYFUNCTION("""COMPUTED_VALUE"""),"Uncle Sams Cider (11/12/2021) 02")</f>
        <v>Uncle Sams Cider (11/12/2021) 02</v>
      </c>
      <c r="H4627" s="19"/>
    </row>
    <row r="4628">
      <c r="A4628" s="9"/>
      <c r="B4628" s="15"/>
      <c r="C4628" s="9">
        <f>IFERROR(__xludf.DUMMYFUNCTION("""COMPUTED_VALUE"""),44556.9064259143)</f>
        <v>44556.90643</v>
      </c>
      <c r="D4628" s="15">
        <f>IFERROR(__xludf.DUMMYFUNCTION("""COMPUTED_VALUE"""),1.013)</f>
        <v>1.013</v>
      </c>
      <c r="E4628" s="16">
        <f>IFERROR(__xludf.DUMMYFUNCTION("""COMPUTED_VALUE"""),66.0)</f>
        <v>66</v>
      </c>
      <c r="F4628" s="19" t="str">
        <f>IFERROR(__xludf.DUMMYFUNCTION("""COMPUTED_VALUE"""),"BLACK")</f>
        <v>BLACK</v>
      </c>
      <c r="G4628" s="20" t="str">
        <f>IFERROR(__xludf.DUMMYFUNCTION("""COMPUTED_VALUE"""),"Uncle Sams Cider (11/12/2021) 02")</f>
        <v>Uncle Sams Cider (11/12/2021) 02</v>
      </c>
      <c r="H4628" s="19"/>
    </row>
    <row r="4629">
      <c r="A4629" s="9"/>
      <c r="B4629" s="15"/>
      <c r="C4629" s="9">
        <f>IFERROR(__xludf.DUMMYFUNCTION("""COMPUTED_VALUE"""),44556.8960035532)</f>
        <v>44556.896</v>
      </c>
      <c r="D4629" s="15">
        <f>IFERROR(__xludf.DUMMYFUNCTION("""COMPUTED_VALUE"""),1.013)</f>
        <v>1.013</v>
      </c>
      <c r="E4629" s="16">
        <f>IFERROR(__xludf.DUMMYFUNCTION("""COMPUTED_VALUE"""),66.0)</f>
        <v>66</v>
      </c>
      <c r="F4629" s="19" t="str">
        <f>IFERROR(__xludf.DUMMYFUNCTION("""COMPUTED_VALUE"""),"BLACK")</f>
        <v>BLACK</v>
      </c>
      <c r="G4629" s="20" t="str">
        <f>IFERROR(__xludf.DUMMYFUNCTION("""COMPUTED_VALUE"""),"Uncle Sams Cider (11/12/2021) 02")</f>
        <v>Uncle Sams Cider (11/12/2021) 02</v>
      </c>
      <c r="H4629" s="19"/>
    </row>
    <row r="4630">
      <c r="A4630" s="9"/>
      <c r="B4630" s="15"/>
      <c r="C4630" s="9">
        <f>IFERROR(__xludf.DUMMYFUNCTION("""COMPUTED_VALUE"""),44556.8855705555)</f>
        <v>44556.88557</v>
      </c>
      <c r="D4630" s="15">
        <f>IFERROR(__xludf.DUMMYFUNCTION("""COMPUTED_VALUE"""),1.013)</f>
        <v>1.013</v>
      </c>
      <c r="E4630" s="16">
        <f>IFERROR(__xludf.DUMMYFUNCTION("""COMPUTED_VALUE"""),66.0)</f>
        <v>66</v>
      </c>
      <c r="F4630" s="19" t="str">
        <f>IFERROR(__xludf.DUMMYFUNCTION("""COMPUTED_VALUE"""),"BLACK")</f>
        <v>BLACK</v>
      </c>
      <c r="G4630" s="20" t="str">
        <f>IFERROR(__xludf.DUMMYFUNCTION("""COMPUTED_VALUE"""),"Uncle Sams Cider (11/12/2021) 02")</f>
        <v>Uncle Sams Cider (11/12/2021) 02</v>
      </c>
      <c r="H4630" s="19"/>
    </row>
    <row r="4631">
      <c r="A4631" s="9"/>
      <c r="B4631" s="15"/>
      <c r="C4631" s="9">
        <f>IFERROR(__xludf.DUMMYFUNCTION("""COMPUTED_VALUE"""),44556.8751239814)</f>
        <v>44556.87512</v>
      </c>
      <c r="D4631" s="15">
        <f>IFERROR(__xludf.DUMMYFUNCTION("""COMPUTED_VALUE"""),1.013)</f>
        <v>1.013</v>
      </c>
      <c r="E4631" s="16">
        <f>IFERROR(__xludf.DUMMYFUNCTION("""COMPUTED_VALUE"""),66.0)</f>
        <v>66</v>
      </c>
      <c r="F4631" s="19" t="str">
        <f>IFERROR(__xludf.DUMMYFUNCTION("""COMPUTED_VALUE"""),"BLACK")</f>
        <v>BLACK</v>
      </c>
      <c r="G4631" s="20" t="str">
        <f>IFERROR(__xludf.DUMMYFUNCTION("""COMPUTED_VALUE"""),"Uncle Sams Cider (11/12/2021) 02")</f>
        <v>Uncle Sams Cider (11/12/2021) 02</v>
      </c>
      <c r="H4631" s="19"/>
    </row>
    <row r="4632">
      <c r="A4632" s="9"/>
      <c r="B4632" s="15"/>
      <c r="C4632" s="9">
        <f>IFERROR(__xludf.DUMMYFUNCTION("""COMPUTED_VALUE"""),44556.8646553819)</f>
        <v>44556.86466</v>
      </c>
      <c r="D4632" s="15">
        <f>IFERROR(__xludf.DUMMYFUNCTION("""COMPUTED_VALUE"""),1.013)</f>
        <v>1.013</v>
      </c>
      <c r="E4632" s="16">
        <f>IFERROR(__xludf.DUMMYFUNCTION("""COMPUTED_VALUE"""),66.0)</f>
        <v>66</v>
      </c>
      <c r="F4632" s="19" t="str">
        <f>IFERROR(__xludf.DUMMYFUNCTION("""COMPUTED_VALUE"""),"BLACK")</f>
        <v>BLACK</v>
      </c>
      <c r="G4632" s="20" t="str">
        <f>IFERROR(__xludf.DUMMYFUNCTION("""COMPUTED_VALUE"""),"Uncle Sams Cider (11/12/2021) 02")</f>
        <v>Uncle Sams Cider (11/12/2021) 02</v>
      </c>
      <c r="H4632" s="19"/>
    </row>
    <row r="4633">
      <c r="A4633" s="9"/>
      <c r="B4633" s="15"/>
      <c r="C4633" s="9">
        <f>IFERROR(__xludf.DUMMYFUNCTION("""COMPUTED_VALUE"""),44556.8542335879)</f>
        <v>44556.85423</v>
      </c>
      <c r="D4633" s="15">
        <f>IFERROR(__xludf.DUMMYFUNCTION("""COMPUTED_VALUE"""),1.013)</f>
        <v>1.013</v>
      </c>
      <c r="E4633" s="16">
        <f>IFERROR(__xludf.DUMMYFUNCTION("""COMPUTED_VALUE"""),66.0)</f>
        <v>66</v>
      </c>
      <c r="F4633" s="19" t="str">
        <f>IFERROR(__xludf.DUMMYFUNCTION("""COMPUTED_VALUE"""),"BLACK")</f>
        <v>BLACK</v>
      </c>
      <c r="G4633" s="20" t="str">
        <f>IFERROR(__xludf.DUMMYFUNCTION("""COMPUTED_VALUE"""),"Uncle Sams Cider (11/12/2021) 02")</f>
        <v>Uncle Sams Cider (11/12/2021) 02</v>
      </c>
      <c r="H4633" s="19"/>
    </row>
    <row r="4634">
      <c r="A4634" s="9"/>
      <c r="B4634" s="15"/>
      <c r="C4634" s="9">
        <f>IFERROR(__xludf.DUMMYFUNCTION("""COMPUTED_VALUE"""),44556.8438128125)</f>
        <v>44556.84381</v>
      </c>
      <c r="D4634" s="15">
        <f>IFERROR(__xludf.DUMMYFUNCTION("""COMPUTED_VALUE"""),1.013)</f>
        <v>1.013</v>
      </c>
      <c r="E4634" s="16">
        <f>IFERROR(__xludf.DUMMYFUNCTION("""COMPUTED_VALUE"""),66.0)</f>
        <v>66</v>
      </c>
      <c r="F4634" s="19" t="str">
        <f>IFERROR(__xludf.DUMMYFUNCTION("""COMPUTED_VALUE"""),"BLACK")</f>
        <v>BLACK</v>
      </c>
      <c r="G4634" s="20" t="str">
        <f>IFERROR(__xludf.DUMMYFUNCTION("""COMPUTED_VALUE"""),"Uncle Sams Cider (11/12/2021) 02")</f>
        <v>Uncle Sams Cider (11/12/2021) 02</v>
      </c>
      <c r="H4634" s="19"/>
    </row>
    <row r="4635">
      <c r="A4635" s="9"/>
      <c r="B4635" s="15"/>
      <c r="C4635" s="9">
        <f>IFERROR(__xludf.DUMMYFUNCTION("""COMPUTED_VALUE"""),44556.8333933217)</f>
        <v>44556.83339</v>
      </c>
      <c r="D4635" s="15">
        <f>IFERROR(__xludf.DUMMYFUNCTION("""COMPUTED_VALUE"""),1.013)</f>
        <v>1.013</v>
      </c>
      <c r="E4635" s="16">
        <f>IFERROR(__xludf.DUMMYFUNCTION("""COMPUTED_VALUE"""),66.0)</f>
        <v>66</v>
      </c>
      <c r="F4635" s="19" t="str">
        <f>IFERROR(__xludf.DUMMYFUNCTION("""COMPUTED_VALUE"""),"BLACK")</f>
        <v>BLACK</v>
      </c>
      <c r="G4635" s="20" t="str">
        <f>IFERROR(__xludf.DUMMYFUNCTION("""COMPUTED_VALUE"""),"Uncle Sams Cider (11/12/2021) 02")</f>
        <v>Uncle Sams Cider (11/12/2021) 02</v>
      </c>
      <c r="H4635" s="19"/>
    </row>
    <row r="4636">
      <c r="A4636" s="9"/>
      <c r="B4636" s="15"/>
      <c r="C4636" s="9">
        <f>IFERROR(__xludf.DUMMYFUNCTION("""COMPUTED_VALUE"""),44556.8229705902)</f>
        <v>44556.82297</v>
      </c>
      <c r="D4636" s="15">
        <f>IFERROR(__xludf.DUMMYFUNCTION("""COMPUTED_VALUE"""),1.013)</f>
        <v>1.013</v>
      </c>
      <c r="E4636" s="16">
        <f>IFERROR(__xludf.DUMMYFUNCTION("""COMPUTED_VALUE"""),66.0)</f>
        <v>66</v>
      </c>
      <c r="F4636" s="19" t="str">
        <f>IFERROR(__xludf.DUMMYFUNCTION("""COMPUTED_VALUE"""),"BLACK")</f>
        <v>BLACK</v>
      </c>
      <c r="G4636" s="20" t="str">
        <f>IFERROR(__xludf.DUMMYFUNCTION("""COMPUTED_VALUE"""),"Uncle Sams Cider (11/12/2021) 02")</f>
        <v>Uncle Sams Cider (11/12/2021) 02</v>
      </c>
      <c r="H4636" s="19"/>
    </row>
    <row r="4637">
      <c r="A4637" s="9"/>
      <c r="B4637" s="15"/>
      <c r="C4637" s="9">
        <f>IFERROR(__xludf.DUMMYFUNCTION("""COMPUTED_VALUE"""),44556.8125496759)</f>
        <v>44556.81255</v>
      </c>
      <c r="D4637" s="15">
        <f>IFERROR(__xludf.DUMMYFUNCTION("""COMPUTED_VALUE"""),1.013)</f>
        <v>1.013</v>
      </c>
      <c r="E4637" s="16">
        <f>IFERROR(__xludf.DUMMYFUNCTION("""COMPUTED_VALUE"""),67.0)</f>
        <v>67</v>
      </c>
      <c r="F4637" s="19" t="str">
        <f>IFERROR(__xludf.DUMMYFUNCTION("""COMPUTED_VALUE"""),"BLACK")</f>
        <v>BLACK</v>
      </c>
      <c r="G4637" s="20" t="str">
        <f>IFERROR(__xludf.DUMMYFUNCTION("""COMPUTED_VALUE"""),"Uncle Sams Cider (11/12/2021) 02")</f>
        <v>Uncle Sams Cider (11/12/2021) 02</v>
      </c>
      <c r="H4637" s="19"/>
    </row>
    <row r="4638">
      <c r="A4638" s="9"/>
      <c r="B4638" s="15"/>
      <c r="C4638" s="9">
        <f>IFERROR(__xludf.DUMMYFUNCTION("""COMPUTED_VALUE"""),44556.8020467824)</f>
        <v>44556.80205</v>
      </c>
      <c r="D4638" s="15">
        <f>IFERROR(__xludf.DUMMYFUNCTION("""COMPUTED_VALUE"""),1.013)</f>
        <v>1.013</v>
      </c>
      <c r="E4638" s="16">
        <f>IFERROR(__xludf.DUMMYFUNCTION("""COMPUTED_VALUE"""),67.0)</f>
        <v>67</v>
      </c>
      <c r="F4638" s="19" t="str">
        <f>IFERROR(__xludf.DUMMYFUNCTION("""COMPUTED_VALUE"""),"BLACK")</f>
        <v>BLACK</v>
      </c>
      <c r="G4638" s="20" t="str">
        <f>IFERROR(__xludf.DUMMYFUNCTION("""COMPUTED_VALUE"""),"Uncle Sams Cider (11/12/2021) 02")</f>
        <v>Uncle Sams Cider (11/12/2021) 02</v>
      </c>
      <c r="H4638" s="19"/>
    </row>
    <row r="4639">
      <c r="A4639" s="9"/>
      <c r="B4639" s="15"/>
      <c r="C4639" s="9">
        <f>IFERROR(__xludf.DUMMYFUNCTION("""COMPUTED_VALUE"""),44556.7916153356)</f>
        <v>44556.79162</v>
      </c>
      <c r="D4639" s="15">
        <f>IFERROR(__xludf.DUMMYFUNCTION("""COMPUTED_VALUE"""),1.013)</f>
        <v>1.013</v>
      </c>
      <c r="E4639" s="16">
        <f>IFERROR(__xludf.DUMMYFUNCTION("""COMPUTED_VALUE"""),67.0)</f>
        <v>67</v>
      </c>
      <c r="F4639" s="19" t="str">
        <f>IFERROR(__xludf.DUMMYFUNCTION("""COMPUTED_VALUE"""),"BLACK")</f>
        <v>BLACK</v>
      </c>
      <c r="G4639" s="20" t="str">
        <f>IFERROR(__xludf.DUMMYFUNCTION("""COMPUTED_VALUE"""),"Uncle Sams Cider (11/12/2021) 02")</f>
        <v>Uncle Sams Cider (11/12/2021) 02</v>
      </c>
      <c r="H4639" s="19"/>
    </row>
    <row r="4640">
      <c r="A4640" s="9"/>
      <c r="B4640" s="15"/>
      <c r="C4640" s="9">
        <f>IFERROR(__xludf.DUMMYFUNCTION("""COMPUTED_VALUE"""),44556.7811937384)</f>
        <v>44556.78119</v>
      </c>
      <c r="D4640" s="15">
        <f>IFERROR(__xludf.DUMMYFUNCTION("""COMPUTED_VALUE"""),1.013)</f>
        <v>1.013</v>
      </c>
      <c r="E4640" s="16">
        <f>IFERROR(__xludf.DUMMYFUNCTION("""COMPUTED_VALUE"""),67.0)</f>
        <v>67</v>
      </c>
      <c r="F4640" s="19" t="str">
        <f>IFERROR(__xludf.DUMMYFUNCTION("""COMPUTED_VALUE"""),"BLACK")</f>
        <v>BLACK</v>
      </c>
      <c r="G4640" s="20" t="str">
        <f>IFERROR(__xludf.DUMMYFUNCTION("""COMPUTED_VALUE"""),"Uncle Sams Cider (11/12/2021) 02")</f>
        <v>Uncle Sams Cider (11/12/2021) 02</v>
      </c>
      <c r="H4640" s="19"/>
    </row>
    <row r="4641">
      <c r="A4641" s="9"/>
      <c r="B4641" s="15"/>
      <c r="C4641" s="9">
        <f>IFERROR(__xludf.DUMMYFUNCTION("""COMPUTED_VALUE"""),44556.7707614699)</f>
        <v>44556.77076</v>
      </c>
      <c r="D4641" s="15">
        <f>IFERROR(__xludf.DUMMYFUNCTION("""COMPUTED_VALUE"""),1.013)</f>
        <v>1.013</v>
      </c>
      <c r="E4641" s="16">
        <f>IFERROR(__xludf.DUMMYFUNCTION("""COMPUTED_VALUE"""),67.0)</f>
        <v>67</v>
      </c>
      <c r="F4641" s="19" t="str">
        <f>IFERROR(__xludf.DUMMYFUNCTION("""COMPUTED_VALUE"""),"BLACK")</f>
        <v>BLACK</v>
      </c>
      <c r="G4641" s="20" t="str">
        <f>IFERROR(__xludf.DUMMYFUNCTION("""COMPUTED_VALUE"""),"Uncle Sams Cider (11/12/2021) 02")</f>
        <v>Uncle Sams Cider (11/12/2021) 02</v>
      </c>
      <c r="H4641" s="19"/>
    </row>
    <row r="4642">
      <c r="A4642" s="9"/>
      <c r="B4642" s="15"/>
      <c r="C4642" s="9">
        <f>IFERROR(__xludf.DUMMYFUNCTION("""COMPUTED_VALUE"""),44556.7603281828)</f>
        <v>44556.76033</v>
      </c>
      <c r="D4642" s="15">
        <f>IFERROR(__xludf.DUMMYFUNCTION("""COMPUTED_VALUE"""),1.013)</f>
        <v>1.013</v>
      </c>
      <c r="E4642" s="16">
        <f>IFERROR(__xludf.DUMMYFUNCTION("""COMPUTED_VALUE"""),67.0)</f>
        <v>67</v>
      </c>
      <c r="F4642" s="19" t="str">
        <f>IFERROR(__xludf.DUMMYFUNCTION("""COMPUTED_VALUE"""),"BLACK")</f>
        <v>BLACK</v>
      </c>
      <c r="G4642" s="20" t="str">
        <f>IFERROR(__xludf.DUMMYFUNCTION("""COMPUTED_VALUE"""),"Uncle Sams Cider (11/12/2021) 02")</f>
        <v>Uncle Sams Cider (11/12/2021) 02</v>
      </c>
      <c r="H4642" s="19"/>
    </row>
    <row r="4643">
      <c r="A4643" s="9"/>
      <c r="B4643" s="15"/>
      <c r="C4643" s="9">
        <f>IFERROR(__xludf.DUMMYFUNCTION("""COMPUTED_VALUE"""),44556.7498954513)</f>
        <v>44556.7499</v>
      </c>
      <c r="D4643" s="15">
        <f>IFERROR(__xludf.DUMMYFUNCTION("""COMPUTED_VALUE"""),1.014)</f>
        <v>1.014</v>
      </c>
      <c r="E4643" s="16">
        <f>IFERROR(__xludf.DUMMYFUNCTION("""COMPUTED_VALUE"""),67.0)</f>
        <v>67</v>
      </c>
      <c r="F4643" s="19" t="str">
        <f>IFERROR(__xludf.DUMMYFUNCTION("""COMPUTED_VALUE"""),"BLACK")</f>
        <v>BLACK</v>
      </c>
      <c r="G4643" s="20" t="str">
        <f>IFERROR(__xludf.DUMMYFUNCTION("""COMPUTED_VALUE"""),"Uncle Sams Cider (11/12/2021) 02")</f>
        <v>Uncle Sams Cider (11/12/2021) 02</v>
      </c>
      <c r="H4643" s="19"/>
    </row>
    <row r="4644">
      <c r="A4644" s="9"/>
      <c r="B4644" s="15"/>
      <c r="C4644" s="9">
        <f>IFERROR(__xludf.DUMMYFUNCTION("""COMPUTED_VALUE"""),44556.7394393981)</f>
        <v>44556.73944</v>
      </c>
      <c r="D4644" s="15">
        <f>IFERROR(__xludf.DUMMYFUNCTION("""COMPUTED_VALUE"""),1.013)</f>
        <v>1.013</v>
      </c>
      <c r="E4644" s="16">
        <f>IFERROR(__xludf.DUMMYFUNCTION("""COMPUTED_VALUE"""),67.0)</f>
        <v>67</v>
      </c>
      <c r="F4644" s="19" t="str">
        <f>IFERROR(__xludf.DUMMYFUNCTION("""COMPUTED_VALUE"""),"BLACK")</f>
        <v>BLACK</v>
      </c>
      <c r="G4644" s="20" t="str">
        <f>IFERROR(__xludf.DUMMYFUNCTION("""COMPUTED_VALUE"""),"Uncle Sams Cider (11/12/2021) 02")</f>
        <v>Uncle Sams Cider (11/12/2021) 02</v>
      </c>
      <c r="H4644" s="19"/>
    </row>
    <row r="4645">
      <c r="A4645" s="9"/>
      <c r="B4645" s="15"/>
      <c r="C4645" s="9">
        <f>IFERROR(__xludf.DUMMYFUNCTION("""COMPUTED_VALUE"""),44556.7290055439)</f>
        <v>44556.72901</v>
      </c>
      <c r="D4645" s="15">
        <f>IFERROR(__xludf.DUMMYFUNCTION("""COMPUTED_VALUE"""),1.013)</f>
        <v>1.013</v>
      </c>
      <c r="E4645" s="16">
        <f>IFERROR(__xludf.DUMMYFUNCTION("""COMPUTED_VALUE"""),67.0)</f>
        <v>67</v>
      </c>
      <c r="F4645" s="19" t="str">
        <f>IFERROR(__xludf.DUMMYFUNCTION("""COMPUTED_VALUE"""),"BLACK")</f>
        <v>BLACK</v>
      </c>
      <c r="G4645" s="20" t="str">
        <f>IFERROR(__xludf.DUMMYFUNCTION("""COMPUTED_VALUE"""),"Uncle Sams Cider (11/12/2021) 02")</f>
        <v>Uncle Sams Cider (11/12/2021) 02</v>
      </c>
      <c r="H4645" s="19"/>
    </row>
    <row r="4646">
      <c r="A4646" s="9"/>
      <c r="B4646" s="15"/>
      <c r="C4646" s="9">
        <f>IFERROR(__xludf.DUMMYFUNCTION("""COMPUTED_VALUE"""),44556.7185614236)</f>
        <v>44556.71856</v>
      </c>
      <c r="D4646" s="15">
        <f>IFERROR(__xludf.DUMMYFUNCTION("""COMPUTED_VALUE"""),1.014)</f>
        <v>1.014</v>
      </c>
      <c r="E4646" s="16">
        <f>IFERROR(__xludf.DUMMYFUNCTION("""COMPUTED_VALUE"""),67.0)</f>
        <v>67</v>
      </c>
      <c r="F4646" s="19" t="str">
        <f>IFERROR(__xludf.DUMMYFUNCTION("""COMPUTED_VALUE"""),"BLACK")</f>
        <v>BLACK</v>
      </c>
      <c r="G4646" s="20" t="str">
        <f>IFERROR(__xludf.DUMMYFUNCTION("""COMPUTED_VALUE"""),"Uncle Sams Cider (11/12/2021) 02")</f>
        <v>Uncle Sams Cider (11/12/2021) 02</v>
      </c>
      <c r="H4646" s="19"/>
    </row>
    <row r="4647">
      <c r="A4647" s="9"/>
      <c r="B4647" s="15"/>
      <c r="C4647" s="9">
        <f>IFERROR(__xludf.DUMMYFUNCTION("""COMPUTED_VALUE"""),44556.7081299999)</f>
        <v>44556.70813</v>
      </c>
      <c r="D4647" s="15">
        <f>IFERROR(__xludf.DUMMYFUNCTION("""COMPUTED_VALUE"""),1.013)</f>
        <v>1.013</v>
      </c>
      <c r="E4647" s="16">
        <f>IFERROR(__xludf.DUMMYFUNCTION("""COMPUTED_VALUE"""),67.0)</f>
        <v>67</v>
      </c>
      <c r="F4647" s="19" t="str">
        <f>IFERROR(__xludf.DUMMYFUNCTION("""COMPUTED_VALUE"""),"BLACK")</f>
        <v>BLACK</v>
      </c>
      <c r="G4647" s="20" t="str">
        <f>IFERROR(__xludf.DUMMYFUNCTION("""COMPUTED_VALUE"""),"Uncle Sams Cider (11/12/2021) 02")</f>
        <v>Uncle Sams Cider (11/12/2021) 02</v>
      </c>
      <c r="H4647" s="19"/>
    </row>
    <row r="4648">
      <c r="A4648" s="9"/>
      <c r="B4648" s="15"/>
      <c r="C4648" s="9">
        <f>IFERROR(__xludf.DUMMYFUNCTION("""COMPUTED_VALUE"""),44556.6977078472)</f>
        <v>44556.69771</v>
      </c>
      <c r="D4648" s="15">
        <f>IFERROR(__xludf.DUMMYFUNCTION("""COMPUTED_VALUE"""),1.013)</f>
        <v>1.013</v>
      </c>
      <c r="E4648" s="16">
        <f>IFERROR(__xludf.DUMMYFUNCTION("""COMPUTED_VALUE"""),67.0)</f>
        <v>67</v>
      </c>
      <c r="F4648" s="19" t="str">
        <f>IFERROR(__xludf.DUMMYFUNCTION("""COMPUTED_VALUE"""),"BLACK")</f>
        <v>BLACK</v>
      </c>
      <c r="G4648" s="20" t="str">
        <f>IFERROR(__xludf.DUMMYFUNCTION("""COMPUTED_VALUE"""),"Uncle Sams Cider (11/12/2021) 02")</f>
        <v>Uncle Sams Cider (11/12/2021) 02</v>
      </c>
      <c r="H4648" s="19"/>
    </row>
    <row r="4649">
      <c r="A4649" s="9"/>
      <c r="B4649" s="15"/>
      <c r="C4649" s="9">
        <f>IFERROR(__xludf.DUMMYFUNCTION("""COMPUTED_VALUE"""),44556.6872757291)</f>
        <v>44556.68728</v>
      </c>
      <c r="D4649" s="15">
        <f>IFERROR(__xludf.DUMMYFUNCTION("""COMPUTED_VALUE"""),1.013)</f>
        <v>1.013</v>
      </c>
      <c r="E4649" s="16">
        <f>IFERROR(__xludf.DUMMYFUNCTION("""COMPUTED_VALUE"""),67.0)</f>
        <v>67</v>
      </c>
      <c r="F4649" s="19" t="str">
        <f>IFERROR(__xludf.DUMMYFUNCTION("""COMPUTED_VALUE"""),"BLACK")</f>
        <v>BLACK</v>
      </c>
      <c r="G4649" s="20" t="str">
        <f>IFERROR(__xludf.DUMMYFUNCTION("""COMPUTED_VALUE"""),"Uncle Sams Cider (11/12/2021) 02")</f>
        <v>Uncle Sams Cider (11/12/2021) 02</v>
      </c>
      <c r="H4649" s="19"/>
    </row>
    <row r="4650">
      <c r="A4650" s="9"/>
      <c r="B4650" s="15"/>
      <c r="C4650" s="9">
        <f>IFERROR(__xludf.DUMMYFUNCTION("""COMPUTED_VALUE"""),44556.6768421874)</f>
        <v>44556.67684</v>
      </c>
      <c r="D4650" s="15">
        <f>IFERROR(__xludf.DUMMYFUNCTION("""COMPUTED_VALUE"""),1.013)</f>
        <v>1.013</v>
      </c>
      <c r="E4650" s="16">
        <f>IFERROR(__xludf.DUMMYFUNCTION("""COMPUTED_VALUE"""),67.0)</f>
        <v>67</v>
      </c>
      <c r="F4650" s="19" t="str">
        <f>IFERROR(__xludf.DUMMYFUNCTION("""COMPUTED_VALUE"""),"BLACK")</f>
        <v>BLACK</v>
      </c>
      <c r="G4650" s="20" t="str">
        <f>IFERROR(__xludf.DUMMYFUNCTION("""COMPUTED_VALUE"""),"Uncle Sams Cider (11/12/2021) 02")</f>
        <v>Uncle Sams Cider (11/12/2021) 02</v>
      </c>
      <c r="H4650" s="19"/>
    </row>
    <row r="4651">
      <c r="A4651" s="9"/>
      <c r="B4651" s="15"/>
      <c r="C4651" s="9">
        <f>IFERROR(__xludf.DUMMYFUNCTION("""COMPUTED_VALUE"""),44556.6664215856)</f>
        <v>44556.66642</v>
      </c>
      <c r="D4651" s="15">
        <f>IFERROR(__xludf.DUMMYFUNCTION("""COMPUTED_VALUE"""),1.013)</f>
        <v>1.013</v>
      </c>
      <c r="E4651" s="16">
        <f>IFERROR(__xludf.DUMMYFUNCTION("""COMPUTED_VALUE"""),67.0)</f>
        <v>67</v>
      </c>
      <c r="F4651" s="19" t="str">
        <f>IFERROR(__xludf.DUMMYFUNCTION("""COMPUTED_VALUE"""),"BLACK")</f>
        <v>BLACK</v>
      </c>
      <c r="G4651" s="20" t="str">
        <f>IFERROR(__xludf.DUMMYFUNCTION("""COMPUTED_VALUE"""),"Uncle Sams Cider (11/12/2021) 02")</f>
        <v>Uncle Sams Cider (11/12/2021) 02</v>
      </c>
      <c r="H4651" s="19"/>
    </row>
    <row r="4652">
      <c r="A4652" s="9"/>
      <c r="B4652" s="15"/>
      <c r="C4652" s="9">
        <f>IFERROR(__xludf.DUMMYFUNCTION("""COMPUTED_VALUE"""),44556.655999699)</f>
        <v>44556.656</v>
      </c>
      <c r="D4652" s="15">
        <f>IFERROR(__xludf.DUMMYFUNCTION("""COMPUTED_VALUE"""),1.013)</f>
        <v>1.013</v>
      </c>
      <c r="E4652" s="16">
        <f>IFERROR(__xludf.DUMMYFUNCTION("""COMPUTED_VALUE"""),67.0)</f>
        <v>67</v>
      </c>
      <c r="F4652" s="19" t="str">
        <f>IFERROR(__xludf.DUMMYFUNCTION("""COMPUTED_VALUE"""),"BLACK")</f>
        <v>BLACK</v>
      </c>
      <c r="G4652" s="20" t="str">
        <f>IFERROR(__xludf.DUMMYFUNCTION("""COMPUTED_VALUE"""),"Uncle Sams Cider (11/12/2021) 02")</f>
        <v>Uncle Sams Cider (11/12/2021) 02</v>
      </c>
      <c r="H4652" s="19"/>
    </row>
    <row r="4653">
      <c r="A4653" s="9"/>
      <c r="B4653" s="15"/>
      <c r="C4653" s="9">
        <f>IFERROR(__xludf.DUMMYFUNCTION("""COMPUTED_VALUE"""),44556.6455654398)</f>
        <v>44556.64557</v>
      </c>
      <c r="D4653" s="15">
        <f>IFERROR(__xludf.DUMMYFUNCTION("""COMPUTED_VALUE"""),1.014)</f>
        <v>1.014</v>
      </c>
      <c r="E4653" s="16">
        <f>IFERROR(__xludf.DUMMYFUNCTION("""COMPUTED_VALUE"""),67.0)</f>
        <v>67</v>
      </c>
      <c r="F4653" s="19" t="str">
        <f>IFERROR(__xludf.DUMMYFUNCTION("""COMPUTED_VALUE"""),"BLACK")</f>
        <v>BLACK</v>
      </c>
      <c r="G4653" s="20" t="str">
        <f>IFERROR(__xludf.DUMMYFUNCTION("""COMPUTED_VALUE"""),"Uncle Sams Cider (11/12/2021) 02")</f>
        <v>Uncle Sams Cider (11/12/2021) 02</v>
      </c>
      <c r="H4653" s="19"/>
    </row>
    <row r="4654">
      <c r="A4654" s="9"/>
      <c r="B4654" s="15"/>
      <c r="C4654" s="9">
        <f>IFERROR(__xludf.DUMMYFUNCTION("""COMPUTED_VALUE"""),44556.6351437152)</f>
        <v>44556.63514</v>
      </c>
      <c r="D4654" s="15">
        <f>IFERROR(__xludf.DUMMYFUNCTION("""COMPUTED_VALUE"""),1.013)</f>
        <v>1.013</v>
      </c>
      <c r="E4654" s="16">
        <f>IFERROR(__xludf.DUMMYFUNCTION("""COMPUTED_VALUE"""),67.0)</f>
        <v>67</v>
      </c>
      <c r="F4654" s="19" t="str">
        <f>IFERROR(__xludf.DUMMYFUNCTION("""COMPUTED_VALUE"""),"BLACK")</f>
        <v>BLACK</v>
      </c>
      <c r="G4654" s="20" t="str">
        <f>IFERROR(__xludf.DUMMYFUNCTION("""COMPUTED_VALUE"""),"Uncle Sams Cider (11/12/2021) 02")</f>
        <v>Uncle Sams Cider (11/12/2021) 02</v>
      </c>
      <c r="H4654" s="19"/>
    </row>
    <row r="4655">
      <c r="A4655" s="9"/>
      <c r="B4655" s="15"/>
      <c r="C4655" s="9">
        <f>IFERROR(__xludf.DUMMYFUNCTION("""COMPUTED_VALUE"""),44556.6247227314)</f>
        <v>44556.62472</v>
      </c>
      <c r="D4655" s="15">
        <f>IFERROR(__xludf.DUMMYFUNCTION("""COMPUTED_VALUE"""),1.013)</f>
        <v>1.013</v>
      </c>
      <c r="E4655" s="16">
        <f>IFERROR(__xludf.DUMMYFUNCTION("""COMPUTED_VALUE"""),67.0)</f>
        <v>67</v>
      </c>
      <c r="F4655" s="19" t="str">
        <f>IFERROR(__xludf.DUMMYFUNCTION("""COMPUTED_VALUE"""),"BLACK")</f>
        <v>BLACK</v>
      </c>
      <c r="G4655" s="20" t="str">
        <f>IFERROR(__xludf.DUMMYFUNCTION("""COMPUTED_VALUE"""),"Uncle Sams Cider (11/12/2021) 02")</f>
        <v>Uncle Sams Cider (11/12/2021) 02</v>
      </c>
      <c r="H4655" s="19"/>
    </row>
    <row r="4656">
      <c r="A4656" s="9"/>
      <c r="B4656" s="15"/>
      <c r="C4656" s="9">
        <f>IFERROR(__xludf.DUMMYFUNCTION("""COMPUTED_VALUE"""),44556.614289537)</f>
        <v>44556.61429</v>
      </c>
      <c r="D4656" s="15">
        <f>IFERROR(__xludf.DUMMYFUNCTION("""COMPUTED_VALUE"""),1.013)</f>
        <v>1.013</v>
      </c>
      <c r="E4656" s="16">
        <f>IFERROR(__xludf.DUMMYFUNCTION("""COMPUTED_VALUE"""),67.0)</f>
        <v>67</v>
      </c>
      <c r="F4656" s="19" t="str">
        <f>IFERROR(__xludf.DUMMYFUNCTION("""COMPUTED_VALUE"""),"BLACK")</f>
        <v>BLACK</v>
      </c>
      <c r="G4656" s="20" t="str">
        <f>IFERROR(__xludf.DUMMYFUNCTION("""COMPUTED_VALUE"""),"Uncle Sams Cider (11/12/2021) 02")</f>
        <v>Uncle Sams Cider (11/12/2021) 02</v>
      </c>
      <c r="H4656" s="19"/>
    </row>
    <row r="4657">
      <c r="A4657" s="9"/>
      <c r="B4657" s="15"/>
      <c r="C4657" s="9">
        <f>IFERROR(__xludf.DUMMYFUNCTION("""COMPUTED_VALUE"""),44556.6038214583)</f>
        <v>44556.60382</v>
      </c>
      <c r="D4657" s="15">
        <f>IFERROR(__xludf.DUMMYFUNCTION("""COMPUTED_VALUE"""),1.013)</f>
        <v>1.013</v>
      </c>
      <c r="E4657" s="16">
        <f>IFERROR(__xludf.DUMMYFUNCTION("""COMPUTED_VALUE"""),67.0)</f>
        <v>67</v>
      </c>
      <c r="F4657" s="19" t="str">
        <f>IFERROR(__xludf.DUMMYFUNCTION("""COMPUTED_VALUE"""),"BLACK")</f>
        <v>BLACK</v>
      </c>
      <c r="G4657" s="20" t="str">
        <f>IFERROR(__xludf.DUMMYFUNCTION("""COMPUTED_VALUE"""),"Uncle Sams Cider (11/12/2021) 02")</f>
        <v>Uncle Sams Cider (11/12/2021) 02</v>
      </c>
      <c r="H4657" s="19"/>
    </row>
    <row r="4658">
      <c r="A4658" s="9"/>
      <c r="B4658" s="15"/>
      <c r="C4658" s="9">
        <f>IFERROR(__xludf.DUMMYFUNCTION("""COMPUTED_VALUE"""),44556.5934026736)</f>
        <v>44556.5934</v>
      </c>
      <c r="D4658" s="15">
        <f>IFERROR(__xludf.DUMMYFUNCTION("""COMPUTED_VALUE"""),1.013)</f>
        <v>1.013</v>
      </c>
      <c r="E4658" s="16">
        <f>IFERROR(__xludf.DUMMYFUNCTION("""COMPUTED_VALUE"""),67.0)</f>
        <v>67</v>
      </c>
      <c r="F4658" s="19" t="str">
        <f>IFERROR(__xludf.DUMMYFUNCTION("""COMPUTED_VALUE"""),"BLACK")</f>
        <v>BLACK</v>
      </c>
      <c r="G4658" s="20" t="str">
        <f>IFERROR(__xludf.DUMMYFUNCTION("""COMPUTED_VALUE"""),"Uncle Sams Cider (11/12/2021) 02")</f>
        <v>Uncle Sams Cider (11/12/2021) 02</v>
      </c>
      <c r="H4658" s="19"/>
    </row>
    <row r="4659">
      <c r="A4659" s="9"/>
      <c r="B4659" s="15"/>
      <c r="C4659" s="9">
        <f>IFERROR(__xludf.DUMMYFUNCTION("""COMPUTED_VALUE"""),44556.5829816898)</f>
        <v>44556.58298</v>
      </c>
      <c r="D4659" s="15">
        <f>IFERROR(__xludf.DUMMYFUNCTION("""COMPUTED_VALUE"""),1.013)</f>
        <v>1.013</v>
      </c>
      <c r="E4659" s="16">
        <f>IFERROR(__xludf.DUMMYFUNCTION("""COMPUTED_VALUE"""),67.0)</f>
        <v>67</v>
      </c>
      <c r="F4659" s="19" t="str">
        <f>IFERROR(__xludf.DUMMYFUNCTION("""COMPUTED_VALUE"""),"BLACK")</f>
        <v>BLACK</v>
      </c>
      <c r="G4659" s="20" t="str">
        <f>IFERROR(__xludf.DUMMYFUNCTION("""COMPUTED_VALUE"""),"Uncle Sams Cider (11/12/2021) 02")</f>
        <v>Uncle Sams Cider (11/12/2021) 02</v>
      </c>
      <c r="H4659" s="19"/>
    </row>
    <row r="4660">
      <c r="A4660" s="9"/>
      <c r="B4660" s="15"/>
      <c r="C4660" s="9">
        <f>IFERROR(__xludf.DUMMYFUNCTION("""COMPUTED_VALUE"""),44556.572550162)</f>
        <v>44556.57255</v>
      </c>
      <c r="D4660" s="15">
        <f>IFERROR(__xludf.DUMMYFUNCTION("""COMPUTED_VALUE"""),1.013)</f>
        <v>1.013</v>
      </c>
      <c r="E4660" s="16">
        <f>IFERROR(__xludf.DUMMYFUNCTION("""COMPUTED_VALUE"""),67.0)</f>
        <v>67</v>
      </c>
      <c r="F4660" s="19" t="str">
        <f>IFERROR(__xludf.DUMMYFUNCTION("""COMPUTED_VALUE"""),"BLACK")</f>
        <v>BLACK</v>
      </c>
      <c r="G4660" s="20" t="str">
        <f>IFERROR(__xludf.DUMMYFUNCTION("""COMPUTED_VALUE"""),"Uncle Sams Cider (11/12/2021) 02")</f>
        <v>Uncle Sams Cider (11/12/2021) 02</v>
      </c>
      <c r="H4660" s="19"/>
    </row>
    <row r="4661">
      <c r="A4661" s="9"/>
      <c r="B4661" s="15"/>
      <c r="C4661" s="9">
        <f>IFERROR(__xludf.DUMMYFUNCTION("""COMPUTED_VALUE"""),44556.5621068055)</f>
        <v>44556.56211</v>
      </c>
      <c r="D4661" s="15">
        <f>IFERROR(__xludf.DUMMYFUNCTION("""COMPUTED_VALUE"""),1.013)</f>
        <v>1.013</v>
      </c>
      <c r="E4661" s="16">
        <f>IFERROR(__xludf.DUMMYFUNCTION("""COMPUTED_VALUE"""),67.0)</f>
        <v>67</v>
      </c>
      <c r="F4661" s="19" t="str">
        <f>IFERROR(__xludf.DUMMYFUNCTION("""COMPUTED_VALUE"""),"BLACK")</f>
        <v>BLACK</v>
      </c>
      <c r="G4661" s="20" t="str">
        <f>IFERROR(__xludf.DUMMYFUNCTION("""COMPUTED_VALUE"""),"Uncle Sams Cider (11/12/2021) 02")</f>
        <v>Uncle Sams Cider (11/12/2021) 02</v>
      </c>
      <c r="H4661" s="19"/>
    </row>
    <row r="4662">
      <c r="A4662" s="9"/>
      <c r="B4662" s="15"/>
      <c r="C4662" s="9">
        <f>IFERROR(__xludf.DUMMYFUNCTION("""COMPUTED_VALUE"""),44556.5516735532)</f>
        <v>44556.55167</v>
      </c>
      <c r="D4662" s="15">
        <f>IFERROR(__xludf.DUMMYFUNCTION("""COMPUTED_VALUE"""),1.013)</f>
        <v>1.013</v>
      </c>
      <c r="E4662" s="16">
        <f>IFERROR(__xludf.DUMMYFUNCTION("""COMPUTED_VALUE"""),67.0)</f>
        <v>67</v>
      </c>
      <c r="F4662" s="19" t="str">
        <f>IFERROR(__xludf.DUMMYFUNCTION("""COMPUTED_VALUE"""),"BLACK")</f>
        <v>BLACK</v>
      </c>
      <c r="G4662" s="20" t="str">
        <f>IFERROR(__xludf.DUMMYFUNCTION("""COMPUTED_VALUE"""),"Uncle Sams Cider (11/12/2021) 02")</f>
        <v>Uncle Sams Cider (11/12/2021) 02</v>
      </c>
      <c r="H4662" s="19"/>
    </row>
    <row r="4663">
      <c r="A4663" s="9"/>
      <c r="B4663" s="15"/>
      <c r="C4663" s="9">
        <f>IFERROR(__xludf.DUMMYFUNCTION("""COMPUTED_VALUE"""),44556.541240787)</f>
        <v>44556.54124</v>
      </c>
      <c r="D4663" s="15">
        <f>IFERROR(__xludf.DUMMYFUNCTION("""COMPUTED_VALUE"""),1.013)</f>
        <v>1.013</v>
      </c>
      <c r="E4663" s="16">
        <f>IFERROR(__xludf.DUMMYFUNCTION("""COMPUTED_VALUE"""),67.0)</f>
        <v>67</v>
      </c>
      <c r="F4663" s="19" t="str">
        <f>IFERROR(__xludf.DUMMYFUNCTION("""COMPUTED_VALUE"""),"BLACK")</f>
        <v>BLACK</v>
      </c>
      <c r="G4663" s="20" t="str">
        <f>IFERROR(__xludf.DUMMYFUNCTION("""COMPUTED_VALUE"""),"Uncle Sams Cider (11/12/2021) 02")</f>
        <v>Uncle Sams Cider (11/12/2021) 02</v>
      </c>
      <c r="H4663" s="19"/>
    </row>
    <row r="4664">
      <c r="A4664" s="9"/>
      <c r="B4664" s="15"/>
      <c r="C4664" s="9">
        <f>IFERROR(__xludf.DUMMYFUNCTION("""COMPUTED_VALUE"""),44556.5308077777)</f>
        <v>44556.53081</v>
      </c>
      <c r="D4664" s="15">
        <f>IFERROR(__xludf.DUMMYFUNCTION("""COMPUTED_VALUE"""),1.013)</f>
        <v>1.013</v>
      </c>
      <c r="E4664" s="16">
        <f>IFERROR(__xludf.DUMMYFUNCTION("""COMPUTED_VALUE"""),67.0)</f>
        <v>67</v>
      </c>
      <c r="F4664" s="19" t="str">
        <f>IFERROR(__xludf.DUMMYFUNCTION("""COMPUTED_VALUE"""),"BLACK")</f>
        <v>BLACK</v>
      </c>
      <c r="G4664" s="20" t="str">
        <f>IFERROR(__xludf.DUMMYFUNCTION("""COMPUTED_VALUE"""),"Uncle Sams Cider (11/12/2021) 02")</f>
        <v>Uncle Sams Cider (11/12/2021) 02</v>
      </c>
      <c r="H4664" s="19"/>
    </row>
    <row r="4665">
      <c r="A4665" s="9"/>
      <c r="B4665" s="15"/>
      <c r="C4665" s="9">
        <f>IFERROR(__xludf.DUMMYFUNCTION("""COMPUTED_VALUE"""),44556.5203871759)</f>
        <v>44556.52039</v>
      </c>
      <c r="D4665" s="15">
        <f>IFERROR(__xludf.DUMMYFUNCTION("""COMPUTED_VALUE"""),1.014)</f>
        <v>1.014</v>
      </c>
      <c r="E4665" s="16">
        <f>IFERROR(__xludf.DUMMYFUNCTION("""COMPUTED_VALUE"""),67.0)</f>
        <v>67</v>
      </c>
      <c r="F4665" s="19" t="str">
        <f>IFERROR(__xludf.DUMMYFUNCTION("""COMPUTED_VALUE"""),"BLACK")</f>
        <v>BLACK</v>
      </c>
      <c r="G4665" s="20" t="str">
        <f>IFERROR(__xludf.DUMMYFUNCTION("""COMPUTED_VALUE"""),"Uncle Sams Cider (11/12/2021) 02")</f>
        <v>Uncle Sams Cider (11/12/2021) 02</v>
      </c>
      <c r="H4665" s="19"/>
    </row>
    <row r="4666">
      <c r="A4666" s="9"/>
      <c r="B4666" s="15"/>
      <c r="C4666" s="9">
        <f>IFERROR(__xludf.DUMMYFUNCTION("""COMPUTED_VALUE"""),44556.5099663078)</f>
        <v>44556.50997</v>
      </c>
      <c r="D4666" s="15">
        <f>IFERROR(__xludf.DUMMYFUNCTION("""COMPUTED_VALUE"""),1.013)</f>
        <v>1.013</v>
      </c>
      <c r="E4666" s="16">
        <f>IFERROR(__xludf.DUMMYFUNCTION("""COMPUTED_VALUE"""),67.0)</f>
        <v>67</v>
      </c>
      <c r="F4666" s="19" t="str">
        <f>IFERROR(__xludf.DUMMYFUNCTION("""COMPUTED_VALUE"""),"BLACK")</f>
        <v>BLACK</v>
      </c>
      <c r="G4666" s="20" t="str">
        <f>IFERROR(__xludf.DUMMYFUNCTION("""COMPUTED_VALUE"""),"Uncle Sams Cider (11/12/2021) 02")</f>
        <v>Uncle Sams Cider (11/12/2021) 02</v>
      </c>
      <c r="H4666" s="19"/>
    </row>
    <row r="4667">
      <c r="A4667" s="9"/>
      <c r="B4667" s="15"/>
      <c r="C4667" s="9">
        <f>IFERROR(__xludf.DUMMYFUNCTION("""COMPUTED_VALUE"""),44556.4995449884)</f>
        <v>44556.49954</v>
      </c>
      <c r="D4667" s="15">
        <f>IFERROR(__xludf.DUMMYFUNCTION("""COMPUTED_VALUE"""),1.013)</f>
        <v>1.013</v>
      </c>
      <c r="E4667" s="16">
        <f>IFERROR(__xludf.DUMMYFUNCTION("""COMPUTED_VALUE"""),67.0)</f>
        <v>67</v>
      </c>
      <c r="F4667" s="19" t="str">
        <f>IFERROR(__xludf.DUMMYFUNCTION("""COMPUTED_VALUE"""),"BLACK")</f>
        <v>BLACK</v>
      </c>
      <c r="G4667" s="20" t="str">
        <f>IFERROR(__xludf.DUMMYFUNCTION("""COMPUTED_VALUE"""),"Uncle Sams Cider (11/12/2021) 02")</f>
        <v>Uncle Sams Cider (11/12/2021) 02</v>
      </c>
      <c r="H4667" s="19"/>
    </row>
    <row r="4668">
      <c r="A4668" s="9"/>
      <c r="B4668" s="15"/>
      <c r="C4668" s="9">
        <f>IFERROR(__xludf.DUMMYFUNCTION("""COMPUTED_VALUE"""),44556.489110868)</f>
        <v>44556.48911</v>
      </c>
      <c r="D4668" s="15">
        <f>IFERROR(__xludf.DUMMYFUNCTION("""COMPUTED_VALUE"""),1.014)</f>
        <v>1.014</v>
      </c>
      <c r="E4668" s="16">
        <f>IFERROR(__xludf.DUMMYFUNCTION("""COMPUTED_VALUE"""),67.0)</f>
        <v>67</v>
      </c>
      <c r="F4668" s="19" t="str">
        <f>IFERROR(__xludf.DUMMYFUNCTION("""COMPUTED_VALUE"""),"BLACK")</f>
        <v>BLACK</v>
      </c>
      <c r="G4668" s="20" t="str">
        <f>IFERROR(__xludf.DUMMYFUNCTION("""COMPUTED_VALUE"""),"Uncle Sams Cider (11/12/2021) 02")</f>
        <v>Uncle Sams Cider (11/12/2021) 02</v>
      </c>
      <c r="H4668" s="19"/>
    </row>
    <row r="4669">
      <c r="A4669" s="9"/>
      <c r="B4669" s="15"/>
      <c r="C4669" s="9">
        <f>IFERROR(__xludf.DUMMYFUNCTION("""COMPUTED_VALUE"""),44556.4786529629)</f>
        <v>44556.47865</v>
      </c>
      <c r="D4669" s="15">
        <f>IFERROR(__xludf.DUMMYFUNCTION("""COMPUTED_VALUE"""),1.013)</f>
        <v>1.013</v>
      </c>
      <c r="E4669" s="16">
        <f>IFERROR(__xludf.DUMMYFUNCTION("""COMPUTED_VALUE"""),67.0)</f>
        <v>67</v>
      </c>
      <c r="F4669" s="19" t="str">
        <f>IFERROR(__xludf.DUMMYFUNCTION("""COMPUTED_VALUE"""),"BLACK")</f>
        <v>BLACK</v>
      </c>
      <c r="G4669" s="20" t="str">
        <f>IFERROR(__xludf.DUMMYFUNCTION("""COMPUTED_VALUE"""),"Uncle Sams Cider (11/12/2021) 02")</f>
        <v>Uncle Sams Cider (11/12/2021) 02</v>
      </c>
      <c r="H4669" s="19"/>
    </row>
    <row r="4670">
      <c r="A4670" s="9"/>
      <c r="B4670" s="15"/>
      <c r="C4670" s="9">
        <f>IFERROR(__xludf.DUMMYFUNCTION("""COMPUTED_VALUE"""),44556.4682192361)</f>
        <v>44556.46822</v>
      </c>
      <c r="D4670" s="15">
        <f>IFERROR(__xludf.DUMMYFUNCTION("""COMPUTED_VALUE"""),1.013)</f>
        <v>1.013</v>
      </c>
      <c r="E4670" s="16">
        <f>IFERROR(__xludf.DUMMYFUNCTION("""COMPUTED_VALUE"""),67.0)</f>
        <v>67</v>
      </c>
      <c r="F4670" s="19" t="str">
        <f>IFERROR(__xludf.DUMMYFUNCTION("""COMPUTED_VALUE"""),"BLACK")</f>
        <v>BLACK</v>
      </c>
      <c r="G4670" s="20" t="str">
        <f>IFERROR(__xludf.DUMMYFUNCTION("""COMPUTED_VALUE"""),"Uncle Sams Cider (11/12/2021) 02")</f>
        <v>Uncle Sams Cider (11/12/2021) 02</v>
      </c>
      <c r="H4670" s="19"/>
    </row>
    <row r="4671">
      <c r="A4671" s="9"/>
      <c r="B4671" s="15"/>
      <c r="C4671" s="9">
        <f>IFERROR(__xludf.DUMMYFUNCTION("""COMPUTED_VALUE"""),44556.4577875231)</f>
        <v>44556.45779</v>
      </c>
      <c r="D4671" s="15">
        <f>IFERROR(__xludf.DUMMYFUNCTION("""COMPUTED_VALUE"""),1.013)</f>
        <v>1.013</v>
      </c>
      <c r="E4671" s="16">
        <f>IFERROR(__xludf.DUMMYFUNCTION("""COMPUTED_VALUE"""),67.0)</f>
        <v>67</v>
      </c>
      <c r="F4671" s="19" t="str">
        <f>IFERROR(__xludf.DUMMYFUNCTION("""COMPUTED_VALUE"""),"BLACK")</f>
        <v>BLACK</v>
      </c>
      <c r="G4671" s="20" t="str">
        <f>IFERROR(__xludf.DUMMYFUNCTION("""COMPUTED_VALUE"""),"Uncle Sams Cider (11/12/2021) 02")</f>
        <v>Uncle Sams Cider (11/12/2021) 02</v>
      </c>
      <c r="H4671" s="19"/>
    </row>
    <row r="4672">
      <c r="A4672" s="9"/>
      <c r="B4672" s="15"/>
      <c r="C4672" s="9">
        <f>IFERROR(__xludf.DUMMYFUNCTION("""COMPUTED_VALUE"""),44556.4473665856)</f>
        <v>44556.44737</v>
      </c>
      <c r="D4672" s="15">
        <f>IFERROR(__xludf.DUMMYFUNCTION("""COMPUTED_VALUE"""),1.013)</f>
        <v>1.013</v>
      </c>
      <c r="E4672" s="16">
        <f>IFERROR(__xludf.DUMMYFUNCTION("""COMPUTED_VALUE"""),67.0)</f>
        <v>67</v>
      </c>
      <c r="F4672" s="19" t="str">
        <f>IFERROR(__xludf.DUMMYFUNCTION("""COMPUTED_VALUE"""),"BLACK")</f>
        <v>BLACK</v>
      </c>
      <c r="G4672" s="20" t="str">
        <f>IFERROR(__xludf.DUMMYFUNCTION("""COMPUTED_VALUE"""),"Uncle Sams Cider (11/12/2021) 02")</f>
        <v>Uncle Sams Cider (11/12/2021) 02</v>
      </c>
      <c r="H4672" s="19"/>
    </row>
    <row r="4673">
      <c r="A4673" s="9"/>
      <c r="B4673" s="15"/>
      <c r="C4673" s="9">
        <f>IFERROR(__xludf.DUMMYFUNCTION("""COMPUTED_VALUE"""),44556.4369233217)</f>
        <v>44556.43692</v>
      </c>
      <c r="D4673" s="15">
        <f>IFERROR(__xludf.DUMMYFUNCTION("""COMPUTED_VALUE"""),1.014)</f>
        <v>1.014</v>
      </c>
      <c r="E4673" s="16">
        <f>IFERROR(__xludf.DUMMYFUNCTION("""COMPUTED_VALUE"""),67.0)</f>
        <v>67</v>
      </c>
      <c r="F4673" s="19" t="str">
        <f>IFERROR(__xludf.DUMMYFUNCTION("""COMPUTED_VALUE"""),"BLACK")</f>
        <v>BLACK</v>
      </c>
      <c r="G4673" s="20" t="str">
        <f>IFERROR(__xludf.DUMMYFUNCTION("""COMPUTED_VALUE"""),"Uncle Sams Cider (11/12/2021) 02")</f>
        <v>Uncle Sams Cider (11/12/2021) 02</v>
      </c>
      <c r="H4673" s="19"/>
    </row>
    <row r="4674">
      <c r="A4674" s="9"/>
      <c r="B4674" s="15"/>
      <c r="C4674" s="9">
        <f>IFERROR(__xludf.DUMMYFUNCTION("""COMPUTED_VALUE"""),44556.4264903588)</f>
        <v>44556.42649</v>
      </c>
      <c r="D4674" s="15">
        <f>IFERROR(__xludf.DUMMYFUNCTION("""COMPUTED_VALUE"""),1.013)</f>
        <v>1.013</v>
      </c>
      <c r="E4674" s="16">
        <f>IFERROR(__xludf.DUMMYFUNCTION("""COMPUTED_VALUE"""),67.0)</f>
        <v>67</v>
      </c>
      <c r="F4674" s="19" t="str">
        <f>IFERROR(__xludf.DUMMYFUNCTION("""COMPUTED_VALUE"""),"BLACK")</f>
        <v>BLACK</v>
      </c>
      <c r="G4674" s="20" t="str">
        <f>IFERROR(__xludf.DUMMYFUNCTION("""COMPUTED_VALUE"""),"Uncle Sams Cider (11/12/2021) 02")</f>
        <v>Uncle Sams Cider (11/12/2021) 02</v>
      </c>
      <c r="H4674" s="19"/>
    </row>
    <row r="4675">
      <c r="A4675" s="9"/>
      <c r="B4675" s="15"/>
      <c r="C4675" s="9">
        <f>IFERROR(__xludf.DUMMYFUNCTION("""COMPUTED_VALUE"""),44556.4159999189)</f>
        <v>44556.416</v>
      </c>
      <c r="D4675" s="15">
        <f>IFERROR(__xludf.DUMMYFUNCTION("""COMPUTED_VALUE"""),1.013)</f>
        <v>1.013</v>
      </c>
      <c r="E4675" s="16">
        <f>IFERROR(__xludf.DUMMYFUNCTION("""COMPUTED_VALUE"""),67.0)</f>
        <v>67</v>
      </c>
      <c r="F4675" s="19" t="str">
        <f>IFERROR(__xludf.DUMMYFUNCTION("""COMPUTED_VALUE"""),"BLACK")</f>
        <v>BLACK</v>
      </c>
      <c r="G4675" s="20" t="str">
        <f>IFERROR(__xludf.DUMMYFUNCTION("""COMPUTED_VALUE"""),"Uncle Sams Cider (11/12/2021) 02")</f>
        <v>Uncle Sams Cider (11/12/2021) 02</v>
      </c>
      <c r="H4675" s="19"/>
    </row>
    <row r="4676">
      <c r="A4676" s="9"/>
      <c r="B4676" s="15"/>
      <c r="C4676" s="9">
        <f>IFERROR(__xludf.DUMMYFUNCTION("""COMPUTED_VALUE"""),44556.4055798958)</f>
        <v>44556.40558</v>
      </c>
      <c r="D4676" s="15">
        <f>IFERROR(__xludf.DUMMYFUNCTION("""COMPUTED_VALUE"""),1.014)</f>
        <v>1.014</v>
      </c>
      <c r="E4676" s="16">
        <f>IFERROR(__xludf.DUMMYFUNCTION("""COMPUTED_VALUE"""),67.0)</f>
        <v>67</v>
      </c>
      <c r="F4676" s="19" t="str">
        <f>IFERROR(__xludf.DUMMYFUNCTION("""COMPUTED_VALUE"""),"BLACK")</f>
        <v>BLACK</v>
      </c>
      <c r="G4676" s="20" t="str">
        <f>IFERROR(__xludf.DUMMYFUNCTION("""COMPUTED_VALUE"""),"Uncle Sams Cider (11/12/2021) 02")</f>
        <v>Uncle Sams Cider (11/12/2021) 02</v>
      </c>
      <c r="H4676" s="19"/>
    </row>
    <row r="4677">
      <c r="A4677" s="9"/>
      <c r="B4677" s="15"/>
      <c r="C4677" s="9">
        <f>IFERROR(__xludf.DUMMYFUNCTION("""COMPUTED_VALUE"""),44556.3951474421)</f>
        <v>44556.39515</v>
      </c>
      <c r="D4677" s="15">
        <f>IFERROR(__xludf.DUMMYFUNCTION("""COMPUTED_VALUE"""),1.013)</f>
        <v>1.013</v>
      </c>
      <c r="E4677" s="16">
        <f>IFERROR(__xludf.DUMMYFUNCTION("""COMPUTED_VALUE"""),67.0)</f>
        <v>67</v>
      </c>
      <c r="F4677" s="19" t="str">
        <f>IFERROR(__xludf.DUMMYFUNCTION("""COMPUTED_VALUE"""),"BLACK")</f>
        <v>BLACK</v>
      </c>
      <c r="G4677" s="20" t="str">
        <f>IFERROR(__xludf.DUMMYFUNCTION("""COMPUTED_VALUE"""),"Uncle Sams Cider (11/12/2021) 02")</f>
        <v>Uncle Sams Cider (11/12/2021) 02</v>
      </c>
      <c r="H4677" s="19"/>
    </row>
    <row r="4678">
      <c r="A4678" s="9"/>
      <c r="B4678" s="15"/>
      <c r="C4678" s="9">
        <f>IFERROR(__xludf.DUMMYFUNCTION("""COMPUTED_VALUE"""),44556.3847268287)</f>
        <v>44556.38473</v>
      </c>
      <c r="D4678" s="15">
        <f>IFERROR(__xludf.DUMMYFUNCTION("""COMPUTED_VALUE"""),1.013)</f>
        <v>1.013</v>
      </c>
      <c r="E4678" s="16">
        <f>IFERROR(__xludf.DUMMYFUNCTION("""COMPUTED_VALUE"""),67.0)</f>
        <v>67</v>
      </c>
      <c r="F4678" s="19" t="str">
        <f>IFERROR(__xludf.DUMMYFUNCTION("""COMPUTED_VALUE"""),"BLACK")</f>
        <v>BLACK</v>
      </c>
      <c r="G4678" s="20" t="str">
        <f>IFERROR(__xludf.DUMMYFUNCTION("""COMPUTED_VALUE"""),"Uncle Sams Cider (11/12/2021) 02")</f>
        <v>Uncle Sams Cider (11/12/2021) 02</v>
      </c>
      <c r="H4678" s="19"/>
    </row>
    <row r="4679">
      <c r="A4679" s="9"/>
      <c r="B4679" s="15"/>
      <c r="C4679" s="9">
        <f>IFERROR(__xludf.DUMMYFUNCTION("""COMPUTED_VALUE"""),44556.3742949305)</f>
        <v>44556.37429</v>
      </c>
      <c r="D4679" s="15">
        <f>IFERROR(__xludf.DUMMYFUNCTION("""COMPUTED_VALUE"""),1.014)</f>
        <v>1.014</v>
      </c>
      <c r="E4679" s="16">
        <f>IFERROR(__xludf.DUMMYFUNCTION("""COMPUTED_VALUE"""),67.0)</f>
        <v>67</v>
      </c>
      <c r="F4679" s="19" t="str">
        <f>IFERROR(__xludf.DUMMYFUNCTION("""COMPUTED_VALUE"""),"BLACK")</f>
        <v>BLACK</v>
      </c>
      <c r="G4679" s="20" t="str">
        <f>IFERROR(__xludf.DUMMYFUNCTION("""COMPUTED_VALUE"""),"Uncle Sams Cider (11/12/2021) 02")</f>
        <v>Uncle Sams Cider (11/12/2021) 02</v>
      </c>
      <c r="H4679" s="19"/>
    </row>
    <row r="4680">
      <c r="A4680" s="9"/>
      <c r="B4680" s="15"/>
      <c r="C4680" s="9">
        <f>IFERROR(__xludf.DUMMYFUNCTION("""COMPUTED_VALUE"""),44556.3638745717)</f>
        <v>44556.36387</v>
      </c>
      <c r="D4680" s="15">
        <f>IFERROR(__xludf.DUMMYFUNCTION("""COMPUTED_VALUE"""),1.013)</f>
        <v>1.013</v>
      </c>
      <c r="E4680" s="16">
        <f>IFERROR(__xludf.DUMMYFUNCTION("""COMPUTED_VALUE"""),67.0)</f>
        <v>67</v>
      </c>
      <c r="F4680" s="19" t="str">
        <f>IFERROR(__xludf.DUMMYFUNCTION("""COMPUTED_VALUE"""),"BLACK")</f>
        <v>BLACK</v>
      </c>
      <c r="G4680" s="20" t="str">
        <f>IFERROR(__xludf.DUMMYFUNCTION("""COMPUTED_VALUE"""),"Uncle Sams Cider (11/12/2021) 02")</f>
        <v>Uncle Sams Cider (11/12/2021) 02</v>
      </c>
      <c r="H4680" s="19"/>
    </row>
    <row r="4681">
      <c r="A4681" s="9"/>
      <c r="B4681" s="15"/>
      <c r="C4681" s="9">
        <f>IFERROR(__xludf.DUMMYFUNCTION("""COMPUTED_VALUE"""),44556.3534306481)</f>
        <v>44556.35343</v>
      </c>
      <c r="D4681" s="15">
        <f>IFERROR(__xludf.DUMMYFUNCTION("""COMPUTED_VALUE"""),1.013)</f>
        <v>1.013</v>
      </c>
      <c r="E4681" s="16">
        <f>IFERROR(__xludf.DUMMYFUNCTION("""COMPUTED_VALUE"""),67.0)</f>
        <v>67</v>
      </c>
      <c r="F4681" s="19" t="str">
        <f>IFERROR(__xludf.DUMMYFUNCTION("""COMPUTED_VALUE"""),"BLACK")</f>
        <v>BLACK</v>
      </c>
      <c r="G4681" s="20" t="str">
        <f>IFERROR(__xludf.DUMMYFUNCTION("""COMPUTED_VALUE"""),"Uncle Sams Cider (11/12/2021) 02")</f>
        <v>Uncle Sams Cider (11/12/2021) 02</v>
      </c>
      <c r="H4681" s="19"/>
    </row>
    <row r="4682">
      <c r="A4682" s="9"/>
      <c r="B4682" s="15"/>
      <c r="C4682" s="9">
        <f>IFERROR(__xludf.DUMMYFUNCTION("""COMPUTED_VALUE"""),44556.3429974999)</f>
        <v>44556.343</v>
      </c>
      <c r="D4682" s="15">
        <f>IFERROR(__xludf.DUMMYFUNCTION("""COMPUTED_VALUE"""),1.013)</f>
        <v>1.013</v>
      </c>
      <c r="E4682" s="16">
        <f>IFERROR(__xludf.DUMMYFUNCTION("""COMPUTED_VALUE"""),67.0)</f>
        <v>67</v>
      </c>
      <c r="F4682" s="19" t="str">
        <f>IFERROR(__xludf.DUMMYFUNCTION("""COMPUTED_VALUE"""),"BLACK")</f>
        <v>BLACK</v>
      </c>
      <c r="G4682" s="20" t="str">
        <f>IFERROR(__xludf.DUMMYFUNCTION("""COMPUTED_VALUE"""),"Uncle Sams Cider (11/12/2021) 02")</f>
        <v>Uncle Sams Cider (11/12/2021) 02</v>
      </c>
      <c r="H4682" s="19"/>
    </row>
    <row r="4683">
      <c r="A4683" s="9"/>
      <c r="B4683" s="15"/>
      <c r="C4683" s="9">
        <f>IFERROR(__xludf.DUMMYFUNCTION("""COMPUTED_VALUE"""),44556.3325752662)</f>
        <v>44556.33258</v>
      </c>
      <c r="D4683" s="15">
        <f>IFERROR(__xludf.DUMMYFUNCTION("""COMPUTED_VALUE"""),1.013)</f>
        <v>1.013</v>
      </c>
      <c r="E4683" s="16">
        <f>IFERROR(__xludf.DUMMYFUNCTION("""COMPUTED_VALUE"""),67.0)</f>
        <v>67</v>
      </c>
      <c r="F4683" s="19" t="str">
        <f>IFERROR(__xludf.DUMMYFUNCTION("""COMPUTED_VALUE"""),"BLACK")</f>
        <v>BLACK</v>
      </c>
      <c r="G4683" s="20" t="str">
        <f>IFERROR(__xludf.DUMMYFUNCTION("""COMPUTED_VALUE"""),"Uncle Sams Cider (11/12/2021) 02")</f>
        <v>Uncle Sams Cider (11/12/2021) 02</v>
      </c>
      <c r="H4683" s="19"/>
    </row>
    <row r="4684">
      <c r="A4684" s="9"/>
      <c r="B4684" s="15"/>
      <c r="C4684" s="9">
        <f>IFERROR(__xludf.DUMMYFUNCTION("""COMPUTED_VALUE"""),44556.3221415162)</f>
        <v>44556.32214</v>
      </c>
      <c r="D4684" s="15">
        <f>IFERROR(__xludf.DUMMYFUNCTION("""COMPUTED_VALUE"""),1.013)</f>
        <v>1.013</v>
      </c>
      <c r="E4684" s="16">
        <f>IFERROR(__xludf.DUMMYFUNCTION("""COMPUTED_VALUE"""),68.0)</f>
        <v>68</v>
      </c>
      <c r="F4684" s="19" t="str">
        <f>IFERROR(__xludf.DUMMYFUNCTION("""COMPUTED_VALUE"""),"BLACK")</f>
        <v>BLACK</v>
      </c>
      <c r="G4684" s="20" t="str">
        <f>IFERROR(__xludf.DUMMYFUNCTION("""COMPUTED_VALUE"""),"Uncle Sams Cider (11/12/2021) 02")</f>
        <v>Uncle Sams Cider (11/12/2021) 02</v>
      </c>
      <c r="H4684" s="19"/>
    </row>
    <row r="4685">
      <c r="A4685" s="9"/>
      <c r="B4685" s="15"/>
      <c r="C4685" s="9">
        <f>IFERROR(__xludf.DUMMYFUNCTION("""COMPUTED_VALUE"""),44556.3117194444)</f>
        <v>44556.31172</v>
      </c>
      <c r="D4685" s="15">
        <f>IFERROR(__xludf.DUMMYFUNCTION("""COMPUTED_VALUE"""),1.013)</f>
        <v>1.013</v>
      </c>
      <c r="E4685" s="16">
        <f>IFERROR(__xludf.DUMMYFUNCTION("""COMPUTED_VALUE"""),68.0)</f>
        <v>68</v>
      </c>
      <c r="F4685" s="19" t="str">
        <f>IFERROR(__xludf.DUMMYFUNCTION("""COMPUTED_VALUE"""),"BLACK")</f>
        <v>BLACK</v>
      </c>
      <c r="G4685" s="20" t="str">
        <f>IFERROR(__xludf.DUMMYFUNCTION("""COMPUTED_VALUE"""),"Uncle Sams Cider (11/12/2021) 02")</f>
        <v>Uncle Sams Cider (11/12/2021) 02</v>
      </c>
      <c r="H4685" s="19"/>
    </row>
    <row r="4686">
      <c r="A4686" s="9"/>
      <c r="B4686" s="15"/>
      <c r="C4686" s="9">
        <f>IFERROR(__xludf.DUMMYFUNCTION("""COMPUTED_VALUE"""),44556.3012752662)</f>
        <v>44556.30128</v>
      </c>
      <c r="D4686" s="15">
        <f>IFERROR(__xludf.DUMMYFUNCTION("""COMPUTED_VALUE"""),1.013)</f>
        <v>1.013</v>
      </c>
      <c r="E4686" s="16">
        <f>IFERROR(__xludf.DUMMYFUNCTION("""COMPUTED_VALUE"""),68.0)</f>
        <v>68</v>
      </c>
      <c r="F4686" s="19" t="str">
        <f>IFERROR(__xludf.DUMMYFUNCTION("""COMPUTED_VALUE"""),"BLACK")</f>
        <v>BLACK</v>
      </c>
      <c r="G4686" s="20" t="str">
        <f>IFERROR(__xludf.DUMMYFUNCTION("""COMPUTED_VALUE"""),"Uncle Sams Cider (11/12/2021) 02")</f>
        <v>Uncle Sams Cider (11/12/2021) 02</v>
      </c>
      <c r="H4686" s="19"/>
    </row>
    <row r="4687">
      <c r="A4687" s="9"/>
      <c r="B4687" s="15"/>
      <c r="C4687" s="9">
        <f>IFERROR(__xludf.DUMMYFUNCTION("""COMPUTED_VALUE"""),44556.2908418055)</f>
        <v>44556.29084</v>
      </c>
      <c r="D4687" s="15">
        <f>IFERROR(__xludf.DUMMYFUNCTION("""COMPUTED_VALUE"""),1.014)</f>
        <v>1.014</v>
      </c>
      <c r="E4687" s="16">
        <f>IFERROR(__xludf.DUMMYFUNCTION("""COMPUTED_VALUE"""),68.0)</f>
        <v>68</v>
      </c>
      <c r="F4687" s="19" t="str">
        <f>IFERROR(__xludf.DUMMYFUNCTION("""COMPUTED_VALUE"""),"BLACK")</f>
        <v>BLACK</v>
      </c>
      <c r="G4687" s="20" t="str">
        <f>IFERROR(__xludf.DUMMYFUNCTION("""COMPUTED_VALUE"""),"Uncle Sams Cider (11/12/2021) 02")</f>
        <v>Uncle Sams Cider (11/12/2021) 02</v>
      </c>
      <c r="H4687" s="19"/>
    </row>
    <row r="4688">
      <c r="A4688" s="9"/>
      <c r="B4688" s="15"/>
      <c r="C4688" s="9">
        <f>IFERROR(__xludf.DUMMYFUNCTION("""COMPUTED_VALUE"""),44556.2803858912)</f>
        <v>44556.28039</v>
      </c>
      <c r="D4688" s="15">
        <f>IFERROR(__xludf.DUMMYFUNCTION("""COMPUTED_VALUE"""),1.013)</f>
        <v>1.013</v>
      </c>
      <c r="E4688" s="16">
        <f>IFERROR(__xludf.DUMMYFUNCTION("""COMPUTED_VALUE"""),68.0)</f>
        <v>68</v>
      </c>
      <c r="F4688" s="19" t="str">
        <f>IFERROR(__xludf.DUMMYFUNCTION("""COMPUTED_VALUE"""),"BLACK")</f>
        <v>BLACK</v>
      </c>
      <c r="G4688" s="20" t="str">
        <f>IFERROR(__xludf.DUMMYFUNCTION("""COMPUTED_VALUE"""),"Uncle Sams Cider (11/12/2021) 02")</f>
        <v>Uncle Sams Cider (11/12/2021) 02</v>
      </c>
      <c r="H4688" s="19"/>
    </row>
    <row r="4689">
      <c r="A4689" s="9"/>
      <c r="B4689" s="15"/>
      <c r="C4689" s="9">
        <f>IFERROR(__xludf.DUMMYFUNCTION("""COMPUTED_VALUE"""),44556.2699525694)</f>
        <v>44556.26995</v>
      </c>
      <c r="D4689" s="15">
        <f>IFERROR(__xludf.DUMMYFUNCTION("""COMPUTED_VALUE"""),1.013)</f>
        <v>1.013</v>
      </c>
      <c r="E4689" s="16">
        <f>IFERROR(__xludf.DUMMYFUNCTION("""COMPUTED_VALUE"""),68.0)</f>
        <v>68</v>
      </c>
      <c r="F4689" s="19" t="str">
        <f>IFERROR(__xludf.DUMMYFUNCTION("""COMPUTED_VALUE"""),"BLACK")</f>
        <v>BLACK</v>
      </c>
      <c r="G4689" s="20" t="str">
        <f>IFERROR(__xludf.DUMMYFUNCTION("""COMPUTED_VALUE"""),"Uncle Sams Cider (11/12/2021) 02")</f>
        <v>Uncle Sams Cider (11/12/2021) 02</v>
      </c>
      <c r="H4689" s="19"/>
    </row>
    <row r="4690">
      <c r="A4690" s="9"/>
      <c r="B4690" s="15"/>
      <c r="C4690" s="9">
        <f>IFERROR(__xludf.DUMMYFUNCTION("""COMPUTED_VALUE"""),44556.2595202662)</f>
        <v>44556.25952</v>
      </c>
      <c r="D4690" s="15">
        <f>IFERROR(__xludf.DUMMYFUNCTION("""COMPUTED_VALUE"""),1.013)</f>
        <v>1.013</v>
      </c>
      <c r="E4690" s="16">
        <f>IFERROR(__xludf.DUMMYFUNCTION("""COMPUTED_VALUE"""),68.0)</f>
        <v>68</v>
      </c>
      <c r="F4690" s="19" t="str">
        <f>IFERROR(__xludf.DUMMYFUNCTION("""COMPUTED_VALUE"""),"BLACK")</f>
        <v>BLACK</v>
      </c>
      <c r="G4690" s="20" t="str">
        <f>IFERROR(__xludf.DUMMYFUNCTION("""COMPUTED_VALUE"""),"Uncle Sams Cider (11/12/2021) 02")</f>
        <v>Uncle Sams Cider (11/12/2021) 02</v>
      </c>
      <c r="H4690" s="19"/>
    </row>
    <row r="4691">
      <c r="A4691" s="9"/>
      <c r="B4691" s="15"/>
      <c r="C4691" s="9">
        <f>IFERROR(__xludf.DUMMYFUNCTION("""COMPUTED_VALUE"""),44556.2490527546)</f>
        <v>44556.24905</v>
      </c>
      <c r="D4691" s="15">
        <f>IFERROR(__xludf.DUMMYFUNCTION("""COMPUTED_VALUE"""),1.014)</f>
        <v>1.014</v>
      </c>
      <c r="E4691" s="16">
        <f>IFERROR(__xludf.DUMMYFUNCTION("""COMPUTED_VALUE"""),68.0)</f>
        <v>68</v>
      </c>
      <c r="F4691" s="19" t="str">
        <f>IFERROR(__xludf.DUMMYFUNCTION("""COMPUTED_VALUE"""),"BLACK")</f>
        <v>BLACK</v>
      </c>
      <c r="G4691" s="20" t="str">
        <f>IFERROR(__xludf.DUMMYFUNCTION("""COMPUTED_VALUE"""),"Uncle Sams Cider (11/12/2021) 02")</f>
        <v>Uncle Sams Cider (11/12/2021) 02</v>
      </c>
      <c r="H4691" s="19"/>
    </row>
    <row r="4692">
      <c r="A4692" s="9"/>
      <c r="B4692" s="15"/>
      <c r="C4692" s="9">
        <f>IFERROR(__xludf.DUMMYFUNCTION("""COMPUTED_VALUE"""),44556.2386195833)</f>
        <v>44556.23862</v>
      </c>
      <c r="D4692" s="15">
        <f>IFERROR(__xludf.DUMMYFUNCTION("""COMPUTED_VALUE"""),1.013)</f>
        <v>1.013</v>
      </c>
      <c r="E4692" s="16">
        <f>IFERROR(__xludf.DUMMYFUNCTION("""COMPUTED_VALUE"""),68.0)</f>
        <v>68</v>
      </c>
      <c r="F4692" s="19" t="str">
        <f>IFERROR(__xludf.DUMMYFUNCTION("""COMPUTED_VALUE"""),"BLACK")</f>
        <v>BLACK</v>
      </c>
      <c r="G4692" s="20" t="str">
        <f>IFERROR(__xludf.DUMMYFUNCTION("""COMPUTED_VALUE"""),"Uncle Sams Cider (11/12/2021) 02")</f>
        <v>Uncle Sams Cider (11/12/2021) 02</v>
      </c>
      <c r="H4692" s="19"/>
    </row>
    <row r="4693">
      <c r="A4693" s="9"/>
      <c r="B4693" s="15"/>
      <c r="C4693" s="9">
        <f>IFERROR(__xludf.DUMMYFUNCTION("""COMPUTED_VALUE"""),44556.2281741203)</f>
        <v>44556.22817</v>
      </c>
      <c r="D4693" s="15">
        <f>IFERROR(__xludf.DUMMYFUNCTION("""COMPUTED_VALUE"""),1.013)</f>
        <v>1.013</v>
      </c>
      <c r="E4693" s="16">
        <f>IFERROR(__xludf.DUMMYFUNCTION("""COMPUTED_VALUE"""),68.0)</f>
        <v>68</v>
      </c>
      <c r="F4693" s="19" t="str">
        <f>IFERROR(__xludf.DUMMYFUNCTION("""COMPUTED_VALUE"""),"BLACK")</f>
        <v>BLACK</v>
      </c>
      <c r="G4693" s="20" t="str">
        <f>IFERROR(__xludf.DUMMYFUNCTION("""COMPUTED_VALUE"""),"Uncle Sams Cider (11/12/2021) 02")</f>
        <v>Uncle Sams Cider (11/12/2021) 02</v>
      </c>
      <c r="H4693" s="19"/>
    </row>
    <row r="4694">
      <c r="A4694" s="9"/>
      <c r="B4694" s="15"/>
      <c r="C4694" s="9">
        <f>IFERROR(__xludf.DUMMYFUNCTION("""COMPUTED_VALUE"""),44556.2177289004)</f>
        <v>44556.21773</v>
      </c>
      <c r="D4694" s="15">
        <f>IFERROR(__xludf.DUMMYFUNCTION("""COMPUTED_VALUE"""),1.013)</f>
        <v>1.013</v>
      </c>
      <c r="E4694" s="16">
        <f>IFERROR(__xludf.DUMMYFUNCTION("""COMPUTED_VALUE"""),68.0)</f>
        <v>68</v>
      </c>
      <c r="F4694" s="19" t="str">
        <f>IFERROR(__xludf.DUMMYFUNCTION("""COMPUTED_VALUE"""),"BLACK")</f>
        <v>BLACK</v>
      </c>
      <c r="G4694" s="20" t="str">
        <f>IFERROR(__xludf.DUMMYFUNCTION("""COMPUTED_VALUE"""),"Uncle Sams Cider (11/12/2021) 02")</f>
        <v>Uncle Sams Cider (11/12/2021) 02</v>
      </c>
      <c r="H4694" s="19"/>
    </row>
    <row r="4695">
      <c r="A4695" s="9"/>
      <c r="B4695" s="15"/>
      <c r="C4695" s="9">
        <f>IFERROR(__xludf.DUMMYFUNCTION("""COMPUTED_VALUE"""),44556.207307037)</f>
        <v>44556.20731</v>
      </c>
      <c r="D4695" s="15">
        <f>IFERROR(__xludf.DUMMYFUNCTION("""COMPUTED_VALUE"""),1.013)</f>
        <v>1.013</v>
      </c>
      <c r="E4695" s="16">
        <f>IFERROR(__xludf.DUMMYFUNCTION("""COMPUTED_VALUE"""),68.0)</f>
        <v>68</v>
      </c>
      <c r="F4695" s="19" t="str">
        <f>IFERROR(__xludf.DUMMYFUNCTION("""COMPUTED_VALUE"""),"BLACK")</f>
        <v>BLACK</v>
      </c>
      <c r="G4695" s="20" t="str">
        <f>IFERROR(__xludf.DUMMYFUNCTION("""COMPUTED_VALUE"""),"Uncle Sams Cider (11/12/2021) 02")</f>
        <v>Uncle Sams Cider (11/12/2021) 02</v>
      </c>
      <c r="H4695" s="19"/>
    </row>
    <row r="4696">
      <c r="A4696" s="9"/>
      <c r="B4696" s="15"/>
      <c r="C4696" s="9">
        <f>IFERROR(__xludf.DUMMYFUNCTION("""COMPUTED_VALUE"""),44556.1968848495)</f>
        <v>44556.19688</v>
      </c>
      <c r="D4696" s="15">
        <f>IFERROR(__xludf.DUMMYFUNCTION("""COMPUTED_VALUE"""),1.014)</f>
        <v>1.014</v>
      </c>
      <c r="E4696" s="16">
        <f>IFERROR(__xludf.DUMMYFUNCTION("""COMPUTED_VALUE"""),68.0)</f>
        <v>68</v>
      </c>
      <c r="F4696" s="19" t="str">
        <f>IFERROR(__xludf.DUMMYFUNCTION("""COMPUTED_VALUE"""),"BLACK")</f>
        <v>BLACK</v>
      </c>
      <c r="G4696" s="20" t="str">
        <f>IFERROR(__xludf.DUMMYFUNCTION("""COMPUTED_VALUE"""),"Uncle Sams Cider (11/12/2021) 02")</f>
        <v>Uncle Sams Cider (11/12/2021) 02</v>
      </c>
      <c r="H4696" s="19"/>
    </row>
    <row r="4697">
      <c r="A4697" s="9"/>
      <c r="B4697" s="15"/>
      <c r="C4697" s="9">
        <f>IFERROR(__xludf.DUMMYFUNCTION("""COMPUTED_VALUE"""),44556.1864624421)</f>
        <v>44556.18646</v>
      </c>
      <c r="D4697" s="15">
        <f>IFERROR(__xludf.DUMMYFUNCTION("""COMPUTED_VALUE"""),1.013)</f>
        <v>1.013</v>
      </c>
      <c r="E4697" s="16">
        <f>IFERROR(__xludf.DUMMYFUNCTION("""COMPUTED_VALUE"""),68.0)</f>
        <v>68</v>
      </c>
      <c r="F4697" s="19" t="str">
        <f>IFERROR(__xludf.DUMMYFUNCTION("""COMPUTED_VALUE"""),"BLACK")</f>
        <v>BLACK</v>
      </c>
      <c r="G4697" s="20" t="str">
        <f>IFERROR(__xludf.DUMMYFUNCTION("""COMPUTED_VALUE"""),"Uncle Sams Cider (11/12/2021) 02")</f>
        <v>Uncle Sams Cider (11/12/2021) 02</v>
      </c>
      <c r="H4697" s="19"/>
    </row>
    <row r="4698">
      <c r="A4698" s="9"/>
      <c r="B4698" s="15"/>
      <c r="C4698" s="9">
        <f>IFERROR(__xludf.DUMMYFUNCTION("""COMPUTED_VALUE"""),44556.1760187847)</f>
        <v>44556.17602</v>
      </c>
      <c r="D4698" s="15">
        <f>IFERROR(__xludf.DUMMYFUNCTION("""COMPUTED_VALUE"""),1.014)</f>
        <v>1.014</v>
      </c>
      <c r="E4698" s="16">
        <f>IFERROR(__xludf.DUMMYFUNCTION("""COMPUTED_VALUE"""),68.0)</f>
        <v>68</v>
      </c>
      <c r="F4698" s="19" t="str">
        <f>IFERROR(__xludf.DUMMYFUNCTION("""COMPUTED_VALUE"""),"BLACK")</f>
        <v>BLACK</v>
      </c>
      <c r="G4698" s="20" t="str">
        <f>IFERROR(__xludf.DUMMYFUNCTION("""COMPUTED_VALUE"""),"Uncle Sams Cider (11/12/2021) 02")</f>
        <v>Uncle Sams Cider (11/12/2021) 02</v>
      </c>
      <c r="H4698" s="19"/>
    </row>
    <row r="4699">
      <c r="A4699" s="9"/>
      <c r="B4699" s="15"/>
      <c r="C4699" s="9">
        <f>IFERROR(__xludf.DUMMYFUNCTION("""COMPUTED_VALUE"""),44556.1655836226)</f>
        <v>44556.16558</v>
      </c>
      <c r="D4699" s="15">
        <f>IFERROR(__xludf.DUMMYFUNCTION("""COMPUTED_VALUE"""),1.013)</f>
        <v>1.013</v>
      </c>
      <c r="E4699" s="16">
        <f>IFERROR(__xludf.DUMMYFUNCTION("""COMPUTED_VALUE"""),68.0)</f>
        <v>68</v>
      </c>
      <c r="F4699" s="19" t="str">
        <f>IFERROR(__xludf.DUMMYFUNCTION("""COMPUTED_VALUE"""),"BLACK")</f>
        <v>BLACK</v>
      </c>
      <c r="G4699" s="20" t="str">
        <f>IFERROR(__xludf.DUMMYFUNCTION("""COMPUTED_VALUE"""),"Uncle Sams Cider (11/12/2021) 02")</f>
        <v>Uncle Sams Cider (11/12/2021) 02</v>
      </c>
      <c r="H4699" s="19"/>
    </row>
    <row r="4700">
      <c r="A4700" s="9"/>
      <c r="B4700" s="15"/>
      <c r="C4700" s="9">
        <f>IFERROR(__xludf.DUMMYFUNCTION("""COMPUTED_VALUE"""),44556.1550824074)</f>
        <v>44556.15508</v>
      </c>
      <c r="D4700" s="15">
        <f>IFERROR(__xludf.DUMMYFUNCTION("""COMPUTED_VALUE"""),1.014)</f>
        <v>1.014</v>
      </c>
      <c r="E4700" s="16">
        <f>IFERROR(__xludf.DUMMYFUNCTION("""COMPUTED_VALUE"""),68.0)</f>
        <v>68</v>
      </c>
      <c r="F4700" s="19" t="str">
        <f>IFERROR(__xludf.DUMMYFUNCTION("""COMPUTED_VALUE"""),"BLACK")</f>
        <v>BLACK</v>
      </c>
      <c r="G4700" s="20" t="str">
        <f>IFERROR(__xludf.DUMMYFUNCTION("""COMPUTED_VALUE"""),"Uncle Sams Cider (11/12/2021) 02")</f>
        <v>Uncle Sams Cider (11/12/2021) 02</v>
      </c>
      <c r="H4700" s="19"/>
    </row>
    <row r="4701">
      <c r="A4701" s="9"/>
      <c r="B4701" s="15"/>
      <c r="C4701" s="9">
        <f>IFERROR(__xludf.DUMMYFUNCTION("""COMPUTED_VALUE"""),44556.144649456)</f>
        <v>44556.14465</v>
      </c>
      <c r="D4701" s="15">
        <f>IFERROR(__xludf.DUMMYFUNCTION("""COMPUTED_VALUE"""),1.014)</f>
        <v>1.014</v>
      </c>
      <c r="E4701" s="16">
        <f>IFERROR(__xludf.DUMMYFUNCTION("""COMPUTED_VALUE"""),67.0)</f>
        <v>67</v>
      </c>
      <c r="F4701" s="19" t="str">
        <f>IFERROR(__xludf.DUMMYFUNCTION("""COMPUTED_VALUE"""),"BLACK")</f>
        <v>BLACK</v>
      </c>
      <c r="G4701" s="20" t="str">
        <f>IFERROR(__xludf.DUMMYFUNCTION("""COMPUTED_VALUE"""),"Uncle Sams Cider (11/12/2021) 02")</f>
        <v>Uncle Sams Cider (11/12/2021) 02</v>
      </c>
      <c r="H4701" s="19"/>
    </row>
    <row r="4702">
      <c r="A4702" s="9"/>
      <c r="B4702" s="15"/>
      <c r="C4702" s="9">
        <f>IFERROR(__xludf.DUMMYFUNCTION("""COMPUTED_VALUE"""),44556.1342294097)</f>
        <v>44556.13423</v>
      </c>
      <c r="D4702" s="15">
        <f>IFERROR(__xludf.DUMMYFUNCTION("""COMPUTED_VALUE"""),1.014)</f>
        <v>1.014</v>
      </c>
      <c r="E4702" s="16">
        <f>IFERROR(__xludf.DUMMYFUNCTION("""COMPUTED_VALUE"""),67.0)</f>
        <v>67</v>
      </c>
      <c r="F4702" s="19" t="str">
        <f>IFERROR(__xludf.DUMMYFUNCTION("""COMPUTED_VALUE"""),"BLACK")</f>
        <v>BLACK</v>
      </c>
      <c r="G4702" s="20" t="str">
        <f>IFERROR(__xludf.DUMMYFUNCTION("""COMPUTED_VALUE"""),"Uncle Sams Cider (11/12/2021) 02")</f>
        <v>Uncle Sams Cider (11/12/2021) 02</v>
      </c>
      <c r="H4702" s="19"/>
    </row>
    <row r="4703">
      <c r="A4703" s="9"/>
      <c r="B4703" s="15"/>
      <c r="C4703" s="9">
        <f>IFERROR(__xludf.DUMMYFUNCTION("""COMPUTED_VALUE"""),44556.1238085995)</f>
        <v>44556.12381</v>
      </c>
      <c r="D4703" s="15">
        <f>IFERROR(__xludf.DUMMYFUNCTION("""COMPUTED_VALUE"""),1.014)</f>
        <v>1.014</v>
      </c>
      <c r="E4703" s="16">
        <f>IFERROR(__xludf.DUMMYFUNCTION("""COMPUTED_VALUE"""),66.0)</f>
        <v>66</v>
      </c>
      <c r="F4703" s="19" t="str">
        <f>IFERROR(__xludf.DUMMYFUNCTION("""COMPUTED_VALUE"""),"BLACK")</f>
        <v>BLACK</v>
      </c>
      <c r="G4703" s="20" t="str">
        <f>IFERROR(__xludf.DUMMYFUNCTION("""COMPUTED_VALUE"""),"Uncle Sams Cider (11/12/2021) 02")</f>
        <v>Uncle Sams Cider (11/12/2021) 02</v>
      </c>
      <c r="H4703" s="19"/>
    </row>
    <row r="4704">
      <c r="A4704" s="9"/>
      <c r="B4704" s="15"/>
      <c r="C4704" s="9">
        <f>IFERROR(__xludf.DUMMYFUNCTION("""COMPUTED_VALUE"""),44556.1133535532)</f>
        <v>44556.11335</v>
      </c>
      <c r="D4704" s="15">
        <f>IFERROR(__xludf.DUMMYFUNCTION("""COMPUTED_VALUE"""),1.014)</f>
        <v>1.014</v>
      </c>
      <c r="E4704" s="16">
        <f>IFERROR(__xludf.DUMMYFUNCTION("""COMPUTED_VALUE"""),66.0)</f>
        <v>66</v>
      </c>
      <c r="F4704" s="19" t="str">
        <f>IFERROR(__xludf.DUMMYFUNCTION("""COMPUTED_VALUE"""),"BLACK")</f>
        <v>BLACK</v>
      </c>
      <c r="G4704" s="20" t="str">
        <f>IFERROR(__xludf.DUMMYFUNCTION("""COMPUTED_VALUE"""),"Uncle Sams Cider (11/12/2021) 02")</f>
        <v>Uncle Sams Cider (11/12/2021) 02</v>
      </c>
      <c r="H4704" s="19"/>
    </row>
    <row r="4705">
      <c r="A4705" s="9"/>
      <c r="B4705" s="15"/>
      <c r="C4705" s="9">
        <f>IFERROR(__xludf.DUMMYFUNCTION("""COMPUTED_VALUE"""),44556.1029073495)</f>
        <v>44556.10291</v>
      </c>
      <c r="D4705" s="15">
        <f>IFERROR(__xludf.DUMMYFUNCTION("""COMPUTED_VALUE"""),1.014)</f>
        <v>1.014</v>
      </c>
      <c r="E4705" s="16">
        <f>IFERROR(__xludf.DUMMYFUNCTION("""COMPUTED_VALUE"""),65.0)</f>
        <v>65</v>
      </c>
      <c r="F4705" s="19" t="str">
        <f>IFERROR(__xludf.DUMMYFUNCTION("""COMPUTED_VALUE"""),"BLACK")</f>
        <v>BLACK</v>
      </c>
      <c r="G4705" s="20" t="str">
        <f>IFERROR(__xludf.DUMMYFUNCTION("""COMPUTED_VALUE"""),"Uncle Sams Cider (11/12/2021) 02")</f>
        <v>Uncle Sams Cider (11/12/2021) 02</v>
      </c>
      <c r="H4705" s="19"/>
    </row>
    <row r="4706">
      <c r="A4706" s="9"/>
      <c r="B4706" s="15"/>
      <c r="C4706" s="9">
        <f>IFERROR(__xludf.DUMMYFUNCTION("""COMPUTED_VALUE"""),44556.0924882291)</f>
        <v>44556.09249</v>
      </c>
      <c r="D4706" s="15">
        <f>IFERROR(__xludf.DUMMYFUNCTION("""COMPUTED_VALUE"""),1.014)</f>
        <v>1.014</v>
      </c>
      <c r="E4706" s="16">
        <f>IFERROR(__xludf.DUMMYFUNCTION("""COMPUTED_VALUE"""),65.0)</f>
        <v>65</v>
      </c>
      <c r="F4706" s="19" t="str">
        <f>IFERROR(__xludf.DUMMYFUNCTION("""COMPUTED_VALUE"""),"BLACK")</f>
        <v>BLACK</v>
      </c>
      <c r="G4706" s="20" t="str">
        <f>IFERROR(__xludf.DUMMYFUNCTION("""COMPUTED_VALUE"""),"Uncle Sams Cider (11/12/2021) 02")</f>
        <v>Uncle Sams Cider (11/12/2021) 02</v>
      </c>
      <c r="H4706" s="19"/>
    </row>
    <row r="4707">
      <c r="A4707" s="9"/>
      <c r="B4707" s="15"/>
      <c r="C4707" s="9">
        <f>IFERROR(__xludf.DUMMYFUNCTION("""COMPUTED_VALUE"""),44556.0820654745)</f>
        <v>44556.08207</v>
      </c>
      <c r="D4707" s="15">
        <f>IFERROR(__xludf.DUMMYFUNCTION("""COMPUTED_VALUE"""),1.014)</f>
        <v>1.014</v>
      </c>
      <c r="E4707" s="16">
        <f>IFERROR(__xludf.DUMMYFUNCTION("""COMPUTED_VALUE"""),64.0)</f>
        <v>64</v>
      </c>
      <c r="F4707" s="19" t="str">
        <f>IFERROR(__xludf.DUMMYFUNCTION("""COMPUTED_VALUE"""),"BLACK")</f>
        <v>BLACK</v>
      </c>
      <c r="G4707" s="20" t="str">
        <f>IFERROR(__xludf.DUMMYFUNCTION("""COMPUTED_VALUE"""),"Uncle Sams Cider (11/12/2021) 02")</f>
        <v>Uncle Sams Cider (11/12/2021) 02</v>
      </c>
      <c r="H4707" s="19"/>
    </row>
    <row r="4708">
      <c r="A4708" s="9"/>
      <c r="B4708" s="15"/>
      <c r="C4708" s="9">
        <f>IFERROR(__xludf.DUMMYFUNCTION("""COMPUTED_VALUE"""),44556.0716100462)</f>
        <v>44556.07161</v>
      </c>
      <c r="D4708" s="15">
        <f>IFERROR(__xludf.DUMMYFUNCTION("""COMPUTED_VALUE"""),1.014)</f>
        <v>1.014</v>
      </c>
      <c r="E4708" s="16">
        <f>IFERROR(__xludf.DUMMYFUNCTION("""COMPUTED_VALUE"""),64.0)</f>
        <v>64</v>
      </c>
      <c r="F4708" s="19" t="str">
        <f>IFERROR(__xludf.DUMMYFUNCTION("""COMPUTED_VALUE"""),"BLACK")</f>
        <v>BLACK</v>
      </c>
      <c r="G4708" s="20" t="str">
        <f>IFERROR(__xludf.DUMMYFUNCTION("""COMPUTED_VALUE"""),"Uncle Sams Cider (11/12/2021) 02")</f>
        <v>Uncle Sams Cider (11/12/2021) 02</v>
      </c>
      <c r="H4708" s="19"/>
    </row>
    <row r="4709">
      <c r="A4709" s="9"/>
      <c r="B4709" s="15"/>
      <c r="C4709" s="9">
        <f>IFERROR(__xludf.DUMMYFUNCTION("""COMPUTED_VALUE"""),44556.0611888773)</f>
        <v>44556.06119</v>
      </c>
      <c r="D4709" s="15">
        <f>IFERROR(__xludf.DUMMYFUNCTION("""COMPUTED_VALUE"""),1.014)</f>
        <v>1.014</v>
      </c>
      <c r="E4709" s="16">
        <f>IFERROR(__xludf.DUMMYFUNCTION("""COMPUTED_VALUE"""),63.0)</f>
        <v>63</v>
      </c>
      <c r="F4709" s="19" t="str">
        <f>IFERROR(__xludf.DUMMYFUNCTION("""COMPUTED_VALUE"""),"BLACK")</f>
        <v>BLACK</v>
      </c>
      <c r="G4709" s="20" t="str">
        <f>IFERROR(__xludf.DUMMYFUNCTION("""COMPUTED_VALUE"""),"Uncle Sams Cider (11/12/2021) 02")</f>
        <v>Uncle Sams Cider (11/12/2021) 02</v>
      </c>
      <c r="H4709" s="19"/>
    </row>
    <row r="4710">
      <c r="A4710" s="9"/>
      <c r="B4710" s="15"/>
      <c r="C4710" s="9">
        <f>IFERROR(__xludf.DUMMYFUNCTION("""COMPUTED_VALUE"""),44556.050767118)</f>
        <v>44556.05077</v>
      </c>
      <c r="D4710" s="15">
        <f>IFERROR(__xludf.DUMMYFUNCTION("""COMPUTED_VALUE"""),1.014)</f>
        <v>1.014</v>
      </c>
      <c r="E4710" s="16">
        <f>IFERROR(__xludf.DUMMYFUNCTION("""COMPUTED_VALUE"""),63.0)</f>
        <v>63</v>
      </c>
      <c r="F4710" s="19" t="str">
        <f>IFERROR(__xludf.DUMMYFUNCTION("""COMPUTED_VALUE"""),"BLACK")</f>
        <v>BLACK</v>
      </c>
      <c r="G4710" s="20" t="str">
        <f>IFERROR(__xludf.DUMMYFUNCTION("""COMPUTED_VALUE"""),"Uncle Sams Cider (11/12/2021) 02")</f>
        <v>Uncle Sams Cider (11/12/2021) 02</v>
      </c>
      <c r="H4710" s="19"/>
    </row>
    <row r="4711">
      <c r="A4711" s="9"/>
      <c r="B4711" s="15"/>
      <c r="C4711" s="9">
        <f>IFERROR(__xludf.DUMMYFUNCTION("""COMPUTED_VALUE"""),44556.0403323032)</f>
        <v>44556.04033</v>
      </c>
      <c r="D4711" s="15">
        <f>IFERROR(__xludf.DUMMYFUNCTION("""COMPUTED_VALUE"""),1.014)</f>
        <v>1.014</v>
      </c>
      <c r="E4711" s="16">
        <f>IFERROR(__xludf.DUMMYFUNCTION("""COMPUTED_VALUE"""),63.0)</f>
        <v>63</v>
      </c>
      <c r="F4711" s="19" t="str">
        <f>IFERROR(__xludf.DUMMYFUNCTION("""COMPUTED_VALUE"""),"BLACK")</f>
        <v>BLACK</v>
      </c>
      <c r="G4711" s="20" t="str">
        <f>IFERROR(__xludf.DUMMYFUNCTION("""COMPUTED_VALUE"""),"Uncle Sams Cider (11/12/2021) 02")</f>
        <v>Uncle Sams Cider (11/12/2021) 02</v>
      </c>
      <c r="H4711" s="19"/>
    </row>
    <row r="4712">
      <c r="A4712" s="9"/>
      <c r="B4712" s="15"/>
      <c r="C4712" s="9">
        <f>IFERROR(__xludf.DUMMYFUNCTION("""COMPUTED_VALUE"""),44556.029898993)</f>
        <v>44556.0299</v>
      </c>
      <c r="D4712" s="15">
        <f>IFERROR(__xludf.DUMMYFUNCTION("""COMPUTED_VALUE"""),1.014)</f>
        <v>1.014</v>
      </c>
      <c r="E4712" s="16">
        <f>IFERROR(__xludf.DUMMYFUNCTION("""COMPUTED_VALUE"""),63.0)</f>
        <v>63</v>
      </c>
      <c r="F4712" s="19" t="str">
        <f>IFERROR(__xludf.DUMMYFUNCTION("""COMPUTED_VALUE"""),"BLACK")</f>
        <v>BLACK</v>
      </c>
      <c r="G4712" s="20" t="str">
        <f>IFERROR(__xludf.DUMMYFUNCTION("""COMPUTED_VALUE"""),"Uncle Sams Cider (11/12/2021) 02")</f>
        <v>Uncle Sams Cider (11/12/2021) 02</v>
      </c>
      <c r="H4712" s="19"/>
    </row>
    <row r="4713">
      <c r="A4713" s="9"/>
      <c r="B4713" s="15"/>
      <c r="C4713" s="9">
        <f>IFERROR(__xludf.DUMMYFUNCTION("""COMPUTED_VALUE"""),44556.0194665046)</f>
        <v>44556.01947</v>
      </c>
      <c r="D4713" s="15">
        <f>IFERROR(__xludf.DUMMYFUNCTION("""COMPUTED_VALUE"""),1.014)</f>
        <v>1.014</v>
      </c>
      <c r="E4713" s="16">
        <f>IFERROR(__xludf.DUMMYFUNCTION("""COMPUTED_VALUE"""),63.0)</f>
        <v>63</v>
      </c>
      <c r="F4713" s="19" t="str">
        <f>IFERROR(__xludf.DUMMYFUNCTION("""COMPUTED_VALUE"""),"BLACK")</f>
        <v>BLACK</v>
      </c>
      <c r="G4713" s="20" t="str">
        <f>IFERROR(__xludf.DUMMYFUNCTION("""COMPUTED_VALUE"""),"Uncle Sams Cider (11/12/2021) 02")</f>
        <v>Uncle Sams Cider (11/12/2021) 02</v>
      </c>
      <c r="H4713" s="19"/>
    </row>
    <row r="4714">
      <c r="A4714" s="9"/>
      <c r="B4714" s="15"/>
      <c r="C4714" s="9">
        <f>IFERROR(__xludf.DUMMYFUNCTION("""COMPUTED_VALUE"""),44556.0090340277)</f>
        <v>44556.00903</v>
      </c>
      <c r="D4714" s="15">
        <f>IFERROR(__xludf.DUMMYFUNCTION("""COMPUTED_VALUE"""),1.014)</f>
        <v>1.014</v>
      </c>
      <c r="E4714" s="16">
        <f>IFERROR(__xludf.DUMMYFUNCTION("""COMPUTED_VALUE"""),63.0)</f>
        <v>63</v>
      </c>
      <c r="F4714" s="19" t="str">
        <f>IFERROR(__xludf.DUMMYFUNCTION("""COMPUTED_VALUE"""),"BLACK")</f>
        <v>BLACK</v>
      </c>
      <c r="G4714" s="20" t="str">
        <f>IFERROR(__xludf.DUMMYFUNCTION("""COMPUTED_VALUE"""),"Uncle Sams Cider (11/12/2021) 02")</f>
        <v>Uncle Sams Cider (11/12/2021) 02</v>
      </c>
      <c r="H4714" s="19"/>
    </row>
    <row r="4715">
      <c r="A4715" s="9"/>
      <c r="B4715" s="15"/>
      <c r="C4715" s="9">
        <f>IFERROR(__xludf.DUMMYFUNCTION("""COMPUTED_VALUE"""),44555.9986119907)</f>
        <v>44555.99861</v>
      </c>
      <c r="D4715" s="15">
        <f>IFERROR(__xludf.DUMMYFUNCTION("""COMPUTED_VALUE"""),1.014)</f>
        <v>1.014</v>
      </c>
      <c r="E4715" s="16">
        <f>IFERROR(__xludf.DUMMYFUNCTION("""COMPUTED_VALUE"""),63.0)</f>
        <v>63</v>
      </c>
      <c r="F4715" s="19" t="str">
        <f>IFERROR(__xludf.DUMMYFUNCTION("""COMPUTED_VALUE"""),"BLACK")</f>
        <v>BLACK</v>
      </c>
      <c r="G4715" s="20" t="str">
        <f>IFERROR(__xludf.DUMMYFUNCTION("""COMPUTED_VALUE"""),"Uncle Sams Cider (11/12/2021) 02")</f>
        <v>Uncle Sams Cider (11/12/2021) 02</v>
      </c>
      <c r="H4715" s="19"/>
    </row>
    <row r="4716">
      <c r="A4716" s="9"/>
      <c r="B4716" s="15"/>
      <c r="C4716" s="9">
        <f>IFERROR(__xludf.DUMMYFUNCTION("""COMPUTED_VALUE"""),44555.9881798842)</f>
        <v>44555.98818</v>
      </c>
      <c r="D4716" s="15">
        <f>IFERROR(__xludf.DUMMYFUNCTION("""COMPUTED_VALUE"""),1.014)</f>
        <v>1.014</v>
      </c>
      <c r="E4716" s="16">
        <f>IFERROR(__xludf.DUMMYFUNCTION("""COMPUTED_VALUE"""),63.0)</f>
        <v>63</v>
      </c>
      <c r="F4716" s="19" t="str">
        <f>IFERROR(__xludf.DUMMYFUNCTION("""COMPUTED_VALUE"""),"BLACK")</f>
        <v>BLACK</v>
      </c>
      <c r="G4716" s="20" t="str">
        <f>IFERROR(__xludf.DUMMYFUNCTION("""COMPUTED_VALUE"""),"Uncle Sams Cider (11/12/2021) 02")</f>
        <v>Uncle Sams Cider (11/12/2021) 02</v>
      </c>
      <c r="H4716" s="19"/>
    </row>
    <row r="4717">
      <c r="A4717" s="9"/>
      <c r="B4717" s="15"/>
      <c r="C4717" s="9">
        <f>IFERROR(__xludf.DUMMYFUNCTION("""COMPUTED_VALUE"""),44555.9777572106)</f>
        <v>44555.97776</v>
      </c>
      <c r="D4717" s="15">
        <f>IFERROR(__xludf.DUMMYFUNCTION("""COMPUTED_VALUE"""),1.014)</f>
        <v>1.014</v>
      </c>
      <c r="E4717" s="16">
        <f>IFERROR(__xludf.DUMMYFUNCTION("""COMPUTED_VALUE"""),63.0)</f>
        <v>63</v>
      </c>
      <c r="F4717" s="19" t="str">
        <f>IFERROR(__xludf.DUMMYFUNCTION("""COMPUTED_VALUE"""),"BLACK")</f>
        <v>BLACK</v>
      </c>
      <c r="G4717" s="20" t="str">
        <f>IFERROR(__xludf.DUMMYFUNCTION("""COMPUTED_VALUE"""),"Uncle Sams Cider (11/12/2021) 02")</f>
        <v>Uncle Sams Cider (11/12/2021) 02</v>
      </c>
      <c r="H4717" s="19"/>
    </row>
    <row r="4718">
      <c r="A4718" s="9"/>
      <c r="B4718" s="15"/>
      <c r="C4718" s="9">
        <f>IFERROR(__xludf.DUMMYFUNCTION("""COMPUTED_VALUE"""),44555.967335787)</f>
        <v>44555.96734</v>
      </c>
      <c r="D4718" s="15">
        <f>IFERROR(__xludf.DUMMYFUNCTION("""COMPUTED_VALUE"""),1.014)</f>
        <v>1.014</v>
      </c>
      <c r="E4718" s="16">
        <f>IFERROR(__xludf.DUMMYFUNCTION("""COMPUTED_VALUE"""),63.0)</f>
        <v>63</v>
      </c>
      <c r="F4718" s="19" t="str">
        <f>IFERROR(__xludf.DUMMYFUNCTION("""COMPUTED_VALUE"""),"BLACK")</f>
        <v>BLACK</v>
      </c>
      <c r="G4718" s="20" t="str">
        <f>IFERROR(__xludf.DUMMYFUNCTION("""COMPUTED_VALUE"""),"Uncle Sams Cider (11/12/2021) 02")</f>
        <v>Uncle Sams Cider (11/12/2021) 02</v>
      </c>
      <c r="H4718" s="19"/>
    </row>
    <row r="4719">
      <c r="A4719" s="9"/>
      <c r="B4719" s="15"/>
      <c r="C4719" s="9">
        <f>IFERROR(__xludf.DUMMYFUNCTION("""COMPUTED_VALUE"""),44555.9568912731)</f>
        <v>44555.95689</v>
      </c>
      <c r="D4719" s="15">
        <f>IFERROR(__xludf.DUMMYFUNCTION("""COMPUTED_VALUE"""),1.014)</f>
        <v>1.014</v>
      </c>
      <c r="E4719" s="16">
        <f>IFERROR(__xludf.DUMMYFUNCTION("""COMPUTED_VALUE"""),63.0)</f>
        <v>63</v>
      </c>
      <c r="F4719" s="19" t="str">
        <f>IFERROR(__xludf.DUMMYFUNCTION("""COMPUTED_VALUE"""),"BLACK")</f>
        <v>BLACK</v>
      </c>
      <c r="G4719" s="20" t="str">
        <f>IFERROR(__xludf.DUMMYFUNCTION("""COMPUTED_VALUE"""),"Uncle Sams Cider (11/12/2021) 02")</f>
        <v>Uncle Sams Cider (11/12/2021) 02</v>
      </c>
      <c r="H4719" s="19"/>
    </row>
    <row r="4720">
      <c r="A4720" s="9"/>
      <c r="B4720" s="15"/>
      <c r="C4720" s="9">
        <f>IFERROR(__xludf.DUMMYFUNCTION("""COMPUTED_VALUE"""),44555.9464691666)</f>
        <v>44555.94647</v>
      </c>
      <c r="D4720" s="15">
        <f>IFERROR(__xludf.DUMMYFUNCTION("""COMPUTED_VALUE"""),1.014)</f>
        <v>1.014</v>
      </c>
      <c r="E4720" s="16">
        <f>IFERROR(__xludf.DUMMYFUNCTION("""COMPUTED_VALUE"""),63.0)</f>
        <v>63</v>
      </c>
      <c r="F4720" s="19" t="str">
        <f>IFERROR(__xludf.DUMMYFUNCTION("""COMPUTED_VALUE"""),"BLACK")</f>
        <v>BLACK</v>
      </c>
      <c r="G4720" s="20" t="str">
        <f>IFERROR(__xludf.DUMMYFUNCTION("""COMPUTED_VALUE"""),"Uncle Sams Cider (11/12/2021) 02")</f>
        <v>Uncle Sams Cider (11/12/2021) 02</v>
      </c>
      <c r="H4720" s="19"/>
    </row>
    <row r="4721">
      <c r="A4721" s="9"/>
      <c r="B4721" s="15"/>
      <c r="C4721" s="9">
        <f>IFERROR(__xludf.DUMMYFUNCTION("""COMPUTED_VALUE"""),44555.936048206)</f>
        <v>44555.93605</v>
      </c>
      <c r="D4721" s="15">
        <f>IFERROR(__xludf.DUMMYFUNCTION("""COMPUTED_VALUE"""),1.014)</f>
        <v>1.014</v>
      </c>
      <c r="E4721" s="16">
        <f>IFERROR(__xludf.DUMMYFUNCTION("""COMPUTED_VALUE"""),63.0)</f>
        <v>63</v>
      </c>
      <c r="F4721" s="19" t="str">
        <f>IFERROR(__xludf.DUMMYFUNCTION("""COMPUTED_VALUE"""),"BLACK")</f>
        <v>BLACK</v>
      </c>
      <c r="G4721" s="20" t="str">
        <f>IFERROR(__xludf.DUMMYFUNCTION("""COMPUTED_VALUE"""),"Uncle Sams Cider (11/12/2021) 02")</f>
        <v>Uncle Sams Cider (11/12/2021) 02</v>
      </c>
      <c r="H4721" s="19"/>
    </row>
    <row r="4722">
      <c r="A4722" s="9"/>
      <c r="B4722" s="15"/>
      <c r="C4722" s="9">
        <f>IFERROR(__xludf.DUMMYFUNCTION("""COMPUTED_VALUE"""),44555.9255701157)</f>
        <v>44555.92557</v>
      </c>
      <c r="D4722" s="15">
        <f>IFERROR(__xludf.DUMMYFUNCTION("""COMPUTED_VALUE"""),1.014)</f>
        <v>1.014</v>
      </c>
      <c r="E4722" s="16">
        <f>IFERROR(__xludf.DUMMYFUNCTION("""COMPUTED_VALUE"""),63.0)</f>
        <v>63</v>
      </c>
      <c r="F4722" s="19" t="str">
        <f>IFERROR(__xludf.DUMMYFUNCTION("""COMPUTED_VALUE"""),"BLACK")</f>
        <v>BLACK</v>
      </c>
      <c r="G4722" s="20" t="str">
        <f>IFERROR(__xludf.DUMMYFUNCTION("""COMPUTED_VALUE"""),"Uncle Sams Cider (11/12/2021) 02")</f>
        <v>Uncle Sams Cider (11/12/2021) 02</v>
      </c>
      <c r="H4722" s="19"/>
    </row>
    <row r="4723">
      <c r="A4723" s="9"/>
      <c r="B4723" s="15"/>
      <c r="C4723" s="9">
        <f>IFERROR(__xludf.DUMMYFUNCTION("""COMPUTED_VALUE"""),44555.9151486458)</f>
        <v>44555.91515</v>
      </c>
      <c r="D4723" s="15">
        <f>IFERROR(__xludf.DUMMYFUNCTION("""COMPUTED_VALUE"""),1.014)</f>
        <v>1.014</v>
      </c>
      <c r="E4723" s="16">
        <f>IFERROR(__xludf.DUMMYFUNCTION("""COMPUTED_VALUE"""),63.0)</f>
        <v>63</v>
      </c>
      <c r="F4723" s="19" t="str">
        <f>IFERROR(__xludf.DUMMYFUNCTION("""COMPUTED_VALUE"""),"BLACK")</f>
        <v>BLACK</v>
      </c>
      <c r="G4723" s="20" t="str">
        <f>IFERROR(__xludf.DUMMYFUNCTION("""COMPUTED_VALUE"""),"Uncle Sams Cider (11/12/2021) 02")</f>
        <v>Uncle Sams Cider (11/12/2021) 02</v>
      </c>
      <c r="H4723" s="19"/>
    </row>
    <row r="4724">
      <c r="A4724" s="9"/>
      <c r="B4724" s="15"/>
      <c r="C4724" s="9">
        <f>IFERROR(__xludf.DUMMYFUNCTION("""COMPUTED_VALUE"""),44555.9047173495)</f>
        <v>44555.90472</v>
      </c>
      <c r="D4724" s="15">
        <f>IFERROR(__xludf.DUMMYFUNCTION("""COMPUTED_VALUE"""),1.014)</f>
        <v>1.014</v>
      </c>
      <c r="E4724" s="16">
        <f>IFERROR(__xludf.DUMMYFUNCTION("""COMPUTED_VALUE"""),63.0)</f>
        <v>63</v>
      </c>
      <c r="F4724" s="19" t="str">
        <f>IFERROR(__xludf.DUMMYFUNCTION("""COMPUTED_VALUE"""),"BLACK")</f>
        <v>BLACK</v>
      </c>
      <c r="G4724" s="20" t="str">
        <f>IFERROR(__xludf.DUMMYFUNCTION("""COMPUTED_VALUE"""),"Uncle Sams Cider (11/12/2021) 02")</f>
        <v>Uncle Sams Cider (11/12/2021) 02</v>
      </c>
      <c r="H4724" s="19"/>
    </row>
    <row r="4725">
      <c r="A4725" s="9"/>
      <c r="B4725" s="15"/>
      <c r="C4725" s="9">
        <f>IFERROR(__xludf.DUMMYFUNCTION("""COMPUTED_VALUE"""),44555.894297824)</f>
        <v>44555.8943</v>
      </c>
      <c r="D4725" s="15">
        <f>IFERROR(__xludf.DUMMYFUNCTION("""COMPUTED_VALUE"""),1.014)</f>
        <v>1.014</v>
      </c>
      <c r="E4725" s="16">
        <f>IFERROR(__xludf.DUMMYFUNCTION("""COMPUTED_VALUE"""),63.0)</f>
        <v>63</v>
      </c>
      <c r="F4725" s="19" t="str">
        <f>IFERROR(__xludf.DUMMYFUNCTION("""COMPUTED_VALUE"""),"BLACK")</f>
        <v>BLACK</v>
      </c>
      <c r="G4725" s="20" t="str">
        <f>IFERROR(__xludf.DUMMYFUNCTION("""COMPUTED_VALUE"""),"Uncle Sams Cider (11/12/2021) 02")</f>
        <v>Uncle Sams Cider (11/12/2021) 02</v>
      </c>
      <c r="H4725" s="19"/>
    </row>
    <row r="4726">
      <c r="A4726" s="9"/>
      <c r="B4726" s="15"/>
      <c r="C4726" s="9">
        <f>IFERROR(__xludf.DUMMYFUNCTION("""COMPUTED_VALUE"""),44555.8838763194)</f>
        <v>44555.88388</v>
      </c>
      <c r="D4726" s="15">
        <f>IFERROR(__xludf.DUMMYFUNCTION("""COMPUTED_VALUE"""),1.014)</f>
        <v>1.014</v>
      </c>
      <c r="E4726" s="16">
        <f>IFERROR(__xludf.DUMMYFUNCTION("""COMPUTED_VALUE"""),63.0)</f>
        <v>63</v>
      </c>
      <c r="F4726" s="19" t="str">
        <f>IFERROR(__xludf.DUMMYFUNCTION("""COMPUTED_VALUE"""),"BLACK")</f>
        <v>BLACK</v>
      </c>
      <c r="G4726" s="20" t="str">
        <f>IFERROR(__xludf.DUMMYFUNCTION("""COMPUTED_VALUE"""),"Uncle Sams Cider (11/12/2021) 02")</f>
        <v>Uncle Sams Cider (11/12/2021) 02</v>
      </c>
      <c r="H4726" s="19"/>
    </row>
    <row r="4727">
      <c r="A4727" s="9"/>
      <c r="B4727" s="15"/>
      <c r="C4727" s="9">
        <f>IFERROR(__xludf.DUMMYFUNCTION("""COMPUTED_VALUE"""),44555.8734557523)</f>
        <v>44555.87346</v>
      </c>
      <c r="D4727" s="15">
        <f>IFERROR(__xludf.DUMMYFUNCTION("""COMPUTED_VALUE"""),1.014)</f>
        <v>1.014</v>
      </c>
      <c r="E4727" s="16">
        <f>IFERROR(__xludf.DUMMYFUNCTION("""COMPUTED_VALUE"""),63.0)</f>
        <v>63</v>
      </c>
      <c r="F4727" s="19" t="str">
        <f>IFERROR(__xludf.DUMMYFUNCTION("""COMPUTED_VALUE"""),"BLACK")</f>
        <v>BLACK</v>
      </c>
      <c r="G4727" s="20" t="str">
        <f>IFERROR(__xludf.DUMMYFUNCTION("""COMPUTED_VALUE"""),"Uncle Sams Cider (11/12/2021) 02")</f>
        <v>Uncle Sams Cider (11/12/2021) 02</v>
      </c>
      <c r="H4727" s="19"/>
    </row>
    <row r="4728">
      <c r="A4728" s="9"/>
      <c r="B4728" s="15"/>
      <c r="C4728" s="9">
        <f>IFERROR(__xludf.DUMMYFUNCTION("""COMPUTED_VALUE"""),44555.863035243)</f>
        <v>44555.86304</v>
      </c>
      <c r="D4728" s="15">
        <f>IFERROR(__xludf.DUMMYFUNCTION("""COMPUTED_VALUE"""),1.014)</f>
        <v>1.014</v>
      </c>
      <c r="E4728" s="16">
        <f>IFERROR(__xludf.DUMMYFUNCTION("""COMPUTED_VALUE"""),63.0)</f>
        <v>63</v>
      </c>
      <c r="F4728" s="19" t="str">
        <f>IFERROR(__xludf.DUMMYFUNCTION("""COMPUTED_VALUE"""),"BLACK")</f>
        <v>BLACK</v>
      </c>
      <c r="G4728" s="20" t="str">
        <f>IFERROR(__xludf.DUMMYFUNCTION("""COMPUTED_VALUE"""),"Uncle Sams Cider (11/12/2021) 02")</f>
        <v>Uncle Sams Cider (11/12/2021) 02</v>
      </c>
      <c r="H4728" s="19"/>
    </row>
    <row r="4729">
      <c r="A4729" s="9"/>
      <c r="B4729" s="15"/>
      <c r="C4729" s="9">
        <f>IFERROR(__xludf.DUMMYFUNCTION("""COMPUTED_VALUE"""),44555.8526138888)</f>
        <v>44555.85261</v>
      </c>
      <c r="D4729" s="15">
        <f>IFERROR(__xludf.DUMMYFUNCTION("""COMPUTED_VALUE"""),1.014)</f>
        <v>1.014</v>
      </c>
      <c r="E4729" s="16">
        <f>IFERROR(__xludf.DUMMYFUNCTION("""COMPUTED_VALUE"""),63.0)</f>
        <v>63</v>
      </c>
      <c r="F4729" s="19" t="str">
        <f>IFERROR(__xludf.DUMMYFUNCTION("""COMPUTED_VALUE"""),"BLACK")</f>
        <v>BLACK</v>
      </c>
      <c r="G4729" s="20" t="str">
        <f>IFERROR(__xludf.DUMMYFUNCTION("""COMPUTED_VALUE"""),"Uncle Sams Cider (11/12/2021) 02")</f>
        <v>Uncle Sams Cider (11/12/2021) 02</v>
      </c>
      <c r="H4729" s="19"/>
    </row>
    <row r="4730">
      <c r="A4730" s="9"/>
      <c r="B4730" s="15"/>
      <c r="C4730" s="9">
        <f>IFERROR(__xludf.DUMMYFUNCTION("""COMPUTED_VALUE"""),44555.8421805787)</f>
        <v>44555.84218</v>
      </c>
      <c r="D4730" s="15">
        <f>IFERROR(__xludf.DUMMYFUNCTION("""COMPUTED_VALUE"""),1.014)</f>
        <v>1.014</v>
      </c>
      <c r="E4730" s="16">
        <f>IFERROR(__xludf.DUMMYFUNCTION("""COMPUTED_VALUE"""),63.0)</f>
        <v>63</v>
      </c>
      <c r="F4730" s="19" t="str">
        <f>IFERROR(__xludf.DUMMYFUNCTION("""COMPUTED_VALUE"""),"BLACK")</f>
        <v>BLACK</v>
      </c>
      <c r="G4730" s="20" t="str">
        <f>IFERROR(__xludf.DUMMYFUNCTION("""COMPUTED_VALUE"""),"Uncle Sams Cider (11/12/2021) 02")</f>
        <v>Uncle Sams Cider (11/12/2021) 02</v>
      </c>
      <c r="H4730" s="19"/>
    </row>
    <row r="4731">
      <c r="A4731" s="9"/>
      <c r="B4731" s="15"/>
      <c r="C4731" s="9">
        <f>IFERROR(__xludf.DUMMYFUNCTION("""COMPUTED_VALUE"""),44555.8317595833)</f>
        <v>44555.83176</v>
      </c>
      <c r="D4731" s="15">
        <f>IFERROR(__xludf.DUMMYFUNCTION("""COMPUTED_VALUE"""),1.014)</f>
        <v>1.014</v>
      </c>
      <c r="E4731" s="16">
        <f>IFERROR(__xludf.DUMMYFUNCTION("""COMPUTED_VALUE"""),63.0)</f>
        <v>63</v>
      </c>
      <c r="F4731" s="19" t="str">
        <f>IFERROR(__xludf.DUMMYFUNCTION("""COMPUTED_VALUE"""),"BLACK")</f>
        <v>BLACK</v>
      </c>
      <c r="G4731" s="20" t="str">
        <f>IFERROR(__xludf.DUMMYFUNCTION("""COMPUTED_VALUE"""),"Uncle Sams Cider (11/12/2021) 02")</f>
        <v>Uncle Sams Cider (11/12/2021) 02</v>
      </c>
      <c r="H4731" s="19"/>
    </row>
    <row r="4732">
      <c r="A4732" s="9"/>
      <c r="B4732" s="15"/>
      <c r="C4732" s="9">
        <f>IFERROR(__xludf.DUMMYFUNCTION("""COMPUTED_VALUE"""),44555.8213386921)</f>
        <v>44555.82134</v>
      </c>
      <c r="D4732" s="15">
        <f>IFERROR(__xludf.DUMMYFUNCTION("""COMPUTED_VALUE"""),1.014)</f>
        <v>1.014</v>
      </c>
      <c r="E4732" s="16">
        <f>IFERROR(__xludf.DUMMYFUNCTION("""COMPUTED_VALUE"""),63.0)</f>
        <v>63</v>
      </c>
      <c r="F4732" s="19" t="str">
        <f>IFERROR(__xludf.DUMMYFUNCTION("""COMPUTED_VALUE"""),"BLACK")</f>
        <v>BLACK</v>
      </c>
      <c r="G4732" s="20" t="str">
        <f>IFERROR(__xludf.DUMMYFUNCTION("""COMPUTED_VALUE"""),"Uncle Sams Cider (11/12/2021) 02")</f>
        <v>Uncle Sams Cider (11/12/2021) 02</v>
      </c>
      <c r="H4732" s="19"/>
    </row>
    <row r="4733">
      <c r="A4733" s="9"/>
      <c r="B4733" s="15"/>
      <c r="C4733" s="9">
        <f>IFERROR(__xludf.DUMMYFUNCTION("""COMPUTED_VALUE"""),44555.8109034259)</f>
        <v>44555.8109</v>
      </c>
      <c r="D4733" s="15">
        <f>IFERROR(__xludf.DUMMYFUNCTION("""COMPUTED_VALUE"""),1.014)</f>
        <v>1.014</v>
      </c>
      <c r="E4733" s="16">
        <f>IFERROR(__xludf.DUMMYFUNCTION("""COMPUTED_VALUE"""),63.0)</f>
        <v>63</v>
      </c>
      <c r="F4733" s="19" t="str">
        <f>IFERROR(__xludf.DUMMYFUNCTION("""COMPUTED_VALUE"""),"BLACK")</f>
        <v>BLACK</v>
      </c>
      <c r="G4733" s="20" t="str">
        <f>IFERROR(__xludf.DUMMYFUNCTION("""COMPUTED_VALUE"""),"Uncle Sams Cider (11/12/2021) 02")</f>
        <v>Uncle Sams Cider (11/12/2021) 02</v>
      </c>
      <c r="H4733" s="19"/>
    </row>
    <row r="4734">
      <c r="A4734" s="9"/>
      <c r="B4734" s="15"/>
      <c r="C4734" s="9">
        <f>IFERROR(__xludf.DUMMYFUNCTION("""COMPUTED_VALUE"""),44555.800470405)</f>
        <v>44555.80047</v>
      </c>
      <c r="D4734" s="15">
        <f>IFERROR(__xludf.DUMMYFUNCTION("""COMPUTED_VALUE"""),1.014)</f>
        <v>1.014</v>
      </c>
      <c r="E4734" s="16">
        <f>IFERROR(__xludf.DUMMYFUNCTION("""COMPUTED_VALUE"""),63.0)</f>
        <v>63</v>
      </c>
      <c r="F4734" s="19" t="str">
        <f>IFERROR(__xludf.DUMMYFUNCTION("""COMPUTED_VALUE"""),"BLACK")</f>
        <v>BLACK</v>
      </c>
      <c r="G4734" s="20" t="str">
        <f>IFERROR(__xludf.DUMMYFUNCTION("""COMPUTED_VALUE"""),"Uncle Sams Cider (11/12/2021) 02")</f>
        <v>Uncle Sams Cider (11/12/2021) 02</v>
      </c>
      <c r="H4734" s="19"/>
    </row>
    <row r="4735">
      <c r="A4735" s="9"/>
      <c r="B4735" s="15"/>
      <c r="C4735" s="9">
        <f>IFERROR(__xludf.DUMMYFUNCTION("""COMPUTED_VALUE"""),44555.7900367939)</f>
        <v>44555.79004</v>
      </c>
      <c r="D4735" s="15">
        <f>IFERROR(__xludf.DUMMYFUNCTION("""COMPUTED_VALUE"""),1.014)</f>
        <v>1.014</v>
      </c>
      <c r="E4735" s="16">
        <f>IFERROR(__xludf.DUMMYFUNCTION("""COMPUTED_VALUE"""),63.0)</f>
        <v>63</v>
      </c>
      <c r="F4735" s="19" t="str">
        <f>IFERROR(__xludf.DUMMYFUNCTION("""COMPUTED_VALUE"""),"BLACK")</f>
        <v>BLACK</v>
      </c>
      <c r="G4735" s="20" t="str">
        <f>IFERROR(__xludf.DUMMYFUNCTION("""COMPUTED_VALUE"""),"Uncle Sams Cider (11/12/2021) 02")</f>
        <v>Uncle Sams Cider (11/12/2021) 02</v>
      </c>
      <c r="H4735" s="19"/>
    </row>
    <row r="4736">
      <c r="A4736" s="9"/>
      <c r="B4736" s="15"/>
      <c r="C4736" s="9">
        <f>IFERROR(__xludf.DUMMYFUNCTION("""COMPUTED_VALUE"""),44555.7796050925)</f>
        <v>44555.77961</v>
      </c>
      <c r="D4736" s="15">
        <f>IFERROR(__xludf.DUMMYFUNCTION("""COMPUTED_VALUE"""),1.014)</f>
        <v>1.014</v>
      </c>
      <c r="E4736" s="16">
        <f>IFERROR(__xludf.DUMMYFUNCTION("""COMPUTED_VALUE"""),63.0)</f>
        <v>63</v>
      </c>
      <c r="F4736" s="19" t="str">
        <f>IFERROR(__xludf.DUMMYFUNCTION("""COMPUTED_VALUE"""),"BLACK")</f>
        <v>BLACK</v>
      </c>
      <c r="G4736" s="20" t="str">
        <f>IFERROR(__xludf.DUMMYFUNCTION("""COMPUTED_VALUE"""),"Uncle Sams Cider (11/12/2021) 02")</f>
        <v>Uncle Sams Cider (11/12/2021) 02</v>
      </c>
      <c r="H4736" s="19"/>
    </row>
    <row r="4737">
      <c r="A4737" s="9"/>
      <c r="B4737" s="15"/>
      <c r="C4737" s="9">
        <f>IFERROR(__xludf.DUMMYFUNCTION("""COMPUTED_VALUE"""),44555.7691824189)</f>
        <v>44555.76918</v>
      </c>
      <c r="D4737" s="15">
        <f>IFERROR(__xludf.DUMMYFUNCTION("""COMPUTED_VALUE"""),1.014)</f>
        <v>1.014</v>
      </c>
      <c r="E4737" s="16">
        <f>IFERROR(__xludf.DUMMYFUNCTION("""COMPUTED_VALUE"""),63.0)</f>
        <v>63</v>
      </c>
      <c r="F4737" s="19" t="str">
        <f>IFERROR(__xludf.DUMMYFUNCTION("""COMPUTED_VALUE"""),"BLACK")</f>
        <v>BLACK</v>
      </c>
      <c r="G4737" s="20" t="str">
        <f>IFERROR(__xludf.DUMMYFUNCTION("""COMPUTED_VALUE"""),"Uncle Sams Cider (11/12/2021) 02")</f>
        <v>Uncle Sams Cider (11/12/2021) 02</v>
      </c>
      <c r="H4737" s="19"/>
    </row>
    <row r="4738">
      <c r="A4738" s="9"/>
      <c r="B4738" s="15"/>
      <c r="C4738" s="9">
        <f>IFERROR(__xludf.DUMMYFUNCTION("""COMPUTED_VALUE"""),44555.7587490509)</f>
        <v>44555.75875</v>
      </c>
      <c r="D4738" s="15">
        <f>IFERROR(__xludf.DUMMYFUNCTION("""COMPUTED_VALUE"""),1.014)</f>
        <v>1.014</v>
      </c>
      <c r="E4738" s="16">
        <f>IFERROR(__xludf.DUMMYFUNCTION("""COMPUTED_VALUE"""),63.0)</f>
        <v>63</v>
      </c>
      <c r="F4738" s="19" t="str">
        <f>IFERROR(__xludf.DUMMYFUNCTION("""COMPUTED_VALUE"""),"BLACK")</f>
        <v>BLACK</v>
      </c>
      <c r="G4738" s="20" t="str">
        <f>IFERROR(__xludf.DUMMYFUNCTION("""COMPUTED_VALUE"""),"Uncle Sams Cider (11/12/2021) 02")</f>
        <v>Uncle Sams Cider (11/12/2021) 02</v>
      </c>
      <c r="H4738" s="19"/>
    </row>
    <row r="4739">
      <c r="A4739" s="9"/>
      <c r="B4739" s="15"/>
      <c r="C4739" s="9">
        <f>IFERROR(__xludf.DUMMYFUNCTION("""COMPUTED_VALUE"""),44555.7483274537)</f>
        <v>44555.74833</v>
      </c>
      <c r="D4739" s="15">
        <f>IFERROR(__xludf.DUMMYFUNCTION("""COMPUTED_VALUE"""),1.014)</f>
        <v>1.014</v>
      </c>
      <c r="E4739" s="16">
        <f>IFERROR(__xludf.DUMMYFUNCTION("""COMPUTED_VALUE"""),63.0)</f>
        <v>63</v>
      </c>
      <c r="F4739" s="19" t="str">
        <f>IFERROR(__xludf.DUMMYFUNCTION("""COMPUTED_VALUE"""),"BLACK")</f>
        <v>BLACK</v>
      </c>
      <c r="G4739" s="20" t="str">
        <f>IFERROR(__xludf.DUMMYFUNCTION("""COMPUTED_VALUE"""),"Uncle Sams Cider (11/12/2021) 02")</f>
        <v>Uncle Sams Cider (11/12/2021) 02</v>
      </c>
      <c r="H4739" s="19"/>
    </row>
    <row r="4740">
      <c r="A4740" s="9"/>
      <c r="B4740" s="15"/>
      <c r="C4740" s="9">
        <f>IFERROR(__xludf.DUMMYFUNCTION("""COMPUTED_VALUE"""),44555.7378492129)</f>
        <v>44555.73785</v>
      </c>
      <c r="D4740" s="15">
        <f>IFERROR(__xludf.DUMMYFUNCTION("""COMPUTED_VALUE"""),1.014)</f>
        <v>1.014</v>
      </c>
      <c r="E4740" s="16">
        <f>IFERROR(__xludf.DUMMYFUNCTION("""COMPUTED_VALUE"""),63.0)</f>
        <v>63</v>
      </c>
      <c r="F4740" s="19" t="str">
        <f>IFERROR(__xludf.DUMMYFUNCTION("""COMPUTED_VALUE"""),"BLACK")</f>
        <v>BLACK</v>
      </c>
      <c r="G4740" s="20" t="str">
        <f>IFERROR(__xludf.DUMMYFUNCTION("""COMPUTED_VALUE"""),"Uncle Sams Cider (11/12/2021) 02")</f>
        <v>Uncle Sams Cider (11/12/2021) 02</v>
      </c>
      <c r="H4740" s="19"/>
    </row>
    <row r="4741">
      <c r="A4741" s="9"/>
      <c r="B4741" s="15"/>
      <c r="C4741" s="9">
        <f>IFERROR(__xludf.DUMMYFUNCTION("""COMPUTED_VALUE"""),44555.7274302083)</f>
        <v>44555.72743</v>
      </c>
      <c r="D4741" s="15">
        <f>IFERROR(__xludf.DUMMYFUNCTION("""COMPUTED_VALUE"""),1.014)</f>
        <v>1.014</v>
      </c>
      <c r="E4741" s="16">
        <f>IFERROR(__xludf.DUMMYFUNCTION("""COMPUTED_VALUE"""),63.0)</f>
        <v>63</v>
      </c>
      <c r="F4741" s="19" t="str">
        <f>IFERROR(__xludf.DUMMYFUNCTION("""COMPUTED_VALUE"""),"BLACK")</f>
        <v>BLACK</v>
      </c>
      <c r="G4741" s="20" t="str">
        <f>IFERROR(__xludf.DUMMYFUNCTION("""COMPUTED_VALUE"""),"Uncle Sams Cider (11/12/2021) 02")</f>
        <v>Uncle Sams Cider (11/12/2021) 02</v>
      </c>
      <c r="H4741" s="19"/>
    </row>
    <row r="4742">
      <c r="A4742" s="9"/>
      <c r="B4742" s="15"/>
      <c r="C4742" s="9">
        <f>IFERROR(__xludf.DUMMYFUNCTION("""COMPUTED_VALUE"""),44555.7169970138)</f>
        <v>44555.717</v>
      </c>
      <c r="D4742" s="15">
        <f>IFERROR(__xludf.DUMMYFUNCTION("""COMPUTED_VALUE"""),1.014)</f>
        <v>1.014</v>
      </c>
      <c r="E4742" s="16">
        <f>IFERROR(__xludf.DUMMYFUNCTION("""COMPUTED_VALUE"""),63.0)</f>
        <v>63</v>
      </c>
      <c r="F4742" s="19" t="str">
        <f>IFERROR(__xludf.DUMMYFUNCTION("""COMPUTED_VALUE"""),"BLACK")</f>
        <v>BLACK</v>
      </c>
      <c r="G4742" s="20" t="str">
        <f>IFERROR(__xludf.DUMMYFUNCTION("""COMPUTED_VALUE"""),"Uncle Sams Cider (11/12/2021) 02")</f>
        <v>Uncle Sams Cider (11/12/2021) 02</v>
      </c>
      <c r="H4742" s="19"/>
    </row>
    <row r="4743">
      <c r="A4743" s="9"/>
      <c r="B4743" s="15"/>
      <c r="C4743" s="9">
        <f>IFERROR(__xludf.DUMMYFUNCTION("""COMPUTED_VALUE"""),44555.7065761574)</f>
        <v>44555.70658</v>
      </c>
      <c r="D4743" s="15">
        <f>IFERROR(__xludf.DUMMYFUNCTION("""COMPUTED_VALUE"""),1.014)</f>
        <v>1.014</v>
      </c>
      <c r="E4743" s="16">
        <f>IFERROR(__xludf.DUMMYFUNCTION("""COMPUTED_VALUE"""),63.0)</f>
        <v>63</v>
      </c>
      <c r="F4743" s="19" t="str">
        <f>IFERROR(__xludf.DUMMYFUNCTION("""COMPUTED_VALUE"""),"BLACK")</f>
        <v>BLACK</v>
      </c>
      <c r="G4743" s="20" t="str">
        <f>IFERROR(__xludf.DUMMYFUNCTION("""COMPUTED_VALUE"""),"Uncle Sams Cider (11/12/2021) 02")</f>
        <v>Uncle Sams Cider (11/12/2021) 02</v>
      </c>
      <c r="H4743" s="19"/>
    </row>
    <row r="4744">
      <c r="A4744" s="9"/>
      <c r="B4744" s="15"/>
      <c r="C4744" s="9">
        <f>IFERROR(__xludf.DUMMYFUNCTION("""COMPUTED_VALUE"""),44555.6961534259)</f>
        <v>44555.69615</v>
      </c>
      <c r="D4744" s="15">
        <f>IFERROR(__xludf.DUMMYFUNCTION("""COMPUTED_VALUE"""),1.014)</f>
        <v>1.014</v>
      </c>
      <c r="E4744" s="16">
        <f>IFERROR(__xludf.DUMMYFUNCTION("""COMPUTED_VALUE"""),63.0)</f>
        <v>63</v>
      </c>
      <c r="F4744" s="19" t="str">
        <f>IFERROR(__xludf.DUMMYFUNCTION("""COMPUTED_VALUE"""),"BLACK")</f>
        <v>BLACK</v>
      </c>
      <c r="G4744" s="20" t="str">
        <f>IFERROR(__xludf.DUMMYFUNCTION("""COMPUTED_VALUE"""),"Uncle Sams Cider (11/12/2021) 02")</f>
        <v>Uncle Sams Cider (11/12/2021) 02</v>
      </c>
      <c r="H4744" s="19"/>
    </row>
    <row r="4745">
      <c r="A4745" s="9"/>
      <c r="B4745" s="15"/>
      <c r="C4745" s="9">
        <f>IFERROR(__xludf.DUMMYFUNCTION("""COMPUTED_VALUE"""),44555.6857326157)</f>
        <v>44555.68573</v>
      </c>
      <c r="D4745" s="15">
        <f>IFERROR(__xludf.DUMMYFUNCTION("""COMPUTED_VALUE"""),1.014)</f>
        <v>1.014</v>
      </c>
      <c r="E4745" s="16">
        <f>IFERROR(__xludf.DUMMYFUNCTION("""COMPUTED_VALUE"""),63.0)</f>
        <v>63</v>
      </c>
      <c r="F4745" s="19" t="str">
        <f>IFERROR(__xludf.DUMMYFUNCTION("""COMPUTED_VALUE"""),"BLACK")</f>
        <v>BLACK</v>
      </c>
      <c r="G4745" s="20" t="str">
        <f>IFERROR(__xludf.DUMMYFUNCTION("""COMPUTED_VALUE"""),"Uncle Sams Cider (11/12/2021) 02")</f>
        <v>Uncle Sams Cider (11/12/2021) 02</v>
      </c>
      <c r="H4745" s="19"/>
    </row>
    <row r="4746">
      <c r="A4746" s="9"/>
      <c r="B4746" s="15"/>
      <c r="C4746" s="9">
        <f>IFERROR(__xludf.DUMMYFUNCTION("""COMPUTED_VALUE"""),44555.6753121064)</f>
        <v>44555.67531</v>
      </c>
      <c r="D4746" s="15">
        <f>IFERROR(__xludf.DUMMYFUNCTION("""COMPUTED_VALUE"""),1.014)</f>
        <v>1.014</v>
      </c>
      <c r="E4746" s="16">
        <f>IFERROR(__xludf.DUMMYFUNCTION("""COMPUTED_VALUE"""),63.0)</f>
        <v>63</v>
      </c>
      <c r="F4746" s="19" t="str">
        <f>IFERROR(__xludf.DUMMYFUNCTION("""COMPUTED_VALUE"""),"BLACK")</f>
        <v>BLACK</v>
      </c>
      <c r="G4746" s="20" t="str">
        <f>IFERROR(__xludf.DUMMYFUNCTION("""COMPUTED_VALUE"""),"Uncle Sams Cider (11/12/2021) 02")</f>
        <v>Uncle Sams Cider (11/12/2021) 02</v>
      </c>
      <c r="H4746" s="19"/>
    </row>
    <row r="4747">
      <c r="A4747" s="9"/>
      <c r="B4747" s="15"/>
      <c r="C4747" s="9">
        <f>IFERROR(__xludf.DUMMYFUNCTION("""COMPUTED_VALUE"""),44555.6648904398)</f>
        <v>44555.66489</v>
      </c>
      <c r="D4747" s="15">
        <f>IFERROR(__xludf.DUMMYFUNCTION("""COMPUTED_VALUE"""),1.014)</f>
        <v>1.014</v>
      </c>
      <c r="E4747" s="16">
        <f>IFERROR(__xludf.DUMMYFUNCTION("""COMPUTED_VALUE"""),63.0)</f>
        <v>63</v>
      </c>
      <c r="F4747" s="19" t="str">
        <f>IFERROR(__xludf.DUMMYFUNCTION("""COMPUTED_VALUE"""),"BLACK")</f>
        <v>BLACK</v>
      </c>
      <c r="G4747" s="20" t="str">
        <f>IFERROR(__xludf.DUMMYFUNCTION("""COMPUTED_VALUE"""),"Uncle Sams Cider (11/12/2021) 02")</f>
        <v>Uncle Sams Cider (11/12/2021) 02</v>
      </c>
      <c r="H4747" s="19"/>
    </row>
    <row r="4748">
      <c r="A4748" s="9"/>
      <c r="B4748" s="15"/>
      <c r="C4748" s="9">
        <f>IFERROR(__xludf.DUMMYFUNCTION("""COMPUTED_VALUE"""),44555.6544569907)</f>
        <v>44555.65446</v>
      </c>
      <c r="D4748" s="15">
        <f>IFERROR(__xludf.DUMMYFUNCTION("""COMPUTED_VALUE"""),1.014)</f>
        <v>1.014</v>
      </c>
      <c r="E4748" s="16">
        <f>IFERROR(__xludf.DUMMYFUNCTION("""COMPUTED_VALUE"""),63.0)</f>
        <v>63</v>
      </c>
      <c r="F4748" s="19" t="str">
        <f>IFERROR(__xludf.DUMMYFUNCTION("""COMPUTED_VALUE"""),"BLACK")</f>
        <v>BLACK</v>
      </c>
      <c r="G4748" s="20" t="str">
        <f>IFERROR(__xludf.DUMMYFUNCTION("""COMPUTED_VALUE"""),"Uncle Sams Cider (11/12/2021) 02")</f>
        <v>Uncle Sams Cider (11/12/2021) 02</v>
      </c>
      <c r="H4748" s="19"/>
    </row>
    <row r="4749">
      <c r="A4749" s="9"/>
      <c r="B4749" s="15"/>
      <c r="C4749" s="9">
        <f>IFERROR(__xludf.DUMMYFUNCTION("""COMPUTED_VALUE"""),44555.6439785416)</f>
        <v>44555.64398</v>
      </c>
      <c r="D4749" s="15">
        <f>IFERROR(__xludf.DUMMYFUNCTION("""COMPUTED_VALUE"""),1.014)</f>
        <v>1.014</v>
      </c>
      <c r="E4749" s="16">
        <f>IFERROR(__xludf.DUMMYFUNCTION("""COMPUTED_VALUE"""),63.0)</f>
        <v>63</v>
      </c>
      <c r="F4749" s="19" t="str">
        <f>IFERROR(__xludf.DUMMYFUNCTION("""COMPUTED_VALUE"""),"BLACK")</f>
        <v>BLACK</v>
      </c>
      <c r="G4749" s="20" t="str">
        <f>IFERROR(__xludf.DUMMYFUNCTION("""COMPUTED_VALUE"""),"Uncle Sams Cider (11/12/2021) 02")</f>
        <v>Uncle Sams Cider (11/12/2021) 02</v>
      </c>
      <c r="H4749" s="19"/>
    </row>
    <row r="4750">
      <c r="A4750" s="9"/>
      <c r="B4750" s="15"/>
      <c r="C4750" s="9">
        <f>IFERROR(__xludf.DUMMYFUNCTION("""COMPUTED_VALUE"""),44555.6335345601)</f>
        <v>44555.63353</v>
      </c>
      <c r="D4750" s="15">
        <f>IFERROR(__xludf.DUMMYFUNCTION("""COMPUTED_VALUE"""),1.014)</f>
        <v>1.014</v>
      </c>
      <c r="E4750" s="16">
        <f>IFERROR(__xludf.DUMMYFUNCTION("""COMPUTED_VALUE"""),63.0)</f>
        <v>63</v>
      </c>
      <c r="F4750" s="19" t="str">
        <f>IFERROR(__xludf.DUMMYFUNCTION("""COMPUTED_VALUE"""),"BLACK")</f>
        <v>BLACK</v>
      </c>
      <c r="G4750" s="20" t="str">
        <f>IFERROR(__xludf.DUMMYFUNCTION("""COMPUTED_VALUE"""),"Uncle Sams Cider (11/12/2021) 02")</f>
        <v>Uncle Sams Cider (11/12/2021) 02</v>
      </c>
      <c r="H4750" s="19"/>
    </row>
    <row r="4751">
      <c r="A4751" s="9"/>
      <c r="B4751" s="15"/>
      <c r="C4751" s="9">
        <f>IFERROR(__xludf.DUMMYFUNCTION("""COMPUTED_VALUE"""),44555.6230780092)</f>
        <v>44555.62308</v>
      </c>
      <c r="D4751" s="15">
        <f>IFERROR(__xludf.DUMMYFUNCTION("""COMPUTED_VALUE"""),1.014)</f>
        <v>1.014</v>
      </c>
      <c r="E4751" s="16">
        <f>IFERROR(__xludf.DUMMYFUNCTION("""COMPUTED_VALUE"""),63.0)</f>
        <v>63</v>
      </c>
      <c r="F4751" s="19" t="str">
        <f>IFERROR(__xludf.DUMMYFUNCTION("""COMPUTED_VALUE"""),"BLACK")</f>
        <v>BLACK</v>
      </c>
      <c r="G4751" s="20" t="str">
        <f>IFERROR(__xludf.DUMMYFUNCTION("""COMPUTED_VALUE"""),"Uncle Sams Cider (11/12/2021) 02")</f>
        <v>Uncle Sams Cider (11/12/2021) 02</v>
      </c>
      <c r="H4751" s="19"/>
    </row>
    <row r="4752">
      <c r="A4752" s="9"/>
      <c r="B4752" s="15"/>
      <c r="C4752" s="9">
        <f>IFERROR(__xludf.DUMMYFUNCTION("""COMPUTED_VALUE"""),44555.6126549537)</f>
        <v>44555.61265</v>
      </c>
      <c r="D4752" s="15">
        <f>IFERROR(__xludf.DUMMYFUNCTION("""COMPUTED_VALUE"""),1.014)</f>
        <v>1.014</v>
      </c>
      <c r="E4752" s="16">
        <f>IFERROR(__xludf.DUMMYFUNCTION("""COMPUTED_VALUE"""),63.0)</f>
        <v>63</v>
      </c>
      <c r="F4752" s="19" t="str">
        <f>IFERROR(__xludf.DUMMYFUNCTION("""COMPUTED_VALUE"""),"BLACK")</f>
        <v>BLACK</v>
      </c>
      <c r="G4752" s="20" t="str">
        <f>IFERROR(__xludf.DUMMYFUNCTION("""COMPUTED_VALUE"""),"Uncle Sams Cider (11/12/2021) 02")</f>
        <v>Uncle Sams Cider (11/12/2021) 02</v>
      </c>
      <c r="H4752" s="19"/>
    </row>
    <row r="4753">
      <c r="A4753" s="9"/>
      <c r="B4753" s="15"/>
      <c r="C4753" s="9">
        <f>IFERROR(__xludf.DUMMYFUNCTION("""COMPUTED_VALUE"""),44555.6022326273)</f>
        <v>44555.60223</v>
      </c>
      <c r="D4753" s="15">
        <f>IFERROR(__xludf.DUMMYFUNCTION("""COMPUTED_VALUE"""),1.014)</f>
        <v>1.014</v>
      </c>
      <c r="E4753" s="16">
        <f>IFERROR(__xludf.DUMMYFUNCTION("""COMPUTED_VALUE"""),63.0)</f>
        <v>63</v>
      </c>
      <c r="F4753" s="19" t="str">
        <f>IFERROR(__xludf.DUMMYFUNCTION("""COMPUTED_VALUE"""),"BLACK")</f>
        <v>BLACK</v>
      </c>
      <c r="G4753" s="20" t="str">
        <f>IFERROR(__xludf.DUMMYFUNCTION("""COMPUTED_VALUE"""),"Uncle Sams Cider (11/12/2021) 02")</f>
        <v>Uncle Sams Cider (11/12/2021) 02</v>
      </c>
      <c r="H4753" s="19"/>
    </row>
    <row r="4754">
      <c r="A4754" s="9"/>
      <c r="B4754" s="15"/>
      <c r="C4754" s="9">
        <f>IFERROR(__xludf.DUMMYFUNCTION("""COMPUTED_VALUE"""),44555.5917995601)</f>
        <v>44555.5918</v>
      </c>
      <c r="D4754" s="15">
        <f>IFERROR(__xludf.DUMMYFUNCTION("""COMPUTED_VALUE"""),1.014)</f>
        <v>1.014</v>
      </c>
      <c r="E4754" s="16">
        <f>IFERROR(__xludf.DUMMYFUNCTION("""COMPUTED_VALUE"""),63.0)</f>
        <v>63</v>
      </c>
      <c r="F4754" s="19" t="str">
        <f>IFERROR(__xludf.DUMMYFUNCTION("""COMPUTED_VALUE"""),"BLACK")</f>
        <v>BLACK</v>
      </c>
      <c r="G4754" s="20" t="str">
        <f>IFERROR(__xludf.DUMMYFUNCTION("""COMPUTED_VALUE"""),"Uncle Sams Cider (11/12/2021) 02")</f>
        <v>Uncle Sams Cider (11/12/2021) 02</v>
      </c>
      <c r="H4754" s="19"/>
    </row>
    <row r="4755">
      <c r="A4755" s="9"/>
      <c r="B4755" s="15"/>
      <c r="C4755" s="9">
        <f>IFERROR(__xludf.DUMMYFUNCTION("""COMPUTED_VALUE"""),44555.5813792939)</f>
        <v>44555.58138</v>
      </c>
      <c r="D4755" s="15">
        <f>IFERROR(__xludf.DUMMYFUNCTION("""COMPUTED_VALUE"""),1.014)</f>
        <v>1.014</v>
      </c>
      <c r="E4755" s="16">
        <f>IFERROR(__xludf.DUMMYFUNCTION("""COMPUTED_VALUE"""),63.0)</f>
        <v>63</v>
      </c>
      <c r="F4755" s="19" t="str">
        <f>IFERROR(__xludf.DUMMYFUNCTION("""COMPUTED_VALUE"""),"BLACK")</f>
        <v>BLACK</v>
      </c>
      <c r="G4755" s="20" t="str">
        <f>IFERROR(__xludf.DUMMYFUNCTION("""COMPUTED_VALUE"""),"Uncle Sams Cider (11/12/2021) 02")</f>
        <v>Uncle Sams Cider (11/12/2021) 02</v>
      </c>
      <c r="H4755" s="19"/>
    </row>
    <row r="4756">
      <c r="A4756" s="9"/>
      <c r="B4756" s="15"/>
      <c r="C4756" s="9">
        <f>IFERROR(__xludf.DUMMYFUNCTION("""COMPUTED_VALUE"""),44555.5709580787)</f>
        <v>44555.57096</v>
      </c>
      <c r="D4756" s="15">
        <f>IFERROR(__xludf.DUMMYFUNCTION("""COMPUTED_VALUE"""),1.014)</f>
        <v>1.014</v>
      </c>
      <c r="E4756" s="16">
        <f>IFERROR(__xludf.DUMMYFUNCTION("""COMPUTED_VALUE"""),63.0)</f>
        <v>63</v>
      </c>
      <c r="F4756" s="19" t="str">
        <f>IFERROR(__xludf.DUMMYFUNCTION("""COMPUTED_VALUE"""),"BLACK")</f>
        <v>BLACK</v>
      </c>
      <c r="G4756" s="20" t="str">
        <f>IFERROR(__xludf.DUMMYFUNCTION("""COMPUTED_VALUE"""),"Uncle Sams Cider (11/12/2021) 02")</f>
        <v>Uncle Sams Cider (11/12/2021) 02</v>
      </c>
      <c r="H4756" s="19"/>
    </row>
    <row r="4757">
      <c r="A4757" s="9"/>
      <c r="B4757" s="15"/>
      <c r="C4757" s="9">
        <f>IFERROR(__xludf.DUMMYFUNCTION("""COMPUTED_VALUE"""),44555.5605362152)</f>
        <v>44555.56054</v>
      </c>
      <c r="D4757" s="15">
        <f>IFERROR(__xludf.DUMMYFUNCTION("""COMPUTED_VALUE"""),1.014)</f>
        <v>1.014</v>
      </c>
      <c r="E4757" s="16">
        <f>IFERROR(__xludf.DUMMYFUNCTION("""COMPUTED_VALUE"""),63.0)</f>
        <v>63</v>
      </c>
      <c r="F4757" s="19" t="str">
        <f>IFERROR(__xludf.DUMMYFUNCTION("""COMPUTED_VALUE"""),"BLACK")</f>
        <v>BLACK</v>
      </c>
      <c r="G4757" s="20" t="str">
        <f>IFERROR(__xludf.DUMMYFUNCTION("""COMPUTED_VALUE"""),"Uncle Sams Cider (11/12/2021) 02")</f>
        <v>Uncle Sams Cider (11/12/2021) 02</v>
      </c>
      <c r="H4757" s="19"/>
    </row>
    <row r="4758">
      <c r="A4758" s="9"/>
      <c r="B4758" s="15"/>
      <c r="C4758" s="9">
        <f>IFERROR(__xludf.DUMMYFUNCTION("""COMPUTED_VALUE"""),44555.550089074)</f>
        <v>44555.55009</v>
      </c>
      <c r="D4758" s="15">
        <f>IFERROR(__xludf.DUMMYFUNCTION("""COMPUTED_VALUE"""),1.014)</f>
        <v>1.014</v>
      </c>
      <c r="E4758" s="16">
        <f>IFERROR(__xludf.DUMMYFUNCTION("""COMPUTED_VALUE"""),63.0)</f>
        <v>63</v>
      </c>
      <c r="F4758" s="19" t="str">
        <f>IFERROR(__xludf.DUMMYFUNCTION("""COMPUTED_VALUE"""),"BLACK")</f>
        <v>BLACK</v>
      </c>
      <c r="G4758" s="20" t="str">
        <f>IFERROR(__xludf.DUMMYFUNCTION("""COMPUTED_VALUE"""),"Uncle Sams Cider (11/12/2021) 02")</f>
        <v>Uncle Sams Cider (11/12/2021) 02</v>
      </c>
      <c r="H4758" s="19"/>
    </row>
    <row r="4759">
      <c r="A4759" s="9"/>
      <c r="B4759" s="15"/>
      <c r="C4759" s="9">
        <f>IFERROR(__xludf.DUMMYFUNCTION("""COMPUTED_VALUE"""),44555.5396679398)</f>
        <v>44555.53967</v>
      </c>
      <c r="D4759" s="15">
        <f>IFERROR(__xludf.DUMMYFUNCTION("""COMPUTED_VALUE"""),1.014)</f>
        <v>1.014</v>
      </c>
      <c r="E4759" s="16">
        <f>IFERROR(__xludf.DUMMYFUNCTION("""COMPUTED_VALUE"""),63.0)</f>
        <v>63</v>
      </c>
      <c r="F4759" s="19" t="str">
        <f>IFERROR(__xludf.DUMMYFUNCTION("""COMPUTED_VALUE"""),"BLACK")</f>
        <v>BLACK</v>
      </c>
      <c r="G4759" s="20" t="str">
        <f>IFERROR(__xludf.DUMMYFUNCTION("""COMPUTED_VALUE"""),"Uncle Sams Cider (11/12/2021) 02")</f>
        <v>Uncle Sams Cider (11/12/2021) 02</v>
      </c>
      <c r="H4759" s="19"/>
    </row>
    <row r="4760">
      <c r="A4760" s="9"/>
      <c r="B4760" s="15"/>
      <c r="C4760" s="9">
        <f>IFERROR(__xludf.DUMMYFUNCTION("""COMPUTED_VALUE"""),44555.5292341782)</f>
        <v>44555.52923</v>
      </c>
      <c r="D4760" s="15">
        <f>IFERROR(__xludf.DUMMYFUNCTION("""COMPUTED_VALUE"""),1.014)</f>
        <v>1.014</v>
      </c>
      <c r="E4760" s="16">
        <f>IFERROR(__xludf.DUMMYFUNCTION("""COMPUTED_VALUE"""),63.0)</f>
        <v>63</v>
      </c>
      <c r="F4760" s="19" t="str">
        <f>IFERROR(__xludf.DUMMYFUNCTION("""COMPUTED_VALUE"""),"BLACK")</f>
        <v>BLACK</v>
      </c>
      <c r="G4760" s="20" t="str">
        <f>IFERROR(__xludf.DUMMYFUNCTION("""COMPUTED_VALUE"""),"Uncle Sams Cider (11/12/2021) 02")</f>
        <v>Uncle Sams Cider (11/12/2021) 02</v>
      </c>
      <c r="H4760" s="19"/>
    </row>
    <row r="4761">
      <c r="A4761" s="9"/>
      <c r="B4761" s="15"/>
      <c r="C4761" s="9">
        <f>IFERROR(__xludf.DUMMYFUNCTION("""COMPUTED_VALUE"""),44555.5187771296)</f>
        <v>44555.51878</v>
      </c>
      <c r="D4761" s="15">
        <f>IFERROR(__xludf.DUMMYFUNCTION("""COMPUTED_VALUE"""),1.014)</f>
        <v>1.014</v>
      </c>
      <c r="E4761" s="16">
        <f>IFERROR(__xludf.DUMMYFUNCTION("""COMPUTED_VALUE"""),63.0)</f>
        <v>63</v>
      </c>
      <c r="F4761" s="19" t="str">
        <f>IFERROR(__xludf.DUMMYFUNCTION("""COMPUTED_VALUE"""),"BLACK")</f>
        <v>BLACK</v>
      </c>
      <c r="G4761" s="20" t="str">
        <f>IFERROR(__xludf.DUMMYFUNCTION("""COMPUTED_VALUE"""),"Uncle Sams Cider (11/12/2021) 02")</f>
        <v>Uncle Sams Cider (11/12/2021) 02</v>
      </c>
      <c r="H4761" s="19"/>
    </row>
    <row r="4762">
      <c r="A4762" s="9"/>
      <c r="B4762" s="15"/>
      <c r="C4762" s="9">
        <f>IFERROR(__xludf.DUMMYFUNCTION("""COMPUTED_VALUE"""),44555.508344699)</f>
        <v>44555.50834</v>
      </c>
      <c r="D4762" s="15">
        <f>IFERROR(__xludf.DUMMYFUNCTION("""COMPUTED_VALUE"""),1.014)</f>
        <v>1.014</v>
      </c>
      <c r="E4762" s="16">
        <f>IFERROR(__xludf.DUMMYFUNCTION("""COMPUTED_VALUE"""),63.0)</f>
        <v>63</v>
      </c>
      <c r="F4762" s="19" t="str">
        <f>IFERROR(__xludf.DUMMYFUNCTION("""COMPUTED_VALUE"""),"BLACK")</f>
        <v>BLACK</v>
      </c>
      <c r="G4762" s="20" t="str">
        <f>IFERROR(__xludf.DUMMYFUNCTION("""COMPUTED_VALUE"""),"Uncle Sams Cider (11/12/2021) 02")</f>
        <v>Uncle Sams Cider (11/12/2021) 02</v>
      </c>
      <c r="H4762" s="19"/>
    </row>
    <row r="4763">
      <c r="A4763" s="9"/>
      <c r="B4763" s="15"/>
      <c r="C4763" s="9">
        <f>IFERROR(__xludf.DUMMYFUNCTION("""COMPUTED_VALUE"""),44555.4979230092)</f>
        <v>44555.49792</v>
      </c>
      <c r="D4763" s="15">
        <f>IFERROR(__xludf.DUMMYFUNCTION("""COMPUTED_VALUE"""),1.014)</f>
        <v>1.014</v>
      </c>
      <c r="E4763" s="16">
        <f>IFERROR(__xludf.DUMMYFUNCTION("""COMPUTED_VALUE"""),63.0)</f>
        <v>63</v>
      </c>
      <c r="F4763" s="19" t="str">
        <f>IFERROR(__xludf.DUMMYFUNCTION("""COMPUTED_VALUE"""),"BLACK")</f>
        <v>BLACK</v>
      </c>
      <c r="G4763" s="20" t="str">
        <f>IFERROR(__xludf.DUMMYFUNCTION("""COMPUTED_VALUE"""),"Uncle Sams Cider (11/12/2021) 02")</f>
        <v>Uncle Sams Cider (11/12/2021) 02</v>
      </c>
      <c r="H4763" s="19"/>
    </row>
    <row r="4764">
      <c r="A4764" s="9"/>
      <c r="B4764" s="15"/>
      <c r="C4764" s="9">
        <f>IFERROR(__xludf.DUMMYFUNCTION("""COMPUTED_VALUE"""),44555.48745625)</f>
        <v>44555.48746</v>
      </c>
      <c r="D4764" s="15">
        <f>IFERROR(__xludf.DUMMYFUNCTION("""COMPUTED_VALUE"""),1.014)</f>
        <v>1.014</v>
      </c>
      <c r="E4764" s="16">
        <f>IFERROR(__xludf.DUMMYFUNCTION("""COMPUTED_VALUE"""),63.0)</f>
        <v>63</v>
      </c>
      <c r="F4764" s="19" t="str">
        <f>IFERROR(__xludf.DUMMYFUNCTION("""COMPUTED_VALUE"""),"BLACK")</f>
        <v>BLACK</v>
      </c>
      <c r="G4764" s="20" t="str">
        <f>IFERROR(__xludf.DUMMYFUNCTION("""COMPUTED_VALUE"""),"Uncle Sams Cider (11/12/2021) 02")</f>
        <v>Uncle Sams Cider (11/12/2021) 02</v>
      </c>
      <c r="H4764" s="19"/>
    </row>
    <row r="4765">
      <c r="A4765" s="9"/>
      <c r="B4765" s="15"/>
      <c r="C4765" s="9">
        <f>IFERROR(__xludf.DUMMYFUNCTION("""COMPUTED_VALUE"""),44555.4770235069)</f>
        <v>44555.47702</v>
      </c>
      <c r="D4765" s="15">
        <f>IFERROR(__xludf.DUMMYFUNCTION("""COMPUTED_VALUE"""),1.014)</f>
        <v>1.014</v>
      </c>
      <c r="E4765" s="16">
        <f>IFERROR(__xludf.DUMMYFUNCTION("""COMPUTED_VALUE"""),63.0)</f>
        <v>63</v>
      </c>
      <c r="F4765" s="19" t="str">
        <f>IFERROR(__xludf.DUMMYFUNCTION("""COMPUTED_VALUE"""),"BLACK")</f>
        <v>BLACK</v>
      </c>
      <c r="G4765" s="20" t="str">
        <f>IFERROR(__xludf.DUMMYFUNCTION("""COMPUTED_VALUE"""),"Uncle Sams Cider (11/12/2021) 02")</f>
        <v>Uncle Sams Cider (11/12/2021) 02</v>
      </c>
      <c r="H4765" s="19"/>
    </row>
    <row r="4766">
      <c r="A4766" s="9"/>
      <c r="B4766" s="15"/>
      <c r="C4766" s="9">
        <f>IFERROR(__xludf.DUMMYFUNCTION("""COMPUTED_VALUE"""),44555.4666017708)</f>
        <v>44555.4666</v>
      </c>
      <c r="D4766" s="15">
        <f>IFERROR(__xludf.DUMMYFUNCTION("""COMPUTED_VALUE"""),1.014)</f>
        <v>1.014</v>
      </c>
      <c r="E4766" s="16">
        <f>IFERROR(__xludf.DUMMYFUNCTION("""COMPUTED_VALUE"""),63.0)</f>
        <v>63</v>
      </c>
      <c r="F4766" s="19" t="str">
        <f>IFERROR(__xludf.DUMMYFUNCTION("""COMPUTED_VALUE"""),"BLACK")</f>
        <v>BLACK</v>
      </c>
      <c r="G4766" s="20" t="str">
        <f>IFERROR(__xludf.DUMMYFUNCTION("""COMPUTED_VALUE"""),"Uncle Sams Cider (11/12/2021) 02")</f>
        <v>Uncle Sams Cider (11/12/2021) 02</v>
      </c>
      <c r="H4766" s="19"/>
    </row>
    <row r="4767">
      <c r="A4767" s="9"/>
      <c r="B4767" s="15"/>
      <c r="C4767" s="9">
        <f>IFERROR(__xludf.DUMMYFUNCTION("""COMPUTED_VALUE"""),44555.4561793981)</f>
        <v>44555.45618</v>
      </c>
      <c r="D4767" s="15">
        <f>IFERROR(__xludf.DUMMYFUNCTION("""COMPUTED_VALUE"""),1.014)</f>
        <v>1.014</v>
      </c>
      <c r="E4767" s="16">
        <f>IFERROR(__xludf.DUMMYFUNCTION("""COMPUTED_VALUE"""),63.0)</f>
        <v>63</v>
      </c>
      <c r="F4767" s="19" t="str">
        <f>IFERROR(__xludf.DUMMYFUNCTION("""COMPUTED_VALUE"""),"BLACK")</f>
        <v>BLACK</v>
      </c>
      <c r="G4767" s="20" t="str">
        <f>IFERROR(__xludf.DUMMYFUNCTION("""COMPUTED_VALUE"""),"Uncle Sams Cider (11/12/2021) 02")</f>
        <v>Uncle Sams Cider (11/12/2021) 02</v>
      </c>
      <c r="H4767" s="19"/>
    </row>
    <row r="4768">
      <c r="A4768" s="9"/>
      <c r="B4768" s="15"/>
      <c r="C4768" s="9">
        <f>IFERROR(__xludf.DUMMYFUNCTION("""COMPUTED_VALUE"""),44555.4457344791)</f>
        <v>44555.44573</v>
      </c>
      <c r="D4768" s="15">
        <f>IFERROR(__xludf.DUMMYFUNCTION("""COMPUTED_VALUE"""),1.014)</f>
        <v>1.014</v>
      </c>
      <c r="E4768" s="16">
        <f>IFERROR(__xludf.DUMMYFUNCTION("""COMPUTED_VALUE"""),63.0)</f>
        <v>63</v>
      </c>
      <c r="F4768" s="19" t="str">
        <f>IFERROR(__xludf.DUMMYFUNCTION("""COMPUTED_VALUE"""),"BLACK")</f>
        <v>BLACK</v>
      </c>
      <c r="G4768" s="20" t="str">
        <f>IFERROR(__xludf.DUMMYFUNCTION("""COMPUTED_VALUE"""),"Uncle Sams Cider (11/12/2021) 02")</f>
        <v>Uncle Sams Cider (11/12/2021) 02</v>
      </c>
      <c r="H4768" s="19"/>
    </row>
    <row r="4769">
      <c r="A4769" s="9"/>
      <c r="B4769" s="15"/>
      <c r="C4769" s="9">
        <f>IFERROR(__xludf.DUMMYFUNCTION("""COMPUTED_VALUE"""),44555.4353129745)</f>
        <v>44555.43531</v>
      </c>
      <c r="D4769" s="15">
        <f>IFERROR(__xludf.DUMMYFUNCTION("""COMPUTED_VALUE"""),1.014)</f>
        <v>1.014</v>
      </c>
      <c r="E4769" s="16">
        <f>IFERROR(__xludf.DUMMYFUNCTION("""COMPUTED_VALUE"""),63.0)</f>
        <v>63</v>
      </c>
      <c r="F4769" s="19" t="str">
        <f>IFERROR(__xludf.DUMMYFUNCTION("""COMPUTED_VALUE"""),"BLACK")</f>
        <v>BLACK</v>
      </c>
      <c r="G4769" s="20" t="str">
        <f>IFERROR(__xludf.DUMMYFUNCTION("""COMPUTED_VALUE"""),"Uncle Sams Cider (11/12/2021) 02")</f>
        <v>Uncle Sams Cider (11/12/2021) 02</v>
      </c>
      <c r="H4769" s="19"/>
    </row>
    <row r="4770">
      <c r="A4770" s="9"/>
      <c r="B4770" s="15"/>
      <c r="C4770" s="9">
        <f>IFERROR(__xludf.DUMMYFUNCTION("""COMPUTED_VALUE"""),44555.4248469675)</f>
        <v>44555.42485</v>
      </c>
      <c r="D4770" s="15">
        <f>IFERROR(__xludf.DUMMYFUNCTION("""COMPUTED_VALUE"""),1.014)</f>
        <v>1.014</v>
      </c>
      <c r="E4770" s="16">
        <f>IFERROR(__xludf.DUMMYFUNCTION("""COMPUTED_VALUE"""),63.0)</f>
        <v>63</v>
      </c>
      <c r="F4770" s="19" t="str">
        <f>IFERROR(__xludf.DUMMYFUNCTION("""COMPUTED_VALUE"""),"BLACK")</f>
        <v>BLACK</v>
      </c>
      <c r="G4770" s="20" t="str">
        <f>IFERROR(__xludf.DUMMYFUNCTION("""COMPUTED_VALUE"""),"Uncle Sams Cider (11/12/2021) 02")</f>
        <v>Uncle Sams Cider (11/12/2021) 02</v>
      </c>
      <c r="H4770" s="19"/>
    </row>
    <row r="4771">
      <c r="A4771" s="9"/>
      <c r="B4771" s="15"/>
      <c r="C4771" s="9">
        <f>IFERROR(__xludf.DUMMYFUNCTION("""COMPUTED_VALUE"""),44555.4144132407)</f>
        <v>44555.41441</v>
      </c>
      <c r="D4771" s="15">
        <f>IFERROR(__xludf.DUMMYFUNCTION("""COMPUTED_VALUE"""),1.014)</f>
        <v>1.014</v>
      </c>
      <c r="E4771" s="16">
        <f>IFERROR(__xludf.DUMMYFUNCTION("""COMPUTED_VALUE"""),63.0)</f>
        <v>63</v>
      </c>
      <c r="F4771" s="19" t="str">
        <f>IFERROR(__xludf.DUMMYFUNCTION("""COMPUTED_VALUE"""),"BLACK")</f>
        <v>BLACK</v>
      </c>
      <c r="G4771" s="20" t="str">
        <f>IFERROR(__xludf.DUMMYFUNCTION("""COMPUTED_VALUE"""),"Uncle Sams Cider (11/12/2021) 02")</f>
        <v>Uncle Sams Cider (11/12/2021) 02</v>
      </c>
      <c r="H4771" s="19"/>
    </row>
    <row r="4772">
      <c r="A4772" s="9"/>
      <c r="B4772" s="15"/>
      <c r="C4772" s="9">
        <f>IFERROR(__xludf.DUMMYFUNCTION("""COMPUTED_VALUE"""),44555.4039918634)</f>
        <v>44555.40399</v>
      </c>
      <c r="D4772" s="15">
        <f>IFERROR(__xludf.DUMMYFUNCTION("""COMPUTED_VALUE"""),1.014)</f>
        <v>1.014</v>
      </c>
      <c r="E4772" s="16">
        <f>IFERROR(__xludf.DUMMYFUNCTION("""COMPUTED_VALUE"""),63.0)</f>
        <v>63</v>
      </c>
      <c r="F4772" s="19" t="str">
        <f>IFERROR(__xludf.DUMMYFUNCTION("""COMPUTED_VALUE"""),"BLACK")</f>
        <v>BLACK</v>
      </c>
      <c r="G4772" s="20" t="str">
        <f>IFERROR(__xludf.DUMMYFUNCTION("""COMPUTED_VALUE"""),"Uncle Sams Cider (11/12/2021) 02")</f>
        <v>Uncle Sams Cider (11/12/2021) 02</v>
      </c>
      <c r="H4772" s="19"/>
    </row>
    <row r="4773">
      <c r="A4773" s="9"/>
      <c r="B4773" s="15"/>
      <c r="C4773" s="9">
        <f>IFERROR(__xludf.DUMMYFUNCTION("""COMPUTED_VALUE"""),44555.3935583912)</f>
        <v>44555.39356</v>
      </c>
      <c r="D4773" s="15">
        <f>IFERROR(__xludf.DUMMYFUNCTION("""COMPUTED_VALUE"""),1.014)</f>
        <v>1.014</v>
      </c>
      <c r="E4773" s="16">
        <f>IFERROR(__xludf.DUMMYFUNCTION("""COMPUTED_VALUE"""),63.0)</f>
        <v>63</v>
      </c>
      <c r="F4773" s="19" t="str">
        <f>IFERROR(__xludf.DUMMYFUNCTION("""COMPUTED_VALUE"""),"BLACK")</f>
        <v>BLACK</v>
      </c>
      <c r="G4773" s="20" t="str">
        <f>IFERROR(__xludf.DUMMYFUNCTION("""COMPUTED_VALUE"""),"Uncle Sams Cider (11/12/2021) 02")</f>
        <v>Uncle Sams Cider (11/12/2021) 02</v>
      </c>
      <c r="H4773" s="19"/>
    </row>
    <row r="4774">
      <c r="A4774" s="9"/>
      <c r="B4774" s="15"/>
      <c r="C4774" s="9">
        <f>IFERROR(__xludf.DUMMYFUNCTION("""COMPUTED_VALUE"""),44555.3831142939)</f>
        <v>44555.38311</v>
      </c>
      <c r="D4774" s="15">
        <f>IFERROR(__xludf.DUMMYFUNCTION("""COMPUTED_VALUE"""),1.014)</f>
        <v>1.014</v>
      </c>
      <c r="E4774" s="16">
        <f>IFERROR(__xludf.DUMMYFUNCTION("""COMPUTED_VALUE"""),63.0)</f>
        <v>63</v>
      </c>
      <c r="F4774" s="19" t="str">
        <f>IFERROR(__xludf.DUMMYFUNCTION("""COMPUTED_VALUE"""),"BLACK")</f>
        <v>BLACK</v>
      </c>
      <c r="G4774" s="20" t="str">
        <f>IFERROR(__xludf.DUMMYFUNCTION("""COMPUTED_VALUE"""),"Uncle Sams Cider (11/12/2021) 02")</f>
        <v>Uncle Sams Cider (11/12/2021) 02</v>
      </c>
      <c r="H4774" s="19"/>
    </row>
    <row r="4775">
      <c r="A4775" s="9"/>
      <c r="B4775" s="15"/>
      <c r="C4775" s="9">
        <f>IFERROR(__xludf.DUMMYFUNCTION("""COMPUTED_VALUE"""),44555.3726945949)</f>
        <v>44555.37269</v>
      </c>
      <c r="D4775" s="15">
        <f>IFERROR(__xludf.DUMMYFUNCTION("""COMPUTED_VALUE"""),1.014)</f>
        <v>1.014</v>
      </c>
      <c r="E4775" s="16">
        <f>IFERROR(__xludf.DUMMYFUNCTION("""COMPUTED_VALUE"""),63.0)</f>
        <v>63</v>
      </c>
      <c r="F4775" s="19" t="str">
        <f>IFERROR(__xludf.DUMMYFUNCTION("""COMPUTED_VALUE"""),"BLACK")</f>
        <v>BLACK</v>
      </c>
      <c r="G4775" s="20" t="str">
        <f>IFERROR(__xludf.DUMMYFUNCTION("""COMPUTED_VALUE"""),"Uncle Sams Cider (11/12/2021) 02")</f>
        <v>Uncle Sams Cider (11/12/2021) 02</v>
      </c>
      <c r="H4775" s="19"/>
    </row>
    <row r="4776">
      <c r="A4776" s="9"/>
      <c r="B4776" s="15"/>
      <c r="C4776" s="9">
        <f>IFERROR(__xludf.DUMMYFUNCTION("""COMPUTED_VALUE"""),44555.3622740625)</f>
        <v>44555.36227</v>
      </c>
      <c r="D4776" s="15">
        <f>IFERROR(__xludf.DUMMYFUNCTION("""COMPUTED_VALUE"""),1.014)</f>
        <v>1.014</v>
      </c>
      <c r="E4776" s="16">
        <f>IFERROR(__xludf.DUMMYFUNCTION("""COMPUTED_VALUE"""),63.0)</f>
        <v>63</v>
      </c>
      <c r="F4776" s="19" t="str">
        <f>IFERROR(__xludf.DUMMYFUNCTION("""COMPUTED_VALUE"""),"BLACK")</f>
        <v>BLACK</v>
      </c>
      <c r="G4776" s="20" t="str">
        <f>IFERROR(__xludf.DUMMYFUNCTION("""COMPUTED_VALUE"""),"Uncle Sams Cider (11/12/2021) 02")</f>
        <v>Uncle Sams Cider (11/12/2021) 02</v>
      </c>
      <c r="H4776" s="19"/>
    </row>
    <row r="4777">
      <c r="A4777" s="9"/>
      <c r="B4777" s="15"/>
      <c r="C4777" s="9">
        <f>IFERROR(__xludf.DUMMYFUNCTION("""COMPUTED_VALUE"""),44555.3518183333)</f>
        <v>44555.35182</v>
      </c>
      <c r="D4777" s="15">
        <f>IFERROR(__xludf.DUMMYFUNCTION("""COMPUTED_VALUE"""),1.014)</f>
        <v>1.014</v>
      </c>
      <c r="E4777" s="16">
        <f>IFERROR(__xludf.DUMMYFUNCTION("""COMPUTED_VALUE"""),63.0)</f>
        <v>63</v>
      </c>
      <c r="F4777" s="19" t="str">
        <f>IFERROR(__xludf.DUMMYFUNCTION("""COMPUTED_VALUE"""),"BLACK")</f>
        <v>BLACK</v>
      </c>
      <c r="G4777" s="20" t="str">
        <f>IFERROR(__xludf.DUMMYFUNCTION("""COMPUTED_VALUE"""),"Uncle Sams Cider (11/12/2021) 02")</f>
        <v>Uncle Sams Cider (11/12/2021) 02</v>
      </c>
      <c r="H4777" s="19"/>
    </row>
    <row r="4778">
      <c r="A4778" s="9"/>
      <c r="B4778" s="15"/>
      <c r="C4778" s="9">
        <f>IFERROR(__xludf.DUMMYFUNCTION("""COMPUTED_VALUE"""),44555.3413967476)</f>
        <v>44555.3414</v>
      </c>
      <c r="D4778" s="15">
        <f>IFERROR(__xludf.DUMMYFUNCTION("""COMPUTED_VALUE"""),1.014)</f>
        <v>1.014</v>
      </c>
      <c r="E4778" s="16">
        <f>IFERROR(__xludf.DUMMYFUNCTION("""COMPUTED_VALUE"""),63.0)</f>
        <v>63</v>
      </c>
      <c r="F4778" s="19" t="str">
        <f>IFERROR(__xludf.DUMMYFUNCTION("""COMPUTED_VALUE"""),"BLACK")</f>
        <v>BLACK</v>
      </c>
      <c r="G4778" s="20" t="str">
        <f>IFERROR(__xludf.DUMMYFUNCTION("""COMPUTED_VALUE"""),"Uncle Sams Cider (11/12/2021) 02")</f>
        <v>Uncle Sams Cider (11/12/2021) 02</v>
      </c>
      <c r="H4778" s="19"/>
    </row>
    <row r="4779">
      <c r="A4779" s="9"/>
      <c r="B4779" s="15"/>
      <c r="C4779" s="9">
        <f>IFERROR(__xludf.DUMMYFUNCTION("""COMPUTED_VALUE"""),44555.3309406828)</f>
        <v>44555.33094</v>
      </c>
      <c r="D4779" s="15">
        <f>IFERROR(__xludf.DUMMYFUNCTION("""COMPUTED_VALUE"""),1.014)</f>
        <v>1.014</v>
      </c>
      <c r="E4779" s="16">
        <f>IFERROR(__xludf.DUMMYFUNCTION("""COMPUTED_VALUE"""),63.0)</f>
        <v>63</v>
      </c>
      <c r="F4779" s="19" t="str">
        <f>IFERROR(__xludf.DUMMYFUNCTION("""COMPUTED_VALUE"""),"BLACK")</f>
        <v>BLACK</v>
      </c>
      <c r="G4779" s="20" t="str">
        <f>IFERROR(__xludf.DUMMYFUNCTION("""COMPUTED_VALUE"""),"Uncle Sams Cider (11/12/2021) 02")</f>
        <v>Uncle Sams Cider (11/12/2021) 02</v>
      </c>
      <c r="H4779" s="19"/>
    </row>
    <row r="4780">
      <c r="A4780" s="9"/>
      <c r="B4780" s="15"/>
      <c r="C4780" s="9">
        <f>IFERROR(__xludf.DUMMYFUNCTION("""COMPUTED_VALUE"""),44555.3204732291)</f>
        <v>44555.32047</v>
      </c>
      <c r="D4780" s="15">
        <f>IFERROR(__xludf.DUMMYFUNCTION("""COMPUTED_VALUE"""),1.014)</f>
        <v>1.014</v>
      </c>
      <c r="E4780" s="16">
        <f>IFERROR(__xludf.DUMMYFUNCTION("""COMPUTED_VALUE"""),63.0)</f>
        <v>63</v>
      </c>
      <c r="F4780" s="19" t="str">
        <f>IFERROR(__xludf.DUMMYFUNCTION("""COMPUTED_VALUE"""),"BLACK")</f>
        <v>BLACK</v>
      </c>
      <c r="G4780" s="20" t="str">
        <f>IFERROR(__xludf.DUMMYFUNCTION("""COMPUTED_VALUE"""),"Uncle Sams Cider (11/12/2021) 02")</f>
        <v>Uncle Sams Cider (11/12/2021) 02</v>
      </c>
      <c r="H4780" s="19"/>
    </row>
    <row r="4781">
      <c r="A4781" s="9"/>
      <c r="B4781" s="15"/>
      <c r="C4781" s="9">
        <f>IFERROR(__xludf.DUMMYFUNCTION("""COMPUTED_VALUE"""),44555.3100171412)</f>
        <v>44555.31002</v>
      </c>
      <c r="D4781" s="15">
        <f>IFERROR(__xludf.DUMMYFUNCTION("""COMPUTED_VALUE"""),1.014)</f>
        <v>1.014</v>
      </c>
      <c r="E4781" s="16">
        <f>IFERROR(__xludf.DUMMYFUNCTION("""COMPUTED_VALUE"""),63.0)</f>
        <v>63</v>
      </c>
      <c r="F4781" s="19" t="str">
        <f>IFERROR(__xludf.DUMMYFUNCTION("""COMPUTED_VALUE"""),"BLACK")</f>
        <v>BLACK</v>
      </c>
      <c r="G4781" s="20" t="str">
        <f>IFERROR(__xludf.DUMMYFUNCTION("""COMPUTED_VALUE"""),"Uncle Sams Cider (11/12/2021) 02")</f>
        <v>Uncle Sams Cider (11/12/2021) 02</v>
      </c>
      <c r="H4781" s="19"/>
    </row>
    <row r="4782">
      <c r="A4782" s="9"/>
      <c r="B4782" s="15"/>
      <c r="C4782" s="9">
        <f>IFERROR(__xludf.DUMMYFUNCTION("""COMPUTED_VALUE"""),44555.299596655)</f>
        <v>44555.2996</v>
      </c>
      <c r="D4782" s="15">
        <f>IFERROR(__xludf.DUMMYFUNCTION("""COMPUTED_VALUE"""),1.014)</f>
        <v>1.014</v>
      </c>
      <c r="E4782" s="16">
        <f>IFERROR(__xludf.DUMMYFUNCTION("""COMPUTED_VALUE"""),63.0)</f>
        <v>63</v>
      </c>
      <c r="F4782" s="19" t="str">
        <f>IFERROR(__xludf.DUMMYFUNCTION("""COMPUTED_VALUE"""),"BLACK")</f>
        <v>BLACK</v>
      </c>
      <c r="G4782" s="20" t="str">
        <f>IFERROR(__xludf.DUMMYFUNCTION("""COMPUTED_VALUE"""),"Uncle Sams Cider (11/12/2021) 02")</f>
        <v>Uncle Sams Cider (11/12/2021) 02</v>
      </c>
      <c r="H4782" s="19"/>
    </row>
    <row r="4783">
      <c r="A4783" s="9"/>
      <c r="B4783" s="15"/>
      <c r="C4783" s="9">
        <f>IFERROR(__xludf.DUMMYFUNCTION("""COMPUTED_VALUE"""),44555.2891649537)</f>
        <v>44555.28916</v>
      </c>
      <c r="D4783" s="15">
        <f>IFERROR(__xludf.DUMMYFUNCTION("""COMPUTED_VALUE"""),1.014)</f>
        <v>1.014</v>
      </c>
      <c r="E4783" s="16">
        <f>IFERROR(__xludf.DUMMYFUNCTION("""COMPUTED_VALUE"""),63.0)</f>
        <v>63</v>
      </c>
      <c r="F4783" s="19" t="str">
        <f>IFERROR(__xludf.DUMMYFUNCTION("""COMPUTED_VALUE"""),"BLACK")</f>
        <v>BLACK</v>
      </c>
      <c r="G4783" s="20" t="str">
        <f>IFERROR(__xludf.DUMMYFUNCTION("""COMPUTED_VALUE"""),"Uncle Sams Cider (11/12/2021) 02")</f>
        <v>Uncle Sams Cider (11/12/2021) 02</v>
      </c>
      <c r="H4783" s="19"/>
    </row>
    <row r="4784">
      <c r="A4784" s="9"/>
      <c r="B4784" s="15"/>
      <c r="C4784" s="9">
        <f>IFERROR(__xludf.DUMMYFUNCTION("""COMPUTED_VALUE"""),44555.2787434722)</f>
        <v>44555.27874</v>
      </c>
      <c r="D4784" s="15">
        <f>IFERROR(__xludf.DUMMYFUNCTION("""COMPUTED_VALUE"""),1.014)</f>
        <v>1.014</v>
      </c>
      <c r="E4784" s="16">
        <f>IFERROR(__xludf.DUMMYFUNCTION("""COMPUTED_VALUE"""),63.0)</f>
        <v>63</v>
      </c>
      <c r="F4784" s="19" t="str">
        <f>IFERROR(__xludf.DUMMYFUNCTION("""COMPUTED_VALUE"""),"BLACK")</f>
        <v>BLACK</v>
      </c>
      <c r="G4784" s="20" t="str">
        <f>IFERROR(__xludf.DUMMYFUNCTION("""COMPUTED_VALUE"""),"Uncle Sams Cider (11/12/2021) 02")</f>
        <v>Uncle Sams Cider (11/12/2021) 02</v>
      </c>
      <c r="H4784" s="19"/>
    </row>
    <row r="4785">
      <c r="A4785" s="9"/>
      <c r="B4785" s="15"/>
      <c r="C4785" s="9">
        <f>IFERROR(__xludf.DUMMYFUNCTION("""COMPUTED_VALUE"""),44555.2682755902)</f>
        <v>44555.26828</v>
      </c>
      <c r="D4785" s="15">
        <f>IFERROR(__xludf.DUMMYFUNCTION("""COMPUTED_VALUE"""),1.014)</f>
        <v>1.014</v>
      </c>
      <c r="E4785" s="16">
        <f>IFERROR(__xludf.DUMMYFUNCTION("""COMPUTED_VALUE"""),63.0)</f>
        <v>63</v>
      </c>
      <c r="F4785" s="19" t="str">
        <f>IFERROR(__xludf.DUMMYFUNCTION("""COMPUTED_VALUE"""),"BLACK")</f>
        <v>BLACK</v>
      </c>
      <c r="G4785" s="20" t="str">
        <f>IFERROR(__xludf.DUMMYFUNCTION("""COMPUTED_VALUE"""),"Uncle Sams Cider (11/12/2021) 02")</f>
        <v>Uncle Sams Cider (11/12/2021) 02</v>
      </c>
      <c r="H4785" s="19"/>
    </row>
    <row r="4786">
      <c r="A4786" s="9"/>
      <c r="B4786" s="15"/>
      <c r="C4786" s="9">
        <f>IFERROR(__xludf.DUMMYFUNCTION("""COMPUTED_VALUE"""),44555.2578435648)</f>
        <v>44555.25784</v>
      </c>
      <c r="D4786" s="15">
        <f>IFERROR(__xludf.DUMMYFUNCTION("""COMPUTED_VALUE"""),1.014)</f>
        <v>1.014</v>
      </c>
      <c r="E4786" s="16">
        <f>IFERROR(__xludf.DUMMYFUNCTION("""COMPUTED_VALUE"""),63.0)</f>
        <v>63</v>
      </c>
      <c r="F4786" s="19" t="str">
        <f>IFERROR(__xludf.DUMMYFUNCTION("""COMPUTED_VALUE"""),"BLACK")</f>
        <v>BLACK</v>
      </c>
      <c r="G4786" s="20" t="str">
        <f>IFERROR(__xludf.DUMMYFUNCTION("""COMPUTED_VALUE"""),"Uncle Sams Cider (11/12/2021) 02")</f>
        <v>Uncle Sams Cider (11/12/2021) 02</v>
      </c>
      <c r="H4786" s="19"/>
    </row>
    <row r="4787">
      <c r="A4787" s="9"/>
      <c r="B4787" s="15"/>
      <c r="C4787" s="9">
        <f>IFERROR(__xludf.DUMMYFUNCTION("""COMPUTED_VALUE"""),44555.2474226736)</f>
        <v>44555.24742</v>
      </c>
      <c r="D4787" s="15">
        <f>IFERROR(__xludf.DUMMYFUNCTION("""COMPUTED_VALUE"""),1.014)</f>
        <v>1.014</v>
      </c>
      <c r="E4787" s="16">
        <f>IFERROR(__xludf.DUMMYFUNCTION("""COMPUTED_VALUE"""),63.0)</f>
        <v>63</v>
      </c>
      <c r="F4787" s="19" t="str">
        <f>IFERROR(__xludf.DUMMYFUNCTION("""COMPUTED_VALUE"""),"BLACK")</f>
        <v>BLACK</v>
      </c>
      <c r="G4787" s="20" t="str">
        <f>IFERROR(__xludf.DUMMYFUNCTION("""COMPUTED_VALUE"""),"Uncle Sams Cider (11/12/2021) 02")</f>
        <v>Uncle Sams Cider (11/12/2021) 02</v>
      </c>
      <c r="H4787" s="19"/>
    </row>
    <row r="4788">
      <c r="A4788" s="9"/>
      <c r="B4788" s="15"/>
      <c r="C4788" s="9">
        <f>IFERROR(__xludf.DUMMYFUNCTION("""COMPUTED_VALUE"""),44555.2370021643)</f>
        <v>44555.237</v>
      </c>
      <c r="D4788" s="15">
        <f>IFERROR(__xludf.DUMMYFUNCTION("""COMPUTED_VALUE"""),1.014)</f>
        <v>1.014</v>
      </c>
      <c r="E4788" s="16">
        <f>IFERROR(__xludf.DUMMYFUNCTION("""COMPUTED_VALUE"""),63.0)</f>
        <v>63</v>
      </c>
      <c r="F4788" s="19" t="str">
        <f>IFERROR(__xludf.DUMMYFUNCTION("""COMPUTED_VALUE"""),"BLACK")</f>
        <v>BLACK</v>
      </c>
      <c r="G4788" s="20" t="str">
        <f>IFERROR(__xludf.DUMMYFUNCTION("""COMPUTED_VALUE"""),"Uncle Sams Cider (11/12/2021) 02")</f>
        <v>Uncle Sams Cider (11/12/2021) 02</v>
      </c>
      <c r="H4788" s="19"/>
    </row>
    <row r="4789">
      <c r="A4789" s="9"/>
      <c r="B4789" s="15"/>
      <c r="C4789" s="9">
        <f>IFERROR(__xludf.DUMMYFUNCTION("""COMPUTED_VALUE"""),44555.2265790509)</f>
        <v>44555.22658</v>
      </c>
      <c r="D4789" s="15">
        <f>IFERROR(__xludf.DUMMYFUNCTION("""COMPUTED_VALUE"""),1.014)</f>
        <v>1.014</v>
      </c>
      <c r="E4789" s="16">
        <f>IFERROR(__xludf.DUMMYFUNCTION("""COMPUTED_VALUE"""),63.0)</f>
        <v>63</v>
      </c>
      <c r="F4789" s="19" t="str">
        <f>IFERROR(__xludf.DUMMYFUNCTION("""COMPUTED_VALUE"""),"BLACK")</f>
        <v>BLACK</v>
      </c>
      <c r="G4789" s="20" t="str">
        <f>IFERROR(__xludf.DUMMYFUNCTION("""COMPUTED_VALUE"""),"Uncle Sams Cider (11/12/2021) 02")</f>
        <v>Uncle Sams Cider (11/12/2021) 02</v>
      </c>
      <c r="H4789" s="19"/>
    </row>
    <row r="4790">
      <c r="A4790" s="9"/>
      <c r="B4790" s="15"/>
      <c r="C4790" s="9">
        <f>IFERROR(__xludf.DUMMYFUNCTION("""COMPUTED_VALUE"""),44555.2161595949)</f>
        <v>44555.21616</v>
      </c>
      <c r="D4790" s="15">
        <f>IFERROR(__xludf.DUMMYFUNCTION("""COMPUTED_VALUE"""),1.014)</f>
        <v>1.014</v>
      </c>
      <c r="E4790" s="16">
        <f>IFERROR(__xludf.DUMMYFUNCTION("""COMPUTED_VALUE"""),63.0)</f>
        <v>63</v>
      </c>
      <c r="F4790" s="19" t="str">
        <f>IFERROR(__xludf.DUMMYFUNCTION("""COMPUTED_VALUE"""),"BLACK")</f>
        <v>BLACK</v>
      </c>
      <c r="G4790" s="20" t="str">
        <f>IFERROR(__xludf.DUMMYFUNCTION("""COMPUTED_VALUE"""),"Uncle Sams Cider (11/12/2021) 02")</f>
        <v>Uncle Sams Cider (11/12/2021) 02</v>
      </c>
      <c r="H4790" s="19"/>
    </row>
    <row r="4791">
      <c r="A4791" s="9"/>
      <c r="B4791" s="15"/>
      <c r="C4791" s="9">
        <f>IFERROR(__xludf.DUMMYFUNCTION("""COMPUTED_VALUE"""),44555.205737905)</f>
        <v>44555.20574</v>
      </c>
      <c r="D4791" s="15">
        <f>IFERROR(__xludf.DUMMYFUNCTION("""COMPUTED_VALUE"""),1.014)</f>
        <v>1.014</v>
      </c>
      <c r="E4791" s="16">
        <f>IFERROR(__xludf.DUMMYFUNCTION("""COMPUTED_VALUE"""),63.0)</f>
        <v>63</v>
      </c>
      <c r="F4791" s="19" t="str">
        <f>IFERROR(__xludf.DUMMYFUNCTION("""COMPUTED_VALUE"""),"BLACK")</f>
        <v>BLACK</v>
      </c>
      <c r="G4791" s="20" t="str">
        <f>IFERROR(__xludf.DUMMYFUNCTION("""COMPUTED_VALUE"""),"Uncle Sams Cider (11/12/2021) 02")</f>
        <v>Uncle Sams Cider (11/12/2021) 02</v>
      </c>
      <c r="H4791" s="19"/>
    </row>
    <row r="4792">
      <c r="A4792" s="9"/>
      <c r="B4792" s="15"/>
      <c r="C4792" s="9">
        <f>IFERROR(__xludf.DUMMYFUNCTION("""COMPUTED_VALUE"""),44555.1953182986)</f>
        <v>44555.19532</v>
      </c>
      <c r="D4792" s="15">
        <f>IFERROR(__xludf.DUMMYFUNCTION("""COMPUTED_VALUE"""),1.014)</f>
        <v>1.014</v>
      </c>
      <c r="E4792" s="16">
        <f>IFERROR(__xludf.DUMMYFUNCTION("""COMPUTED_VALUE"""),63.0)</f>
        <v>63</v>
      </c>
      <c r="F4792" s="19" t="str">
        <f>IFERROR(__xludf.DUMMYFUNCTION("""COMPUTED_VALUE"""),"BLACK")</f>
        <v>BLACK</v>
      </c>
      <c r="G4792" s="20" t="str">
        <f>IFERROR(__xludf.DUMMYFUNCTION("""COMPUTED_VALUE"""),"Uncle Sams Cider (11/12/2021) 02")</f>
        <v>Uncle Sams Cider (11/12/2021) 02</v>
      </c>
      <c r="H4792" s="19"/>
    </row>
    <row r="4793">
      <c r="A4793" s="9"/>
      <c r="B4793" s="15"/>
      <c r="C4793" s="9">
        <f>IFERROR(__xludf.DUMMYFUNCTION("""COMPUTED_VALUE"""),44555.184896574)</f>
        <v>44555.1849</v>
      </c>
      <c r="D4793" s="15">
        <f>IFERROR(__xludf.DUMMYFUNCTION("""COMPUTED_VALUE"""),1.014)</f>
        <v>1.014</v>
      </c>
      <c r="E4793" s="16">
        <f>IFERROR(__xludf.DUMMYFUNCTION("""COMPUTED_VALUE"""),63.0)</f>
        <v>63</v>
      </c>
      <c r="F4793" s="19" t="str">
        <f>IFERROR(__xludf.DUMMYFUNCTION("""COMPUTED_VALUE"""),"BLACK")</f>
        <v>BLACK</v>
      </c>
      <c r="G4793" s="20" t="str">
        <f>IFERROR(__xludf.DUMMYFUNCTION("""COMPUTED_VALUE"""),"Uncle Sams Cider (11/12/2021) 02")</f>
        <v>Uncle Sams Cider (11/12/2021) 02</v>
      </c>
      <c r="H4793" s="19"/>
    </row>
    <row r="4794">
      <c r="A4794" s="9"/>
      <c r="B4794" s="15"/>
      <c r="C4794" s="9">
        <f>IFERROR(__xludf.DUMMYFUNCTION("""COMPUTED_VALUE"""),44555.1744527199)</f>
        <v>44555.17445</v>
      </c>
      <c r="D4794" s="15">
        <f>IFERROR(__xludf.DUMMYFUNCTION("""COMPUTED_VALUE"""),1.014)</f>
        <v>1.014</v>
      </c>
      <c r="E4794" s="16">
        <f>IFERROR(__xludf.DUMMYFUNCTION("""COMPUTED_VALUE"""),63.0)</f>
        <v>63</v>
      </c>
      <c r="F4794" s="19" t="str">
        <f>IFERROR(__xludf.DUMMYFUNCTION("""COMPUTED_VALUE"""),"BLACK")</f>
        <v>BLACK</v>
      </c>
      <c r="G4794" s="20" t="str">
        <f>IFERROR(__xludf.DUMMYFUNCTION("""COMPUTED_VALUE"""),"Uncle Sams Cider (11/12/2021) 02")</f>
        <v>Uncle Sams Cider (11/12/2021) 02</v>
      </c>
      <c r="H4794" s="19"/>
    </row>
    <row r="4795">
      <c r="A4795" s="9"/>
      <c r="B4795" s="15"/>
      <c r="C4795" s="9">
        <f>IFERROR(__xludf.DUMMYFUNCTION("""COMPUTED_VALUE"""),44555.1640082175)</f>
        <v>44555.16401</v>
      </c>
      <c r="D4795" s="15">
        <f>IFERROR(__xludf.DUMMYFUNCTION("""COMPUTED_VALUE"""),1.014)</f>
        <v>1.014</v>
      </c>
      <c r="E4795" s="16">
        <f>IFERROR(__xludf.DUMMYFUNCTION("""COMPUTED_VALUE"""),63.0)</f>
        <v>63</v>
      </c>
      <c r="F4795" s="19" t="str">
        <f>IFERROR(__xludf.DUMMYFUNCTION("""COMPUTED_VALUE"""),"BLACK")</f>
        <v>BLACK</v>
      </c>
      <c r="G4795" s="20" t="str">
        <f>IFERROR(__xludf.DUMMYFUNCTION("""COMPUTED_VALUE"""),"Uncle Sams Cider (11/12/2021) 02")</f>
        <v>Uncle Sams Cider (11/12/2021) 02</v>
      </c>
      <c r="H4795" s="19"/>
    </row>
    <row r="4796">
      <c r="A4796" s="9"/>
      <c r="B4796" s="15"/>
      <c r="C4796" s="9">
        <f>IFERROR(__xludf.DUMMYFUNCTION("""COMPUTED_VALUE"""),44555.1535510763)</f>
        <v>44555.15355</v>
      </c>
      <c r="D4796" s="15">
        <f>IFERROR(__xludf.DUMMYFUNCTION("""COMPUTED_VALUE"""),1.014)</f>
        <v>1.014</v>
      </c>
      <c r="E4796" s="16">
        <f>IFERROR(__xludf.DUMMYFUNCTION("""COMPUTED_VALUE"""),63.0)</f>
        <v>63</v>
      </c>
      <c r="F4796" s="19" t="str">
        <f>IFERROR(__xludf.DUMMYFUNCTION("""COMPUTED_VALUE"""),"BLACK")</f>
        <v>BLACK</v>
      </c>
      <c r="G4796" s="20" t="str">
        <f>IFERROR(__xludf.DUMMYFUNCTION("""COMPUTED_VALUE"""),"Uncle Sams Cider (11/12/2021) 02")</f>
        <v>Uncle Sams Cider (11/12/2021) 02</v>
      </c>
      <c r="H4796" s="19"/>
    </row>
    <row r="4797">
      <c r="A4797" s="9"/>
      <c r="B4797" s="15"/>
      <c r="C4797" s="9">
        <f>IFERROR(__xludf.DUMMYFUNCTION("""COMPUTED_VALUE"""),44555.1431171296)</f>
        <v>44555.14312</v>
      </c>
      <c r="D4797" s="15">
        <f>IFERROR(__xludf.DUMMYFUNCTION("""COMPUTED_VALUE"""),1.014)</f>
        <v>1.014</v>
      </c>
      <c r="E4797" s="16">
        <f>IFERROR(__xludf.DUMMYFUNCTION("""COMPUTED_VALUE"""),63.0)</f>
        <v>63</v>
      </c>
      <c r="F4797" s="19" t="str">
        <f>IFERROR(__xludf.DUMMYFUNCTION("""COMPUTED_VALUE"""),"BLACK")</f>
        <v>BLACK</v>
      </c>
      <c r="G4797" s="20" t="str">
        <f>IFERROR(__xludf.DUMMYFUNCTION("""COMPUTED_VALUE"""),"Uncle Sams Cider (11/12/2021) 02")</f>
        <v>Uncle Sams Cider (11/12/2021) 02</v>
      </c>
      <c r="H4797" s="19"/>
    </row>
    <row r="4798">
      <c r="A4798" s="9"/>
      <c r="B4798" s="15"/>
      <c r="C4798" s="9">
        <f>IFERROR(__xludf.DUMMYFUNCTION("""COMPUTED_VALUE"""),44555.1326841435)</f>
        <v>44555.13268</v>
      </c>
      <c r="D4798" s="15">
        <f>IFERROR(__xludf.DUMMYFUNCTION("""COMPUTED_VALUE"""),1.014)</f>
        <v>1.014</v>
      </c>
      <c r="E4798" s="16">
        <f>IFERROR(__xludf.DUMMYFUNCTION("""COMPUTED_VALUE"""),63.0)</f>
        <v>63</v>
      </c>
      <c r="F4798" s="19" t="str">
        <f>IFERROR(__xludf.DUMMYFUNCTION("""COMPUTED_VALUE"""),"BLACK")</f>
        <v>BLACK</v>
      </c>
      <c r="G4798" s="20" t="str">
        <f>IFERROR(__xludf.DUMMYFUNCTION("""COMPUTED_VALUE"""),"Uncle Sams Cider (11/12/2021) 02")</f>
        <v>Uncle Sams Cider (11/12/2021) 02</v>
      </c>
      <c r="H4798" s="19"/>
    </row>
    <row r="4799">
      <c r="A4799" s="9"/>
      <c r="B4799" s="15"/>
      <c r="C4799" s="9">
        <f>IFERROR(__xludf.DUMMYFUNCTION("""COMPUTED_VALUE"""),44555.1222506712)</f>
        <v>44555.12225</v>
      </c>
      <c r="D4799" s="15">
        <f>IFERROR(__xludf.DUMMYFUNCTION("""COMPUTED_VALUE"""),1.014)</f>
        <v>1.014</v>
      </c>
      <c r="E4799" s="16">
        <f>IFERROR(__xludf.DUMMYFUNCTION("""COMPUTED_VALUE"""),63.0)</f>
        <v>63</v>
      </c>
      <c r="F4799" s="19" t="str">
        <f>IFERROR(__xludf.DUMMYFUNCTION("""COMPUTED_VALUE"""),"BLACK")</f>
        <v>BLACK</v>
      </c>
      <c r="G4799" s="20" t="str">
        <f>IFERROR(__xludf.DUMMYFUNCTION("""COMPUTED_VALUE"""),"Uncle Sams Cider (11/12/2021) 02")</f>
        <v>Uncle Sams Cider (11/12/2021) 02</v>
      </c>
      <c r="H4799" s="19"/>
    </row>
    <row r="4800">
      <c r="A4800" s="9"/>
      <c r="B4800" s="15"/>
      <c r="C4800" s="9">
        <f>IFERROR(__xludf.DUMMYFUNCTION("""COMPUTED_VALUE"""),44555.1118183796)</f>
        <v>44555.11182</v>
      </c>
      <c r="D4800" s="15">
        <f>IFERROR(__xludf.DUMMYFUNCTION("""COMPUTED_VALUE"""),1.014)</f>
        <v>1.014</v>
      </c>
      <c r="E4800" s="16">
        <f>IFERROR(__xludf.DUMMYFUNCTION("""COMPUTED_VALUE"""),63.0)</f>
        <v>63</v>
      </c>
      <c r="F4800" s="19" t="str">
        <f>IFERROR(__xludf.DUMMYFUNCTION("""COMPUTED_VALUE"""),"BLACK")</f>
        <v>BLACK</v>
      </c>
      <c r="G4800" s="20" t="str">
        <f>IFERROR(__xludf.DUMMYFUNCTION("""COMPUTED_VALUE"""),"Uncle Sams Cider (11/12/2021) 02")</f>
        <v>Uncle Sams Cider (11/12/2021) 02</v>
      </c>
      <c r="H4800" s="19"/>
    </row>
    <row r="4801">
      <c r="A4801" s="9"/>
      <c r="B4801" s="15"/>
      <c r="C4801" s="9">
        <f>IFERROR(__xludf.DUMMYFUNCTION("""COMPUTED_VALUE"""),44555.1013957291)</f>
        <v>44555.1014</v>
      </c>
      <c r="D4801" s="15">
        <f>IFERROR(__xludf.DUMMYFUNCTION("""COMPUTED_VALUE"""),1.014)</f>
        <v>1.014</v>
      </c>
      <c r="E4801" s="16">
        <f>IFERROR(__xludf.DUMMYFUNCTION("""COMPUTED_VALUE"""),63.0)</f>
        <v>63</v>
      </c>
      <c r="F4801" s="19" t="str">
        <f>IFERROR(__xludf.DUMMYFUNCTION("""COMPUTED_VALUE"""),"BLACK")</f>
        <v>BLACK</v>
      </c>
      <c r="G4801" s="20" t="str">
        <f>IFERROR(__xludf.DUMMYFUNCTION("""COMPUTED_VALUE"""),"Uncle Sams Cider (11/12/2021) 02")</f>
        <v>Uncle Sams Cider (11/12/2021) 02</v>
      </c>
      <c r="H4801" s="19"/>
    </row>
    <row r="4802">
      <c r="A4802" s="9"/>
      <c r="B4802" s="15"/>
      <c r="C4802" s="9">
        <f>IFERROR(__xludf.DUMMYFUNCTION("""COMPUTED_VALUE"""),44555.0909399652)</f>
        <v>44555.09094</v>
      </c>
      <c r="D4802" s="15">
        <f>IFERROR(__xludf.DUMMYFUNCTION("""COMPUTED_VALUE"""),1.014)</f>
        <v>1.014</v>
      </c>
      <c r="E4802" s="16">
        <f>IFERROR(__xludf.DUMMYFUNCTION("""COMPUTED_VALUE"""),63.0)</f>
        <v>63</v>
      </c>
      <c r="F4802" s="19" t="str">
        <f>IFERROR(__xludf.DUMMYFUNCTION("""COMPUTED_VALUE"""),"BLACK")</f>
        <v>BLACK</v>
      </c>
      <c r="G4802" s="20" t="str">
        <f>IFERROR(__xludf.DUMMYFUNCTION("""COMPUTED_VALUE"""),"Uncle Sams Cider (11/12/2021) 02")</f>
        <v>Uncle Sams Cider (11/12/2021) 02</v>
      </c>
      <c r="H4802" s="19"/>
    </row>
    <row r="4803">
      <c r="A4803" s="9"/>
      <c r="B4803" s="15"/>
      <c r="C4803" s="9">
        <f>IFERROR(__xludf.DUMMYFUNCTION("""COMPUTED_VALUE"""),44555.0804836342)</f>
        <v>44555.08048</v>
      </c>
      <c r="D4803" s="15">
        <f>IFERROR(__xludf.DUMMYFUNCTION("""COMPUTED_VALUE"""),1.014)</f>
        <v>1.014</v>
      </c>
      <c r="E4803" s="16">
        <f>IFERROR(__xludf.DUMMYFUNCTION("""COMPUTED_VALUE"""),63.0)</f>
        <v>63</v>
      </c>
      <c r="F4803" s="19" t="str">
        <f>IFERROR(__xludf.DUMMYFUNCTION("""COMPUTED_VALUE"""),"BLACK")</f>
        <v>BLACK</v>
      </c>
      <c r="G4803" s="20" t="str">
        <f>IFERROR(__xludf.DUMMYFUNCTION("""COMPUTED_VALUE"""),"Uncle Sams Cider (11/12/2021) 02")</f>
        <v>Uncle Sams Cider (11/12/2021) 02</v>
      </c>
      <c r="H4803" s="19"/>
    </row>
    <row r="4804">
      <c r="A4804" s="9"/>
      <c r="B4804" s="15"/>
      <c r="C4804" s="9">
        <f>IFERROR(__xludf.DUMMYFUNCTION("""COMPUTED_VALUE"""),44555.0700615625)</f>
        <v>44555.07006</v>
      </c>
      <c r="D4804" s="15">
        <f>IFERROR(__xludf.DUMMYFUNCTION("""COMPUTED_VALUE"""),1.014)</f>
        <v>1.014</v>
      </c>
      <c r="E4804" s="16">
        <f>IFERROR(__xludf.DUMMYFUNCTION("""COMPUTED_VALUE"""),63.0)</f>
        <v>63</v>
      </c>
      <c r="F4804" s="19" t="str">
        <f>IFERROR(__xludf.DUMMYFUNCTION("""COMPUTED_VALUE"""),"BLACK")</f>
        <v>BLACK</v>
      </c>
      <c r="G4804" s="20" t="str">
        <f>IFERROR(__xludf.DUMMYFUNCTION("""COMPUTED_VALUE"""),"Uncle Sams Cider (11/12/2021) 02")</f>
        <v>Uncle Sams Cider (11/12/2021) 02</v>
      </c>
      <c r="H4804" s="19"/>
    </row>
    <row r="4805">
      <c r="A4805" s="9"/>
      <c r="B4805" s="15"/>
      <c r="C4805" s="9">
        <f>IFERROR(__xludf.DUMMYFUNCTION("""COMPUTED_VALUE"""),44555.0596382754)</f>
        <v>44555.05964</v>
      </c>
      <c r="D4805" s="15">
        <f>IFERROR(__xludf.DUMMYFUNCTION("""COMPUTED_VALUE"""),1.014)</f>
        <v>1.014</v>
      </c>
      <c r="E4805" s="16">
        <f>IFERROR(__xludf.DUMMYFUNCTION("""COMPUTED_VALUE"""),63.0)</f>
        <v>63</v>
      </c>
      <c r="F4805" s="19" t="str">
        <f>IFERROR(__xludf.DUMMYFUNCTION("""COMPUTED_VALUE"""),"BLACK")</f>
        <v>BLACK</v>
      </c>
      <c r="G4805" s="20" t="str">
        <f>IFERROR(__xludf.DUMMYFUNCTION("""COMPUTED_VALUE"""),"Uncle Sams Cider (11/12/2021) 02")</f>
        <v>Uncle Sams Cider (11/12/2021) 02</v>
      </c>
      <c r="H4805" s="19"/>
    </row>
    <row r="4806">
      <c r="A4806" s="9"/>
      <c r="B4806" s="15"/>
      <c r="C4806" s="9">
        <f>IFERROR(__xludf.DUMMYFUNCTION("""COMPUTED_VALUE"""),44555.0492173379)</f>
        <v>44555.04922</v>
      </c>
      <c r="D4806" s="15">
        <f>IFERROR(__xludf.DUMMYFUNCTION("""COMPUTED_VALUE"""),1.014)</f>
        <v>1.014</v>
      </c>
      <c r="E4806" s="16">
        <f>IFERROR(__xludf.DUMMYFUNCTION("""COMPUTED_VALUE"""),63.0)</f>
        <v>63</v>
      </c>
      <c r="F4806" s="19" t="str">
        <f>IFERROR(__xludf.DUMMYFUNCTION("""COMPUTED_VALUE"""),"BLACK")</f>
        <v>BLACK</v>
      </c>
      <c r="G4806" s="20" t="str">
        <f>IFERROR(__xludf.DUMMYFUNCTION("""COMPUTED_VALUE"""),"Uncle Sams Cider (11/12/2021) 02")</f>
        <v>Uncle Sams Cider (11/12/2021) 02</v>
      </c>
      <c r="H4806" s="19"/>
    </row>
    <row r="4807">
      <c r="A4807" s="9"/>
      <c r="B4807" s="15"/>
      <c r="C4807" s="9">
        <f>IFERROR(__xludf.DUMMYFUNCTION("""COMPUTED_VALUE"""),44555.0387841782)</f>
        <v>44555.03878</v>
      </c>
      <c r="D4807" s="15">
        <f>IFERROR(__xludf.DUMMYFUNCTION("""COMPUTED_VALUE"""),1.014)</f>
        <v>1.014</v>
      </c>
      <c r="E4807" s="16">
        <f>IFERROR(__xludf.DUMMYFUNCTION("""COMPUTED_VALUE"""),63.0)</f>
        <v>63</v>
      </c>
      <c r="F4807" s="19" t="str">
        <f>IFERROR(__xludf.DUMMYFUNCTION("""COMPUTED_VALUE"""),"BLACK")</f>
        <v>BLACK</v>
      </c>
      <c r="G4807" s="20" t="str">
        <f>IFERROR(__xludf.DUMMYFUNCTION("""COMPUTED_VALUE"""),"Uncle Sams Cider (11/12/2021) 02")</f>
        <v>Uncle Sams Cider (11/12/2021) 02</v>
      </c>
      <c r="H4807" s="19"/>
    </row>
    <row r="4808">
      <c r="A4808" s="9"/>
      <c r="B4808" s="15"/>
      <c r="C4808" s="9">
        <f>IFERROR(__xludf.DUMMYFUNCTION("""COMPUTED_VALUE"""),44555.0283638773)</f>
        <v>44555.02836</v>
      </c>
      <c r="D4808" s="15">
        <f>IFERROR(__xludf.DUMMYFUNCTION("""COMPUTED_VALUE"""),1.014)</f>
        <v>1.014</v>
      </c>
      <c r="E4808" s="16">
        <f>IFERROR(__xludf.DUMMYFUNCTION("""COMPUTED_VALUE"""),63.0)</f>
        <v>63</v>
      </c>
      <c r="F4808" s="19" t="str">
        <f>IFERROR(__xludf.DUMMYFUNCTION("""COMPUTED_VALUE"""),"BLACK")</f>
        <v>BLACK</v>
      </c>
      <c r="G4808" s="20" t="str">
        <f>IFERROR(__xludf.DUMMYFUNCTION("""COMPUTED_VALUE"""),"Uncle Sams Cider (11/12/2021) 02")</f>
        <v>Uncle Sams Cider (11/12/2021) 02</v>
      </c>
      <c r="H4808" s="19"/>
    </row>
    <row r="4809">
      <c r="A4809" s="9"/>
      <c r="B4809" s="15"/>
      <c r="C4809" s="9">
        <f>IFERROR(__xludf.DUMMYFUNCTION("""COMPUTED_VALUE"""),44555.0179428935)</f>
        <v>44555.01794</v>
      </c>
      <c r="D4809" s="15">
        <f>IFERROR(__xludf.DUMMYFUNCTION("""COMPUTED_VALUE"""),1.014)</f>
        <v>1.014</v>
      </c>
      <c r="E4809" s="16">
        <f>IFERROR(__xludf.DUMMYFUNCTION("""COMPUTED_VALUE"""),63.0)</f>
        <v>63</v>
      </c>
      <c r="F4809" s="19" t="str">
        <f>IFERROR(__xludf.DUMMYFUNCTION("""COMPUTED_VALUE"""),"BLACK")</f>
        <v>BLACK</v>
      </c>
      <c r="G4809" s="20" t="str">
        <f>IFERROR(__xludf.DUMMYFUNCTION("""COMPUTED_VALUE"""),"Uncle Sams Cider (11/12/2021) 02")</f>
        <v>Uncle Sams Cider (11/12/2021) 02</v>
      </c>
      <c r="H4809" s="19"/>
    </row>
    <row r="4810">
      <c r="A4810" s="9"/>
      <c r="B4810" s="15"/>
      <c r="C4810" s="9">
        <f>IFERROR(__xludf.DUMMYFUNCTION("""COMPUTED_VALUE"""),44555.0074964814)</f>
        <v>44555.0075</v>
      </c>
      <c r="D4810" s="15">
        <f>IFERROR(__xludf.DUMMYFUNCTION("""COMPUTED_VALUE"""),1.014)</f>
        <v>1.014</v>
      </c>
      <c r="E4810" s="16">
        <f>IFERROR(__xludf.DUMMYFUNCTION("""COMPUTED_VALUE"""),63.0)</f>
        <v>63</v>
      </c>
      <c r="F4810" s="19" t="str">
        <f>IFERROR(__xludf.DUMMYFUNCTION("""COMPUTED_VALUE"""),"BLACK")</f>
        <v>BLACK</v>
      </c>
      <c r="G4810" s="20" t="str">
        <f>IFERROR(__xludf.DUMMYFUNCTION("""COMPUTED_VALUE"""),"Uncle Sams Cider (11/12/2021) 02")</f>
        <v>Uncle Sams Cider (11/12/2021) 02</v>
      </c>
      <c r="H4810" s="19"/>
    </row>
    <row r="4811">
      <c r="A4811" s="9"/>
      <c r="B4811" s="15"/>
      <c r="C4811" s="9">
        <f>IFERROR(__xludf.DUMMYFUNCTION("""COMPUTED_VALUE"""),44554.9970625578)</f>
        <v>44554.99706</v>
      </c>
      <c r="D4811" s="15">
        <f>IFERROR(__xludf.DUMMYFUNCTION("""COMPUTED_VALUE"""),1.014)</f>
        <v>1.014</v>
      </c>
      <c r="E4811" s="16">
        <f>IFERROR(__xludf.DUMMYFUNCTION("""COMPUTED_VALUE"""),63.0)</f>
        <v>63</v>
      </c>
      <c r="F4811" s="19" t="str">
        <f>IFERROR(__xludf.DUMMYFUNCTION("""COMPUTED_VALUE"""),"BLACK")</f>
        <v>BLACK</v>
      </c>
      <c r="G4811" s="20" t="str">
        <f>IFERROR(__xludf.DUMMYFUNCTION("""COMPUTED_VALUE"""),"Uncle Sams Cider (11/12/2021) 02")</f>
        <v>Uncle Sams Cider (11/12/2021) 02</v>
      </c>
      <c r="H4811" s="19"/>
    </row>
    <row r="4812">
      <c r="A4812" s="9"/>
      <c r="B4812" s="15"/>
      <c r="C4812" s="9">
        <f>IFERROR(__xludf.DUMMYFUNCTION("""COMPUTED_VALUE"""),44554.9866298263)</f>
        <v>44554.98663</v>
      </c>
      <c r="D4812" s="15">
        <f>IFERROR(__xludf.DUMMYFUNCTION("""COMPUTED_VALUE"""),1.014)</f>
        <v>1.014</v>
      </c>
      <c r="E4812" s="16">
        <f>IFERROR(__xludf.DUMMYFUNCTION("""COMPUTED_VALUE"""),63.0)</f>
        <v>63</v>
      </c>
      <c r="F4812" s="19" t="str">
        <f>IFERROR(__xludf.DUMMYFUNCTION("""COMPUTED_VALUE"""),"BLACK")</f>
        <v>BLACK</v>
      </c>
      <c r="G4812" s="20" t="str">
        <f>IFERROR(__xludf.DUMMYFUNCTION("""COMPUTED_VALUE"""),"Uncle Sams Cider (11/12/2021) 02")</f>
        <v>Uncle Sams Cider (11/12/2021) 02</v>
      </c>
      <c r="H4812" s="19"/>
    </row>
    <row r="4813">
      <c r="A4813" s="9"/>
      <c r="B4813" s="15"/>
      <c r="C4813" s="9">
        <f>IFERROR(__xludf.DUMMYFUNCTION("""COMPUTED_VALUE"""),44554.9761606712)</f>
        <v>44554.97616</v>
      </c>
      <c r="D4813" s="15">
        <f>IFERROR(__xludf.DUMMYFUNCTION("""COMPUTED_VALUE"""),1.014)</f>
        <v>1.014</v>
      </c>
      <c r="E4813" s="16">
        <f>IFERROR(__xludf.DUMMYFUNCTION("""COMPUTED_VALUE"""),63.0)</f>
        <v>63</v>
      </c>
      <c r="F4813" s="19" t="str">
        <f>IFERROR(__xludf.DUMMYFUNCTION("""COMPUTED_VALUE"""),"BLACK")</f>
        <v>BLACK</v>
      </c>
      <c r="G4813" s="20" t="str">
        <f>IFERROR(__xludf.DUMMYFUNCTION("""COMPUTED_VALUE"""),"Uncle Sams Cider (11/12/2021) 02")</f>
        <v>Uncle Sams Cider (11/12/2021) 02</v>
      </c>
      <c r="H4813" s="19"/>
    </row>
    <row r="4814">
      <c r="A4814" s="9"/>
      <c r="B4814" s="15"/>
      <c r="C4814" s="9">
        <f>IFERROR(__xludf.DUMMYFUNCTION("""COMPUTED_VALUE"""),44554.9657400925)</f>
        <v>44554.96574</v>
      </c>
      <c r="D4814" s="15">
        <f>IFERROR(__xludf.DUMMYFUNCTION("""COMPUTED_VALUE"""),1.014)</f>
        <v>1.014</v>
      </c>
      <c r="E4814" s="16">
        <f>IFERROR(__xludf.DUMMYFUNCTION("""COMPUTED_VALUE"""),63.0)</f>
        <v>63</v>
      </c>
      <c r="F4814" s="19" t="str">
        <f>IFERROR(__xludf.DUMMYFUNCTION("""COMPUTED_VALUE"""),"BLACK")</f>
        <v>BLACK</v>
      </c>
      <c r="G4814" s="20" t="str">
        <f>IFERROR(__xludf.DUMMYFUNCTION("""COMPUTED_VALUE"""),"Uncle Sams Cider (11/12/2021) 02")</f>
        <v>Uncle Sams Cider (11/12/2021) 02</v>
      </c>
      <c r="H4814" s="19"/>
    </row>
    <row r="4815">
      <c r="A4815" s="9"/>
      <c r="B4815" s="15"/>
      <c r="C4815" s="9">
        <f>IFERROR(__xludf.DUMMYFUNCTION("""COMPUTED_VALUE"""),44554.95530728)</f>
        <v>44554.95531</v>
      </c>
      <c r="D4815" s="15">
        <f>IFERROR(__xludf.DUMMYFUNCTION("""COMPUTED_VALUE"""),1.014)</f>
        <v>1.014</v>
      </c>
      <c r="E4815" s="16">
        <f>IFERROR(__xludf.DUMMYFUNCTION("""COMPUTED_VALUE"""),63.0)</f>
        <v>63</v>
      </c>
      <c r="F4815" s="19" t="str">
        <f>IFERROR(__xludf.DUMMYFUNCTION("""COMPUTED_VALUE"""),"BLACK")</f>
        <v>BLACK</v>
      </c>
      <c r="G4815" s="20" t="str">
        <f>IFERROR(__xludf.DUMMYFUNCTION("""COMPUTED_VALUE"""),"Uncle Sams Cider (11/12/2021) 02")</f>
        <v>Uncle Sams Cider (11/12/2021) 02</v>
      </c>
      <c r="H4815" s="19"/>
    </row>
    <row r="4816">
      <c r="A4816" s="9"/>
      <c r="B4816" s="15"/>
      <c r="C4816" s="9">
        <f>IFERROR(__xludf.DUMMYFUNCTION("""COMPUTED_VALUE"""),44554.9448873495)</f>
        <v>44554.94489</v>
      </c>
      <c r="D4816" s="15">
        <f>IFERROR(__xludf.DUMMYFUNCTION("""COMPUTED_VALUE"""),1.014)</f>
        <v>1.014</v>
      </c>
      <c r="E4816" s="16">
        <f>IFERROR(__xludf.DUMMYFUNCTION("""COMPUTED_VALUE"""),63.0)</f>
        <v>63</v>
      </c>
      <c r="F4816" s="19" t="str">
        <f>IFERROR(__xludf.DUMMYFUNCTION("""COMPUTED_VALUE"""),"BLACK")</f>
        <v>BLACK</v>
      </c>
      <c r="G4816" s="20" t="str">
        <f>IFERROR(__xludf.DUMMYFUNCTION("""COMPUTED_VALUE"""),"Uncle Sams Cider (11/12/2021) 02")</f>
        <v>Uncle Sams Cider (11/12/2021) 02</v>
      </c>
      <c r="H4816" s="19"/>
    </row>
    <row r="4817">
      <c r="A4817" s="9"/>
      <c r="B4817" s="15"/>
      <c r="C4817" s="9">
        <f>IFERROR(__xludf.DUMMYFUNCTION("""COMPUTED_VALUE"""),44554.9344656365)</f>
        <v>44554.93447</v>
      </c>
      <c r="D4817" s="15">
        <f>IFERROR(__xludf.DUMMYFUNCTION("""COMPUTED_VALUE"""),1.014)</f>
        <v>1.014</v>
      </c>
      <c r="E4817" s="16">
        <f>IFERROR(__xludf.DUMMYFUNCTION("""COMPUTED_VALUE"""),63.0)</f>
        <v>63</v>
      </c>
      <c r="F4817" s="19" t="str">
        <f>IFERROR(__xludf.DUMMYFUNCTION("""COMPUTED_VALUE"""),"BLACK")</f>
        <v>BLACK</v>
      </c>
      <c r="G4817" s="20" t="str">
        <f>IFERROR(__xludf.DUMMYFUNCTION("""COMPUTED_VALUE"""),"Uncle Sams Cider (11/12/2021) 02")</f>
        <v>Uncle Sams Cider (11/12/2021) 02</v>
      </c>
      <c r="H4817" s="19"/>
    </row>
    <row r="4818">
      <c r="A4818" s="9"/>
      <c r="B4818" s="15"/>
      <c r="C4818" s="9">
        <f>IFERROR(__xludf.DUMMYFUNCTION("""COMPUTED_VALUE"""),44554.9240442592)</f>
        <v>44554.92404</v>
      </c>
      <c r="D4818" s="15">
        <f>IFERROR(__xludf.DUMMYFUNCTION("""COMPUTED_VALUE"""),1.014)</f>
        <v>1.014</v>
      </c>
      <c r="E4818" s="16">
        <f>IFERROR(__xludf.DUMMYFUNCTION("""COMPUTED_VALUE"""),63.0)</f>
        <v>63</v>
      </c>
      <c r="F4818" s="19" t="str">
        <f>IFERROR(__xludf.DUMMYFUNCTION("""COMPUTED_VALUE"""),"BLACK")</f>
        <v>BLACK</v>
      </c>
      <c r="G4818" s="20" t="str">
        <f>IFERROR(__xludf.DUMMYFUNCTION("""COMPUTED_VALUE"""),"Uncle Sams Cider (11/12/2021) 02")</f>
        <v>Uncle Sams Cider (11/12/2021) 02</v>
      </c>
      <c r="H4818" s="19"/>
    </row>
    <row r="4819">
      <c r="A4819" s="9"/>
      <c r="B4819" s="15"/>
      <c r="C4819" s="9">
        <f>IFERROR(__xludf.DUMMYFUNCTION("""COMPUTED_VALUE"""),44554.9136115393)</f>
        <v>44554.91361</v>
      </c>
      <c r="D4819" s="15">
        <f>IFERROR(__xludf.DUMMYFUNCTION("""COMPUTED_VALUE"""),1.014)</f>
        <v>1.014</v>
      </c>
      <c r="E4819" s="16">
        <f>IFERROR(__xludf.DUMMYFUNCTION("""COMPUTED_VALUE"""),63.0)</f>
        <v>63</v>
      </c>
      <c r="F4819" s="19" t="str">
        <f>IFERROR(__xludf.DUMMYFUNCTION("""COMPUTED_VALUE"""),"BLACK")</f>
        <v>BLACK</v>
      </c>
      <c r="G4819" s="20" t="str">
        <f>IFERROR(__xludf.DUMMYFUNCTION("""COMPUTED_VALUE"""),"Uncle Sams Cider (11/12/2021) 02")</f>
        <v>Uncle Sams Cider (11/12/2021) 02</v>
      </c>
      <c r="H4819" s="19"/>
    </row>
    <row r="4820">
      <c r="A4820" s="9"/>
      <c r="B4820" s="15"/>
      <c r="C4820" s="9">
        <f>IFERROR(__xludf.DUMMYFUNCTION("""COMPUTED_VALUE"""),44554.9031904166)</f>
        <v>44554.90319</v>
      </c>
      <c r="D4820" s="15">
        <f>IFERROR(__xludf.DUMMYFUNCTION("""COMPUTED_VALUE"""),1.014)</f>
        <v>1.014</v>
      </c>
      <c r="E4820" s="16">
        <f>IFERROR(__xludf.DUMMYFUNCTION("""COMPUTED_VALUE"""),63.0)</f>
        <v>63</v>
      </c>
      <c r="F4820" s="19" t="str">
        <f>IFERROR(__xludf.DUMMYFUNCTION("""COMPUTED_VALUE"""),"BLACK")</f>
        <v>BLACK</v>
      </c>
      <c r="G4820" s="20" t="str">
        <f>IFERROR(__xludf.DUMMYFUNCTION("""COMPUTED_VALUE"""),"Uncle Sams Cider (11/12/2021) 02")</f>
        <v>Uncle Sams Cider (11/12/2021) 02</v>
      </c>
      <c r="H4820" s="19"/>
    </row>
    <row r="4821">
      <c r="A4821" s="9"/>
      <c r="B4821" s="15"/>
      <c r="C4821" s="9">
        <f>IFERROR(__xludf.DUMMYFUNCTION("""COMPUTED_VALUE"""),44554.8927454166)</f>
        <v>44554.89275</v>
      </c>
      <c r="D4821" s="15">
        <f>IFERROR(__xludf.DUMMYFUNCTION("""COMPUTED_VALUE"""),1.014)</f>
        <v>1.014</v>
      </c>
      <c r="E4821" s="16">
        <f>IFERROR(__xludf.DUMMYFUNCTION("""COMPUTED_VALUE"""),63.0)</f>
        <v>63</v>
      </c>
      <c r="F4821" s="19" t="str">
        <f>IFERROR(__xludf.DUMMYFUNCTION("""COMPUTED_VALUE"""),"BLACK")</f>
        <v>BLACK</v>
      </c>
      <c r="G4821" s="20" t="str">
        <f>IFERROR(__xludf.DUMMYFUNCTION("""COMPUTED_VALUE"""),"Uncle Sams Cider (11/12/2021) 02")</f>
        <v>Uncle Sams Cider (11/12/2021) 02</v>
      </c>
      <c r="H4821" s="19"/>
    </row>
    <row r="4822">
      <c r="A4822" s="9"/>
      <c r="B4822" s="15"/>
      <c r="C4822" s="9">
        <f>IFERROR(__xludf.DUMMYFUNCTION("""COMPUTED_VALUE"""),44554.8823118518)</f>
        <v>44554.88231</v>
      </c>
      <c r="D4822" s="15">
        <f>IFERROR(__xludf.DUMMYFUNCTION("""COMPUTED_VALUE"""),1.014)</f>
        <v>1.014</v>
      </c>
      <c r="E4822" s="16">
        <f>IFERROR(__xludf.DUMMYFUNCTION("""COMPUTED_VALUE"""),63.0)</f>
        <v>63</v>
      </c>
      <c r="F4822" s="19" t="str">
        <f>IFERROR(__xludf.DUMMYFUNCTION("""COMPUTED_VALUE"""),"BLACK")</f>
        <v>BLACK</v>
      </c>
      <c r="G4822" s="20" t="str">
        <f>IFERROR(__xludf.DUMMYFUNCTION("""COMPUTED_VALUE"""),"Uncle Sams Cider (11/12/2021) 02")</f>
        <v>Uncle Sams Cider (11/12/2021) 02</v>
      </c>
      <c r="H4822" s="19"/>
    </row>
    <row r="4823">
      <c r="A4823" s="9"/>
      <c r="B4823" s="15"/>
      <c r="C4823" s="9">
        <f>IFERROR(__xludf.DUMMYFUNCTION("""COMPUTED_VALUE"""),44554.8718795833)</f>
        <v>44554.87188</v>
      </c>
      <c r="D4823" s="15">
        <f>IFERROR(__xludf.DUMMYFUNCTION("""COMPUTED_VALUE"""),1.014)</f>
        <v>1.014</v>
      </c>
      <c r="E4823" s="16">
        <f>IFERROR(__xludf.DUMMYFUNCTION("""COMPUTED_VALUE"""),63.0)</f>
        <v>63</v>
      </c>
      <c r="F4823" s="19" t="str">
        <f>IFERROR(__xludf.DUMMYFUNCTION("""COMPUTED_VALUE"""),"BLACK")</f>
        <v>BLACK</v>
      </c>
      <c r="G4823" s="20" t="str">
        <f>IFERROR(__xludf.DUMMYFUNCTION("""COMPUTED_VALUE"""),"Uncle Sams Cider (11/12/2021) 02")</f>
        <v>Uncle Sams Cider (11/12/2021) 02</v>
      </c>
      <c r="H4823" s="19"/>
    </row>
    <row r="4824">
      <c r="A4824" s="9"/>
      <c r="B4824" s="15"/>
      <c r="C4824" s="9">
        <f>IFERROR(__xludf.DUMMYFUNCTION("""COMPUTED_VALUE"""),44554.8614598379)</f>
        <v>44554.86146</v>
      </c>
      <c r="D4824" s="15">
        <f>IFERROR(__xludf.DUMMYFUNCTION("""COMPUTED_VALUE"""),1.014)</f>
        <v>1.014</v>
      </c>
      <c r="E4824" s="16">
        <f>IFERROR(__xludf.DUMMYFUNCTION("""COMPUTED_VALUE"""),63.0)</f>
        <v>63</v>
      </c>
      <c r="F4824" s="19" t="str">
        <f>IFERROR(__xludf.DUMMYFUNCTION("""COMPUTED_VALUE"""),"BLACK")</f>
        <v>BLACK</v>
      </c>
      <c r="G4824" s="20" t="str">
        <f>IFERROR(__xludf.DUMMYFUNCTION("""COMPUTED_VALUE"""),"Uncle Sams Cider (11/12/2021) 02")</f>
        <v>Uncle Sams Cider (11/12/2021) 02</v>
      </c>
      <c r="H4824" s="19"/>
    </row>
    <row r="4825">
      <c r="A4825" s="9"/>
      <c r="B4825" s="15"/>
      <c r="C4825" s="9">
        <f>IFERROR(__xludf.DUMMYFUNCTION("""COMPUTED_VALUE"""),44554.8510262847)</f>
        <v>44554.85103</v>
      </c>
      <c r="D4825" s="15">
        <f>IFERROR(__xludf.DUMMYFUNCTION("""COMPUTED_VALUE"""),1.014)</f>
        <v>1.014</v>
      </c>
      <c r="E4825" s="16">
        <f>IFERROR(__xludf.DUMMYFUNCTION("""COMPUTED_VALUE"""),63.0)</f>
        <v>63</v>
      </c>
      <c r="F4825" s="19" t="str">
        <f>IFERROR(__xludf.DUMMYFUNCTION("""COMPUTED_VALUE"""),"BLACK")</f>
        <v>BLACK</v>
      </c>
      <c r="G4825" s="20" t="str">
        <f>IFERROR(__xludf.DUMMYFUNCTION("""COMPUTED_VALUE"""),"Uncle Sams Cider (11/12/2021) 02")</f>
        <v>Uncle Sams Cider (11/12/2021) 02</v>
      </c>
      <c r="H4825" s="19"/>
    </row>
    <row r="4826">
      <c r="A4826" s="9"/>
      <c r="B4826" s="15"/>
      <c r="C4826" s="9">
        <f>IFERROR(__xludf.DUMMYFUNCTION("""COMPUTED_VALUE"""),44554.8406058796)</f>
        <v>44554.84061</v>
      </c>
      <c r="D4826" s="15">
        <f>IFERROR(__xludf.DUMMYFUNCTION("""COMPUTED_VALUE"""),1.014)</f>
        <v>1.014</v>
      </c>
      <c r="E4826" s="16">
        <f>IFERROR(__xludf.DUMMYFUNCTION("""COMPUTED_VALUE"""),63.0)</f>
        <v>63</v>
      </c>
      <c r="F4826" s="19" t="str">
        <f>IFERROR(__xludf.DUMMYFUNCTION("""COMPUTED_VALUE"""),"BLACK")</f>
        <v>BLACK</v>
      </c>
      <c r="G4826" s="20" t="str">
        <f>IFERROR(__xludf.DUMMYFUNCTION("""COMPUTED_VALUE"""),"Uncle Sams Cider (11/12/2021) 02")</f>
        <v>Uncle Sams Cider (11/12/2021) 02</v>
      </c>
      <c r="H4826" s="19"/>
    </row>
    <row r="4827">
      <c r="A4827" s="9"/>
      <c r="B4827" s="15"/>
      <c r="C4827" s="9">
        <f>IFERROR(__xludf.DUMMYFUNCTION("""COMPUTED_VALUE"""),44554.8301830208)</f>
        <v>44554.83018</v>
      </c>
      <c r="D4827" s="15">
        <f>IFERROR(__xludf.DUMMYFUNCTION("""COMPUTED_VALUE"""),1.014)</f>
        <v>1.014</v>
      </c>
      <c r="E4827" s="16">
        <f>IFERROR(__xludf.DUMMYFUNCTION("""COMPUTED_VALUE"""),63.0)</f>
        <v>63</v>
      </c>
      <c r="F4827" s="19" t="str">
        <f>IFERROR(__xludf.DUMMYFUNCTION("""COMPUTED_VALUE"""),"BLACK")</f>
        <v>BLACK</v>
      </c>
      <c r="G4827" s="20" t="str">
        <f>IFERROR(__xludf.DUMMYFUNCTION("""COMPUTED_VALUE"""),"Uncle Sams Cider (11/12/2021) 02")</f>
        <v>Uncle Sams Cider (11/12/2021) 02</v>
      </c>
      <c r="H4827" s="19"/>
    </row>
    <row r="4828">
      <c r="A4828" s="9"/>
      <c r="B4828" s="15"/>
      <c r="C4828" s="9">
        <f>IFERROR(__xludf.DUMMYFUNCTION("""COMPUTED_VALUE"""),44554.8197614699)</f>
        <v>44554.81976</v>
      </c>
      <c r="D4828" s="15">
        <f>IFERROR(__xludf.DUMMYFUNCTION("""COMPUTED_VALUE"""),1.014)</f>
        <v>1.014</v>
      </c>
      <c r="E4828" s="16">
        <f>IFERROR(__xludf.DUMMYFUNCTION("""COMPUTED_VALUE"""),63.0)</f>
        <v>63</v>
      </c>
      <c r="F4828" s="19" t="str">
        <f>IFERROR(__xludf.DUMMYFUNCTION("""COMPUTED_VALUE"""),"BLACK")</f>
        <v>BLACK</v>
      </c>
      <c r="G4828" s="20" t="str">
        <f>IFERROR(__xludf.DUMMYFUNCTION("""COMPUTED_VALUE"""),"Uncle Sams Cider (11/12/2021) 02")</f>
        <v>Uncle Sams Cider (11/12/2021) 02</v>
      </c>
      <c r="H4828" s="19"/>
    </row>
    <row r="4829">
      <c r="A4829" s="9"/>
      <c r="B4829" s="15"/>
      <c r="C4829" s="9">
        <f>IFERROR(__xludf.DUMMYFUNCTION("""COMPUTED_VALUE"""),44554.8093278009)</f>
        <v>44554.80933</v>
      </c>
      <c r="D4829" s="15">
        <f>IFERROR(__xludf.DUMMYFUNCTION("""COMPUTED_VALUE"""),1.014)</f>
        <v>1.014</v>
      </c>
      <c r="E4829" s="16">
        <f>IFERROR(__xludf.DUMMYFUNCTION("""COMPUTED_VALUE"""),63.0)</f>
        <v>63</v>
      </c>
      <c r="F4829" s="19" t="str">
        <f>IFERROR(__xludf.DUMMYFUNCTION("""COMPUTED_VALUE"""),"BLACK")</f>
        <v>BLACK</v>
      </c>
      <c r="G4829" s="20" t="str">
        <f>IFERROR(__xludf.DUMMYFUNCTION("""COMPUTED_VALUE"""),"Uncle Sams Cider (11/12/2021) 02")</f>
        <v>Uncle Sams Cider (11/12/2021) 02</v>
      </c>
      <c r="H4829" s="19"/>
    </row>
    <row r="4830">
      <c r="A4830" s="9"/>
      <c r="B4830" s="15"/>
      <c r="C4830" s="9">
        <f>IFERROR(__xludf.DUMMYFUNCTION("""COMPUTED_VALUE"""),44554.7988951388)</f>
        <v>44554.7989</v>
      </c>
      <c r="D4830" s="15">
        <f>IFERROR(__xludf.DUMMYFUNCTION("""COMPUTED_VALUE"""),1.014)</f>
        <v>1.014</v>
      </c>
      <c r="E4830" s="16">
        <f>IFERROR(__xludf.DUMMYFUNCTION("""COMPUTED_VALUE"""),63.0)</f>
        <v>63</v>
      </c>
      <c r="F4830" s="19" t="str">
        <f>IFERROR(__xludf.DUMMYFUNCTION("""COMPUTED_VALUE"""),"BLACK")</f>
        <v>BLACK</v>
      </c>
      <c r="G4830" s="20" t="str">
        <f>IFERROR(__xludf.DUMMYFUNCTION("""COMPUTED_VALUE"""),"Uncle Sams Cider (11/12/2021) 02")</f>
        <v>Uncle Sams Cider (11/12/2021) 02</v>
      </c>
      <c r="H4830" s="19"/>
    </row>
    <row r="4831">
      <c r="A4831" s="9"/>
      <c r="B4831" s="15"/>
      <c r="C4831" s="9">
        <f>IFERROR(__xludf.DUMMYFUNCTION("""COMPUTED_VALUE"""),44554.7884177083)</f>
        <v>44554.78842</v>
      </c>
      <c r="D4831" s="15">
        <f>IFERROR(__xludf.DUMMYFUNCTION("""COMPUTED_VALUE"""),1.014)</f>
        <v>1.014</v>
      </c>
      <c r="E4831" s="16">
        <f>IFERROR(__xludf.DUMMYFUNCTION("""COMPUTED_VALUE"""),63.0)</f>
        <v>63</v>
      </c>
      <c r="F4831" s="19" t="str">
        <f>IFERROR(__xludf.DUMMYFUNCTION("""COMPUTED_VALUE"""),"BLACK")</f>
        <v>BLACK</v>
      </c>
      <c r="G4831" s="20" t="str">
        <f>IFERROR(__xludf.DUMMYFUNCTION("""COMPUTED_VALUE"""),"Uncle Sams Cider (11/12/2021) 02")</f>
        <v>Uncle Sams Cider (11/12/2021) 02</v>
      </c>
      <c r="H4831" s="19"/>
    </row>
    <row r="4832">
      <c r="A4832" s="9"/>
      <c r="B4832" s="15"/>
      <c r="C4832" s="9">
        <f>IFERROR(__xludf.DUMMYFUNCTION("""COMPUTED_VALUE"""),44554.777997037)</f>
        <v>44554.778</v>
      </c>
      <c r="D4832" s="15">
        <f>IFERROR(__xludf.DUMMYFUNCTION("""COMPUTED_VALUE"""),1.014)</f>
        <v>1.014</v>
      </c>
      <c r="E4832" s="16">
        <f>IFERROR(__xludf.DUMMYFUNCTION("""COMPUTED_VALUE"""),63.0)</f>
        <v>63</v>
      </c>
      <c r="F4832" s="19" t="str">
        <f>IFERROR(__xludf.DUMMYFUNCTION("""COMPUTED_VALUE"""),"BLACK")</f>
        <v>BLACK</v>
      </c>
      <c r="G4832" s="20" t="str">
        <f>IFERROR(__xludf.DUMMYFUNCTION("""COMPUTED_VALUE"""),"Uncle Sams Cider (11/12/2021) 02")</f>
        <v>Uncle Sams Cider (11/12/2021) 02</v>
      </c>
      <c r="H4832" s="19"/>
    </row>
    <row r="4833">
      <c r="A4833" s="9"/>
      <c r="B4833" s="15"/>
      <c r="C4833" s="9">
        <f>IFERROR(__xludf.DUMMYFUNCTION("""COMPUTED_VALUE"""),44554.7675654745)</f>
        <v>44554.76757</v>
      </c>
      <c r="D4833" s="15">
        <f>IFERROR(__xludf.DUMMYFUNCTION("""COMPUTED_VALUE"""),1.015)</f>
        <v>1.015</v>
      </c>
      <c r="E4833" s="16">
        <f>IFERROR(__xludf.DUMMYFUNCTION("""COMPUTED_VALUE"""),63.0)</f>
        <v>63</v>
      </c>
      <c r="F4833" s="19" t="str">
        <f>IFERROR(__xludf.DUMMYFUNCTION("""COMPUTED_VALUE"""),"BLACK")</f>
        <v>BLACK</v>
      </c>
      <c r="G4833" s="20" t="str">
        <f>IFERROR(__xludf.DUMMYFUNCTION("""COMPUTED_VALUE"""),"Uncle Sams Cider (11/12/2021) 02")</f>
        <v>Uncle Sams Cider (11/12/2021) 02</v>
      </c>
      <c r="H4833" s="19"/>
    </row>
    <row r="4834">
      <c r="A4834" s="9"/>
      <c r="B4834" s="15"/>
      <c r="C4834" s="9">
        <f>IFERROR(__xludf.DUMMYFUNCTION("""COMPUTED_VALUE"""),44554.7571443981)</f>
        <v>44554.75714</v>
      </c>
      <c r="D4834" s="15">
        <f>IFERROR(__xludf.DUMMYFUNCTION("""COMPUTED_VALUE"""),1.014)</f>
        <v>1.014</v>
      </c>
      <c r="E4834" s="16">
        <f>IFERROR(__xludf.DUMMYFUNCTION("""COMPUTED_VALUE"""),63.0)</f>
        <v>63</v>
      </c>
      <c r="F4834" s="19" t="str">
        <f>IFERROR(__xludf.DUMMYFUNCTION("""COMPUTED_VALUE"""),"BLACK")</f>
        <v>BLACK</v>
      </c>
      <c r="G4834" s="20" t="str">
        <f>IFERROR(__xludf.DUMMYFUNCTION("""COMPUTED_VALUE"""),"Uncle Sams Cider (11/12/2021) 02")</f>
        <v>Uncle Sams Cider (11/12/2021) 02</v>
      </c>
      <c r="H4834" s="19"/>
    </row>
    <row r="4835">
      <c r="A4835" s="9"/>
      <c r="B4835" s="15"/>
      <c r="C4835" s="9">
        <f>IFERROR(__xludf.DUMMYFUNCTION("""COMPUTED_VALUE"""),44554.7466995254)</f>
        <v>44554.7467</v>
      </c>
      <c r="D4835" s="15">
        <f>IFERROR(__xludf.DUMMYFUNCTION("""COMPUTED_VALUE"""),1.015)</f>
        <v>1.015</v>
      </c>
      <c r="E4835" s="16">
        <f>IFERROR(__xludf.DUMMYFUNCTION("""COMPUTED_VALUE"""),63.0)</f>
        <v>63</v>
      </c>
      <c r="F4835" s="19" t="str">
        <f>IFERROR(__xludf.DUMMYFUNCTION("""COMPUTED_VALUE"""),"BLACK")</f>
        <v>BLACK</v>
      </c>
      <c r="G4835" s="20" t="str">
        <f>IFERROR(__xludf.DUMMYFUNCTION("""COMPUTED_VALUE"""),"Uncle Sams Cider (11/12/2021) 02")</f>
        <v>Uncle Sams Cider (11/12/2021) 02</v>
      </c>
      <c r="H4835" s="19"/>
    </row>
    <row r="4836">
      <c r="A4836" s="9"/>
      <c r="B4836" s="15"/>
      <c r="C4836" s="9">
        <f>IFERROR(__xludf.DUMMYFUNCTION("""COMPUTED_VALUE"""),44554.7362780439)</f>
        <v>44554.73628</v>
      </c>
      <c r="D4836" s="15">
        <f>IFERROR(__xludf.DUMMYFUNCTION("""COMPUTED_VALUE"""),1.014)</f>
        <v>1.014</v>
      </c>
      <c r="E4836" s="16">
        <f>IFERROR(__xludf.DUMMYFUNCTION("""COMPUTED_VALUE"""),63.0)</f>
        <v>63</v>
      </c>
      <c r="F4836" s="19" t="str">
        <f>IFERROR(__xludf.DUMMYFUNCTION("""COMPUTED_VALUE"""),"BLACK")</f>
        <v>BLACK</v>
      </c>
      <c r="G4836" s="20" t="str">
        <f>IFERROR(__xludf.DUMMYFUNCTION("""COMPUTED_VALUE"""),"Uncle Sams Cider (11/12/2021) 02")</f>
        <v>Uncle Sams Cider (11/12/2021) 02</v>
      </c>
      <c r="H4836" s="19"/>
    </row>
    <row r="4837">
      <c r="A4837" s="9"/>
      <c r="B4837" s="15"/>
      <c r="C4837" s="9">
        <f>IFERROR(__xludf.DUMMYFUNCTION("""COMPUTED_VALUE"""),44554.7258338078)</f>
        <v>44554.72583</v>
      </c>
      <c r="D4837" s="15">
        <f>IFERROR(__xludf.DUMMYFUNCTION("""COMPUTED_VALUE"""),1.014)</f>
        <v>1.014</v>
      </c>
      <c r="E4837" s="16">
        <f>IFERROR(__xludf.DUMMYFUNCTION("""COMPUTED_VALUE"""),63.0)</f>
        <v>63</v>
      </c>
      <c r="F4837" s="19" t="str">
        <f>IFERROR(__xludf.DUMMYFUNCTION("""COMPUTED_VALUE"""),"BLACK")</f>
        <v>BLACK</v>
      </c>
      <c r="G4837" s="20" t="str">
        <f>IFERROR(__xludf.DUMMYFUNCTION("""COMPUTED_VALUE"""),"Uncle Sams Cider (11/12/2021) 02")</f>
        <v>Uncle Sams Cider (11/12/2021) 02</v>
      </c>
      <c r="H4837" s="19"/>
    </row>
    <row r="4838">
      <c r="A4838" s="9"/>
      <c r="B4838" s="15"/>
      <c r="C4838" s="9">
        <f>IFERROR(__xludf.DUMMYFUNCTION("""COMPUTED_VALUE"""),44554.7153887731)</f>
        <v>44554.71539</v>
      </c>
      <c r="D4838" s="15">
        <f>IFERROR(__xludf.DUMMYFUNCTION("""COMPUTED_VALUE"""),1.014)</f>
        <v>1.014</v>
      </c>
      <c r="E4838" s="16">
        <f>IFERROR(__xludf.DUMMYFUNCTION("""COMPUTED_VALUE"""),63.0)</f>
        <v>63</v>
      </c>
      <c r="F4838" s="19" t="str">
        <f>IFERROR(__xludf.DUMMYFUNCTION("""COMPUTED_VALUE"""),"BLACK")</f>
        <v>BLACK</v>
      </c>
      <c r="G4838" s="20" t="str">
        <f>IFERROR(__xludf.DUMMYFUNCTION("""COMPUTED_VALUE"""),"Uncle Sams Cider (11/12/2021) 02")</f>
        <v>Uncle Sams Cider (11/12/2021) 02</v>
      </c>
      <c r="H4838" s="19"/>
    </row>
    <row r="4839">
      <c r="A4839" s="9"/>
      <c r="B4839" s="15"/>
      <c r="C4839" s="9">
        <f>IFERROR(__xludf.DUMMYFUNCTION("""COMPUTED_VALUE"""),44554.7049547916)</f>
        <v>44554.70495</v>
      </c>
      <c r="D4839" s="15">
        <f>IFERROR(__xludf.DUMMYFUNCTION("""COMPUTED_VALUE"""),1.014)</f>
        <v>1.014</v>
      </c>
      <c r="E4839" s="16">
        <f>IFERROR(__xludf.DUMMYFUNCTION("""COMPUTED_VALUE"""),63.0)</f>
        <v>63</v>
      </c>
      <c r="F4839" s="19" t="str">
        <f>IFERROR(__xludf.DUMMYFUNCTION("""COMPUTED_VALUE"""),"BLACK")</f>
        <v>BLACK</v>
      </c>
      <c r="G4839" s="20" t="str">
        <f>IFERROR(__xludf.DUMMYFUNCTION("""COMPUTED_VALUE"""),"Uncle Sams Cider (11/12/2021) 02")</f>
        <v>Uncle Sams Cider (11/12/2021) 02</v>
      </c>
      <c r="H4839" s="19"/>
    </row>
    <row r="4840">
      <c r="A4840" s="9"/>
      <c r="B4840" s="15"/>
      <c r="C4840" s="9">
        <f>IFERROR(__xludf.DUMMYFUNCTION("""COMPUTED_VALUE"""),44554.6945218634)</f>
        <v>44554.69452</v>
      </c>
      <c r="D4840" s="15">
        <f>IFERROR(__xludf.DUMMYFUNCTION("""COMPUTED_VALUE"""),1.015)</f>
        <v>1.015</v>
      </c>
      <c r="E4840" s="16">
        <f>IFERROR(__xludf.DUMMYFUNCTION("""COMPUTED_VALUE"""),63.0)</f>
        <v>63</v>
      </c>
      <c r="F4840" s="19" t="str">
        <f>IFERROR(__xludf.DUMMYFUNCTION("""COMPUTED_VALUE"""),"BLACK")</f>
        <v>BLACK</v>
      </c>
      <c r="G4840" s="20" t="str">
        <f>IFERROR(__xludf.DUMMYFUNCTION("""COMPUTED_VALUE"""),"Uncle Sams Cider (11/12/2021) 02")</f>
        <v>Uncle Sams Cider (11/12/2021) 02</v>
      </c>
      <c r="H4840" s="19"/>
    </row>
    <row r="4841">
      <c r="A4841" s="9"/>
      <c r="B4841" s="15"/>
      <c r="C4841" s="9">
        <f>IFERROR(__xludf.DUMMYFUNCTION("""COMPUTED_VALUE"""),44554.6840988541)</f>
        <v>44554.6841</v>
      </c>
      <c r="D4841" s="15">
        <f>IFERROR(__xludf.DUMMYFUNCTION("""COMPUTED_VALUE"""),1.014)</f>
        <v>1.014</v>
      </c>
      <c r="E4841" s="16">
        <f>IFERROR(__xludf.DUMMYFUNCTION("""COMPUTED_VALUE"""),63.0)</f>
        <v>63</v>
      </c>
      <c r="F4841" s="19" t="str">
        <f>IFERROR(__xludf.DUMMYFUNCTION("""COMPUTED_VALUE"""),"BLACK")</f>
        <v>BLACK</v>
      </c>
      <c r="G4841" s="20" t="str">
        <f>IFERROR(__xludf.DUMMYFUNCTION("""COMPUTED_VALUE"""),"Uncle Sams Cider (11/12/2021) 02")</f>
        <v>Uncle Sams Cider (11/12/2021) 02</v>
      </c>
      <c r="H4841" s="19"/>
    </row>
    <row r="4842">
      <c r="A4842" s="9"/>
      <c r="B4842" s="15"/>
      <c r="C4842" s="9">
        <f>IFERROR(__xludf.DUMMYFUNCTION("""COMPUTED_VALUE"""),44554.6736764351)</f>
        <v>44554.67368</v>
      </c>
      <c r="D4842" s="15">
        <f>IFERROR(__xludf.DUMMYFUNCTION("""COMPUTED_VALUE"""),1.014)</f>
        <v>1.014</v>
      </c>
      <c r="E4842" s="16">
        <f>IFERROR(__xludf.DUMMYFUNCTION("""COMPUTED_VALUE"""),63.0)</f>
        <v>63</v>
      </c>
      <c r="F4842" s="19" t="str">
        <f>IFERROR(__xludf.DUMMYFUNCTION("""COMPUTED_VALUE"""),"BLACK")</f>
        <v>BLACK</v>
      </c>
      <c r="G4842" s="20" t="str">
        <f>IFERROR(__xludf.DUMMYFUNCTION("""COMPUTED_VALUE"""),"Uncle Sams Cider (11/12/2021) 02")</f>
        <v>Uncle Sams Cider (11/12/2021) 02</v>
      </c>
      <c r="H4842" s="19"/>
    </row>
    <row r="4843">
      <c r="A4843" s="9"/>
      <c r="B4843" s="15"/>
      <c r="C4843" s="9">
        <f>IFERROR(__xludf.DUMMYFUNCTION("""COMPUTED_VALUE"""),44554.663257118)</f>
        <v>44554.66326</v>
      </c>
      <c r="D4843" s="15">
        <f>IFERROR(__xludf.DUMMYFUNCTION("""COMPUTED_VALUE"""),1.014)</f>
        <v>1.014</v>
      </c>
      <c r="E4843" s="16">
        <f>IFERROR(__xludf.DUMMYFUNCTION("""COMPUTED_VALUE"""),63.0)</f>
        <v>63</v>
      </c>
      <c r="F4843" s="19" t="str">
        <f>IFERROR(__xludf.DUMMYFUNCTION("""COMPUTED_VALUE"""),"BLACK")</f>
        <v>BLACK</v>
      </c>
      <c r="G4843" s="20" t="str">
        <f>IFERROR(__xludf.DUMMYFUNCTION("""COMPUTED_VALUE"""),"Uncle Sams Cider (11/12/2021) 02")</f>
        <v>Uncle Sams Cider (11/12/2021) 02</v>
      </c>
      <c r="H4843" s="19"/>
    </row>
    <row r="4844">
      <c r="A4844" s="9"/>
      <c r="B4844" s="15"/>
      <c r="C4844" s="9">
        <f>IFERROR(__xludf.DUMMYFUNCTION("""COMPUTED_VALUE"""),44554.652835706)</f>
        <v>44554.65284</v>
      </c>
      <c r="D4844" s="15">
        <f>IFERROR(__xludf.DUMMYFUNCTION("""COMPUTED_VALUE"""),1.014)</f>
        <v>1.014</v>
      </c>
      <c r="E4844" s="16">
        <f>IFERROR(__xludf.DUMMYFUNCTION("""COMPUTED_VALUE"""),63.0)</f>
        <v>63</v>
      </c>
      <c r="F4844" s="19" t="str">
        <f>IFERROR(__xludf.DUMMYFUNCTION("""COMPUTED_VALUE"""),"BLACK")</f>
        <v>BLACK</v>
      </c>
      <c r="G4844" s="20" t="str">
        <f>IFERROR(__xludf.DUMMYFUNCTION("""COMPUTED_VALUE"""),"Uncle Sams Cider (11/12/2021) 02")</f>
        <v>Uncle Sams Cider (11/12/2021) 02</v>
      </c>
      <c r="H4844" s="19"/>
    </row>
    <row r="4845">
      <c r="A4845" s="9"/>
      <c r="B4845" s="15"/>
      <c r="C4845" s="9">
        <f>IFERROR(__xludf.DUMMYFUNCTION("""COMPUTED_VALUE"""),44554.6423806712)</f>
        <v>44554.64238</v>
      </c>
      <c r="D4845" s="15">
        <f>IFERROR(__xludf.DUMMYFUNCTION("""COMPUTED_VALUE"""),1.014)</f>
        <v>1.014</v>
      </c>
      <c r="E4845" s="16">
        <f>IFERROR(__xludf.DUMMYFUNCTION("""COMPUTED_VALUE"""),63.0)</f>
        <v>63</v>
      </c>
      <c r="F4845" s="19" t="str">
        <f>IFERROR(__xludf.DUMMYFUNCTION("""COMPUTED_VALUE"""),"BLACK")</f>
        <v>BLACK</v>
      </c>
      <c r="G4845" s="20" t="str">
        <f>IFERROR(__xludf.DUMMYFUNCTION("""COMPUTED_VALUE"""),"Uncle Sams Cider (11/12/2021) 02")</f>
        <v>Uncle Sams Cider (11/12/2021) 02</v>
      </c>
      <c r="H4845" s="19"/>
    </row>
    <row r="4846">
      <c r="A4846" s="9"/>
      <c r="B4846" s="15"/>
      <c r="C4846" s="9">
        <f>IFERROR(__xludf.DUMMYFUNCTION("""COMPUTED_VALUE"""),44554.6319593865)</f>
        <v>44554.63196</v>
      </c>
      <c r="D4846" s="15">
        <f>IFERROR(__xludf.DUMMYFUNCTION("""COMPUTED_VALUE"""),1.014)</f>
        <v>1.014</v>
      </c>
      <c r="E4846" s="16">
        <f>IFERROR(__xludf.DUMMYFUNCTION("""COMPUTED_VALUE"""),64.0)</f>
        <v>64</v>
      </c>
      <c r="F4846" s="19" t="str">
        <f>IFERROR(__xludf.DUMMYFUNCTION("""COMPUTED_VALUE"""),"BLACK")</f>
        <v>BLACK</v>
      </c>
      <c r="G4846" s="20" t="str">
        <f>IFERROR(__xludf.DUMMYFUNCTION("""COMPUTED_VALUE"""),"Uncle Sams Cider (11/12/2021) 02")</f>
        <v>Uncle Sams Cider (11/12/2021) 02</v>
      </c>
      <c r="H4846" s="19"/>
    </row>
    <row r="4847">
      <c r="A4847" s="9"/>
      <c r="B4847" s="15"/>
      <c r="C4847" s="9">
        <f>IFERROR(__xludf.DUMMYFUNCTION("""COMPUTED_VALUE"""),44554.6215382638)</f>
        <v>44554.62154</v>
      </c>
      <c r="D4847" s="15">
        <f>IFERROR(__xludf.DUMMYFUNCTION("""COMPUTED_VALUE"""),1.014)</f>
        <v>1.014</v>
      </c>
      <c r="E4847" s="16">
        <f>IFERROR(__xludf.DUMMYFUNCTION("""COMPUTED_VALUE"""),63.0)</f>
        <v>63</v>
      </c>
      <c r="F4847" s="19" t="str">
        <f>IFERROR(__xludf.DUMMYFUNCTION("""COMPUTED_VALUE"""),"BLACK")</f>
        <v>BLACK</v>
      </c>
      <c r="G4847" s="20" t="str">
        <f>IFERROR(__xludf.DUMMYFUNCTION("""COMPUTED_VALUE"""),"Uncle Sams Cider (11/12/2021) 02")</f>
        <v>Uncle Sams Cider (11/12/2021) 02</v>
      </c>
      <c r="H4847" s="19"/>
    </row>
    <row r="4848">
      <c r="A4848" s="9"/>
      <c r="B4848" s="15"/>
      <c r="C4848" s="9">
        <f>IFERROR(__xludf.DUMMYFUNCTION("""COMPUTED_VALUE"""),44554.611116331)</f>
        <v>44554.61112</v>
      </c>
      <c r="D4848" s="15">
        <f>IFERROR(__xludf.DUMMYFUNCTION("""COMPUTED_VALUE"""),1.014)</f>
        <v>1.014</v>
      </c>
      <c r="E4848" s="16">
        <f>IFERROR(__xludf.DUMMYFUNCTION("""COMPUTED_VALUE"""),64.0)</f>
        <v>64</v>
      </c>
      <c r="F4848" s="19" t="str">
        <f>IFERROR(__xludf.DUMMYFUNCTION("""COMPUTED_VALUE"""),"BLACK")</f>
        <v>BLACK</v>
      </c>
      <c r="G4848" s="20" t="str">
        <f>IFERROR(__xludf.DUMMYFUNCTION("""COMPUTED_VALUE"""),"Uncle Sams Cider (11/12/2021) 02")</f>
        <v>Uncle Sams Cider (11/12/2021) 02</v>
      </c>
      <c r="H4848" s="19"/>
    </row>
    <row r="4849">
      <c r="A4849" s="9"/>
      <c r="B4849" s="15"/>
      <c r="C4849" s="9">
        <f>IFERROR(__xludf.DUMMYFUNCTION("""COMPUTED_VALUE"""),44554.6006960995)</f>
        <v>44554.6007</v>
      </c>
      <c r="D4849" s="15">
        <f>IFERROR(__xludf.DUMMYFUNCTION("""COMPUTED_VALUE"""),1.015)</f>
        <v>1.015</v>
      </c>
      <c r="E4849" s="16">
        <f>IFERROR(__xludf.DUMMYFUNCTION("""COMPUTED_VALUE"""),64.0)</f>
        <v>64</v>
      </c>
      <c r="F4849" s="19" t="str">
        <f>IFERROR(__xludf.DUMMYFUNCTION("""COMPUTED_VALUE"""),"BLACK")</f>
        <v>BLACK</v>
      </c>
      <c r="G4849" s="20" t="str">
        <f>IFERROR(__xludf.DUMMYFUNCTION("""COMPUTED_VALUE"""),"Uncle Sams Cider (11/12/2021) 02")</f>
        <v>Uncle Sams Cider (11/12/2021) 02</v>
      </c>
      <c r="H4849" s="19"/>
    </row>
    <row r="4850">
      <c r="A4850" s="9"/>
      <c r="B4850" s="15"/>
      <c r="C4850" s="9">
        <f>IFERROR(__xludf.DUMMYFUNCTION("""COMPUTED_VALUE"""),44554.5902737384)</f>
        <v>44554.59027</v>
      </c>
      <c r="D4850" s="15">
        <f>IFERROR(__xludf.DUMMYFUNCTION("""COMPUTED_VALUE"""),1.015)</f>
        <v>1.015</v>
      </c>
      <c r="E4850" s="16">
        <f>IFERROR(__xludf.DUMMYFUNCTION("""COMPUTED_VALUE"""),64.0)</f>
        <v>64</v>
      </c>
      <c r="F4850" s="19" t="str">
        <f>IFERROR(__xludf.DUMMYFUNCTION("""COMPUTED_VALUE"""),"BLACK")</f>
        <v>BLACK</v>
      </c>
      <c r="G4850" s="20" t="str">
        <f>IFERROR(__xludf.DUMMYFUNCTION("""COMPUTED_VALUE"""),"Uncle Sams Cider (11/12/2021) 02")</f>
        <v>Uncle Sams Cider (11/12/2021) 02</v>
      </c>
      <c r="H4850" s="19"/>
    </row>
    <row r="4851">
      <c r="A4851" s="9"/>
      <c r="B4851" s="15"/>
      <c r="C4851" s="9">
        <f>IFERROR(__xludf.DUMMYFUNCTION("""COMPUTED_VALUE"""),44554.5798410532)</f>
        <v>44554.57984</v>
      </c>
      <c r="D4851" s="15">
        <f>IFERROR(__xludf.DUMMYFUNCTION("""COMPUTED_VALUE"""),1.015)</f>
        <v>1.015</v>
      </c>
      <c r="E4851" s="16">
        <f>IFERROR(__xludf.DUMMYFUNCTION("""COMPUTED_VALUE"""),63.0)</f>
        <v>63</v>
      </c>
      <c r="F4851" s="19" t="str">
        <f>IFERROR(__xludf.DUMMYFUNCTION("""COMPUTED_VALUE"""),"BLACK")</f>
        <v>BLACK</v>
      </c>
      <c r="G4851" s="20" t="str">
        <f>IFERROR(__xludf.DUMMYFUNCTION("""COMPUTED_VALUE"""),"Uncle Sams Cider (11/12/2021) 02")</f>
        <v>Uncle Sams Cider (11/12/2021) 02</v>
      </c>
      <c r="H4851" s="19"/>
    </row>
    <row r="4852">
      <c r="A4852" s="9"/>
      <c r="B4852" s="15"/>
      <c r="C4852" s="9">
        <f>IFERROR(__xludf.DUMMYFUNCTION("""COMPUTED_VALUE"""),44554.569420081)</f>
        <v>44554.56942</v>
      </c>
      <c r="D4852" s="15">
        <f>IFERROR(__xludf.DUMMYFUNCTION("""COMPUTED_VALUE"""),1.015)</f>
        <v>1.015</v>
      </c>
      <c r="E4852" s="16">
        <f>IFERROR(__xludf.DUMMYFUNCTION("""COMPUTED_VALUE"""),64.0)</f>
        <v>64</v>
      </c>
      <c r="F4852" s="19" t="str">
        <f>IFERROR(__xludf.DUMMYFUNCTION("""COMPUTED_VALUE"""),"BLACK")</f>
        <v>BLACK</v>
      </c>
      <c r="G4852" s="20" t="str">
        <f>IFERROR(__xludf.DUMMYFUNCTION("""COMPUTED_VALUE"""),"Uncle Sams Cider (11/12/2021) 02")</f>
        <v>Uncle Sams Cider (11/12/2021) 02</v>
      </c>
      <c r="H4852" s="19"/>
    </row>
    <row r="4853">
      <c r="A4853" s="9"/>
      <c r="B4853" s="15"/>
      <c r="C4853" s="9">
        <f>IFERROR(__xludf.DUMMYFUNCTION("""COMPUTED_VALUE"""),44554.5589751388)</f>
        <v>44554.55898</v>
      </c>
      <c r="D4853" s="15">
        <f>IFERROR(__xludf.DUMMYFUNCTION("""COMPUTED_VALUE"""),1.014)</f>
        <v>1.014</v>
      </c>
      <c r="E4853" s="16">
        <f>IFERROR(__xludf.DUMMYFUNCTION("""COMPUTED_VALUE"""),64.0)</f>
        <v>64</v>
      </c>
      <c r="F4853" s="19" t="str">
        <f>IFERROR(__xludf.DUMMYFUNCTION("""COMPUTED_VALUE"""),"BLACK")</f>
        <v>BLACK</v>
      </c>
      <c r="G4853" s="20" t="str">
        <f>IFERROR(__xludf.DUMMYFUNCTION("""COMPUTED_VALUE"""),"Uncle Sams Cider (11/12/2021) 02")</f>
        <v>Uncle Sams Cider (11/12/2021) 02</v>
      </c>
      <c r="H4853" s="19"/>
    </row>
    <row r="4854">
      <c r="A4854" s="9"/>
      <c r="B4854" s="15"/>
      <c r="C4854" s="9">
        <f>IFERROR(__xludf.DUMMYFUNCTION("""COMPUTED_VALUE"""),44554.5485543518)</f>
        <v>44554.54855</v>
      </c>
      <c r="D4854" s="15">
        <f>IFERROR(__xludf.DUMMYFUNCTION("""COMPUTED_VALUE"""),1.015)</f>
        <v>1.015</v>
      </c>
      <c r="E4854" s="16">
        <f>IFERROR(__xludf.DUMMYFUNCTION("""COMPUTED_VALUE"""),64.0)</f>
        <v>64</v>
      </c>
      <c r="F4854" s="19" t="str">
        <f>IFERROR(__xludf.DUMMYFUNCTION("""COMPUTED_VALUE"""),"BLACK")</f>
        <v>BLACK</v>
      </c>
      <c r="G4854" s="20" t="str">
        <f>IFERROR(__xludf.DUMMYFUNCTION("""COMPUTED_VALUE"""),"Uncle Sams Cider (11/12/2021) 02")</f>
        <v>Uncle Sams Cider (11/12/2021) 02</v>
      </c>
      <c r="H4854" s="19"/>
    </row>
    <row r="4855">
      <c r="A4855" s="9"/>
      <c r="B4855" s="15"/>
      <c r="C4855" s="9">
        <f>IFERROR(__xludf.DUMMYFUNCTION("""COMPUTED_VALUE"""),44554.5381100694)</f>
        <v>44554.53811</v>
      </c>
      <c r="D4855" s="15">
        <f>IFERROR(__xludf.DUMMYFUNCTION("""COMPUTED_VALUE"""),1.014)</f>
        <v>1.014</v>
      </c>
      <c r="E4855" s="16">
        <f>IFERROR(__xludf.DUMMYFUNCTION("""COMPUTED_VALUE"""),64.0)</f>
        <v>64</v>
      </c>
      <c r="F4855" s="19" t="str">
        <f>IFERROR(__xludf.DUMMYFUNCTION("""COMPUTED_VALUE"""),"BLACK")</f>
        <v>BLACK</v>
      </c>
      <c r="G4855" s="20" t="str">
        <f>IFERROR(__xludf.DUMMYFUNCTION("""COMPUTED_VALUE"""),"Uncle Sams Cider (11/12/2021) 02")</f>
        <v>Uncle Sams Cider (11/12/2021) 02</v>
      </c>
      <c r="H4855" s="19"/>
    </row>
    <row r="4856">
      <c r="A4856" s="9"/>
      <c r="B4856" s="15"/>
      <c r="C4856" s="9">
        <f>IFERROR(__xludf.DUMMYFUNCTION("""COMPUTED_VALUE"""),44554.527677662)</f>
        <v>44554.52768</v>
      </c>
      <c r="D4856" s="15">
        <f>IFERROR(__xludf.DUMMYFUNCTION("""COMPUTED_VALUE"""),1.015)</f>
        <v>1.015</v>
      </c>
      <c r="E4856" s="16">
        <f>IFERROR(__xludf.DUMMYFUNCTION("""COMPUTED_VALUE"""),64.0)</f>
        <v>64</v>
      </c>
      <c r="F4856" s="19" t="str">
        <f>IFERROR(__xludf.DUMMYFUNCTION("""COMPUTED_VALUE"""),"BLACK")</f>
        <v>BLACK</v>
      </c>
      <c r="G4856" s="20" t="str">
        <f>IFERROR(__xludf.DUMMYFUNCTION("""COMPUTED_VALUE"""),"Uncle Sams Cider (11/12/2021) 02")</f>
        <v>Uncle Sams Cider (11/12/2021) 02</v>
      </c>
      <c r="H4856" s="19"/>
    </row>
    <row r="4857">
      <c r="A4857" s="9"/>
      <c r="B4857" s="15"/>
      <c r="C4857" s="9">
        <f>IFERROR(__xludf.DUMMYFUNCTION("""COMPUTED_VALUE"""),44554.517244699)</f>
        <v>44554.51724</v>
      </c>
      <c r="D4857" s="15">
        <f>IFERROR(__xludf.DUMMYFUNCTION("""COMPUTED_VALUE"""),1.015)</f>
        <v>1.015</v>
      </c>
      <c r="E4857" s="16">
        <f>IFERROR(__xludf.DUMMYFUNCTION("""COMPUTED_VALUE"""),64.0)</f>
        <v>64</v>
      </c>
      <c r="F4857" s="19" t="str">
        <f>IFERROR(__xludf.DUMMYFUNCTION("""COMPUTED_VALUE"""),"BLACK")</f>
        <v>BLACK</v>
      </c>
      <c r="G4857" s="20" t="str">
        <f>IFERROR(__xludf.DUMMYFUNCTION("""COMPUTED_VALUE"""),"Uncle Sams Cider (11/12/2021) 02")</f>
        <v>Uncle Sams Cider (11/12/2021) 02</v>
      </c>
      <c r="H4857" s="19"/>
    </row>
    <row r="4858">
      <c r="A4858" s="9"/>
      <c r="B4858" s="15"/>
      <c r="C4858" s="9">
        <f>IFERROR(__xludf.DUMMYFUNCTION("""COMPUTED_VALUE"""),44554.5067880671)</f>
        <v>44554.50679</v>
      </c>
      <c r="D4858" s="15">
        <f>IFERROR(__xludf.DUMMYFUNCTION("""COMPUTED_VALUE"""),1.014)</f>
        <v>1.014</v>
      </c>
      <c r="E4858" s="16">
        <f>IFERROR(__xludf.DUMMYFUNCTION("""COMPUTED_VALUE"""),64.0)</f>
        <v>64</v>
      </c>
      <c r="F4858" s="19" t="str">
        <f>IFERROR(__xludf.DUMMYFUNCTION("""COMPUTED_VALUE"""),"BLACK")</f>
        <v>BLACK</v>
      </c>
      <c r="G4858" s="20" t="str">
        <f>IFERROR(__xludf.DUMMYFUNCTION("""COMPUTED_VALUE"""),"Uncle Sams Cider (11/12/2021) 02")</f>
        <v>Uncle Sams Cider (11/12/2021) 02</v>
      </c>
      <c r="H4858" s="19"/>
    </row>
    <row r="4859">
      <c r="A4859" s="9"/>
      <c r="B4859" s="15"/>
      <c r="C4859" s="9">
        <f>IFERROR(__xludf.DUMMYFUNCTION("""COMPUTED_VALUE"""),44554.4963538888)</f>
        <v>44554.49635</v>
      </c>
      <c r="D4859" s="15">
        <f>IFERROR(__xludf.DUMMYFUNCTION("""COMPUTED_VALUE"""),1.014)</f>
        <v>1.014</v>
      </c>
      <c r="E4859" s="16">
        <f>IFERROR(__xludf.DUMMYFUNCTION("""COMPUTED_VALUE"""),64.0)</f>
        <v>64</v>
      </c>
      <c r="F4859" s="19" t="str">
        <f>IFERROR(__xludf.DUMMYFUNCTION("""COMPUTED_VALUE"""),"BLACK")</f>
        <v>BLACK</v>
      </c>
      <c r="G4859" s="20" t="str">
        <f>IFERROR(__xludf.DUMMYFUNCTION("""COMPUTED_VALUE"""),"Uncle Sams Cider (11/12/2021) 02")</f>
        <v>Uncle Sams Cider (11/12/2021) 02</v>
      </c>
      <c r="H4859" s="19"/>
    </row>
    <row r="4860">
      <c r="A4860" s="9"/>
      <c r="B4860" s="15"/>
      <c r="C4860" s="9">
        <f>IFERROR(__xludf.DUMMYFUNCTION("""COMPUTED_VALUE"""),44554.4859309259)</f>
        <v>44554.48593</v>
      </c>
      <c r="D4860" s="15">
        <f>IFERROR(__xludf.DUMMYFUNCTION("""COMPUTED_VALUE"""),1.014)</f>
        <v>1.014</v>
      </c>
      <c r="E4860" s="16">
        <f>IFERROR(__xludf.DUMMYFUNCTION("""COMPUTED_VALUE"""),64.0)</f>
        <v>64</v>
      </c>
      <c r="F4860" s="19" t="str">
        <f>IFERROR(__xludf.DUMMYFUNCTION("""COMPUTED_VALUE"""),"BLACK")</f>
        <v>BLACK</v>
      </c>
      <c r="G4860" s="20" t="str">
        <f>IFERROR(__xludf.DUMMYFUNCTION("""COMPUTED_VALUE"""),"Uncle Sams Cider (11/12/2021) 02")</f>
        <v>Uncle Sams Cider (11/12/2021) 02</v>
      </c>
      <c r="H4860" s="19"/>
    </row>
    <row r="4861">
      <c r="A4861" s="9"/>
      <c r="B4861" s="15"/>
      <c r="C4861" s="9">
        <f>IFERROR(__xludf.DUMMYFUNCTION("""COMPUTED_VALUE"""),44554.475510706)</f>
        <v>44554.47551</v>
      </c>
      <c r="D4861" s="15">
        <f>IFERROR(__xludf.DUMMYFUNCTION("""COMPUTED_VALUE"""),1.014)</f>
        <v>1.014</v>
      </c>
      <c r="E4861" s="16">
        <f>IFERROR(__xludf.DUMMYFUNCTION("""COMPUTED_VALUE"""),64.0)</f>
        <v>64</v>
      </c>
      <c r="F4861" s="19" t="str">
        <f>IFERROR(__xludf.DUMMYFUNCTION("""COMPUTED_VALUE"""),"BLACK")</f>
        <v>BLACK</v>
      </c>
      <c r="G4861" s="20" t="str">
        <f>IFERROR(__xludf.DUMMYFUNCTION("""COMPUTED_VALUE"""),"Uncle Sams Cider (11/12/2021) 02")</f>
        <v>Uncle Sams Cider (11/12/2021) 02</v>
      </c>
      <c r="H4861" s="19"/>
    </row>
    <row r="4862">
      <c r="A4862" s="9"/>
      <c r="B4862" s="15"/>
      <c r="C4862" s="9">
        <f>IFERROR(__xludf.DUMMYFUNCTION("""COMPUTED_VALUE"""),44554.4650542939)</f>
        <v>44554.46505</v>
      </c>
      <c r="D4862" s="15">
        <f>IFERROR(__xludf.DUMMYFUNCTION("""COMPUTED_VALUE"""),1.015)</f>
        <v>1.015</v>
      </c>
      <c r="E4862" s="16">
        <f>IFERROR(__xludf.DUMMYFUNCTION("""COMPUTED_VALUE"""),64.0)</f>
        <v>64</v>
      </c>
      <c r="F4862" s="19" t="str">
        <f>IFERROR(__xludf.DUMMYFUNCTION("""COMPUTED_VALUE"""),"BLACK")</f>
        <v>BLACK</v>
      </c>
      <c r="G4862" s="20" t="str">
        <f>IFERROR(__xludf.DUMMYFUNCTION("""COMPUTED_VALUE"""),"Uncle Sams Cider (11/12/2021) 02")</f>
        <v>Uncle Sams Cider (11/12/2021) 02</v>
      </c>
      <c r="H4862" s="19"/>
    </row>
    <row r="4863">
      <c r="A4863" s="9"/>
      <c r="B4863" s="15"/>
      <c r="C4863" s="9">
        <f>IFERROR(__xludf.DUMMYFUNCTION("""COMPUTED_VALUE"""),44554.4546346875)</f>
        <v>44554.45463</v>
      </c>
      <c r="D4863" s="15">
        <f>IFERROR(__xludf.DUMMYFUNCTION("""COMPUTED_VALUE"""),1.015)</f>
        <v>1.015</v>
      </c>
      <c r="E4863" s="16">
        <f>IFERROR(__xludf.DUMMYFUNCTION("""COMPUTED_VALUE"""),64.0)</f>
        <v>64</v>
      </c>
      <c r="F4863" s="19" t="str">
        <f>IFERROR(__xludf.DUMMYFUNCTION("""COMPUTED_VALUE"""),"BLACK")</f>
        <v>BLACK</v>
      </c>
      <c r="G4863" s="20" t="str">
        <f>IFERROR(__xludf.DUMMYFUNCTION("""COMPUTED_VALUE"""),"Uncle Sams Cider (11/12/2021) 02")</f>
        <v>Uncle Sams Cider (11/12/2021) 02</v>
      </c>
      <c r="H4863" s="19"/>
    </row>
    <row r="4864">
      <c r="A4864" s="9"/>
      <c r="B4864" s="15"/>
      <c r="C4864" s="9">
        <f>IFERROR(__xludf.DUMMYFUNCTION("""COMPUTED_VALUE"""),44554.444211412)</f>
        <v>44554.44421</v>
      </c>
      <c r="D4864" s="15">
        <f>IFERROR(__xludf.DUMMYFUNCTION("""COMPUTED_VALUE"""),1.014)</f>
        <v>1.014</v>
      </c>
      <c r="E4864" s="16">
        <f>IFERROR(__xludf.DUMMYFUNCTION("""COMPUTED_VALUE"""),64.0)</f>
        <v>64</v>
      </c>
      <c r="F4864" s="19" t="str">
        <f>IFERROR(__xludf.DUMMYFUNCTION("""COMPUTED_VALUE"""),"BLACK")</f>
        <v>BLACK</v>
      </c>
      <c r="G4864" s="20" t="str">
        <f>IFERROR(__xludf.DUMMYFUNCTION("""COMPUTED_VALUE"""),"Uncle Sams Cider (11/12/2021) 02")</f>
        <v>Uncle Sams Cider (11/12/2021) 02</v>
      </c>
      <c r="H4864" s="19"/>
    </row>
    <row r="4865">
      <c r="A4865" s="9"/>
      <c r="B4865" s="15"/>
      <c r="C4865" s="9">
        <f>IFERROR(__xludf.DUMMYFUNCTION("""COMPUTED_VALUE"""),44554.4337793287)</f>
        <v>44554.43378</v>
      </c>
      <c r="D4865" s="15">
        <f>IFERROR(__xludf.DUMMYFUNCTION("""COMPUTED_VALUE"""),1.014)</f>
        <v>1.014</v>
      </c>
      <c r="E4865" s="16">
        <f>IFERROR(__xludf.DUMMYFUNCTION("""COMPUTED_VALUE"""),64.0)</f>
        <v>64</v>
      </c>
      <c r="F4865" s="19" t="str">
        <f>IFERROR(__xludf.DUMMYFUNCTION("""COMPUTED_VALUE"""),"BLACK")</f>
        <v>BLACK</v>
      </c>
      <c r="G4865" s="20" t="str">
        <f>IFERROR(__xludf.DUMMYFUNCTION("""COMPUTED_VALUE"""),"Uncle Sams Cider (11/12/2021) 02")</f>
        <v>Uncle Sams Cider (11/12/2021) 02</v>
      </c>
      <c r="H4865" s="19"/>
    </row>
    <row r="4866">
      <c r="A4866" s="9"/>
      <c r="B4866" s="15"/>
      <c r="C4866" s="9">
        <f>IFERROR(__xludf.DUMMYFUNCTION("""COMPUTED_VALUE"""),44554.4233587962)</f>
        <v>44554.42336</v>
      </c>
      <c r="D4866" s="15">
        <f>IFERROR(__xludf.DUMMYFUNCTION("""COMPUTED_VALUE"""),1.014)</f>
        <v>1.014</v>
      </c>
      <c r="E4866" s="16">
        <f>IFERROR(__xludf.DUMMYFUNCTION("""COMPUTED_VALUE"""),64.0)</f>
        <v>64</v>
      </c>
      <c r="F4866" s="19" t="str">
        <f>IFERROR(__xludf.DUMMYFUNCTION("""COMPUTED_VALUE"""),"BLACK")</f>
        <v>BLACK</v>
      </c>
      <c r="G4866" s="20" t="str">
        <f>IFERROR(__xludf.DUMMYFUNCTION("""COMPUTED_VALUE"""),"Uncle Sams Cider (11/12/2021) 02")</f>
        <v>Uncle Sams Cider (11/12/2021) 02</v>
      </c>
      <c r="H4866" s="19"/>
    </row>
    <row r="4867">
      <c r="A4867" s="9"/>
      <c r="B4867" s="15"/>
      <c r="C4867" s="9">
        <f>IFERROR(__xludf.DUMMYFUNCTION("""COMPUTED_VALUE"""),44554.4129269791)</f>
        <v>44554.41293</v>
      </c>
      <c r="D4867" s="15">
        <f>IFERROR(__xludf.DUMMYFUNCTION("""COMPUTED_VALUE"""),1.015)</f>
        <v>1.015</v>
      </c>
      <c r="E4867" s="16">
        <f>IFERROR(__xludf.DUMMYFUNCTION("""COMPUTED_VALUE"""),64.0)</f>
        <v>64</v>
      </c>
      <c r="F4867" s="19" t="str">
        <f>IFERROR(__xludf.DUMMYFUNCTION("""COMPUTED_VALUE"""),"BLACK")</f>
        <v>BLACK</v>
      </c>
      <c r="G4867" s="20" t="str">
        <f>IFERROR(__xludf.DUMMYFUNCTION("""COMPUTED_VALUE"""),"Uncle Sams Cider (11/12/2021) 02")</f>
        <v>Uncle Sams Cider (11/12/2021) 02</v>
      </c>
      <c r="H4867" s="19"/>
    </row>
    <row r="4868">
      <c r="A4868" s="9"/>
      <c r="B4868" s="15"/>
      <c r="C4868" s="9">
        <f>IFERROR(__xludf.DUMMYFUNCTION("""COMPUTED_VALUE"""),44554.402506956)</f>
        <v>44554.40251</v>
      </c>
      <c r="D4868" s="15">
        <f>IFERROR(__xludf.DUMMYFUNCTION("""COMPUTED_VALUE"""),1.014)</f>
        <v>1.014</v>
      </c>
      <c r="E4868" s="16">
        <f>IFERROR(__xludf.DUMMYFUNCTION("""COMPUTED_VALUE"""),64.0)</f>
        <v>64</v>
      </c>
      <c r="F4868" s="19" t="str">
        <f>IFERROR(__xludf.DUMMYFUNCTION("""COMPUTED_VALUE"""),"BLACK")</f>
        <v>BLACK</v>
      </c>
      <c r="G4868" s="20" t="str">
        <f>IFERROR(__xludf.DUMMYFUNCTION("""COMPUTED_VALUE"""),"Uncle Sams Cider (11/12/2021) 02")</f>
        <v>Uncle Sams Cider (11/12/2021) 02</v>
      </c>
      <c r="H4868" s="19"/>
    </row>
    <row r="4869">
      <c r="A4869" s="9"/>
      <c r="B4869" s="15"/>
      <c r="C4869" s="9">
        <f>IFERROR(__xludf.DUMMYFUNCTION("""COMPUTED_VALUE"""),44554.3920863773)</f>
        <v>44554.39209</v>
      </c>
      <c r="D4869" s="15">
        <f>IFERROR(__xludf.DUMMYFUNCTION("""COMPUTED_VALUE"""),1.015)</f>
        <v>1.015</v>
      </c>
      <c r="E4869" s="16">
        <f>IFERROR(__xludf.DUMMYFUNCTION("""COMPUTED_VALUE"""),64.0)</f>
        <v>64</v>
      </c>
      <c r="F4869" s="19" t="str">
        <f>IFERROR(__xludf.DUMMYFUNCTION("""COMPUTED_VALUE"""),"BLACK")</f>
        <v>BLACK</v>
      </c>
      <c r="G4869" s="20" t="str">
        <f>IFERROR(__xludf.DUMMYFUNCTION("""COMPUTED_VALUE"""),"Uncle Sams Cider (11/12/2021) 02")</f>
        <v>Uncle Sams Cider (11/12/2021) 02</v>
      </c>
      <c r="H4869" s="19"/>
    </row>
    <row r="4870">
      <c r="A4870" s="9"/>
      <c r="B4870" s="15"/>
      <c r="C4870" s="9">
        <f>IFERROR(__xludf.DUMMYFUNCTION("""COMPUTED_VALUE"""),44554.3816652314)</f>
        <v>44554.38167</v>
      </c>
      <c r="D4870" s="15">
        <f>IFERROR(__xludf.DUMMYFUNCTION("""COMPUTED_VALUE"""),1.015)</f>
        <v>1.015</v>
      </c>
      <c r="E4870" s="16">
        <f>IFERROR(__xludf.DUMMYFUNCTION("""COMPUTED_VALUE"""),64.0)</f>
        <v>64</v>
      </c>
      <c r="F4870" s="19" t="str">
        <f>IFERROR(__xludf.DUMMYFUNCTION("""COMPUTED_VALUE"""),"BLACK")</f>
        <v>BLACK</v>
      </c>
      <c r="G4870" s="20" t="str">
        <f>IFERROR(__xludf.DUMMYFUNCTION("""COMPUTED_VALUE"""),"Uncle Sams Cider (11/12/2021) 02")</f>
        <v>Uncle Sams Cider (11/12/2021) 02</v>
      </c>
      <c r="H4870" s="19"/>
    </row>
    <row r="4871">
      <c r="A4871" s="9"/>
      <c r="B4871" s="15"/>
      <c r="C4871" s="9">
        <f>IFERROR(__xludf.DUMMYFUNCTION("""COMPUTED_VALUE"""),44554.3712461342)</f>
        <v>44554.37125</v>
      </c>
      <c r="D4871" s="15">
        <f>IFERROR(__xludf.DUMMYFUNCTION("""COMPUTED_VALUE"""),1.015)</f>
        <v>1.015</v>
      </c>
      <c r="E4871" s="16">
        <f>IFERROR(__xludf.DUMMYFUNCTION("""COMPUTED_VALUE"""),64.0)</f>
        <v>64</v>
      </c>
      <c r="F4871" s="19" t="str">
        <f>IFERROR(__xludf.DUMMYFUNCTION("""COMPUTED_VALUE"""),"BLACK")</f>
        <v>BLACK</v>
      </c>
      <c r="G4871" s="20" t="str">
        <f>IFERROR(__xludf.DUMMYFUNCTION("""COMPUTED_VALUE"""),"Uncle Sams Cider (11/12/2021) 02")</f>
        <v>Uncle Sams Cider (11/12/2021) 02</v>
      </c>
      <c r="H4871" s="19"/>
    </row>
    <row r="4872">
      <c r="A4872" s="9"/>
      <c r="B4872" s="15"/>
      <c r="C4872" s="9">
        <f>IFERROR(__xludf.DUMMYFUNCTION("""COMPUTED_VALUE"""),44554.3608136458)</f>
        <v>44554.36081</v>
      </c>
      <c r="D4872" s="15">
        <f>IFERROR(__xludf.DUMMYFUNCTION("""COMPUTED_VALUE"""),1.014)</f>
        <v>1.014</v>
      </c>
      <c r="E4872" s="16">
        <f>IFERROR(__xludf.DUMMYFUNCTION("""COMPUTED_VALUE"""),64.0)</f>
        <v>64</v>
      </c>
      <c r="F4872" s="19" t="str">
        <f>IFERROR(__xludf.DUMMYFUNCTION("""COMPUTED_VALUE"""),"BLACK")</f>
        <v>BLACK</v>
      </c>
      <c r="G4872" s="20" t="str">
        <f>IFERROR(__xludf.DUMMYFUNCTION("""COMPUTED_VALUE"""),"Uncle Sams Cider (11/12/2021) 02")</f>
        <v>Uncle Sams Cider (11/12/2021) 02</v>
      </c>
      <c r="H4872" s="19"/>
    </row>
    <row r="4873">
      <c r="A4873" s="9"/>
      <c r="B4873" s="15"/>
      <c r="C4873" s="9">
        <f>IFERROR(__xludf.DUMMYFUNCTION("""COMPUTED_VALUE"""),44554.3503808217)</f>
        <v>44554.35038</v>
      </c>
      <c r="D4873" s="15">
        <f>IFERROR(__xludf.DUMMYFUNCTION("""COMPUTED_VALUE"""),1.015)</f>
        <v>1.015</v>
      </c>
      <c r="E4873" s="16">
        <f>IFERROR(__xludf.DUMMYFUNCTION("""COMPUTED_VALUE"""),64.0)</f>
        <v>64</v>
      </c>
      <c r="F4873" s="19" t="str">
        <f>IFERROR(__xludf.DUMMYFUNCTION("""COMPUTED_VALUE"""),"BLACK")</f>
        <v>BLACK</v>
      </c>
      <c r="G4873" s="20" t="str">
        <f>IFERROR(__xludf.DUMMYFUNCTION("""COMPUTED_VALUE"""),"Uncle Sams Cider (11/12/2021) 02")</f>
        <v>Uncle Sams Cider (11/12/2021) 02</v>
      </c>
      <c r="H4873" s="19"/>
    </row>
    <row r="4874">
      <c r="A4874" s="9"/>
      <c r="B4874" s="15"/>
      <c r="C4874" s="9">
        <f>IFERROR(__xludf.DUMMYFUNCTION("""COMPUTED_VALUE"""),44554.3399599652)</f>
        <v>44554.33996</v>
      </c>
      <c r="D4874" s="15">
        <f>IFERROR(__xludf.DUMMYFUNCTION("""COMPUTED_VALUE"""),1.014)</f>
        <v>1.014</v>
      </c>
      <c r="E4874" s="16">
        <f>IFERROR(__xludf.DUMMYFUNCTION("""COMPUTED_VALUE"""),64.0)</f>
        <v>64</v>
      </c>
      <c r="F4874" s="19" t="str">
        <f>IFERROR(__xludf.DUMMYFUNCTION("""COMPUTED_VALUE"""),"BLACK")</f>
        <v>BLACK</v>
      </c>
      <c r="G4874" s="20" t="str">
        <f>IFERROR(__xludf.DUMMYFUNCTION("""COMPUTED_VALUE"""),"Uncle Sams Cider (11/12/2021) 02")</f>
        <v>Uncle Sams Cider (11/12/2021) 02</v>
      </c>
      <c r="H4874" s="19"/>
    </row>
    <row r="4875">
      <c r="A4875" s="9"/>
      <c r="B4875" s="15"/>
      <c r="C4875" s="9">
        <f>IFERROR(__xludf.DUMMYFUNCTION("""COMPUTED_VALUE"""),44554.3295395023)</f>
        <v>44554.32954</v>
      </c>
      <c r="D4875" s="15">
        <f>IFERROR(__xludf.DUMMYFUNCTION("""COMPUTED_VALUE"""),1.015)</f>
        <v>1.015</v>
      </c>
      <c r="E4875" s="16">
        <f>IFERROR(__xludf.DUMMYFUNCTION("""COMPUTED_VALUE"""),64.0)</f>
        <v>64</v>
      </c>
      <c r="F4875" s="19" t="str">
        <f>IFERROR(__xludf.DUMMYFUNCTION("""COMPUTED_VALUE"""),"BLACK")</f>
        <v>BLACK</v>
      </c>
      <c r="G4875" s="20" t="str">
        <f>IFERROR(__xludf.DUMMYFUNCTION("""COMPUTED_VALUE"""),"Uncle Sams Cider (11/12/2021) 02")</f>
        <v>Uncle Sams Cider (11/12/2021) 02</v>
      </c>
      <c r="H4875" s="19"/>
    </row>
    <row r="4876">
      <c r="A4876" s="9"/>
      <c r="B4876" s="15"/>
      <c r="C4876" s="9">
        <f>IFERROR(__xludf.DUMMYFUNCTION("""COMPUTED_VALUE"""),44554.3191165624)</f>
        <v>44554.31912</v>
      </c>
      <c r="D4876" s="15">
        <f>IFERROR(__xludf.DUMMYFUNCTION("""COMPUTED_VALUE"""),1.014)</f>
        <v>1.014</v>
      </c>
      <c r="E4876" s="16">
        <f>IFERROR(__xludf.DUMMYFUNCTION("""COMPUTED_VALUE"""),64.0)</f>
        <v>64</v>
      </c>
      <c r="F4876" s="19" t="str">
        <f>IFERROR(__xludf.DUMMYFUNCTION("""COMPUTED_VALUE"""),"BLACK")</f>
        <v>BLACK</v>
      </c>
      <c r="G4876" s="20" t="str">
        <f>IFERROR(__xludf.DUMMYFUNCTION("""COMPUTED_VALUE"""),"Uncle Sams Cider (11/12/2021) 02")</f>
        <v>Uncle Sams Cider (11/12/2021) 02</v>
      </c>
      <c r="H4876" s="19"/>
    </row>
    <row r="4877">
      <c r="A4877" s="9"/>
      <c r="B4877" s="15"/>
      <c r="C4877" s="9">
        <f>IFERROR(__xludf.DUMMYFUNCTION("""COMPUTED_VALUE"""),44554.3086826041)</f>
        <v>44554.30868</v>
      </c>
      <c r="D4877" s="15">
        <f>IFERROR(__xludf.DUMMYFUNCTION("""COMPUTED_VALUE"""),1.015)</f>
        <v>1.015</v>
      </c>
      <c r="E4877" s="16">
        <f>IFERROR(__xludf.DUMMYFUNCTION("""COMPUTED_VALUE"""),64.0)</f>
        <v>64</v>
      </c>
      <c r="F4877" s="19" t="str">
        <f>IFERROR(__xludf.DUMMYFUNCTION("""COMPUTED_VALUE"""),"BLACK")</f>
        <v>BLACK</v>
      </c>
      <c r="G4877" s="20" t="str">
        <f>IFERROR(__xludf.DUMMYFUNCTION("""COMPUTED_VALUE"""),"Uncle Sams Cider (11/12/2021) 02")</f>
        <v>Uncle Sams Cider (11/12/2021) 02</v>
      </c>
      <c r="H4877" s="19"/>
    </row>
    <row r="4878">
      <c r="A4878" s="9"/>
      <c r="B4878" s="15"/>
      <c r="C4878" s="9">
        <f>IFERROR(__xludf.DUMMYFUNCTION("""COMPUTED_VALUE"""),44554.2982517592)</f>
        <v>44554.29825</v>
      </c>
      <c r="D4878" s="15">
        <f>IFERROR(__xludf.DUMMYFUNCTION("""COMPUTED_VALUE"""),1.014)</f>
        <v>1.014</v>
      </c>
      <c r="E4878" s="16">
        <f>IFERROR(__xludf.DUMMYFUNCTION("""COMPUTED_VALUE"""),64.0)</f>
        <v>64</v>
      </c>
      <c r="F4878" s="19" t="str">
        <f>IFERROR(__xludf.DUMMYFUNCTION("""COMPUTED_VALUE"""),"BLACK")</f>
        <v>BLACK</v>
      </c>
      <c r="G4878" s="20" t="str">
        <f>IFERROR(__xludf.DUMMYFUNCTION("""COMPUTED_VALUE"""),"Uncle Sams Cider (11/12/2021) 02")</f>
        <v>Uncle Sams Cider (11/12/2021) 02</v>
      </c>
      <c r="H4878" s="19"/>
    </row>
    <row r="4879">
      <c r="A4879" s="9"/>
      <c r="B4879" s="15"/>
      <c r="C4879" s="9">
        <f>IFERROR(__xludf.DUMMYFUNCTION("""COMPUTED_VALUE"""),44554.2878172337)</f>
        <v>44554.28782</v>
      </c>
      <c r="D4879" s="15">
        <f>IFERROR(__xludf.DUMMYFUNCTION("""COMPUTED_VALUE"""),1.015)</f>
        <v>1.015</v>
      </c>
      <c r="E4879" s="16">
        <f>IFERROR(__xludf.DUMMYFUNCTION("""COMPUTED_VALUE"""),64.0)</f>
        <v>64</v>
      </c>
      <c r="F4879" s="19" t="str">
        <f>IFERROR(__xludf.DUMMYFUNCTION("""COMPUTED_VALUE"""),"BLACK")</f>
        <v>BLACK</v>
      </c>
      <c r="G4879" s="20" t="str">
        <f>IFERROR(__xludf.DUMMYFUNCTION("""COMPUTED_VALUE"""),"Uncle Sams Cider (11/12/2021) 02")</f>
        <v>Uncle Sams Cider (11/12/2021) 02</v>
      </c>
      <c r="H4879" s="19"/>
    </row>
    <row r="4880">
      <c r="A4880" s="9"/>
      <c r="B4880" s="15"/>
      <c r="C4880" s="9">
        <f>IFERROR(__xludf.DUMMYFUNCTION("""COMPUTED_VALUE"""),44554.2773840162)</f>
        <v>44554.27738</v>
      </c>
      <c r="D4880" s="15">
        <f>IFERROR(__xludf.DUMMYFUNCTION("""COMPUTED_VALUE"""),1.015)</f>
        <v>1.015</v>
      </c>
      <c r="E4880" s="16">
        <f>IFERROR(__xludf.DUMMYFUNCTION("""COMPUTED_VALUE"""),64.0)</f>
        <v>64</v>
      </c>
      <c r="F4880" s="19" t="str">
        <f>IFERROR(__xludf.DUMMYFUNCTION("""COMPUTED_VALUE"""),"BLACK")</f>
        <v>BLACK</v>
      </c>
      <c r="G4880" s="20" t="str">
        <f>IFERROR(__xludf.DUMMYFUNCTION("""COMPUTED_VALUE"""),"Uncle Sams Cider (11/12/2021) 02")</f>
        <v>Uncle Sams Cider (11/12/2021) 02</v>
      </c>
      <c r="H4880" s="19"/>
    </row>
    <row r="4881">
      <c r="A4881" s="9"/>
      <c r="B4881" s="15"/>
      <c r="C4881" s="9">
        <f>IFERROR(__xludf.DUMMYFUNCTION("""COMPUTED_VALUE"""),44554.266951331)</f>
        <v>44554.26695</v>
      </c>
      <c r="D4881" s="15">
        <f>IFERROR(__xludf.DUMMYFUNCTION("""COMPUTED_VALUE"""),1.014)</f>
        <v>1.014</v>
      </c>
      <c r="E4881" s="16">
        <f>IFERROR(__xludf.DUMMYFUNCTION("""COMPUTED_VALUE"""),64.0)</f>
        <v>64</v>
      </c>
      <c r="F4881" s="19" t="str">
        <f>IFERROR(__xludf.DUMMYFUNCTION("""COMPUTED_VALUE"""),"BLACK")</f>
        <v>BLACK</v>
      </c>
      <c r="G4881" s="20" t="str">
        <f>IFERROR(__xludf.DUMMYFUNCTION("""COMPUTED_VALUE"""),"Uncle Sams Cider (11/12/2021) 02")</f>
        <v>Uncle Sams Cider (11/12/2021) 02</v>
      </c>
      <c r="H4881" s="19"/>
    </row>
    <row r="4882">
      <c r="A4882" s="9"/>
      <c r="B4882" s="15"/>
      <c r="C4882" s="9">
        <f>IFERROR(__xludf.DUMMYFUNCTION("""COMPUTED_VALUE"""),44554.2565068865)</f>
        <v>44554.25651</v>
      </c>
      <c r="D4882" s="15">
        <f>IFERROR(__xludf.DUMMYFUNCTION("""COMPUTED_VALUE"""),1.015)</f>
        <v>1.015</v>
      </c>
      <c r="E4882" s="16">
        <f>IFERROR(__xludf.DUMMYFUNCTION("""COMPUTED_VALUE"""),64.0)</f>
        <v>64</v>
      </c>
      <c r="F4882" s="19" t="str">
        <f>IFERROR(__xludf.DUMMYFUNCTION("""COMPUTED_VALUE"""),"BLACK")</f>
        <v>BLACK</v>
      </c>
      <c r="G4882" s="20" t="str">
        <f>IFERROR(__xludf.DUMMYFUNCTION("""COMPUTED_VALUE"""),"Uncle Sams Cider (11/12/2021) 02")</f>
        <v>Uncle Sams Cider (11/12/2021) 02</v>
      </c>
      <c r="H4882" s="19"/>
    </row>
    <row r="4883">
      <c r="A4883" s="9"/>
      <c r="B4883" s="15"/>
      <c r="C4883" s="9">
        <f>IFERROR(__xludf.DUMMYFUNCTION("""COMPUTED_VALUE"""),44554.2460864236)</f>
        <v>44554.24609</v>
      </c>
      <c r="D4883" s="15">
        <f>IFERROR(__xludf.DUMMYFUNCTION("""COMPUTED_VALUE"""),1.015)</f>
        <v>1.015</v>
      </c>
      <c r="E4883" s="16">
        <f>IFERROR(__xludf.DUMMYFUNCTION("""COMPUTED_VALUE"""),64.0)</f>
        <v>64</v>
      </c>
      <c r="F4883" s="19" t="str">
        <f>IFERROR(__xludf.DUMMYFUNCTION("""COMPUTED_VALUE"""),"BLACK")</f>
        <v>BLACK</v>
      </c>
      <c r="G4883" s="20" t="str">
        <f>IFERROR(__xludf.DUMMYFUNCTION("""COMPUTED_VALUE"""),"Uncle Sams Cider (11/12/2021) 02")</f>
        <v>Uncle Sams Cider (11/12/2021) 02</v>
      </c>
      <c r="H4883" s="19"/>
    </row>
    <row r="4884">
      <c r="A4884" s="9"/>
      <c r="B4884" s="15"/>
      <c r="C4884" s="9">
        <f>IFERROR(__xludf.DUMMYFUNCTION("""COMPUTED_VALUE"""),44554.235664618)</f>
        <v>44554.23566</v>
      </c>
      <c r="D4884" s="15">
        <f>IFERROR(__xludf.DUMMYFUNCTION("""COMPUTED_VALUE"""),1.015)</f>
        <v>1.015</v>
      </c>
      <c r="E4884" s="16">
        <f>IFERROR(__xludf.DUMMYFUNCTION("""COMPUTED_VALUE"""),64.0)</f>
        <v>64</v>
      </c>
      <c r="F4884" s="19" t="str">
        <f>IFERROR(__xludf.DUMMYFUNCTION("""COMPUTED_VALUE"""),"BLACK")</f>
        <v>BLACK</v>
      </c>
      <c r="G4884" s="20" t="str">
        <f>IFERROR(__xludf.DUMMYFUNCTION("""COMPUTED_VALUE"""),"Uncle Sams Cider (11/12/2021) 02")</f>
        <v>Uncle Sams Cider (11/12/2021) 02</v>
      </c>
      <c r="H4884" s="19"/>
    </row>
    <row r="4885">
      <c r="A4885" s="9"/>
      <c r="B4885" s="15"/>
      <c r="C4885" s="9">
        <f>IFERROR(__xludf.DUMMYFUNCTION("""COMPUTED_VALUE"""),44554.225243206)</f>
        <v>44554.22524</v>
      </c>
      <c r="D4885" s="15">
        <f>IFERROR(__xludf.DUMMYFUNCTION("""COMPUTED_VALUE"""),1.015)</f>
        <v>1.015</v>
      </c>
      <c r="E4885" s="16">
        <f>IFERROR(__xludf.DUMMYFUNCTION("""COMPUTED_VALUE"""),64.0)</f>
        <v>64</v>
      </c>
      <c r="F4885" s="19" t="str">
        <f>IFERROR(__xludf.DUMMYFUNCTION("""COMPUTED_VALUE"""),"BLACK")</f>
        <v>BLACK</v>
      </c>
      <c r="G4885" s="20" t="str">
        <f>IFERROR(__xludf.DUMMYFUNCTION("""COMPUTED_VALUE"""),"Uncle Sams Cider (11/12/2021) 02")</f>
        <v>Uncle Sams Cider (11/12/2021) 02</v>
      </c>
      <c r="H4885" s="19"/>
    </row>
    <row r="4886">
      <c r="A4886" s="9"/>
      <c r="B4886" s="15"/>
      <c r="C4886" s="9">
        <f>IFERROR(__xludf.DUMMYFUNCTION("""COMPUTED_VALUE"""),44554.2148114467)</f>
        <v>44554.21481</v>
      </c>
      <c r="D4886" s="15">
        <f>IFERROR(__xludf.DUMMYFUNCTION("""COMPUTED_VALUE"""),1.015)</f>
        <v>1.015</v>
      </c>
      <c r="E4886" s="16">
        <f>IFERROR(__xludf.DUMMYFUNCTION("""COMPUTED_VALUE"""),64.0)</f>
        <v>64</v>
      </c>
      <c r="F4886" s="19" t="str">
        <f>IFERROR(__xludf.DUMMYFUNCTION("""COMPUTED_VALUE"""),"BLACK")</f>
        <v>BLACK</v>
      </c>
      <c r="G4886" s="20" t="str">
        <f>IFERROR(__xludf.DUMMYFUNCTION("""COMPUTED_VALUE"""),"Uncle Sams Cider (11/12/2021) 02")</f>
        <v>Uncle Sams Cider (11/12/2021) 02</v>
      </c>
      <c r="H4886" s="19"/>
    </row>
    <row r="4887">
      <c r="A4887" s="9"/>
      <c r="B4887" s="15"/>
      <c r="C4887" s="9">
        <f>IFERROR(__xludf.DUMMYFUNCTION("""COMPUTED_VALUE"""),44554.2043789583)</f>
        <v>44554.20438</v>
      </c>
      <c r="D4887" s="15">
        <f>IFERROR(__xludf.DUMMYFUNCTION("""COMPUTED_VALUE"""),1.015)</f>
        <v>1.015</v>
      </c>
      <c r="E4887" s="16">
        <f>IFERROR(__xludf.DUMMYFUNCTION("""COMPUTED_VALUE"""),64.0)</f>
        <v>64</v>
      </c>
      <c r="F4887" s="19" t="str">
        <f>IFERROR(__xludf.DUMMYFUNCTION("""COMPUTED_VALUE"""),"BLACK")</f>
        <v>BLACK</v>
      </c>
      <c r="G4887" s="20" t="str">
        <f>IFERROR(__xludf.DUMMYFUNCTION("""COMPUTED_VALUE"""),"Uncle Sams Cider (11/12/2021) 02")</f>
        <v>Uncle Sams Cider (11/12/2021) 02</v>
      </c>
      <c r="H4887" s="19"/>
    </row>
    <row r="4888">
      <c r="A4888" s="9"/>
      <c r="B4888" s="15"/>
      <c r="C4888" s="9">
        <f>IFERROR(__xludf.DUMMYFUNCTION("""COMPUTED_VALUE"""),44554.1939575578)</f>
        <v>44554.19396</v>
      </c>
      <c r="D4888" s="15">
        <f>IFERROR(__xludf.DUMMYFUNCTION("""COMPUTED_VALUE"""),1.015)</f>
        <v>1.015</v>
      </c>
      <c r="E4888" s="16">
        <f>IFERROR(__xludf.DUMMYFUNCTION("""COMPUTED_VALUE"""),64.0)</f>
        <v>64</v>
      </c>
      <c r="F4888" s="19" t="str">
        <f>IFERROR(__xludf.DUMMYFUNCTION("""COMPUTED_VALUE"""),"BLACK")</f>
        <v>BLACK</v>
      </c>
      <c r="G4888" s="20" t="str">
        <f>IFERROR(__xludf.DUMMYFUNCTION("""COMPUTED_VALUE"""),"Uncle Sams Cider (11/12/2021) 02")</f>
        <v>Uncle Sams Cider (11/12/2021) 02</v>
      </c>
      <c r="H4888" s="19"/>
    </row>
    <row r="4889">
      <c r="A4889" s="9"/>
      <c r="B4889" s="15"/>
      <c r="C4889" s="9">
        <f>IFERROR(__xludf.DUMMYFUNCTION("""COMPUTED_VALUE"""),44554.1835367476)</f>
        <v>44554.18354</v>
      </c>
      <c r="D4889" s="15">
        <f>IFERROR(__xludf.DUMMYFUNCTION("""COMPUTED_VALUE"""),1.015)</f>
        <v>1.015</v>
      </c>
      <c r="E4889" s="16">
        <f>IFERROR(__xludf.DUMMYFUNCTION("""COMPUTED_VALUE"""),64.0)</f>
        <v>64</v>
      </c>
      <c r="F4889" s="19" t="str">
        <f>IFERROR(__xludf.DUMMYFUNCTION("""COMPUTED_VALUE"""),"BLACK")</f>
        <v>BLACK</v>
      </c>
      <c r="G4889" s="20" t="str">
        <f>IFERROR(__xludf.DUMMYFUNCTION("""COMPUTED_VALUE"""),"Uncle Sams Cider (11/12/2021) 02")</f>
        <v>Uncle Sams Cider (11/12/2021) 02</v>
      </c>
      <c r="H4889" s="19"/>
    </row>
    <row r="4890">
      <c r="A4890" s="9"/>
      <c r="B4890" s="15"/>
      <c r="C4890" s="9">
        <f>IFERROR(__xludf.DUMMYFUNCTION("""COMPUTED_VALUE"""),44554.1731181597)</f>
        <v>44554.17312</v>
      </c>
      <c r="D4890" s="15">
        <f>IFERROR(__xludf.DUMMYFUNCTION("""COMPUTED_VALUE"""),1.015)</f>
        <v>1.015</v>
      </c>
      <c r="E4890" s="16">
        <f>IFERROR(__xludf.DUMMYFUNCTION("""COMPUTED_VALUE"""),64.0)</f>
        <v>64</v>
      </c>
      <c r="F4890" s="19" t="str">
        <f>IFERROR(__xludf.DUMMYFUNCTION("""COMPUTED_VALUE"""),"BLACK")</f>
        <v>BLACK</v>
      </c>
      <c r="G4890" s="20" t="str">
        <f>IFERROR(__xludf.DUMMYFUNCTION("""COMPUTED_VALUE"""),"Uncle Sams Cider (11/12/2021) 02")</f>
        <v>Uncle Sams Cider (11/12/2021) 02</v>
      </c>
      <c r="H4890" s="19"/>
    </row>
    <row r="4891">
      <c r="A4891" s="9"/>
      <c r="B4891" s="15"/>
      <c r="C4891" s="9">
        <f>IFERROR(__xludf.DUMMYFUNCTION("""COMPUTED_VALUE"""),44554.1626859722)</f>
        <v>44554.16269</v>
      </c>
      <c r="D4891" s="15">
        <f>IFERROR(__xludf.DUMMYFUNCTION("""COMPUTED_VALUE"""),1.014)</f>
        <v>1.014</v>
      </c>
      <c r="E4891" s="16">
        <f>IFERROR(__xludf.DUMMYFUNCTION("""COMPUTED_VALUE"""),64.0)</f>
        <v>64</v>
      </c>
      <c r="F4891" s="19" t="str">
        <f>IFERROR(__xludf.DUMMYFUNCTION("""COMPUTED_VALUE"""),"BLACK")</f>
        <v>BLACK</v>
      </c>
      <c r="G4891" s="20" t="str">
        <f>IFERROR(__xludf.DUMMYFUNCTION("""COMPUTED_VALUE"""),"Uncle Sams Cider (11/12/2021) 02")</f>
        <v>Uncle Sams Cider (11/12/2021) 02</v>
      </c>
      <c r="H4891" s="19"/>
    </row>
    <row r="4892">
      <c r="A4892" s="9"/>
      <c r="B4892" s="15"/>
      <c r="C4892" s="9">
        <f>IFERROR(__xludf.DUMMYFUNCTION("""COMPUTED_VALUE"""),44554.1522527661)</f>
        <v>44554.15225</v>
      </c>
      <c r="D4892" s="15">
        <f>IFERROR(__xludf.DUMMYFUNCTION("""COMPUTED_VALUE"""),1.014)</f>
        <v>1.014</v>
      </c>
      <c r="E4892" s="16">
        <f>IFERROR(__xludf.DUMMYFUNCTION("""COMPUTED_VALUE"""),64.0)</f>
        <v>64</v>
      </c>
      <c r="F4892" s="19" t="str">
        <f>IFERROR(__xludf.DUMMYFUNCTION("""COMPUTED_VALUE"""),"BLACK")</f>
        <v>BLACK</v>
      </c>
      <c r="G4892" s="20" t="str">
        <f>IFERROR(__xludf.DUMMYFUNCTION("""COMPUTED_VALUE"""),"Uncle Sams Cider (11/12/2021) 02")</f>
        <v>Uncle Sams Cider (11/12/2021) 02</v>
      </c>
      <c r="H4892" s="19"/>
    </row>
    <row r="4893">
      <c r="A4893" s="9"/>
      <c r="B4893" s="15"/>
      <c r="C4893" s="9">
        <f>IFERROR(__xludf.DUMMYFUNCTION("""COMPUTED_VALUE"""),44554.1418337268)</f>
        <v>44554.14183</v>
      </c>
      <c r="D4893" s="15">
        <f>IFERROR(__xludf.DUMMYFUNCTION("""COMPUTED_VALUE"""),1.015)</f>
        <v>1.015</v>
      </c>
      <c r="E4893" s="16">
        <f>IFERROR(__xludf.DUMMYFUNCTION("""COMPUTED_VALUE"""),64.0)</f>
        <v>64</v>
      </c>
      <c r="F4893" s="19" t="str">
        <f>IFERROR(__xludf.DUMMYFUNCTION("""COMPUTED_VALUE"""),"BLACK")</f>
        <v>BLACK</v>
      </c>
      <c r="G4893" s="20" t="str">
        <f>IFERROR(__xludf.DUMMYFUNCTION("""COMPUTED_VALUE"""),"Uncle Sams Cider (11/12/2021) 02")</f>
        <v>Uncle Sams Cider (11/12/2021) 02</v>
      </c>
      <c r="H4893" s="19"/>
    </row>
    <row r="4894">
      <c r="A4894" s="9"/>
      <c r="B4894" s="15"/>
      <c r="C4894" s="9">
        <f>IFERROR(__xludf.DUMMYFUNCTION("""COMPUTED_VALUE"""),44554.1314006134)</f>
        <v>44554.1314</v>
      </c>
      <c r="D4894" s="15">
        <f>IFERROR(__xludf.DUMMYFUNCTION("""COMPUTED_VALUE"""),1.015)</f>
        <v>1.015</v>
      </c>
      <c r="E4894" s="16">
        <f>IFERROR(__xludf.DUMMYFUNCTION("""COMPUTED_VALUE"""),64.0)</f>
        <v>64</v>
      </c>
      <c r="F4894" s="19" t="str">
        <f>IFERROR(__xludf.DUMMYFUNCTION("""COMPUTED_VALUE"""),"BLACK")</f>
        <v>BLACK</v>
      </c>
      <c r="G4894" s="20" t="str">
        <f>IFERROR(__xludf.DUMMYFUNCTION("""COMPUTED_VALUE"""),"Uncle Sams Cider (11/12/2021) 02")</f>
        <v>Uncle Sams Cider (11/12/2021) 02</v>
      </c>
      <c r="H4894" s="19"/>
    </row>
    <row r="4895">
      <c r="A4895" s="9"/>
      <c r="B4895" s="15"/>
      <c r="C4895" s="9">
        <f>IFERROR(__xludf.DUMMYFUNCTION("""COMPUTED_VALUE"""),44554.1209800578)</f>
        <v>44554.12098</v>
      </c>
      <c r="D4895" s="15">
        <f>IFERROR(__xludf.DUMMYFUNCTION("""COMPUTED_VALUE"""),1.015)</f>
        <v>1.015</v>
      </c>
      <c r="E4895" s="16">
        <f>IFERROR(__xludf.DUMMYFUNCTION("""COMPUTED_VALUE"""),64.0)</f>
        <v>64</v>
      </c>
      <c r="F4895" s="19" t="str">
        <f>IFERROR(__xludf.DUMMYFUNCTION("""COMPUTED_VALUE"""),"BLACK")</f>
        <v>BLACK</v>
      </c>
      <c r="G4895" s="20" t="str">
        <f>IFERROR(__xludf.DUMMYFUNCTION("""COMPUTED_VALUE"""),"Uncle Sams Cider (11/12/2021) 02")</f>
        <v>Uncle Sams Cider (11/12/2021) 02</v>
      </c>
      <c r="H4895" s="19"/>
    </row>
    <row r="4896">
      <c r="A4896" s="9"/>
      <c r="B4896" s="15"/>
      <c r="C4896" s="9">
        <f>IFERROR(__xludf.DUMMYFUNCTION("""COMPUTED_VALUE"""),44554.1105351273)</f>
        <v>44554.11054</v>
      </c>
      <c r="D4896" s="15">
        <f>IFERROR(__xludf.DUMMYFUNCTION("""COMPUTED_VALUE"""),1.015)</f>
        <v>1.015</v>
      </c>
      <c r="E4896" s="16">
        <f>IFERROR(__xludf.DUMMYFUNCTION("""COMPUTED_VALUE"""),64.0)</f>
        <v>64</v>
      </c>
      <c r="F4896" s="19" t="str">
        <f>IFERROR(__xludf.DUMMYFUNCTION("""COMPUTED_VALUE"""),"BLACK")</f>
        <v>BLACK</v>
      </c>
      <c r="G4896" s="20" t="str">
        <f>IFERROR(__xludf.DUMMYFUNCTION("""COMPUTED_VALUE"""),"Uncle Sams Cider (11/12/2021) 02")</f>
        <v>Uncle Sams Cider (11/12/2021) 02</v>
      </c>
      <c r="H4896" s="19"/>
    </row>
    <row r="4897">
      <c r="A4897" s="9"/>
      <c r="B4897" s="15"/>
      <c r="C4897" s="9">
        <f>IFERROR(__xludf.DUMMYFUNCTION("""COMPUTED_VALUE"""),44554.1001121643)</f>
        <v>44554.10011</v>
      </c>
      <c r="D4897" s="15">
        <f>IFERROR(__xludf.DUMMYFUNCTION("""COMPUTED_VALUE"""),1.015)</f>
        <v>1.015</v>
      </c>
      <c r="E4897" s="16">
        <f>IFERROR(__xludf.DUMMYFUNCTION("""COMPUTED_VALUE"""),64.0)</f>
        <v>64</v>
      </c>
      <c r="F4897" s="19" t="str">
        <f>IFERROR(__xludf.DUMMYFUNCTION("""COMPUTED_VALUE"""),"BLACK")</f>
        <v>BLACK</v>
      </c>
      <c r="G4897" s="20" t="str">
        <f>IFERROR(__xludf.DUMMYFUNCTION("""COMPUTED_VALUE"""),"Uncle Sams Cider (11/12/2021) 02")</f>
        <v>Uncle Sams Cider (11/12/2021) 02</v>
      </c>
      <c r="H4897" s="19"/>
    </row>
    <row r="4898">
      <c r="A4898" s="9"/>
      <c r="B4898" s="15"/>
      <c r="C4898" s="9">
        <f>IFERROR(__xludf.DUMMYFUNCTION("""COMPUTED_VALUE"""),44554.0896658449)</f>
        <v>44554.08967</v>
      </c>
      <c r="D4898" s="15">
        <f>IFERROR(__xludf.DUMMYFUNCTION("""COMPUTED_VALUE"""),1.015)</f>
        <v>1.015</v>
      </c>
      <c r="E4898" s="16">
        <f>IFERROR(__xludf.DUMMYFUNCTION("""COMPUTED_VALUE"""),64.0)</f>
        <v>64</v>
      </c>
      <c r="F4898" s="19" t="str">
        <f>IFERROR(__xludf.DUMMYFUNCTION("""COMPUTED_VALUE"""),"BLACK")</f>
        <v>BLACK</v>
      </c>
      <c r="G4898" s="20" t="str">
        <f>IFERROR(__xludf.DUMMYFUNCTION("""COMPUTED_VALUE"""),"Uncle Sams Cider (11/12/2021) 02")</f>
        <v>Uncle Sams Cider (11/12/2021) 02</v>
      </c>
      <c r="H4898" s="19"/>
    </row>
    <row r="4899">
      <c r="A4899" s="9"/>
      <c r="B4899" s="15"/>
      <c r="C4899" s="9">
        <f>IFERROR(__xludf.DUMMYFUNCTION("""COMPUTED_VALUE"""),44554.0792324074)</f>
        <v>44554.07923</v>
      </c>
      <c r="D4899" s="15">
        <f>IFERROR(__xludf.DUMMYFUNCTION("""COMPUTED_VALUE"""),1.015)</f>
        <v>1.015</v>
      </c>
      <c r="E4899" s="16">
        <f>IFERROR(__xludf.DUMMYFUNCTION("""COMPUTED_VALUE"""),64.0)</f>
        <v>64</v>
      </c>
      <c r="F4899" s="19" t="str">
        <f>IFERROR(__xludf.DUMMYFUNCTION("""COMPUTED_VALUE"""),"BLACK")</f>
        <v>BLACK</v>
      </c>
      <c r="G4899" s="20" t="str">
        <f>IFERROR(__xludf.DUMMYFUNCTION("""COMPUTED_VALUE"""),"Uncle Sams Cider (11/12/2021) 02")</f>
        <v>Uncle Sams Cider (11/12/2021) 02</v>
      </c>
      <c r="H4899" s="19"/>
    </row>
    <row r="4900">
      <c r="A4900" s="9"/>
      <c r="B4900" s="15"/>
      <c r="C4900" s="9">
        <f>IFERROR(__xludf.DUMMYFUNCTION("""COMPUTED_VALUE"""),44554.0688128703)</f>
        <v>44554.06881</v>
      </c>
      <c r="D4900" s="15">
        <f>IFERROR(__xludf.DUMMYFUNCTION("""COMPUTED_VALUE"""),1.015)</f>
        <v>1.015</v>
      </c>
      <c r="E4900" s="16">
        <f>IFERROR(__xludf.DUMMYFUNCTION("""COMPUTED_VALUE"""),64.0)</f>
        <v>64</v>
      </c>
      <c r="F4900" s="19" t="str">
        <f>IFERROR(__xludf.DUMMYFUNCTION("""COMPUTED_VALUE"""),"BLACK")</f>
        <v>BLACK</v>
      </c>
      <c r="G4900" s="20" t="str">
        <f>IFERROR(__xludf.DUMMYFUNCTION("""COMPUTED_VALUE"""),"Uncle Sams Cider (11/12/2021) 02")</f>
        <v>Uncle Sams Cider (11/12/2021) 02</v>
      </c>
      <c r="H4900" s="19"/>
    </row>
    <row r="4901">
      <c r="A4901" s="9"/>
      <c r="B4901" s="15"/>
      <c r="C4901" s="9">
        <f>IFERROR(__xludf.DUMMYFUNCTION("""COMPUTED_VALUE"""),44554.0583918981)</f>
        <v>44554.05839</v>
      </c>
      <c r="D4901" s="15">
        <f>IFERROR(__xludf.DUMMYFUNCTION("""COMPUTED_VALUE"""),1.015)</f>
        <v>1.015</v>
      </c>
      <c r="E4901" s="16">
        <f>IFERROR(__xludf.DUMMYFUNCTION("""COMPUTED_VALUE"""),64.0)</f>
        <v>64</v>
      </c>
      <c r="F4901" s="19" t="str">
        <f>IFERROR(__xludf.DUMMYFUNCTION("""COMPUTED_VALUE"""),"BLACK")</f>
        <v>BLACK</v>
      </c>
      <c r="G4901" s="20" t="str">
        <f>IFERROR(__xludf.DUMMYFUNCTION("""COMPUTED_VALUE"""),"Uncle Sams Cider (11/12/2021) 02")</f>
        <v>Uncle Sams Cider (11/12/2021) 02</v>
      </c>
      <c r="H4901" s="19"/>
    </row>
    <row r="4902">
      <c r="A4902" s="9"/>
      <c r="B4902" s="15"/>
      <c r="C4902" s="9">
        <f>IFERROR(__xludf.DUMMYFUNCTION("""COMPUTED_VALUE"""),44554.047958449)</f>
        <v>44554.04796</v>
      </c>
      <c r="D4902" s="15">
        <f>IFERROR(__xludf.DUMMYFUNCTION("""COMPUTED_VALUE"""),1.015)</f>
        <v>1.015</v>
      </c>
      <c r="E4902" s="16">
        <f>IFERROR(__xludf.DUMMYFUNCTION("""COMPUTED_VALUE"""),64.0)</f>
        <v>64</v>
      </c>
      <c r="F4902" s="19" t="str">
        <f>IFERROR(__xludf.DUMMYFUNCTION("""COMPUTED_VALUE"""),"BLACK")</f>
        <v>BLACK</v>
      </c>
      <c r="G4902" s="20" t="str">
        <f>IFERROR(__xludf.DUMMYFUNCTION("""COMPUTED_VALUE"""),"Uncle Sams Cider (11/12/2021) 02")</f>
        <v>Uncle Sams Cider (11/12/2021) 02</v>
      </c>
      <c r="H4902" s="19"/>
    </row>
    <row r="4903">
      <c r="A4903" s="9"/>
      <c r="B4903" s="15"/>
      <c r="C4903" s="9">
        <f>IFERROR(__xludf.DUMMYFUNCTION("""COMPUTED_VALUE"""),44554.0375372685)</f>
        <v>44554.03754</v>
      </c>
      <c r="D4903" s="15">
        <f>IFERROR(__xludf.DUMMYFUNCTION("""COMPUTED_VALUE"""),1.015)</f>
        <v>1.015</v>
      </c>
      <c r="E4903" s="16">
        <f>IFERROR(__xludf.DUMMYFUNCTION("""COMPUTED_VALUE"""),64.0)</f>
        <v>64</v>
      </c>
      <c r="F4903" s="19" t="str">
        <f>IFERROR(__xludf.DUMMYFUNCTION("""COMPUTED_VALUE"""),"BLACK")</f>
        <v>BLACK</v>
      </c>
      <c r="G4903" s="20" t="str">
        <f>IFERROR(__xludf.DUMMYFUNCTION("""COMPUTED_VALUE"""),"Uncle Sams Cider (11/12/2021) 02")</f>
        <v>Uncle Sams Cider (11/12/2021) 02</v>
      </c>
      <c r="H4903" s="19"/>
    </row>
    <row r="4904">
      <c r="A4904" s="9"/>
      <c r="B4904" s="15"/>
      <c r="C4904" s="9">
        <f>IFERROR(__xludf.DUMMYFUNCTION("""COMPUTED_VALUE"""),44554.0271174537)</f>
        <v>44554.02712</v>
      </c>
      <c r="D4904" s="15">
        <f>IFERROR(__xludf.DUMMYFUNCTION("""COMPUTED_VALUE"""),1.015)</f>
        <v>1.015</v>
      </c>
      <c r="E4904" s="16">
        <f>IFERROR(__xludf.DUMMYFUNCTION("""COMPUTED_VALUE"""),64.0)</f>
        <v>64</v>
      </c>
      <c r="F4904" s="19" t="str">
        <f>IFERROR(__xludf.DUMMYFUNCTION("""COMPUTED_VALUE"""),"BLACK")</f>
        <v>BLACK</v>
      </c>
      <c r="G4904" s="20" t="str">
        <f>IFERROR(__xludf.DUMMYFUNCTION("""COMPUTED_VALUE"""),"Uncle Sams Cider (11/12/2021) 02")</f>
        <v>Uncle Sams Cider (11/12/2021) 02</v>
      </c>
      <c r="H4904" s="19"/>
    </row>
    <row r="4905">
      <c r="A4905" s="9"/>
      <c r="B4905" s="15"/>
      <c r="C4905" s="9">
        <f>IFERROR(__xludf.DUMMYFUNCTION("""COMPUTED_VALUE"""),44554.016685081)</f>
        <v>44554.01669</v>
      </c>
      <c r="D4905" s="15">
        <f>IFERROR(__xludf.DUMMYFUNCTION("""COMPUTED_VALUE"""),1.015)</f>
        <v>1.015</v>
      </c>
      <c r="E4905" s="16">
        <f>IFERROR(__xludf.DUMMYFUNCTION("""COMPUTED_VALUE"""),64.0)</f>
        <v>64</v>
      </c>
      <c r="F4905" s="19" t="str">
        <f>IFERROR(__xludf.DUMMYFUNCTION("""COMPUTED_VALUE"""),"BLACK")</f>
        <v>BLACK</v>
      </c>
      <c r="G4905" s="20" t="str">
        <f>IFERROR(__xludf.DUMMYFUNCTION("""COMPUTED_VALUE"""),"Uncle Sams Cider (11/12/2021) 02")</f>
        <v>Uncle Sams Cider (11/12/2021) 02</v>
      </c>
      <c r="H4905" s="19"/>
    </row>
    <row r="4906">
      <c r="A4906" s="9"/>
      <c r="B4906" s="15"/>
      <c r="C4906" s="9">
        <f>IFERROR(__xludf.DUMMYFUNCTION("""COMPUTED_VALUE"""),44554.0062175115)</f>
        <v>44554.00622</v>
      </c>
      <c r="D4906" s="15">
        <f>IFERROR(__xludf.DUMMYFUNCTION("""COMPUTED_VALUE"""),1.015)</f>
        <v>1.015</v>
      </c>
      <c r="E4906" s="16">
        <f>IFERROR(__xludf.DUMMYFUNCTION("""COMPUTED_VALUE"""),64.0)</f>
        <v>64</v>
      </c>
      <c r="F4906" s="19" t="str">
        <f>IFERROR(__xludf.DUMMYFUNCTION("""COMPUTED_VALUE"""),"BLACK")</f>
        <v>BLACK</v>
      </c>
      <c r="G4906" s="20" t="str">
        <f>IFERROR(__xludf.DUMMYFUNCTION("""COMPUTED_VALUE"""),"Uncle Sams Cider (11/12/2021) 02")</f>
        <v>Uncle Sams Cider (11/12/2021) 02</v>
      </c>
      <c r="H4906" s="19"/>
    </row>
    <row r="4907">
      <c r="A4907" s="9"/>
      <c r="B4907" s="15"/>
      <c r="C4907" s="9">
        <f>IFERROR(__xludf.DUMMYFUNCTION("""COMPUTED_VALUE"""),44553.9957841782)</f>
        <v>44553.99578</v>
      </c>
      <c r="D4907" s="15">
        <f>IFERROR(__xludf.DUMMYFUNCTION("""COMPUTED_VALUE"""),1.015)</f>
        <v>1.015</v>
      </c>
      <c r="E4907" s="16">
        <f>IFERROR(__xludf.DUMMYFUNCTION("""COMPUTED_VALUE"""),64.0)</f>
        <v>64</v>
      </c>
      <c r="F4907" s="19" t="str">
        <f>IFERROR(__xludf.DUMMYFUNCTION("""COMPUTED_VALUE"""),"BLACK")</f>
        <v>BLACK</v>
      </c>
      <c r="G4907" s="20" t="str">
        <f>IFERROR(__xludf.DUMMYFUNCTION("""COMPUTED_VALUE"""),"Uncle Sams Cider (11/12/2021) 02")</f>
        <v>Uncle Sams Cider (11/12/2021) 02</v>
      </c>
      <c r="H4907" s="19"/>
    </row>
    <row r="4908">
      <c r="A4908" s="9"/>
      <c r="B4908" s="15"/>
      <c r="C4908" s="9">
        <f>IFERROR(__xludf.DUMMYFUNCTION("""COMPUTED_VALUE"""),44553.9853638425)</f>
        <v>44553.98536</v>
      </c>
      <c r="D4908" s="15">
        <f>IFERROR(__xludf.DUMMYFUNCTION("""COMPUTED_VALUE"""),1.015)</f>
        <v>1.015</v>
      </c>
      <c r="E4908" s="16">
        <f>IFERROR(__xludf.DUMMYFUNCTION("""COMPUTED_VALUE"""),64.0)</f>
        <v>64</v>
      </c>
      <c r="F4908" s="19" t="str">
        <f>IFERROR(__xludf.DUMMYFUNCTION("""COMPUTED_VALUE"""),"BLACK")</f>
        <v>BLACK</v>
      </c>
      <c r="G4908" s="20" t="str">
        <f>IFERROR(__xludf.DUMMYFUNCTION("""COMPUTED_VALUE"""),"Uncle Sams Cider (11/12/2021) 02")</f>
        <v>Uncle Sams Cider (11/12/2021) 02</v>
      </c>
      <c r="H4908" s="19"/>
    </row>
    <row r="4909">
      <c r="A4909" s="9"/>
      <c r="B4909" s="15"/>
      <c r="C4909" s="9">
        <f>IFERROR(__xludf.DUMMYFUNCTION("""COMPUTED_VALUE"""),44553.9748849074)</f>
        <v>44553.97488</v>
      </c>
      <c r="D4909" s="15">
        <f>IFERROR(__xludf.DUMMYFUNCTION("""COMPUTED_VALUE"""),1.015)</f>
        <v>1.015</v>
      </c>
      <c r="E4909" s="16">
        <f>IFERROR(__xludf.DUMMYFUNCTION("""COMPUTED_VALUE"""),64.0)</f>
        <v>64</v>
      </c>
      <c r="F4909" s="19" t="str">
        <f>IFERROR(__xludf.DUMMYFUNCTION("""COMPUTED_VALUE"""),"BLACK")</f>
        <v>BLACK</v>
      </c>
      <c r="G4909" s="20" t="str">
        <f>IFERROR(__xludf.DUMMYFUNCTION("""COMPUTED_VALUE"""),"Uncle Sams Cider (11/12/2021) 02")</f>
        <v>Uncle Sams Cider (11/12/2021) 02</v>
      </c>
      <c r="H4909" s="19"/>
    </row>
    <row r="4910">
      <c r="A4910" s="9"/>
      <c r="B4910" s="15"/>
      <c r="C4910" s="9">
        <f>IFERROR(__xludf.DUMMYFUNCTION("""COMPUTED_VALUE"""),44553.9644288541)</f>
        <v>44553.96443</v>
      </c>
      <c r="D4910" s="15">
        <f>IFERROR(__xludf.DUMMYFUNCTION("""COMPUTED_VALUE"""),1.015)</f>
        <v>1.015</v>
      </c>
      <c r="E4910" s="16">
        <f>IFERROR(__xludf.DUMMYFUNCTION("""COMPUTED_VALUE"""),64.0)</f>
        <v>64</v>
      </c>
      <c r="F4910" s="19" t="str">
        <f>IFERROR(__xludf.DUMMYFUNCTION("""COMPUTED_VALUE"""),"BLACK")</f>
        <v>BLACK</v>
      </c>
      <c r="G4910" s="20" t="str">
        <f>IFERROR(__xludf.DUMMYFUNCTION("""COMPUTED_VALUE"""),"Uncle Sams Cider (11/12/2021) 02")</f>
        <v>Uncle Sams Cider (11/12/2021) 02</v>
      </c>
      <c r="H4910" s="19"/>
    </row>
    <row r="4911">
      <c r="A4911" s="9"/>
      <c r="B4911" s="15"/>
      <c r="C4911" s="9">
        <f>IFERROR(__xludf.DUMMYFUNCTION("""COMPUTED_VALUE"""),44553.9540080439)</f>
        <v>44553.95401</v>
      </c>
      <c r="D4911" s="15">
        <f>IFERROR(__xludf.DUMMYFUNCTION("""COMPUTED_VALUE"""),1.015)</f>
        <v>1.015</v>
      </c>
      <c r="E4911" s="16">
        <f>IFERROR(__xludf.DUMMYFUNCTION("""COMPUTED_VALUE"""),64.0)</f>
        <v>64</v>
      </c>
      <c r="F4911" s="19" t="str">
        <f>IFERROR(__xludf.DUMMYFUNCTION("""COMPUTED_VALUE"""),"BLACK")</f>
        <v>BLACK</v>
      </c>
      <c r="G4911" s="20" t="str">
        <f>IFERROR(__xludf.DUMMYFUNCTION("""COMPUTED_VALUE"""),"Uncle Sams Cider (11/12/2021) 02")</f>
        <v>Uncle Sams Cider (11/12/2021) 02</v>
      </c>
      <c r="H4911" s="19"/>
    </row>
    <row r="4912">
      <c r="A4912" s="9"/>
      <c r="B4912" s="15"/>
      <c r="C4912" s="9">
        <f>IFERROR(__xludf.DUMMYFUNCTION("""COMPUTED_VALUE"""),44553.9435870833)</f>
        <v>44553.94359</v>
      </c>
      <c r="D4912" s="15">
        <f>IFERROR(__xludf.DUMMYFUNCTION("""COMPUTED_VALUE"""),1.015)</f>
        <v>1.015</v>
      </c>
      <c r="E4912" s="16">
        <f>IFERROR(__xludf.DUMMYFUNCTION("""COMPUTED_VALUE"""),64.0)</f>
        <v>64</v>
      </c>
      <c r="F4912" s="19" t="str">
        <f>IFERROR(__xludf.DUMMYFUNCTION("""COMPUTED_VALUE"""),"BLACK")</f>
        <v>BLACK</v>
      </c>
      <c r="G4912" s="20" t="str">
        <f>IFERROR(__xludf.DUMMYFUNCTION("""COMPUTED_VALUE"""),"Uncle Sams Cider (11/12/2021) 02")</f>
        <v>Uncle Sams Cider (11/12/2021) 02</v>
      </c>
      <c r="H4912" s="19"/>
    </row>
    <row r="4913">
      <c r="A4913" s="9"/>
      <c r="B4913" s="15"/>
      <c r="C4913" s="9">
        <f>IFERROR(__xludf.DUMMYFUNCTION("""COMPUTED_VALUE"""),44553.9331194097)</f>
        <v>44553.93312</v>
      </c>
      <c r="D4913" s="15">
        <f>IFERROR(__xludf.DUMMYFUNCTION("""COMPUTED_VALUE"""),1.015)</f>
        <v>1.015</v>
      </c>
      <c r="E4913" s="16">
        <f>IFERROR(__xludf.DUMMYFUNCTION("""COMPUTED_VALUE"""),64.0)</f>
        <v>64</v>
      </c>
      <c r="F4913" s="19" t="str">
        <f>IFERROR(__xludf.DUMMYFUNCTION("""COMPUTED_VALUE"""),"BLACK")</f>
        <v>BLACK</v>
      </c>
      <c r="G4913" s="20" t="str">
        <f>IFERROR(__xludf.DUMMYFUNCTION("""COMPUTED_VALUE"""),"Uncle Sams Cider (11/12/2021) 02")</f>
        <v>Uncle Sams Cider (11/12/2021) 02</v>
      </c>
      <c r="H4913" s="19"/>
    </row>
    <row r="4914">
      <c r="A4914" s="9"/>
      <c r="B4914" s="15"/>
      <c r="C4914" s="9">
        <f>IFERROR(__xludf.DUMMYFUNCTION("""COMPUTED_VALUE"""),44553.9226989583)</f>
        <v>44553.9227</v>
      </c>
      <c r="D4914" s="15">
        <f>IFERROR(__xludf.DUMMYFUNCTION("""COMPUTED_VALUE"""),1.015)</f>
        <v>1.015</v>
      </c>
      <c r="E4914" s="16">
        <f>IFERROR(__xludf.DUMMYFUNCTION("""COMPUTED_VALUE"""),65.0)</f>
        <v>65</v>
      </c>
      <c r="F4914" s="19" t="str">
        <f>IFERROR(__xludf.DUMMYFUNCTION("""COMPUTED_VALUE"""),"BLACK")</f>
        <v>BLACK</v>
      </c>
      <c r="G4914" s="20" t="str">
        <f>IFERROR(__xludf.DUMMYFUNCTION("""COMPUTED_VALUE"""),"Uncle Sams Cider (11/12/2021) 02")</f>
        <v>Uncle Sams Cider (11/12/2021) 02</v>
      </c>
      <c r="H4914" s="19"/>
    </row>
    <row r="4915">
      <c r="A4915" s="9"/>
      <c r="B4915" s="15"/>
      <c r="C4915" s="9">
        <f>IFERROR(__xludf.DUMMYFUNCTION("""COMPUTED_VALUE"""),44553.9122780324)</f>
        <v>44553.91228</v>
      </c>
      <c r="D4915" s="15">
        <f>IFERROR(__xludf.DUMMYFUNCTION("""COMPUTED_VALUE"""),1.015)</f>
        <v>1.015</v>
      </c>
      <c r="E4915" s="16">
        <f>IFERROR(__xludf.DUMMYFUNCTION("""COMPUTED_VALUE"""),64.0)</f>
        <v>64</v>
      </c>
      <c r="F4915" s="19" t="str">
        <f>IFERROR(__xludf.DUMMYFUNCTION("""COMPUTED_VALUE"""),"BLACK")</f>
        <v>BLACK</v>
      </c>
      <c r="G4915" s="20" t="str">
        <f>IFERROR(__xludf.DUMMYFUNCTION("""COMPUTED_VALUE"""),"Uncle Sams Cider (11/12/2021) 02")</f>
        <v>Uncle Sams Cider (11/12/2021) 02</v>
      </c>
      <c r="H4915" s="19"/>
    </row>
    <row r="4916">
      <c r="A4916" s="9"/>
      <c r="B4916" s="15"/>
      <c r="C4916" s="9">
        <f>IFERROR(__xludf.DUMMYFUNCTION("""COMPUTED_VALUE"""),44553.9018580092)</f>
        <v>44553.90186</v>
      </c>
      <c r="D4916" s="15">
        <f>IFERROR(__xludf.DUMMYFUNCTION("""COMPUTED_VALUE"""),1.015)</f>
        <v>1.015</v>
      </c>
      <c r="E4916" s="16">
        <f>IFERROR(__xludf.DUMMYFUNCTION("""COMPUTED_VALUE"""),64.0)</f>
        <v>64</v>
      </c>
      <c r="F4916" s="19" t="str">
        <f>IFERROR(__xludf.DUMMYFUNCTION("""COMPUTED_VALUE"""),"BLACK")</f>
        <v>BLACK</v>
      </c>
      <c r="G4916" s="20" t="str">
        <f>IFERROR(__xludf.DUMMYFUNCTION("""COMPUTED_VALUE"""),"Uncle Sams Cider (11/12/2021) 02")</f>
        <v>Uncle Sams Cider (11/12/2021) 02</v>
      </c>
      <c r="H4916" s="19"/>
    </row>
    <row r="4917">
      <c r="A4917" s="9"/>
      <c r="B4917" s="15"/>
      <c r="C4917" s="9">
        <f>IFERROR(__xludf.DUMMYFUNCTION("""COMPUTED_VALUE"""),44553.8914255324)</f>
        <v>44553.89143</v>
      </c>
      <c r="D4917" s="15">
        <f>IFERROR(__xludf.DUMMYFUNCTION("""COMPUTED_VALUE"""),1.015)</f>
        <v>1.015</v>
      </c>
      <c r="E4917" s="16">
        <f>IFERROR(__xludf.DUMMYFUNCTION("""COMPUTED_VALUE"""),65.0)</f>
        <v>65</v>
      </c>
      <c r="F4917" s="19" t="str">
        <f>IFERROR(__xludf.DUMMYFUNCTION("""COMPUTED_VALUE"""),"BLACK")</f>
        <v>BLACK</v>
      </c>
      <c r="G4917" s="20" t="str">
        <f>IFERROR(__xludf.DUMMYFUNCTION("""COMPUTED_VALUE"""),"Uncle Sams Cider (11/12/2021) 02")</f>
        <v>Uncle Sams Cider (11/12/2021) 02</v>
      </c>
      <c r="H4917" s="19"/>
    </row>
    <row r="4918">
      <c r="A4918" s="9"/>
      <c r="B4918" s="15"/>
      <c r="C4918" s="9">
        <f>IFERROR(__xludf.DUMMYFUNCTION("""COMPUTED_VALUE"""),44553.8810029629)</f>
        <v>44553.881</v>
      </c>
      <c r="D4918" s="15">
        <f>IFERROR(__xludf.DUMMYFUNCTION("""COMPUTED_VALUE"""),1.015)</f>
        <v>1.015</v>
      </c>
      <c r="E4918" s="16">
        <f>IFERROR(__xludf.DUMMYFUNCTION("""COMPUTED_VALUE"""),65.0)</f>
        <v>65</v>
      </c>
      <c r="F4918" s="19" t="str">
        <f>IFERROR(__xludf.DUMMYFUNCTION("""COMPUTED_VALUE"""),"BLACK")</f>
        <v>BLACK</v>
      </c>
      <c r="G4918" s="20" t="str">
        <f>IFERROR(__xludf.DUMMYFUNCTION("""COMPUTED_VALUE"""),"Uncle Sams Cider (11/12/2021) 02")</f>
        <v>Uncle Sams Cider (11/12/2021) 02</v>
      </c>
      <c r="H4918" s="19"/>
    </row>
    <row r="4919">
      <c r="A4919" s="9"/>
      <c r="B4919" s="15"/>
      <c r="C4919" s="9">
        <f>IFERROR(__xludf.DUMMYFUNCTION("""COMPUTED_VALUE"""),44553.8705841087)</f>
        <v>44553.87058</v>
      </c>
      <c r="D4919" s="15">
        <f>IFERROR(__xludf.DUMMYFUNCTION("""COMPUTED_VALUE"""),1.015)</f>
        <v>1.015</v>
      </c>
      <c r="E4919" s="16">
        <f>IFERROR(__xludf.DUMMYFUNCTION("""COMPUTED_VALUE"""),65.0)</f>
        <v>65</v>
      </c>
      <c r="F4919" s="19" t="str">
        <f>IFERROR(__xludf.DUMMYFUNCTION("""COMPUTED_VALUE"""),"BLACK")</f>
        <v>BLACK</v>
      </c>
      <c r="G4919" s="20" t="str">
        <f>IFERROR(__xludf.DUMMYFUNCTION("""COMPUTED_VALUE"""),"Uncle Sams Cider (11/12/2021) 02")</f>
        <v>Uncle Sams Cider (11/12/2021) 02</v>
      </c>
      <c r="H4919" s="19"/>
    </row>
    <row r="4920">
      <c r="A4920" s="9"/>
      <c r="B4920" s="15"/>
      <c r="C4920" s="9">
        <f>IFERROR(__xludf.DUMMYFUNCTION("""COMPUTED_VALUE"""),44553.8601634953)</f>
        <v>44553.86016</v>
      </c>
      <c r="D4920" s="15">
        <f>IFERROR(__xludf.DUMMYFUNCTION("""COMPUTED_VALUE"""),1.015)</f>
        <v>1.015</v>
      </c>
      <c r="E4920" s="16">
        <f>IFERROR(__xludf.DUMMYFUNCTION("""COMPUTED_VALUE"""),65.0)</f>
        <v>65</v>
      </c>
      <c r="F4920" s="19" t="str">
        <f>IFERROR(__xludf.DUMMYFUNCTION("""COMPUTED_VALUE"""),"BLACK")</f>
        <v>BLACK</v>
      </c>
      <c r="G4920" s="20" t="str">
        <f>IFERROR(__xludf.DUMMYFUNCTION("""COMPUTED_VALUE"""),"Uncle Sams Cider (11/12/2021) 02")</f>
        <v>Uncle Sams Cider (11/12/2021) 02</v>
      </c>
      <c r="H4920" s="19"/>
    </row>
    <row r="4921">
      <c r="A4921" s="9"/>
      <c r="B4921" s="15"/>
      <c r="C4921" s="9">
        <f>IFERROR(__xludf.DUMMYFUNCTION("""COMPUTED_VALUE"""),44553.8497302546)</f>
        <v>44553.84973</v>
      </c>
      <c r="D4921" s="15">
        <f>IFERROR(__xludf.DUMMYFUNCTION("""COMPUTED_VALUE"""),1.015)</f>
        <v>1.015</v>
      </c>
      <c r="E4921" s="16">
        <f>IFERROR(__xludf.DUMMYFUNCTION("""COMPUTED_VALUE"""),65.0)</f>
        <v>65</v>
      </c>
      <c r="F4921" s="19" t="str">
        <f>IFERROR(__xludf.DUMMYFUNCTION("""COMPUTED_VALUE"""),"BLACK")</f>
        <v>BLACK</v>
      </c>
      <c r="G4921" s="20" t="str">
        <f>IFERROR(__xludf.DUMMYFUNCTION("""COMPUTED_VALUE"""),"Uncle Sams Cider (11/12/2021) 02")</f>
        <v>Uncle Sams Cider (11/12/2021) 02</v>
      </c>
      <c r="H4921" s="19"/>
    </row>
    <row r="4922">
      <c r="A4922" s="9"/>
      <c r="B4922" s="15"/>
      <c r="C4922" s="9">
        <f>IFERROR(__xludf.DUMMYFUNCTION("""COMPUTED_VALUE"""),44553.8392614467)</f>
        <v>44553.83926</v>
      </c>
      <c r="D4922" s="15">
        <f>IFERROR(__xludf.DUMMYFUNCTION("""COMPUTED_VALUE"""),1.015)</f>
        <v>1.015</v>
      </c>
      <c r="E4922" s="16">
        <f>IFERROR(__xludf.DUMMYFUNCTION("""COMPUTED_VALUE"""),65.0)</f>
        <v>65</v>
      </c>
      <c r="F4922" s="19" t="str">
        <f>IFERROR(__xludf.DUMMYFUNCTION("""COMPUTED_VALUE"""),"BLACK")</f>
        <v>BLACK</v>
      </c>
      <c r="G4922" s="20" t="str">
        <f>IFERROR(__xludf.DUMMYFUNCTION("""COMPUTED_VALUE"""),"Uncle Sams Cider (11/12/2021) 02")</f>
        <v>Uncle Sams Cider (11/12/2021) 02</v>
      </c>
      <c r="H4922" s="19"/>
    </row>
    <row r="4923">
      <c r="A4923" s="9"/>
      <c r="B4923" s="15"/>
      <c r="C4923" s="9">
        <f>IFERROR(__xludf.DUMMYFUNCTION("""COMPUTED_VALUE"""),44553.8288290972)</f>
        <v>44553.82883</v>
      </c>
      <c r="D4923" s="15">
        <f>IFERROR(__xludf.DUMMYFUNCTION("""COMPUTED_VALUE"""),1.015)</f>
        <v>1.015</v>
      </c>
      <c r="E4923" s="16">
        <f>IFERROR(__xludf.DUMMYFUNCTION("""COMPUTED_VALUE"""),65.0)</f>
        <v>65</v>
      </c>
      <c r="F4923" s="19" t="str">
        <f>IFERROR(__xludf.DUMMYFUNCTION("""COMPUTED_VALUE"""),"BLACK")</f>
        <v>BLACK</v>
      </c>
      <c r="G4923" s="20" t="str">
        <f>IFERROR(__xludf.DUMMYFUNCTION("""COMPUTED_VALUE"""),"Uncle Sams Cider (11/12/2021) 02")</f>
        <v>Uncle Sams Cider (11/12/2021) 02</v>
      </c>
      <c r="H4923" s="19"/>
    </row>
    <row r="4924">
      <c r="A4924" s="9"/>
      <c r="B4924" s="15"/>
      <c r="C4924" s="9">
        <f>IFERROR(__xludf.DUMMYFUNCTION("""COMPUTED_VALUE"""),44553.8183970717)</f>
        <v>44553.8184</v>
      </c>
      <c r="D4924" s="15">
        <f>IFERROR(__xludf.DUMMYFUNCTION("""COMPUTED_VALUE"""),1.015)</f>
        <v>1.015</v>
      </c>
      <c r="E4924" s="16">
        <f>IFERROR(__xludf.DUMMYFUNCTION("""COMPUTED_VALUE"""),65.0)</f>
        <v>65</v>
      </c>
      <c r="F4924" s="19" t="str">
        <f>IFERROR(__xludf.DUMMYFUNCTION("""COMPUTED_VALUE"""),"BLACK")</f>
        <v>BLACK</v>
      </c>
      <c r="G4924" s="20" t="str">
        <f>IFERROR(__xludf.DUMMYFUNCTION("""COMPUTED_VALUE"""),"Uncle Sams Cider (11/12/2021) 02")</f>
        <v>Uncle Sams Cider (11/12/2021) 02</v>
      </c>
      <c r="H4924" s="19"/>
    </row>
    <row r="4925">
      <c r="A4925" s="9"/>
      <c r="B4925" s="15"/>
      <c r="C4925" s="9">
        <f>IFERROR(__xludf.DUMMYFUNCTION("""COMPUTED_VALUE"""),44553.8079639351)</f>
        <v>44553.80796</v>
      </c>
      <c r="D4925" s="15">
        <f>IFERROR(__xludf.DUMMYFUNCTION("""COMPUTED_VALUE"""),1.015)</f>
        <v>1.015</v>
      </c>
      <c r="E4925" s="16">
        <f>IFERROR(__xludf.DUMMYFUNCTION("""COMPUTED_VALUE"""),65.0)</f>
        <v>65</v>
      </c>
      <c r="F4925" s="19" t="str">
        <f>IFERROR(__xludf.DUMMYFUNCTION("""COMPUTED_VALUE"""),"BLACK")</f>
        <v>BLACK</v>
      </c>
      <c r="G4925" s="20" t="str">
        <f>IFERROR(__xludf.DUMMYFUNCTION("""COMPUTED_VALUE"""),"Uncle Sams Cider (11/12/2021) 02")</f>
        <v>Uncle Sams Cider (11/12/2021) 02</v>
      </c>
      <c r="H4925" s="19"/>
    </row>
    <row r="4926">
      <c r="A4926" s="9"/>
      <c r="B4926" s="15"/>
      <c r="C4926" s="9">
        <f>IFERROR(__xludf.DUMMYFUNCTION("""COMPUTED_VALUE"""),44553.7975188888)</f>
        <v>44553.79752</v>
      </c>
      <c r="D4926" s="15">
        <f>IFERROR(__xludf.DUMMYFUNCTION("""COMPUTED_VALUE"""),1.015)</f>
        <v>1.015</v>
      </c>
      <c r="E4926" s="16">
        <f>IFERROR(__xludf.DUMMYFUNCTION("""COMPUTED_VALUE"""),65.0)</f>
        <v>65</v>
      </c>
      <c r="F4926" s="19" t="str">
        <f>IFERROR(__xludf.DUMMYFUNCTION("""COMPUTED_VALUE"""),"BLACK")</f>
        <v>BLACK</v>
      </c>
      <c r="G4926" s="20" t="str">
        <f>IFERROR(__xludf.DUMMYFUNCTION("""COMPUTED_VALUE"""),"Uncle Sams Cider (11/12/2021) 02")</f>
        <v>Uncle Sams Cider (11/12/2021) 02</v>
      </c>
      <c r="H4926" s="19"/>
    </row>
    <row r="4927">
      <c r="A4927" s="9"/>
      <c r="B4927" s="15"/>
      <c r="C4927" s="9">
        <f>IFERROR(__xludf.DUMMYFUNCTION("""COMPUTED_VALUE"""),44553.7870508101)</f>
        <v>44553.78705</v>
      </c>
      <c r="D4927" s="15">
        <f>IFERROR(__xludf.DUMMYFUNCTION("""COMPUTED_VALUE"""),1.015)</f>
        <v>1.015</v>
      </c>
      <c r="E4927" s="16">
        <f>IFERROR(__xludf.DUMMYFUNCTION("""COMPUTED_VALUE"""),65.0)</f>
        <v>65</v>
      </c>
      <c r="F4927" s="19" t="str">
        <f>IFERROR(__xludf.DUMMYFUNCTION("""COMPUTED_VALUE"""),"BLACK")</f>
        <v>BLACK</v>
      </c>
      <c r="G4927" s="20" t="str">
        <f>IFERROR(__xludf.DUMMYFUNCTION("""COMPUTED_VALUE"""),"Uncle Sams Cider (11/12/2021) 02")</f>
        <v>Uncle Sams Cider (11/12/2021) 02</v>
      </c>
      <c r="H4927" s="19"/>
    </row>
    <row r="4928">
      <c r="A4928" s="9"/>
      <c r="B4928" s="15"/>
      <c r="C4928" s="9">
        <f>IFERROR(__xludf.DUMMYFUNCTION("""COMPUTED_VALUE"""),44553.7766181712)</f>
        <v>44553.77662</v>
      </c>
      <c r="D4928" s="15">
        <f>IFERROR(__xludf.DUMMYFUNCTION("""COMPUTED_VALUE"""),1.015)</f>
        <v>1.015</v>
      </c>
      <c r="E4928" s="16">
        <f>IFERROR(__xludf.DUMMYFUNCTION("""COMPUTED_VALUE"""),65.0)</f>
        <v>65</v>
      </c>
      <c r="F4928" s="19" t="str">
        <f>IFERROR(__xludf.DUMMYFUNCTION("""COMPUTED_VALUE"""),"BLACK")</f>
        <v>BLACK</v>
      </c>
      <c r="G4928" s="20" t="str">
        <f>IFERROR(__xludf.DUMMYFUNCTION("""COMPUTED_VALUE"""),"Uncle Sams Cider (11/12/2021) 02")</f>
        <v>Uncle Sams Cider (11/12/2021) 02</v>
      </c>
      <c r="H4928" s="19"/>
    </row>
    <row r="4929">
      <c r="A4929" s="9"/>
      <c r="B4929" s="15"/>
      <c r="C4929" s="9">
        <f>IFERROR(__xludf.DUMMYFUNCTION("""COMPUTED_VALUE"""),44553.7661865856)</f>
        <v>44553.76619</v>
      </c>
      <c r="D4929" s="15">
        <f>IFERROR(__xludf.DUMMYFUNCTION("""COMPUTED_VALUE"""),1.015)</f>
        <v>1.015</v>
      </c>
      <c r="E4929" s="16">
        <f>IFERROR(__xludf.DUMMYFUNCTION("""COMPUTED_VALUE"""),65.0)</f>
        <v>65</v>
      </c>
      <c r="F4929" s="19" t="str">
        <f>IFERROR(__xludf.DUMMYFUNCTION("""COMPUTED_VALUE"""),"BLACK")</f>
        <v>BLACK</v>
      </c>
      <c r="G4929" s="20" t="str">
        <f>IFERROR(__xludf.DUMMYFUNCTION("""COMPUTED_VALUE"""),"Uncle Sams Cider (11/12/2021) 02")</f>
        <v>Uncle Sams Cider (11/12/2021) 02</v>
      </c>
      <c r="H4929" s="19"/>
    </row>
    <row r="4930">
      <c r="A4930" s="9"/>
      <c r="B4930" s="15"/>
      <c r="C4930" s="9">
        <f>IFERROR(__xludf.DUMMYFUNCTION("""COMPUTED_VALUE"""),44553.7557545023)</f>
        <v>44553.75575</v>
      </c>
      <c r="D4930" s="15">
        <f>IFERROR(__xludf.DUMMYFUNCTION("""COMPUTED_VALUE"""),1.015)</f>
        <v>1.015</v>
      </c>
      <c r="E4930" s="16">
        <f>IFERROR(__xludf.DUMMYFUNCTION("""COMPUTED_VALUE"""),65.0)</f>
        <v>65</v>
      </c>
      <c r="F4930" s="19" t="str">
        <f>IFERROR(__xludf.DUMMYFUNCTION("""COMPUTED_VALUE"""),"BLACK")</f>
        <v>BLACK</v>
      </c>
      <c r="G4930" s="20" t="str">
        <f>IFERROR(__xludf.DUMMYFUNCTION("""COMPUTED_VALUE"""),"Uncle Sams Cider (11/12/2021) 02")</f>
        <v>Uncle Sams Cider (11/12/2021) 02</v>
      </c>
      <c r="H4930" s="19"/>
    </row>
    <row r="4931">
      <c r="A4931" s="9"/>
      <c r="B4931" s="15"/>
      <c r="C4931" s="9">
        <f>IFERROR(__xludf.DUMMYFUNCTION("""COMPUTED_VALUE"""),44553.7453346527)</f>
        <v>44553.74533</v>
      </c>
      <c r="D4931" s="15">
        <f>IFERROR(__xludf.DUMMYFUNCTION("""COMPUTED_VALUE"""),1.015)</f>
        <v>1.015</v>
      </c>
      <c r="E4931" s="16">
        <f>IFERROR(__xludf.DUMMYFUNCTION("""COMPUTED_VALUE"""),65.0)</f>
        <v>65</v>
      </c>
      <c r="F4931" s="19" t="str">
        <f>IFERROR(__xludf.DUMMYFUNCTION("""COMPUTED_VALUE"""),"BLACK")</f>
        <v>BLACK</v>
      </c>
      <c r="G4931" s="20" t="str">
        <f>IFERROR(__xludf.DUMMYFUNCTION("""COMPUTED_VALUE"""),"Uncle Sams Cider (11/12/2021) 02")</f>
        <v>Uncle Sams Cider (11/12/2021) 02</v>
      </c>
      <c r="H4931" s="19"/>
    </row>
    <row r="4932">
      <c r="A4932" s="9"/>
      <c r="B4932" s="15"/>
      <c r="C4932" s="9">
        <f>IFERROR(__xludf.DUMMYFUNCTION("""COMPUTED_VALUE"""),44553.7349150231)</f>
        <v>44553.73492</v>
      </c>
      <c r="D4932" s="15">
        <f>IFERROR(__xludf.DUMMYFUNCTION("""COMPUTED_VALUE"""),1.015)</f>
        <v>1.015</v>
      </c>
      <c r="E4932" s="16">
        <f>IFERROR(__xludf.DUMMYFUNCTION("""COMPUTED_VALUE"""),65.0)</f>
        <v>65</v>
      </c>
      <c r="F4932" s="19" t="str">
        <f>IFERROR(__xludf.DUMMYFUNCTION("""COMPUTED_VALUE"""),"BLACK")</f>
        <v>BLACK</v>
      </c>
      <c r="G4932" s="20" t="str">
        <f>IFERROR(__xludf.DUMMYFUNCTION("""COMPUTED_VALUE"""),"Uncle Sams Cider (11/12/2021) 02")</f>
        <v>Uncle Sams Cider (11/12/2021) 02</v>
      </c>
      <c r="H4932" s="19"/>
    </row>
    <row r="4933">
      <c r="A4933" s="9"/>
      <c r="B4933" s="15"/>
      <c r="C4933" s="9">
        <f>IFERROR(__xludf.DUMMYFUNCTION("""COMPUTED_VALUE"""),44553.7244939236)</f>
        <v>44553.72449</v>
      </c>
      <c r="D4933" s="15">
        <f>IFERROR(__xludf.DUMMYFUNCTION("""COMPUTED_VALUE"""),1.015)</f>
        <v>1.015</v>
      </c>
      <c r="E4933" s="16">
        <f>IFERROR(__xludf.DUMMYFUNCTION("""COMPUTED_VALUE"""),65.0)</f>
        <v>65</v>
      </c>
      <c r="F4933" s="19" t="str">
        <f>IFERROR(__xludf.DUMMYFUNCTION("""COMPUTED_VALUE"""),"BLACK")</f>
        <v>BLACK</v>
      </c>
      <c r="G4933" s="20" t="str">
        <f>IFERROR(__xludf.DUMMYFUNCTION("""COMPUTED_VALUE"""),"Uncle Sams Cider (11/12/2021) 02")</f>
        <v>Uncle Sams Cider (11/12/2021) 02</v>
      </c>
      <c r="H4933" s="19"/>
    </row>
    <row r="4934">
      <c r="A4934" s="9"/>
      <c r="B4934" s="15"/>
      <c r="C4934" s="9">
        <f>IFERROR(__xludf.DUMMYFUNCTION("""COMPUTED_VALUE"""),44553.7140382638)</f>
        <v>44553.71404</v>
      </c>
      <c r="D4934" s="15">
        <f>IFERROR(__xludf.DUMMYFUNCTION("""COMPUTED_VALUE"""),1.015)</f>
        <v>1.015</v>
      </c>
      <c r="E4934" s="16">
        <f>IFERROR(__xludf.DUMMYFUNCTION("""COMPUTED_VALUE"""),65.0)</f>
        <v>65</v>
      </c>
      <c r="F4934" s="19" t="str">
        <f>IFERROR(__xludf.DUMMYFUNCTION("""COMPUTED_VALUE"""),"BLACK")</f>
        <v>BLACK</v>
      </c>
      <c r="G4934" s="20" t="str">
        <f>IFERROR(__xludf.DUMMYFUNCTION("""COMPUTED_VALUE"""),"Uncle Sams Cider (11/12/2021) 02")</f>
        <v>Uncle Sams Cider (11/12/2021) 02</v>
      </c>
      <c r="H4934" s="19"/>
    </row>
    <row r="4935">
      <c r="A4935" s="9"/>
      <c r="B4935" s="15"/>
      <c r="C4935" s="9">
        <f>IFERROR(__xludf.DUMMYFUNCTION("""COMPUTED_VALUE"""),44553.7036047685)</f>
        <v>44553.7036</v>
      </c>
      <c r="D4935" s="15">
        <f>IFERROR(__xludf.DUMMYFUNCTION("""COMPUTED_VALUE"""),1.015)</f>
        <v>1.015</v>
      </c>
      <c r="E4935" s="16">
        <f>IFERROR(__xludf.DUMMYFUNCTION("""COMPUTED_VALUE"""),65.0)</f>
        <v>65</v>
      </c>
      <c r="F4935" s="19" t="str">
        <f>IFERROR(__xludf.DUMMYFUNCTION("""COMPUTED_VALUE"""),"BLACK")</f>
        <v>BLACK</v>
      </c>
      <c r="G4935" s="20" t="str">
        <f>IFERROR(__xludf.DUMMYFUNCTION("""COMPUTED_VALUE"""),"Uncle Sams Cider (11/12/2021) 02")</f>
        <v>Uncle Sams Cider (11/12/2021) 02</v>
      </c>
      <c r="H4935" s="19"/>
    </row>
    <row r="4936">
      <c r="A4936" s="9"/>
      <c r="B4936" s="15"/>
      <c r="C4936" s="9">
        <f>IFERROR(__xludf.DUMMYFUNCTION("""COMPUTED_VALUE"""),44553.6931727546)</f>
        <v>44553.69317</v>
      </c>
      <c r="D4936" s="15">
        <f>IFERROR(__xludf.DUMMYFUNCTION("""COMPUTED_VALUE"""),1.015)</f>
        <v>1.015</v>
      </c>
      <c r="E4936" s="16">
        <f>IFERROR(__xludf.DUMMYFUNCTION("""COMPUTED_VALUE"""),65.0)</f>
        <v>65</v>
      </c>
      <c r="F4936" s="19" t="str">
        <f>IFERROR(__xludf.DUMMYFUNCTION("""COMPUTED_VALUE"""),"BLACK")</f>
        <v>BLACK</v>
      </c>
      <c r="G4936" s="20" t="str">
        <f>IFERROR(__xludf.DUMMYFUNCTION("""COMPUTED_VALUE"""),"Uncle Sams Cider (11/12/2021) 02")</f>
        <v>Uncle Sams Cider (11/12/2021) 02</v>
      </c>
      <c r="H4936" s="19"/>
    </row>
    <row r="4937">
      <c r="A4937" s="9"/>
      <c r="B4937" s="15"/>
      <c r="C4937" s="9">
        <f>IFERROR(__xludf.DUMMYFUNCTION("""COMPUTED_VALUE"""),44553.6827418287)</f>
        <v>44553.68274</v>
      </c>
      <c r="D4937" s="15">
        <f>IFERROR(__xludf.DUMMYFUNCTION("""COMPUTED_VALUE"""),1.015)</f>
        <v>1.015</v>
      </c>
      <c r="E4937" s="16">
        <f>IFERROR(__xludf.DUMMYFUNCTION("""COMPUTED_VALUE"""),65.0)</f>
        <v>65</v>
      </c>
      <c r="F4937" s="19" t="str">
        <f>IFERROR(__xludf.DUMMYFUNCTION("""COMPUTED_VALUE"""),"BLACK")</f>
        <v>BLACK</v>
      </c>
      <c r="G4937" s="20" t="str">
        <f>IFERROR(__xludf.DUMMYFUNCTION("""COMPUTED_VALUE"""),"Uncle Sams Cider (11/12/2021) 02")</f>
        <v>Uncle Sams Cider (11/12/2021) 02</v>
      </c>
      <c r="H4937" s="19"/>
    </row>
    <row r="4938">
      <c r="A4938" s="9"/>
      <c r="B4938" s="15"/>
      <c r="C4938" s="9">
        <f>IFERROR(__xludf.DUMMYFUNCTION("""COMPUTED_VALUE"""),44553.6722845254)</f>
        <v>44553.67228</v>
      </c>
      <c r="D4938" s="15">
        <f>IFERROR(__xludf.DUMMYFUNCTION("""COMPUTED_VALUE"""),1.015)</f>
        <v>1.015</v>
      </c>
      <c r="E4938" s="16">
        <f>IFERROR(__xludf.DUMMYFUNCTION("""COMPUTED_VALUE"""),65.0)</f>
        <v>65</v>
      </c>
      <c r="F4938" s="19" t="str">
        <f>IFERROR(__xludf.DUMMYFUNCTION("""COMPUTED_VALUE"""),"BLACK")</f>
        <v>BLACK</v>
      </c>
      <c r="G4938" s="20" t="str">
        <f>IFERROR(__xludf.DUMMYFUNCTION("""COMPUTED_VALUE"""),"Uncle Sams Cider (11/12/2021) 02")</f>
        <v>Uncle Sams Cider (11/12/2021) 02</v>
      </c>
      <c r="H4938" s="19"/>
    </row>
    <row r="4939">
      <c r="A4939" s="9"/>
      <c r="B4939" s="15"/>
      <c r="C4939" s="9">
        <f>IFERROR(__xludf.DUMMYFUNCTION("""COMPUTED_VALUE"""),44553.6618499305)</f>
        <v>44553.66185</v>
      </c>
      <c r="D4939" s="15">
        <f>IFERROR(__xludf.DUMMYFUNCTION("""COMPUTED_VALUE"""),1.015)</f>
        <v>1.015</v>
      </c>
      <c r="E4939" s="16">
        <f>IFERROR(__xludf.DUMMYFUNCTION("""COMPUTED_VALUE"""),65.0)</f>
        <v>65</v>
      </c>
      <c r="F4939" s="19" t="str">
        <f>IFERROR(__xludf.DUMMYFUNCTION("""COMPUTED_VALUE"""),"BLACK")</f>
        <v>BLACK</v>
      </c>
      <c r="G4939" s="20" t="str">
        <f>IFERROR(__xludf.DUMMYFUNCTION("""COMPUTED_VALUE"""),"Uncle Sams Cider (11/12/2021) 02")</f>
        <v>Uncle Sams Cider (11/12/2021) 02</v>
      </c>
      <c r="H4939" s="19"/>
    </row>
    <row r="4940">
      <c r="A4940" s="9"/>
      <c r="B4940" s="15"/>
      <c r="C4940" s="9">
        <f>IFERROR(__xludf.DUMMYFUNCTION("""COMPUTED_VALUE"""),44553.6514284606)</f>
        <v>44553.65143</v>
      </c>
      <c r="D4940" s="15">
        <f>IFERROR(__xludf.DUMMYFUNCTION("""COMPUTED_VALUE"""),1.015)</f>
        <v>1.015</v>
      </c>
      <c r="E4940" s="16">
        <f>IFERROR(__xludf.DUMMYFUNCTION("""COMPUTED_VALUE"""),65.0)</f>
        <v>65</v>
      </c>
      <c r="F4940" s="19" t="str">
        <f>IFERROR(__xludf.DUMMYFUNCTION("""COMPUTED_VALUE"""),"BLACK")</f>
        <v>BLACK</v>
      </c>
      <c r="G4940" s="20" t="str">
        <f>IFERROR(__xludf.DUMMYFUNCTION("""COMPUTED_VALUE"""),"Uncle Sams Cider (11/12/2021) 02")</f>
        <v>Uncle Sams Cider (11/12/2021) 02</v>
      </c>
      <c r="H4940" s="19"/>
    </row>
    <row r="4941">
      <c r="A4941" s="9"/>
      <c r="B4941" s="15"/>
      <c r="C4941" s="9">
        <f>IFERROR(__xludf.DUMMYFUNCTION("""COMPUTED_VALUE"""),44553.6410088425)</f>
        <v>44553.64101</v>
      </c>
      <c r="D4941" s="15">
        <f>IFERROR(__xludf.DUMMYFUNCTION("""COMPUTED_VALUE"""),1.015)</f>
        <v>1.015</v>
      </c>
      <c r="E4941" s="16">
        <f>IFERROR(__xludf.DUMMYFUNCTION("""COMPUTED_VALUE"""),65.0)</f>
        <v>65</v>
      </c>
      <c r="F4941" s="19" t="str">
        <f>IFERROR(__xludf.DUMMYFUNCTION("""COMPUTED_VALUE"""),"BLACK")</f>
        <v>BLACK</v>
      </c>
      <c r="G4941" s="20" t="str">
        <f>IFERROR(__xludf.DUMMYFUNCTION("""COMPUTED_VALUE"""),"Uncle Sams Cider (11/12/2021) 02")</f>
        <v>Uncle Sams Cider (11/12/2021) 02</v>
      </c>
      <c r="H4941" s="19"/>
    </row>
    <row r="4942">
      <c r="A4942" s="9"/>
      <c r="B4942" s="15"/>
      <c r="C4942" s="9">
        <f>IFERROR(__xludf.DUMMYFUNCTION("""COMPUTED_VALUE"""),44553.6305887731)</f>
        <v>44553.63059</v>
      </c>
      <c r="D4942" s="15">
        <f>IFERROR(__xludf.DUMMYFUNCTION("""COMPUTED_VALUE"""),1.015)</f>
        <v>1.015</v>
      </c>
      <c r="E4942" s="16">
        <f>IFERROR(__xludf.DUMMYFUNCTION("""COMPUTED_VALUE"""),65.0)</f>
        <v>65</v>
      </c>
      <c r="F4942" s="19" t="str">
        <f>IFERROR(__xludf.DUMMYFUNCTION("""COMPUTED_VALUE"""),"BLACK")</f>
        <v>BLACK</v>
      </c>
      <c r="G4942" s="20" t="str">
        <f>IFERROR(__xludf.DUMMYFUNCTION("""COMPUTED_VALUE"""),"Uncle Sams Cider (11/12/2021) 02")</f>
        <v>Uncle Sams Cider (11/12/2021) 02</v>
      </c>
      <c r="H4942" s="19"/>
    </row>
    <row r="4943">
      <c r="A4943" s="9"/>
      <c r="B4943" s="15"/>
      <c r="C4943" s="9">
        <f>IFERROR(__xludf.DUMMYFUNCTION("""COMPUTED_VALUE"""),44553.6201666898)</f>
        <v>44553.62017</v>
      </c>
      <c r="D4943" s="15">
        <f>IFERROR(__xludf.DUMMYFUNCTION("""COMPUTED_VALUE"""),1.015)</f>
        <v>1.015</v>
      </c>
      <c r="E4943" s="16">
        <f>IFERROR(__xludf.DUMMYFUNCTION("""COMPUTED_VALUE"""),65.0)</f>
        <v>65</v>
      </c>
      <c r="F4943" s="19" t="str">
        <f>IFERROR(__xludf.DUMMYFUNCTION("""COMPUTED_VALUE"""),"BLACK")</f>
        <v>BLACK</v>
      </c>
      <c r="G4943" s="20" t="str">
        <f>IFERROR(__xludf.DUMMYFUNCTION("""COMPUTED_VALUE"""),"Uncle Sams Cider (11/12/2021) 02")</f>
        <v>Uncle Sams Cider (11/12/2021) 02</v>
      </c>
      <c r="H4943" s="19"/>
    </row>
    <row r="4944">
      <c r="A4944" s="9"/>
      <c r="B4944" s="15"/>
      <c r="C4944" s="9">
        <f>IFERROR(__xludf.DUMMYFUNCTION("""COMPUTED_VALUE"""),44553.6097337731)</f>
        <v>44553.60973</v>
      </c>
      <c r="D4944" s="15">
        <f>IFERROR(__xludf.DUMMYFUNCTION("""COMPUTED_VALUE"""),1.015)</f>
        <v>1.015</v>
      </c>
      <c r="E4944" s="16">
        <f>IFERROR(__xludf.DUMMYFUNCTION("""COMPUTED_VALUE"""),65.0)</f>
        <v>65</v>
      </c>
      <c r="F4944" s="19" t="str">
        <f>IFERROR(__xludf.DUMMYFUNCTION("""COMPUTED_VALUE"""),"BLACK")</f>
        <v>BLACK</v>
      </c>
      <c r="G4944" s="20" t="str">
        <f>IFERROR(__xludf.DUMMYFUNCTION("""COMPUTED_VALUE"""),"Uncle Sams Cider (11/12/2021) 02")</f>
        <v>Uncle Sams Cider (11/12/2021) 02</v>
      </c>
      <c r="H4944" s="19"/>
    </row>
    <row r="4945">
      <c r="A4945" s="9"/>
      <c r="B4945" s="15"/>
      <c r="C4945" s="9">
        <f>IFERROR(__xludf.DUMMYFUNCTION("""COMPUTED_VALUE"""),44553.599313368)</f>
        <v>44553.59931</v>
      </c>
      <c r="D4945" s="15">
        <f>IFERROR(__xludf.DUMMYFUNCTION("""COMPUTED_VALUE"""),1.015)</f>
        <v>1.015</v>
      </c>
      <c r="E4945" s="16">
        <f>IFERROR(__xludf.DUMMYFUNCTION("""COMPUTED_VALUE"""),65.0)</f>
        <v>65</v>
      </c>
      <c r="F4945" s="19" t="str">
        <f>IFERROR(__xludf.DUMMYFUNCTION("""COMPUTED_VALUE"""),"BLACK")</f>
        <v>BLACK</v>
      </c>
      <c r="G4945" s="20" t="str">
        <f>IFERROR(__xludf.DUMMYFUNCTION("""COMPUTED_VALUE"""),"Uncle Sams Cider (11/12/2021) 02")</f>
        <v>Uncle Sams Cider (11/12/2021) 02</v>
      </c>
      <c r="H4945" s="19"/>
    </row>
    <row r="4946">
      <c r="A4946" s="9"/>
      <c r="B4946" s="15"/>
      <c r="C4946" s="9">
        <f>IFERROR(__xludf.DUMMYFUNCTION("""COMPUTED_VALUE"""),44553.5888802199)</f>
        <v>44553.58888</v>
      </c>
      <c r="D4946" s="15">
        <f>IFERROR(__xludf.DUMMYFUNCTION("""COMPUTED_VALUE"""),1.015)</f>
        <v>1.015</v>
      </c>
      <c r="E4946" s="16">
        <f>IFERROR(__xludf.DUMMYFUNCTION("""COMPUTED_VALUE"""),65.0)</f>
        <v>65</v>
      </c>
      <c r="F4946" s="19" t="str">
        <f>IFERROR(__xludf.DUMMYFUNCTION("""COMPUTED_VALUE"""),"BLACK")</f>
        <v>BLACK</v>
      </c>
      <c r="G4946" s="20" t="str">
        <f>IFERROR(__xludf.DUMMYFUNCTION("""COMPUTED_VALUE"""),"Uncle Sams Cider (11/12/2021) 02")</f>
        <v>Uncle Sams Cider (11/12/2021) 02</v>
      </c>
      <c r="H4946" s="19"/>
    </row>
    <row r="4947">
      <c r="A4947" s="9"/>
      <c r="B4947" s="15"/>
      <c r="C4947" s="9">
        <f>IFERROR(__xludf.DUMMYFUNCTION("""COMPUTED_VALUE"""),44553.578447581)</f>
        <v>44553.57845</v>
      </c>
      <c r="D4947" s="15">
        <f>IFERROR(__xludf.DUMMYFUNCTION("""COMPUTED_VALUE"""),1.015)</f>
        <v>1.015</v>
      </c>
      <c r="E4947" s="16">
        <f>IFERROR(__xludf.DUMMYFUNCTION("""COMPUTED_VALUE"""),65.0)</f>
        <v>65</v>
      </c>
      <c r="F4947" s="19" t="str">
        <f>IFERROR(__xludf.DUMMYFUNCTION("""COMPUTED_VALUE"""),"BLACK")</f>
        <v>BLACK</v>
      </c>
      <c r="G4947" s="20" t="str">
        <f>IFERROR(__xludf.DUMMYFUNCTION("""COMPUTED_VALUE"""),"Uncle Sams Cider (11/12/2021) 02")</f>
        <v>Uncle Sams Cider (11/12/2021) 02</v>
      </c>
      <c r="H4947" s="19"/>
    </row>
    <row r="4948">
      <c r="A4948" s="9"/>
      <c r="B4948" s="15"/>
      <c r="C4948" s="9">
        <f>IFERROR(__xludf.DUMMYFUNCTION("""COMPUTED_VALUE"""),44553.5680259953)</f>
        <v>44553.56803</v>
      </c>
      <c r="D4948" s="15">
        <f>IFERROR(__xludf.DUMMYFUNCTION("""COMPUTED_VALUE"""),1.015)</f>
        <v>1.015</v>
      </c>
      <c r="E4948" s="16">
        <f>IFERROR(__xludf.DUMMYFUNCTION("""COMPUTED_VALUE"""),65.0)</f>
        <v>65</v>
      </c>
      <c r="F4948" s="19" t="str">
        <f>IFERROR(__xludf.DUMMYFUNCTION("""COMPUTED_VALUE"""),"BLACK")</f>
        <v>BLACK</v>
      </c>
      <c r="G4948" s="20" t="str">
        <f>IFERROR(__xludf.DUMMYFUNCTION("""COMPUTED_VALUE"""),"Uncle Sams Cider (11/12/2021) 02")</f>
        <v>Uncle Sams Cider (11/12/2021) 02</v>
      </c>
      <c r="H4948" s="19"/>
    </row>
    <row r="4949">
      <c r="A4949" s="9"/>
      <c r="B4949" s="15"/>
      <c r="C4949" s="9">
        <f>IFERROR(__xludf.DUMMYFUNCTION("""COMPUTED_VALUE"""),44553.5576057638)</f>
        <v>44553.55761</v>
      </c>
      <c r="D4949" s="15">
        <f>IFERROR(__xludf.DUMMYFUNCTION("""COMPUTED_VALUE"""),1.015)</f>
        <v>1.015</v>
      </c>
      <c r="E4949" s="16">
        <f>IFERROR(__xludf.DUMMYFUNCTION("""COMPUTED_VALUE"""),65.0)</f>
        <v>65</v>
      </c>
      <c r="F4949" s="19" t="str">
        <f>IFERROR(__xludf.DUMMYFUNCTION("""COMPUTED_VALUE"""),"BLACK")</f>
        <v>BLACK</v>
      </c>
      <c r="G4949" s="20" t="str">
        <f>IFERROR(__xludf.DUMMYFUNCTION("""COMPUTED_VALUE"""),"Uncle Sams Cider (11/12/2021) 02")</f>
        <v>Uncle Sams Cider (11/12/2021) 02</v>
      </c>
      <c r="H4949" s="19"/>
    </row>
    <row r="4950">
      <c r="A4950" s="9"/>
      <c r="B4950" s="15"/>
      <c r="C4950" s="9">
        <f>IFERROR(__xludf.DUMMYFUNCTION("""COMPUTED_VALUE"""),44553.5471843518)</f>
        <v>44553.54718</v>
      </c>
      <c r="D4950" s="15">
        <f>IFERROR(__xludf.DUMMYFUNCTION("""COMPUTED_VALUE"""),1.015)</f>
        <v>1.015</v>
      </c>
      <c r="E4950" s="16">
        <f>IFERROR(__xludf.DUMMYFUNCTION("""COMPUTED_VALUE"""),65.0)</f>
        <v>65</v>
      </c>
      <c r="F4950" s="19" t="str">
        <f>IFERROR(__xludf.DUMMYFUNCTION("""COMPUTED_VALUE"""),"BLACK")</f>
        <v>BLACK</v>
      </c>
      <c r="G4950" s="20" t="str">
        <f>IFERROR(__xludf.DUMMYFUNCTION("""COMPUTED_VALUE"""),"Uncle Sams Cider (11/12/2021) 02")</f>
        <v>Uncle Sams Cider (11/12/2021) 02</v>
      </c>
      <c r="H4950" s="19"/>
    </row>
    <row r="4951">
      <c r="A4951" s="9"/>
      <c r="B4951" s="15"/>
      <c r="C4951" s="9">
        <f>IFERROR(__xludf.DUMMYFUNCTION("""COMPUTED_VALUE"""),44553.5367623379)</f>
        <v>44553.53676</v>
      </c>
      <c r="D4951" s="15">
        <f>IFERROR(__xludf.DUMMYFUNCTION("""COMPUTED_VALUE"""),1.015)</f>
        <v>1.015</v>
      </c>
      <c r="E4951" s="16">
        <f>IFERROR(__xludf.DUMMYFUNCTION("""COMPUTED_VALUE"""),65.0)</f>
        <v>65</v>
      </c>
      <c r="F4951" s="19" t="str">
        <f>IFERROR(__xludf.DUMMYFUNCTION("""COMPUTED_VALUE"""),"BLACK")</f>
        <v>BLACK</v>
      </c>
      <c r="G4951" s="20" t="str">
        <f>IFERROR(__xludf.DUMMYFUNCTION("""COMPUTED_VALUE"""),"Uncle Sams Cider (11/12/2021) 02")</f>
        <v>Uncle Sams Cider (11/12/2021) 02</v>
      </c>
      <c r="H4951" s="19"/>
    </row>
    <row r="4952">
      <c r="A4952" s="9"/>
      <c r="B4952" s="15"/>
      <c r="C4952" s="9">
        <f>IFERROR(__xludf.DUMMYFUNCTION("""COMPUTED_VALUE"""),44553.5263397569)</f>
        <v>44553.52634</v>
      </c>
      <c r="D4952" s="15">
        <f>IFERROR(__xludf.DUMMYFUNCTION("""COMPUTED_VALUE"""),1.015)</f>
        <v>1.015</v>
      </c>
      <c r="E4952" s="16">
        <f>IFERROR(__xludf.DUMMYFUNCTION("""COMPUTED_VALUE"""),65.0)</f>
        <v>65</v>
      </c>
      <c r="F4952" s="19" t="str">
        <f>IFERROR(__xludf.DUMMYFUNCTION("""COMPUTED_VALUE"""),"BLACK")</f>
        <v>BLACK</v>
      </c>
      <c r="G4952" s="20" t="str">
        <f>IFERROR(__xludf.DUMMYFUNCTION("""COMPUTED_VALUE"""),"Uncle Sams Cider (11/12/2021) 02")</f>
        <v>Uncle Sams Cider (11/12/2021) 02</v>
      </c>
      <c r="H4952" s="19"/>
    </row>
    <row r="4953">
      <c r="A4953" s="9"/>
      <c r="B4953" s="15"/>
      <c r="C4953" s="9">
        <f>IFERROR(__xludf.DUMMYFUNCTION("""COMPUTED_VALUE"""),44553.5159176851)</f>
        <v>44553.51592</v>
      </c>
      <c r="D4953" s="15">
        <f>IFERROR(__xludf.DUMMYFUNCTION("""COMPUTED_VALUE"""),1.015)</f>
        <v>1.015</v>
      </c>
      <c r="E4953" s="16">
        <f>IFERROR(__xludf.DUMMYFUNCTION("""COMPUTED_VALUE"""),65.0)</f>
        <v>65</v>
      </c>
      <c r="F4953" s="19" t="str">
        <f>IFERROR(__xludf.DUMMYFUNCTION("""COMPUTED_VALUE"""),"BLACK")</f>
        <v>BLACK</v>
      </c>
      <c r="G4953" s="20" t="str">
        <f>IFERROR(__xludf.DUMMYFUNCTION("""COMPUTED_VALUE"""),"Uncle Sams Cider (11/12/2021) 02")</f>
        <v>Uncle Sams Cider (11/12/2021) 02</v>
      </c>
      <c r="H4953" s="19"/>
    </row>
    <row r="4954">
      <c r="A4954" s="9"/>
      <c r="B4954" s="15"/>
      <c r="C4954" s="9">
        <f>IFERROR(__xludf.DUMMYFUNCTION("""COMPUTED_VALUE"""),44553.5054982407)</f>
        <v>44553.5055</v>
      </c>
      <c r="D4954" s="15">
        <f>IFERROR(__xludf.DUMMYFUNCTION("""COMPUTED_VALUE"""),1.015)</f>
        <v>1.015</v>
      </c>
      <c r="E4954" s="16">
        <f>IFERROR(__xludf.DUMMYFUNCTION("""COMPUTED_VALUE"""),65.0)</f>
        <v>65</v>
      </c>
      <c r="F4954" s="19" t="str">
        <f>IFERROR(__xludf.DUMMYFUNCTION("""COMPUTED_VALUE"""),"BLACK")</f>
        <v>BLACK</v>
      </c>
      <c r="G4954" s="20" t="str">
        <f>IFERROR(__xludf.DUMMYFUNCTION("""COMPUTED_VALUE"""),"Uncle Sams Cider (11/12/2021) 02")</f>
        <v>Uncle Sams Cider (11/12/2021) 02</v>
      </c>
      <c r="H4954" s="19"/>
    </row>
    <row r="4955">
      <c r="A4955" s="9"/>
      <c r="B4955" s="15"/>
      <c r="C4955" s="9">
        <f>IFERROR(__xludf.DUMMYFUNCTION("""COMPUTED_VALUE"""),44553.4950655208)</f>
        <v>44553.49507</v>
      </c>
      <c r="D4955" s="15">
        <f>IFERROR(__xludf.DUMMYFUNCTION("""COMPUTED_VALUE"""),1.015)</f>
        <v>1.015</v>
      </c>
      <c r="E4955" s="16">
        <f>IFERROR(__xludf.DUMMYFUNCTION("""COMPUTED_VALUE"""),65.0)</f>
        <v>65</v>
      </c>
      <c r="F4955" s="19" t="str">
        <f>IFERROR(__xludf.DUMMYFUNCTION("""COMPUTED_VALUE"""),"BLACK")</f>
        <v>BLACK</v>
      </c>
      <c r="G4955" s="20" t="str">
        <f>IFERROR(__xludf.DUMMYFUNCTION("""COMPUTED_VALUE"""),"Uncle Sams Cider (11/12/2021) 02")</f>
        <v>Uncle Sams Cider (11/12/2021) 02</v>
      </c>
      <c r="H4955" s="19"/>
    </row>
    <row r="4956">
      <c r="A4956" s="9"/>
      <c r="B4956" s="15"/>
      <c r="C4956" s="9">
        <f>IFERROR(__xludf.DUMMYFUNCTION("""COMPUTED_VALUE"""),44553.4846435763)</f>
        <v>44553.48464</v>
      </c>
      <c r="D4956" s="15">
        <f>IFERROR(__xludf.DUMMYFUNCTION("""COMPUTED_VALUE"""),1.015)</f>
        <v>1.015</v>
      </c>
      <c r="E4956" s="16">
        <f>IFERROR(__xludf.DUMMYFUNCTION("""COMPUTED_VALUE"""),65.0)</f>
        <v>65</v>
      </c>
      <c r="F4956" s="19" t="str">
        <f>IFERROR(__xludf.DUMMYFUNCTION("""COMPUTED_VALUE"""),"BLACK")</f>
        <v>BLACK</v>
      </c>
      <c r="G4956" s="20" t="str">
        <f>IFERROR(__xludf.DUMMYFUNCTION("""COMPUTED_VALUE"""),"Uncle Sams Cider (11/12/2021) 02")</f>
        <v>Uncle Sams Cider (11/12/2021) 02</v>
      </c>
      <c r="H4956" s="19"/>
    </row>
    <row r="4957">
      <c r="A4957" s="9"/>
      <c r="B4957" s="15"/>
      <c r="C4957" s="9">
        <f>IFERROR(__xludf.DUMMYFUNCTION("""COMPUTED_VALUE"""),44553.4742217476)</f>
        <v>44553.47422</v>
      </c>
      <c r="D4957" s="15">
        <f>IFERROR(__xludf.DUMMYFUNCTION("""COMPUTED_VALUE"""),1.015)</f>
        <v>1.015</v>
      </c>
      <c r="E4957" s="16">
        <f>IFERROR(__xludf.DUMMYFUNCTION("""COMPUTED_VALUE"""),65.0)</f>
        <v>65</v>
      </c>
      <c r="F4957" s="19" t="str">
        <f>IFERROR(__xludf.DUMMYFUNCTION("""COMPUTED_VALUE"""),"BLACK")</f>
        <v>BLACK</v>
      </c>
      <c r="G4957" s="20" t="str">
        <f>IFERROR(__xludf.DUMMYFUNCTION("""COMPUTED_VALUE"""),"Uncle Sams Cider (11/12/2021) 02")</f>
        <v>Uncle Sams Cider (11/12/2021) 02</v>
      </c>
      <c r="H4957" s="19"/>
    </row>
    <row r="4958">
      <c r="A4958" s="9"/>
      <c r="B4958" s="15"/>
      <c r="C4958" s="9">
        <f>IFERROR(__xludf.DUMMYFUNCTION("""COMPUTED_VALUE"""),44553.4637881365)</f>
        <v>44553.46379</v>
      </c>
      <c r="D4958" s="15">
        <f>IFERROR(__xludf.DUMMYFUNCTION("""COMPUTED_VALUE"""),1.015)</f>
        <v>1.015</v>
      </c>
      <c r="E4958" s="16">
        <f>IFERROR(__xludf.DUMMYFUNCTION("""COMPUTED_VALUE"""),65.0)</f>
        <v>65</v>
      </c>
      <c r="F4958" s="19" t="str">
        <f>IFERROR(__xludf.DUMMYFUNCTION("""COMPUTED_VALUE"""),"BLACK")</f>
        <v>BLACK</v>
      </c>
      <c r="G4958" s="20" t="str">
        <f>IFERROR(__xludf.DUMMYFUNCTION("""COMPUTED_VALUE"""),"Uncle Sams Cider (11/12/2021) 02")</f>
        <v>Uncle Sams Cider (11/12/2021) 02</v>
      </c>
      <c r="H4958" s="19"/>
    </row>
    <row r="4959">
      <c r="A4959" s="9"/>
      <c r="B4959" s="15"/>
      <c r="C4959" s="9">
        <f>IFERROR(__xludf.DUMMYFUNCTION("""COMPUTED_VALUE"""),44553.4533545138)</f>
        <v>44553.45335</v>
      </c>
      <c r="D4959" s="15">
        <f>IFERROR(__xludf.DUMMYFUNCTION("""COMPUTED_VALUE"""),1.015)</f>
        <v>1.015</v>
      </c>
      <c r="E4959" s="16">
        <f>IFERROR(__xludf.DUMMYFUNCTION("""COMPUTED_VALUE"""),65.0)</f>
        <v>65</v>
      </c>
      <c r="F4959" s="19" t="str">
        <f>IFERROR(__xludf.DUMMYFUNCTION("""COMPUTED_VALUE"""),"BLACK")</f>
        <v>BLACK</v>
      </c>
      <c r="G4959" s="20" t="str">
        <f>IFERROR(__xludf.DUMMYFUNCTION("""COMPUTED_VALUE"""),"Uncle Sams Cider (11/12/2021) 02")</f>
        <v>Uncle Sams Cider (11/12/2021) 02</v>
      </c>
      <c r="H4959" s="19"/>
    </row>
    <row r="4960">
      <c r="A4960" s="9"/>
      <c r="B4960" s="15"/>
      <c r="C4960" s="9">
        <f>IFERROR(__xludf.DUMMYFUNCTION("""COMPUTED_VALUE"""),44553.4429214351)</f>
        <v>44553.44292</v>
      </c>
      <c r="D4960" s="15">
        <f>IFERROR(__xludf.DUMMYFUNCTION("""COMPUTED_VALUE"""),1.015)</f>
        <v>1.015</v>
      </c>
      <c r="E4960" s="16">
        <f>IFERROR(__xludf.DUMMYFUNCTION("""COMPUTED_VALUE"""),65.0)</f>
        <v>65</v>
      </c>
      <c r="F4960" s="19" t="str">
        <f>IFERROR(__xludf.DUMMYFUNCTION("""COMPUTED_VALUE"""),"BLACK")</f>
        <v>BLACK</v>
      </c>
      <c r="G4960" s="20" t="str">
        <f>IFERROR(__xludf.DUMMYFUNCTION("""COMPUTED_VALUE"""),"Uncle Sams Cider (11/12/2021) 02")</f>
        <v>Uncle Sams Cider (11/12/2021) 02</v>
      </c>
      <c r="H4960" s="19"/>
    </row>
    <row r="4961">
      <c r="A4961" s="9"/>
      <c r="B4961" s="15"/>
      <c r="C4961" s="9">
        <f>IFERROR(__xludf.DUMMYFUNCTION("""COMPUTED_VALUE"""),44553.4324876967)</f>
        <v>44553.43249</v>
      </c>
      <c r="D4961" s="15">
        <f>IFERROR(__xludf.DUMMYFUNCTION("""COMPUTED_VALUE"""),1.015)</f>
        <v>1.015</v>
      </c>
      <c r="E4961" s="16">
        <f>IFERROR(__xludf.DUMMYFUNCTION("""COMPUTED_VALUE"""),65.0)</f>
        <v>65</v>
      </c>
      <c r="F4961" s="19" t="str">
        <f>IFERROR(__xludf.DUMMYFUNCTION("""COMPUTED_VALUE"""),"BLACK")</f>
        <v>BLACK</v>
      </c>
      <c r="G4961" s="20" t="str">
        <f>IFERROR(__xludf.DUMMYFUNCTION("""COMPUTED_VALUE"""),"Uncle Sams Cider (11/12/2021) 02")</f>
        <v>Uncle Sams Cider (11/12/2021) 02</v>
      </c>
      <c r="H4961" s="19"/>
    </row>
    <row r="4962">
      <c r="A4962" s="9"/>
      <c r="B4962" s="15"/>
      <c r="C4962" s="9">
        <f>IFERROR(__xludf.DUMMYFUNCTION("""COMPUTED_VALUE"""),44553.4220529745)</f>
        <v>44553.42205</v>
      </c>
      <c r="D4962" s="15">
        <f>IFERROR(__xludf.DUMMYFUNCTION("""COMPUTED_VALUE"""),1.015)</f>
        <v>1.015</v>
      </c>
      <c r="E4962" s="16">
        <f>IFERROR(__xludf.DUMMYFUNCTION("""COMPUTED_VALUE"""),65.0)</f>
        <v>65</v>
      </c>
      <c r="F4962" s="19" t="str">
        <f>IFERROR(__xludf.DUMMYFUNCTION("""COMPUTED_VALUE"""),"BLACK")</f>
        <v>BLACK</v>
      </c>
      <c r="G4962" s="20" t="str">
        <f>IFERROR(__xludf.DUMMYFUNCTION("""COMPUTED_VALUE"""),"Uncle Sams Cider (11/12/2021) 02")</f>
        <v>Uncle Sams Cider (11/12/2021) 02</v>
      </c>
      <c r="H4962" s="19"/>
    </row>
    <row r="4963">
      <c r="A4963" s="9"/>
      <c r="B4963" s="15"/>
      <c r="C4963" s="9">
        <f>IFERROR(__xludf.DUMMYFUNCTION("""COMPUTED_VALUE"""),44553.4115849884)</f>
        <v>44553.41158</v>
      </c>
      <c r="D4963" s="15">
        <f>IFERROR(__xludf.DUMMYFUNCTION("""COMPUTED_VALUE"""),1.015)</f>
        <v>1.015</v>
      </c>
      <c r="E4963" s="16">
        <f>IFERROR(__xludf.DUMMYFUNCTION("""COMPUTED_VALUE"""),65.0)</f>
        <v>65</v>
      </c>
      <c r="F4963" s="19" t="str">
        <f>IFERROR(__xludf.DUMMYFUNCTION("""COMPUTED_VALUE"""),"BLACK")</f>
        <v>BLACK</v>
      </c>
      <c r="G4963" s="20" t="str">
        <f>IFERROR(__xludf.DUMMYFUNCTION("""COMPUTED_VALUE"""),"Uncle Sams Cider (11/12/2021) 02")</f>
        <v>Uncle Sams Cider (11/12/2021) 02</v>
      </c>
      <c r="H4963" s="19"/>
    </row>
    <row r="4964">
      <c r="A4964" s="9"/>
      <c r="B4964" s="15"/>
      <c r="C4964" s="9">
        <f>IFERROR(__xludf.DUMMYFUNCTION("""COMPUTED_VALUE"""),44553.4011628124)</f>
        <v>44553.40116</v>
      </c>
      <c r="D4964" s="15">
        <f>IFERROR(__xludf.DUMMYFUNCTION("""COMPUTED_VALUE"""),1.015)</f>
        <v>1.015</v>
      </c>
      <c r="E4964" s="16">
        <f>IFERROR(__xludf.DUMMYFUNCTION("""COMPUTED_VALUE"""),65.0)</f>
        <v>65</v>
      </c>
      <c r="F4964" s="19" t="str">
        <f>IFERROR(__xludf.DUMMYFUNCTION("""COMPUTED_VALUE"""),"BLACK")</f>
        <v>BLACK</v>
      </c>
      <c r="G4964" s="20" t="str">
        <f>IFERROR(__xludf.DUMMYFUNCTION("""COMPUTED_VALUE"""),"Uncle Sams Cider (11/12/2021) 02")</f>
        <v>Uncle Sams Cider (11/12/2021) 02</v>
      </c>
      <c r="H4964" s="19"/>
    </row>
    <row r="4965">
      <c r="A4965" s="9"/>
      <c r="B4965" s="15"/>
      <c r="C4965" s="9">
        <f>IFERROR(__xludf.DUMMYFUNCTION("""COMPUTED_VALUE"""),44553.3907428703)</f>
        <v>44553.39074</v>
      </c>
      <c r="D4965" s="15">
        <f>IFERROR(__xludf.DUMMYFUNCTION("""COMPUTED_VALUE"""),1.015)</f>
        <v>1.015</v>
      </c>
      <c r="E4965" s="16">
        <f>IFERROR(__xludf.DUMMYFUNCTION("""COMPUTED_VALUE"""),65.0)</f>
        <v>65</v>
      </c>
      <c r="F4965" s="19" t="str">
        <f>IFERROR(__xludf.DUMMYFUNCTION("""COMPUTED_VALUE"""),"BLACK")</f>
        <v>BLACK</v>
      </c>
      <c r="G4965" s="20" t="str">
        <f>IFERROR(__xludf.DUMMYFUNCTION("""COMPUTED_VALUE"""),"Uncle Sams Cider (11/12/2021) 02")</f>
        <v>Uncle Sams Cider (11/12/2021) 02</v>
      </c>
      <c r="H4965" s="19"/>
    </row>
    <row r="4966">
      <c r="A4966" s="9"/>
      <c r="B4966" s="15"/>
      <c r="C4966" s="9">
        <f>IFERROR(__xludf.DUMMYFUNCTION("""COMPUTED_VALUE"""),44553.3803099884)</f>
        <v>44553.38031</v>
      </c>
      <c r="D4966" s="15">
        <f>IFERROR(__xludf.DUMMYFUNCTION("""COMPUTED_VALUE"""),1.015)</f>
        <v>1.015</v>
      </c>
      <c r="E4966" s="16">
        <f>IFERROR(__xludf.DUMMYFUNCTION("""COMPUTED_VALUE"""),65.0)</f>
        <v>65</v>
      </c>
      <c r="F4966" s="19" t="str">
        <f>IFERROR(__xludf.DUMMYFUNCTION("""COMPUTED_VALUE"""),"BLACK")</f>
        <v>BLACK</v>
      </c>
      <c r="G4966" s="20" t="str">
        <f>IFERROR(__xludf.DUMMYFUNCTION("""COMPUTED_VALUE"""),"Uncle Sams Cider (11/12/2021) 02")</f>
        <v>Uncle Sams Cider (11/12/2021) 02</v>
      </c>
      <c r="H4966" s="19"/>
    </row>
    <row r="4967">
      <c r="A4967" s="9"/>
      <c r="B4967" s="15"/>
      <c r="C4967" s="9">
        <f>IFERROR(__xludf.DUMMYFUNCTION("""COMPUTED_VALUE"""),44553.3698888425)</f>
        <v>44553.36989</v>
      </c>
      <c r="D4967" s="15">
        <f>IFERROR(__xludf.DUMMYFUNCTION("""COMPUTED_VALUE"""),1.015)</f>
        <v>1.015</v>
      </c>
      <c r="E4967" s="16">
        <f>IFERROR(__xludf.DUMMYFUNCTION("""COMPUTED_VALUE"""),65.0)</f>
        <v>65</v>
      </c>
      <c r="F4967" s="19" t="str">
        <f>IFERROR(__xludf.DUMMYFUNCTION("""COMPUTED_VALUE"""),"BLACK")</f>
        <v>BLACK</v>
      </c>
      <c r="G4967" s="20" t="str">
        <f>IFERROR(__xludf.DUMMYFUNCTION("""COMPUTED_VALUE"""),"Uncle Sams Cider (11/12/2021) 02")</f>
        <v>Uncle Sams Cider (11/12/2021) 02</v>
      </c>
      <c r="H4967" s="19"/>
    </row>
    <row r="4968">
      <c r="A4968" s="9"/>
      <c r="B4968" s="15"/>
      <c r="C4968" s="9">
        <f>IFERROR(__xludf.DUMMYFUNCTION("""COMPUTED_VALUE"""),44553.3594675)</f>
        <v>44553.35947</v>
      </c>
      <c r="D4968" s="15">
        <f>IFERROR(__xludf.DUMMYFUNCTION("""COMPUTED_VALUE"""),1.015)</f>
        <v>1.015</v>
      </c>
      <c r="E4968" s="16">
        <f>IFERROR(__xludf.DUMMYFUNCTION("""COMPUTED_VALUE"""),65.0)</f>
        <v>65</v>
      </c>
      <c r="F4968" s="19" t="str">
        <f>IFERROR(__xludf.DUMMYFUNCTION("""COMPUTED_VALUE"""),"BLACK")</f>
        <v>BLACK</v>
      </c>
      <c r="G4968" s="20" t="str">
        <f>IFERROR(__xludf.DUMMYFUNCTION("""COMPUTED_VALUE"""),"Uncle Sams Cider (11/12/2021) 02")</f>
        <v>Uncle Sams Cider (11/12/2021) 02</v>
      </c>
      <c r="H4968" s="19"/>
    </row>
    <row r="4969">
      <c r="A4969" s="9"/>
      <c r="B4969" s="15"/>
      <c r="C4969" s="9">
        <f>IFERROR(__xludf.DUMMYFUNCTION("""COMPUTED_VALUE"""),44553.3490339236)</f>
        <v>44553.34903</v>
      </c>
      <c r="D4969" s="15">
        <f>IFERROR(__xludf.DUMMYFUNCTION("""COMPUTED_VALUE"""),1.015)</f>
        <v>1.015</v>
      </c>
      <c r="E4969" s="16">
        <f>IFERROR(__xludf.DUMMYFUNCTION("""COMPUTED_VALUE"""),66.0)</f>
        <v>66</v>
      </c>
      <c r="F4969" s="19" t="str">
        <f>IFERROR(__xludf.DUMMYFUNCTION("""COMPUTED_VALUE"""),"BLACK")</f>
        <v>BLACK</v>
      </c>
      <c r="G4969" s="20" t="str">
        <f>IFERROR(__xludf.DUMMYFUNCTION("""COMPUTED_VALUE"""),"Uncle Sams Cider (11/12/2021) 02")</f>
        <v>Uncle Sams Cider (11/12/2021) 02</v>
      </c>
      <c r="H4969" s="19"/>
    </row>
    <row r="4970">
      <c r="A4970" s="9"/>
      <c r="B4970" s="15"/>
      <c r="C4970" s="9">
        <f>IFERROR(__xludf.DUMMYFUNCTION("""COMPUTED_VALUE"""),44553.3386014004)</f>
        <v>44553.3386</v>
      </c>
      <c r="D4970" s="15">
        <f>IFERROR(__xludf.DUMMYFUNCTION("""COMPUTED_VALUE"""),1.015)</f>
        <v>1.015</v>
      </c>
      <c r="E4970" s="16">
        <f>IFERROR(__xludf.DUMMYFUNCTION("""COMPUTED_VALUE"""),65.0)</f>
        <v>65</v>
      </c>
      <c r="F4970" s="19" t="str">
        <f>IFERROR(__xludf.DUMMYFUNCTION("""COMPUTED_VALUE"""),"BLACK")</f>
        <v>BLACK</v>
      </c>
      <c r="G4970" s="20" t="str">
        <f>IFERROR(__xludf.DUMMYFUNCTION("""COMPUTED_VALUE"""),"Uncle Sams Cider (11/12/2021) 02")</f>
        <v>Uncle Sams Cider (11/12/2021) 02</v>
      </c>
      <c r="H4970" s="19"/>
    </row>
    <row r="4971">
      <c r="A4971" s="9"/>
      <c r="B4971" s="15"/>
      <c r="C4971" s="9">
        <f>IFERROR(__xludf.DUMMYFUNCTION("""COMPUTED_VALUE"""),44553.3281798032)</f>
        <v>44553.32818</v>
      </c>
      <c r="D4971" s="15">
        <f>IFERROR(__xludf.DUMMYFUNCTION("""COMPUTED_VALUE"""),1.015)</f>
        <v>1.015</v>
      </c>
      <c r="E4971" s="16">
        <f>IFERROR(__xludf.DUMMYFUNCTION("""COMPUTED_VALUE"""),66.0)</f>
        <v>66</v>
      </c>
      <c r="F4971" s="19" t="str">
        <f>IFERROR(__xludf.DUMMYFUNCTION("""COMPUTED_VALUE"""),"BLACK")</f>
        <v>BLACK</v>
      </c>
      <c r="G4971" s="20" t="str">
        <f>IFERROR(__xludf.DUMMYFUNCTION("""COMPUTED_VALUE"""),"Uncle Sams Cider (11/12/2021) 02")</f>
        <v>Uncle Sams Cider (11/12/2021) 02</v>
      </c>
      <c r="H4971" s="19"/>
    </row>
    <row r="4972">
      <c r="A4972" s="9"/>
      <c r="B4972" s="15"/>
      <c r="C4972" s="9">
        <f>IFERROR(__xludf.DUMMYFUNCTION("""COMPUTED_VALUE"""),44553.3177577777)</f>
        <v>44553.31776</v>
      </c>
      <c r="D4972" s="15">
        <f>IFERROR(__xludf.DUMMYFUNCTION("""COMPUTED_VALUE"""),1.015)</f>
        <v>1.015</v>
      </c>
      <c r="E4972" s="16">
        <f>IFERROR(__xludf.DUMMYFUNCTION("""COMPUTED_VALUE"""),66.0)</f>
        <v>66</v>
      </c>
      <c r="F4972" s="19" t="str">
        <f>IFERROR(__xludf.DUMMYFUNCTION("""COMPUTED_VALUE"""),"BLACK")</f>
        <v>BLACK</v>
      </c>
      <c r="G4972" s="20" t="str">
        <f>IFERROR(__xludf.DUMMYFUNCTION("""COMPUTED_VALUE"""),"Uncle Sams Cider (11/12/2021) 02")</f>
        <v>Uncle Sams Cider (11/12/2021) 02</v>
      </c>
      <c r="H4972" s="19"/>
    </row>
    <row r="4973">
      <c r="A4973" s="9"/>
      <c r="B4973" s="15"/>
      <c r="C4973" s="9">
        <f>IFERROR(__xludf.DUMMYFUNCTION("""COMPUTED_VALUE"""),44553.3073250578)</f>
        <v>44553.30733</v>
      </c>
      <c r="D4973" s="15">
        <f>IFERROR(__xludf.DUMMYFUNCTION("""COMPUTED_VALUE"""),1.015)</f>
        <v>1.015</v>
      </c>
      <c r="E4973" s="16">
        <f>IFERROR(__xludf.DUMMYFUNCTION("""COMPUTED_VALUE"""),66.0)</f>
        <v>66</v>
      </c>
      <c r="F4973" s="19" t="str">
        <f>IFERROR(__xludf.DUMMYFUNCTION("""COMPUTED_VALUE"""),"BLACK")</f>
        <v>BLACK</v>
      </c>
      <c r="G4973" s="20" t="str">
        <f>IFERROR(__xludf.DUMMYFUNCTION("""COMPUTED_VALUE"""),"Uncle Sams Cider (11/12/2021) 02")</f>
        <v>Uncle Sams Cider (11/12/2021) 02</v>
      </c>
      <c r="H4973" s="19"/>
    </row>
    <row r="4974">
      <c r="A4974" s="9"/>
      <c r="B4974" s="15"/>
      <c r="C4974" s="9">
        <f>IFERROR(__xludf.DUMMYFUNCTION("""COMPUTED_VALUE"""),44553.2969037963)</f>
        <v>44553.2969</v>
      </c>
      <c r="D4974" s="15">
        <f>IFERROR(__xludf.DUMMYFUNCTION("""COMPUTED_VALUE"""),1.015)</f>
        <v>1.015</v>
      </c>
      <c r="E4974" s="16">
        <f>IFERROR(__xludf.DUMMYFUNCTION("""COMPUTED_VALUE"""),66.0)</f>
        <v>66</v>
      </c>
      <c r="F4974" s="19" t="str">
        <f>IFERROR(__xludf.DUMMYFUNCTION("""COMPUTED_VALUE"""),"BLACK")</f>
        <v>BLACK</v>
      </c>
      <c r="G4974" s="20" t="str">
        <f>IFERROR(__xludf.DUMMYFUNCTION("""COMPUTED_VALUE"""),"Uncle Sams Cider (11/12/2021) 02")</f>
        <v>Uncle Sams Cider (11/12/2021) 02</v>
      </c>
      <c r="H4974" s="19"/>
    </row>
    <row r="4975">
      <c r="A4975" s="9"/>
      <c r="B4975" s="15"/>
      <c r="C4975" s="9">
        <f>IFERROR(__xludf.DUMMYFUNCTION("""COMPUTED_VALUE"""),44553.2864714236)</f>
        <v>44553.28647</v>
      </c>
      <c r="D4975" s="15">
        <f>IFERROR(__xludf.DUMMYFUNCTION("""COMPUTED_VALUE"""),1.015)</f>
        <v>1.015</v>
      </c>
      <c r="E4975" s="16">
        <f>IFERROR(__xludf.DUMMYFUNCTION("""COMPUTED_VALUE"""),66.0)</f>
        <v>66</v>
      </c>
      <c r="F4975" s="19" t="str">
        <f>IFERROR(__xludf.DUMMYFUNCTION("""COMPUTED_VALUE"""),"BLACK")</f>
        <v>BLACK</v>
      </c>
      <c r="G4975" s="20" t="str">
        <f>IFERROR(__xludf.DUMMYFUNCTION("""COMPUTED_VALUE"""),"Uncle Sams Cider (11/12/2021) 02")</f>
        <v>Uncle Sams Cider (11/12/2021) 02</v>
      </c>
      <c r="H4975" s="19"/>
    </row>
    <row r="4976">
      <c r="A4976" s="9"/>
      <c r="B4976" s="15"/>
      <c r="C4976" s="9">
        <f>IFERROR(__xludf.DUMMYFUNCTION("""COMPUTED_VALUE"""),44553.2760403703)</f>
        <v>44553.27604</v>
      </c>
      <c r="D4976" s="15">
        <f>IFERROR(__xludf.DUMMYFUNCTION("""COMPUTED_VALUE"""),1.015)</f>
        <v>1.015</v>
      </c>
      <c r="E4976" s="16">
        <f>IFERROR(__xludf.DUMMYFUNCTION("""COMPUTED_VALUE"""),66.0)</f>
        <v>66</v>
      </c>
      <c r="F4976" s="19" t="str">
        <f>IFERROR(__xludf.DUMMYFUNCTION("""COMPUTED_VALUE"""),"BLACK")</f>
        <v>BLACK</v>
      </c>
      <c r="G4976" s="20" t="str">
        <f>IFERROR(__xludf.DUMMYFUNCTION("""COMPUTED_VALUE"""),"Uncle Sams Cider (11/12/2021) 02")</f>
        <v>Uncle Sams Cider (11/12/2021) 02</v>
      </c>
      <c r="H4976" s="19"/>
    </row>
    <row r="4977">
      <c r="A4977" s="9"/>
      <c r="B4977" s="15"/>
      <c r="C4977" s="9">
        <f>IFERROR(__xludf.DUMMYFUNCTION("""COMPUTED_VALUE"""),44553.265584699)</f>
        <v>44553.26558</v>
      </c>
      <c r="D4977" s="15">
        <f>IFERROR(__xludf.DUMMYFUNCTION("""COMPUTED_VALUE"""),1.015)</f>
        <v>1.015</v>
      </c>
      <c r="E4977" s="16">
        <f>IFERROR(__xludf.DUMMYFUNCTION("""COMPUTED_VALUE"""),66.0)</f>
        <v>66</v>
      </c>
      <c r="F4977" s="19" t="str">
        <f>IFERROR(__xludf.DUMMYFUNCTION("""COMPUTED_VALUE"""),"BLACK")</f>
        <v>BLACK</v>
      </c>
      <c r="G4977" s="20" t="str">
        <f>IFERROR(__xludf.DUMMYFUNCTION("""COMPUTED_VALUE"""),"Uncle Sams Cider (11/12/2021) 02")</f>
        <v>Uncle Sams Cider (11/12/2021) 02</v>
      </c>
      <c r="H4977" s="19"/>
    </row>
    <row r="4978">
      <c r="A4978" s="9"/>
      <c r="B4978" s="15"/>
      <c r="C4978" s="9">
        <f>IFERROR(__xludf.DUMMYFUNCTION("""COMPUTED_VALUE"""),44553.2551645833)</f>
        <v>44553.25516</v>
      </c>
      <c r="D4978" s="15">
        <f>IFERROR(__xludf.DUMMYFUNCTION("""COMPUTED_VALUE"""),1.015)</f>
        <v>1.015</v>
      </c>
      <c r="E4978" s="16">
        <f>IFERROR(__xludf.DUMMYFUNCTION("""COMPUTED_VALUE"""),66.0)</f>
        <v>66</v>
      </c>
      <c r="F4978" s="19" t="str">
        <f>IFERROR(__xludf.DUMMYFUNCTION("""COMPUTED_VALUE"""),"BLACK")</f>
        <v>BLACK</v>
      </c>
      <c r="G4978" s="20" t="str">
        <f>IFERROR(__xludf.DUMMYFUNCTION("""COMPUTED_VALUE"""),"Uncle Sams Cider (11/12/2021) 02")</f>
        <v>Uncle Sams Cider (11/12/2021) 02</v>
      </c>
      <c r="H4978" s="19"/>
    </row>
    <row r="4979">
      <c r="A4979" s="9"/>
      <c r="B4979" s="15"/>
      <c r="C4979" s="9">
        <f>IFERROR(__xludf.DUMMYFUNCTION("""COMPUTED_VALUE"""),44553.2447434953)</f>
        <v>44553.24474</v>
      </c>
      <c r="D4979" s="15">
        <f>IFERROR(__xludf.DUMMYFUNCTION("""COMPUTED_VALUE"""),1.015)</f>
        <v>1.015</v>
      </c>
      <c r="E4979" s="16">
        <f>IFERROR(__xludf.DUMMYFUNCTION("""COMPUTED_VALUE"""),66.0)</f>
        <v>66</v>
      </c>
      <c r="F4979" s="19" t="str">
        <f>IFERROR(__xludf.DUMMYFUNCTION("""COMPUTED_VALUE"""),"BLACK")</f>
        <v>BLACK</v>
      </c>
      <c r="G4979" s="20" t="str">
        <f>IFERROR(__xludf.DUMMYFUNCTION("""COMPUTED_VALUE"""),"Uncle Sams Cider (11/12/2021) 02")</f>
        <v>Uncle Sams Cider (11/12/2021) 02</v>
      </c>
      <c r="H4979" s="19"/>
    </row>
    <row r="4980">
      <c r="A4980" s="9"/>
      <c r="B4980" s="15"/>
      <c r="C4980" s="9">
        <f>IFERROR(__xludf.DUMMYFUNCTION("""COMPUTED_VALUE"""),44553.2343226388)</f>
        <v>44553.23432</v>
      </c>
      <c r="D4980" s="15">
        <f>IFERROR(__xludf.DUMMYFUNCTION("""COMPUTED_VALUE"""),1.015)</f>
        <v>1.015</v>
      </c>
      <c r="E4980" s="16">
        <f>IFERROR(__xludf.DUMMYFUNCTION("""COMPUTED_VALUE"""),66.0)</f>
        <v>66</v>
      </c>
      <c r="F4980" s="19" t="str">
        <f>IFERROR(__xludf.DUMMYFUNCTION("""COMPUTED_VALUE"""),"BLACK")</f>
        <v>BLACK</v>
      </c>
      <c r="G4980" s="20" t="str">
        <f>IFERROR(__xludf.DUMMYFUNCTION("""COMPUTED_VALUE"""),"Uncle Sams Cider (11/12/2021) 02")</f>
        <v>Uncle Sams Cider (11/12/2021) 02</v>
      </c>
      <c r="H4980" s="19"/>
    </row>
    <row r="4981">
      <c r="A4981" s="9"/>
      <c r="B4981" s="15"/>
      <c r="C4981" s="9">
        <f>IFERROR(__xludf.DUMMYFUNCTION("""COMPUTED_VALUE"""),44553.223900706)</f>
        <v>44553.2239</v>
      </c>
      <c r="D4981" s="15">
        <f>IFERROR(__xludf.DUMMYFUNCTION("""COMPUTED_VALUE"""),1.015)</f>
        <v>1.015</v>
      </c>
      <c r="E4981" s="16">
        <f>IFERROR(__xludf.DUMMYFUNCTION("""COMPUTED_VALUE"""),66.0)</f>
        <v>66</v>
      </c>
      <c r="F4981" s="19" t="str">
        <f>IFERROR(__xludf.DUMMYFUNCTION("""COMPUTED_VALUE"""),"BLACK")</f>
        <v>BLACK</v>
      </c>
      <c r="G4981" s="20" t="str">
        <f>IFERROR(__xludf.DUMMYFUNCTION("""COMPUTED_VALUE"""),"Uncle Sams Cider (11/12/2021) 02")</f>
        <v>Uncle Sams Cider (11/12/2021) 02</v>
      </c>
      <c r="H4981" s="19"/>
    </row>
    <row r="4982">
      <c r="A4982" s="9"/>
      <c r="B4982" s="15"/>
      <c r="C4982" s="9">
        <f>IFERROR(__xludf.DUMMYFUNCTION("""COMPUTED_VALUE"""),44553.2134788541)</f>
        <v>44553.21348</v>
      </c>
      <c r="D4982" s="15">
        <f>IFERROR(__xludf.DUMMYFUNCTION("""COMPUTED_VALUE"""),1.015)</f>
        <v>1.015</v>
      </c>
      <c r="E4982" s="16">
        <f>IFERROR(__xludf.DUMMYFUNCTION("""COMPUTED_VALUE"""),66.0)</f>
        <v>66</v>
      </c>
      <c r="F4982" s="19" t="str">
        <f>IFERROR(__xludf.DUMMYFUNCTION("""COMPUTED_VALUE"""),"BLACK")</f>
        <v>BLACK</v>
      </c>
      <c r="G4982" s="20" t="str">
        <f>IFERROR(__xludf.DUMMYFUNCTION("""COMPUTED_VALUE"""),"Uncle Sams Cider (11/12/2021) 02")</f>
        <v>Uncle Sams Cider (11/12/2021) 02</v>
      </c>
      <c r="H4982" s="19"/>
    </row>
    <row r="4983">
      <c r="A4983" s="9"/>
      <c r="B4983" s="15"/>
      <c r="C4983" s="9">
        <f>IFERROR(__xludf.DUMMYFUNCTION("""COMPUTED_VALUE"""),44553.2030466898)</f>
        <v>44553.20305</v>
      </c>
      <c r="D4983" s="15">
        <f>IFERROR(__xludf.DUMMYFUNCTION("""COMPUTED_VALUE"""),1.015)</f>
        <v>1.015</v>
      </c>
      <c r="E4983" s="16">
        <f>IFERROR(__xludf.DUMMYFUNCTION("""COMPUTED_VALUE"""),66.0)</f>
        <v>66</v>
      </c>
      <c r="F4983" s="19" t="str">
        <f>IFERROR(__xludf.DUMMYFUNCTION("""COMPUTED_VALUE"""),"BLACK")</f>
        <v>BLACK</v>
      </c>
      <c r="G4983" s="20" t="str">
        <f>IFERROR(__xludf.DUMMYFUNCTION("""COMPUTED_VALUE"""),"Uncle Sams Cider (11/12/2021) 02")</f>
        <v>Uncle Sams Cider (11/12/2021) 02</v>
      </c>
      <c r="H4983" s="19"/>
    </row>
    <row r="4984">
      <c r="A4984" s="9"/>
      <c r="B4984" s="15"/>
      <c r="C4984" s="9">
        <f>IFERROR(__xludf.DUMMYFUNCTION("""COMPUTED_VALUE"""),44553.192601574)</f>
        <v>44553.1926</v>
      </c>
      <c r="D4984" s="15">
        <f>IFERROR(__xludf.DUMMYFUNCTION("""COMPUTED_VALUE"""),1.015)</f>
        <v>1.015</v>
      </c>
      <c r="E4984" s="16">
        <f>IFERROR(__xludf.DUMMYFUNCTION("""COMPUTED_VALUE"""),66.0)</f>
        <v>66</v>
      </c>
      <c r="F4984" s="19" t="str">
        <f>IFERROR(__xludf.DUMMYFUNCTION("""COMPUTED_VALUE"""),"BLACK")</f>
        <v>BLACK</v>
      </c>
      <c r="G4984" s="20" t="str">
        <f>IFERROR(__xludf.DUMMYFUNCTION("""COMPUTED_VALUE"""),"Uncle Sams Cider (11/12/2021) 02")</f>
        <v>Uncle Sams Cider (11/12/2021) 02</v>
      </c>
      <c r="H4984" s="19"/>
    </row>
    <row r="4985">
      <c r="A4985" s="9"/>
      <c r="B4985" s="15"/>
      <c r="C4985" s="9">
        <f>IFERROR(__xludf.DUMMYFUNCTION("""COMPUTED_VALUE"""),44553.1821809259)</f>
        <v>44553.18218</v>
      </c>
      <c r="D4985" s="15">
        <f>IFERROR(__xludf.DUMMYFUNCTION("""COMPUTED_VALUE"""),1.015)</f>
        <v>1.015</v>
      </c>
      <c r="E4985" s="16">
        <f>IFERROR(__xludf.DUMMYFUNCTION("""COMPUTED_VALUE"""),66.0)</f>
        <v>66</v>
      </c>
      <c r="F4985" s="19" t="str">
        <f>IFERROR(__xludf.DUMMYFUNCTION("""COMPUTED_VALUE"""),"BLACK")</f>
        <v>BLACK</v>
      </c>
      <c r="G4985" s="20" t="str">
        <f>IFERROR(__xludf.DUMMYFUNCTION("""COMPUTED_VALUE"""),"Uncle Sams Cider (11/12/2021) 02")</f>
        <v>Uncle Sams Cider (11/12/2021) 02</v>
      </c>
      <c r="H4985" s="19"/>
    </row>
    <row r="4986">
      <c r="A4986" s="9"/>
      <c r="B4986" s="15"/>
      <c r="C4986" s="9">
        <f>IFERROR(__xludf.DUMMYFUNCTION("""COMPUTED_VALUE"""),44553.1717468981)</f>
        <v>44553.17175</v>
      </c>
      <c r="D4986" s="15">
        <f>IFERROR(__xludf.DUMMYFUNCTION("""COMPUTED_VALUE"""),1.015)</f>
        <v>1.015</v>
      </c>
      <c r="E4986" s="16">
        <f>IFERROR(__xludf.DUMMYFUNCTION("""COMPUTED_VALUE"""),66.0)</f>
        <v>66</v>
      </c>
      <c r="F4986" s="19" t="str">
        <f>IFERROR(__xludf.DUMMYFUNCTION("""COMPUTED_VALUE"""),"BLACK")</f>
        <v>BLACK</v>
      </c>
      <c r="G4986" s="20" t="str">
        <f>IFERROR(__xludf.DUMMYFUNCTION("""COMPUTED_VALUE"""),"Uncle Sams Cider (11/12/2021) 02")</f>
        <v>Uncle Sams Cider (11/12/2021) 02</v>
      </c>
      <c r="H4986" s="19"/>
    </row>
    <row r="4987">
      <c r="A4987" s="9"/>
      <c r="B4987" s="15"/>
      <c r="C4987" s="9">
        <f>IFERROR(__xludf.DUMMYFUNCTION("""COMPUTED_VALUE"""),44553.1613001851)</f>
        <v>44553.1613</v>
      </c>
      <c r="D4987" s="15">
        <f>IFERROR(__xludf.DUMMYFUNCTION("""COMPUTED_VALUE"""),1.015)</f>
        <v>1.015</v>
      </c>
      <c r="E4987" s="16">
        <f>IFERROR(__xludf.DUMMYFUNCTION("""COMPUTED_VALUE"""),66.0)</f>
        <v>66</v>
      </c>
      <c r="F4987" s="19" t="str">
        <f>IFERROR(__xludf.DUMMYFUNCTION("""COMPUTED_VALUE"""),"BLACK")</f>
        <v>BLACK</v>
      </c>
      <c r="G4987" s="20" t="str">
        <f>IFERROR(__xludf.DUMMYFUNCTION("""COMPUTED_VALUE"""),"Uncle Sams Cider (11/12/2021) 02")</f>
        <v>Uncle Sams Cider (11/12/2021) 02</v>
      </c>
      <c r="H4987" s="19"/>
    </row>
    <row r="4988">
      <c r="A4988" s="9"/>
      <c r="B4988" s="15"/>
      <c r="C4988" s="9">
        <f>IFERROR(__xludf.DUMMYFUNCTION("""COMPUTED_VALUE"""),44553.1508787615)</f>
        <v>44553.15088</v>
      </c>
      <c r="D4988" s="15">
        <f>IFERROR(__xludf.DUMMYFUNCTION("""COMPUTED_VALUE"""),1.015)</f>
        <v>1.015</v>
      </c>
      <c r="E4988" s="16">
        <f>IFERROR(__xludf.DUMMYFUNCTION("""COMPUTED_VALUE"""),66.0)</f>
        <v>66</v>
      </c>
      <c r="F4988" s="19" t="str">
        <f>IFERROR(__xludf.DUMMYFUNCTION("""COMPUTED_VALUE"""),"BLACK")</f>
        <v>BLACK</v>
      </c>
      <c r="G4988" s="20" t="str">
        <f>IFERROR(__xludf.DUMMYFUNCTION("""COMPUTED_VALUE"""),"Uncle Sams Cider (11/12/2021) 02")</f>
        <v>Uncle Sams Cider (11/12/2021) 02</v>
      </c>
      <c r="H4988" s="19"/>
    </row>
    <row r="4989">
      <c r="A4989" s="9"/>
      <c r="B4989" s="15"/>
      <c r="C4989" s="9">
        <f>IFERROR(__xludf.DUMMYFUNCTION("""COMPUTED_VALUE"""),44553.1404589236)</f>
        <v>44553.14046</v>
      </c>
      <c r="D4989" s="15">
        <f>IFERROR(__xludf.DUMMYFUNCTION("""COMPUTED_VALUE"""),1.015)</f>
        <v>1.015</v>
      </c>
      <c r="E4989" s="16">
        <f>IFERROR(__xludf.DUMMYFUNCTION("""COMPUTED_VALUE"""),66.0)</f>
        <v>66</v>
      </c>
      <c r="F4989" s="19" t="str">
        <f>IFERROR(__xludf.DUMMYFUNCTION("""COMPUTED_VALUE"""),"BLACK")</f>
        <v>BLACK</v>
      </c>
      <c r="G4989" s="20" t="str">
        <f>IFERROR(__xludf.DUMMYFUNCTION("""COMPUTED_VALUE"""),"Uncle Sams Cider (11/12/2021) 02")</f>
        <v>Uncle Sams Cider (11/12/2021) 02</v>
      </c>
      <c r="H4989" s="19"/>
    </row>
    <row r="4990">
      <c r="A4990" s="9"/>
      <c r="B4990" s="15"/>
      <c r="C4990" s="9">
        <f>IFERROR(__xludf.DUMMYFUNCTION("""COMPUTED_VALUE"""),44553.1300405671)</f>
        <v>44553.13004</v>
      </c>
      <c r="D4990" s="15">
        <f>IFERROR(__xludf.DUMMYFUNCTION("""COMPUTED_VALUE"""),1.015)</f>
        <v>1.015</v>
      </c>
      <c r="E4990" s="16">
        <f>IFERROR(__xludf.DUMMYFUNCTION("""COMPUTED_VALUE"""),66.0)</f>
        <v>66</v>
      </c>
      <c r="F4990" s="19" t="str">
        <f>IFERROR(__xludf.DUMMYFUNCTION("""COMPUTED_VALUE"""),"BLACK")</f>
        <v>BLACK</v>
      </c>
      <c r="G4990" s="20" t="str">
        <f>IFERROR(__xludf.DUMMYFUNCTION("""COMPUTED_VALUE"""),"Uncle Sams Cider (11/12/2021) 02")</f>
        <v>Uncle Sams Cider (11/12/2021) 02</v>
      </c>
      <c r="H4990" s="19"/>
    </row>
    <row r="4991">
      <c r="A4991" s="9"/>
      <c r="B4991" s="15"/>
      <c r="C4991" s="9">
        <f>IFERROR(__xludf.DUMMYFUNCTION("""COMPUTED_VALUE"""),44553.1195611111)</f>
        <v>44553.11956</v>
      </c>
      <c r="D4991" s="15">
        <f>IFERROR(__xludf.DUMMYFUNCTION("""COMPUTED_VALUE"""),1.015)</f>
        <v>1.015</v>
      </c>
      <c r="E4991" s="16">
        <f>IFERROR(__xludf.DUMMYFUNCTION("""COMPUTED_VALUE"""),66.0)</f>
        <v>66</v>
      </c>
      <c r="F4991" s="19" t="str">
        <f>IFERROR(__xludf.DUMMYFUNCTION("""COMPUTED_VALUE"""),"BLACK")</f>
        <v>BLACK</v>
      </c>
      <c r="G4991" s="20" t="str">
        <f>IFERROR(__xludf.DUMMYFUNCTION("""COMPUTED_VALUE"""),"Uncle Sams Cider (11/12/2021) 02")</f>
        <v>Uncle Sams Cider (11/12/2021) 02</v>
      </c>
      <c r="H4991" s="19"/>
    </row>
    <row r="4992">
      <c r="A4992" s="9"/>
      <c r="B4992" s="15"/>
      <c r="C4992" s="9">
        <f>IFERROR(__xludf.DUMMYFUNCTION("""COMPUTED_VALUE"""),44553.1091401851)</f>
        <v>44553.10914</v>
      </c>
      <c r="D4992" s="15">
        <f>IFERROR(__xludf.DUMMYFUNCTION("""COMPUTED_VALUE"""),1.015)</f>
        <v>1.015</v>
      </c>
      <c r="E4992" s="16">
        <f>IFERROR(__xludf.DUMMYFUNCTION("""COMPUTED_VALUE"""),66.0)</f>
        <v>66</v>
      </c>
      <c r="F4992" s="19" t="str">
        <f>IFERROR(__xludf.DUMMYFUNCTION("""COMPUTED_VALUE"""),"BLACK")</f>
        <v>BLACK</v>
      </c>
      <c r="G4992" s="20" t="str">
        <f>IFERROR(__xludf.DUMMYFUNCTION("""COMPUTED_VALUE"""),"Uncle Sams Cider (11/12/2021) 02")</f>
        <v>Uncle Sams Cider (11/12/2021) 02</v>
      </c>
      <c r="H4992" s="19"/>
    </row>
    <row r="4993">
      <c r="A4993" s="9"/>
      <c r="B4993" s="15"/>
      <c r="C4993" s="9">
        <f>IFERROR(__xludf.DUMMYFUNCTION("""COMPUTED_VALUE"""),44553.0987093865)</f>
        <v>44553.09871</v>
      </c>
      <c r="D4993" s="15">
        <f>IFERROR(__xludf.DUMMYFUNCTION("""COMPUTED_VALUE"""),1.015)</f>
        <v>1.015</v>
      </c>
      <c r="E4993" s="16">
        <f>IFERROR(__xludf.DUMMYFUNCTION("""COMPUTED_VALUE"""),66.0)</f>
        <v>66</v>
      </c>
      <c r="F4993" s="19" t="str">
        <f>IFERROR(__xludf.DUMMYFUNCTION("""COMPUTED_VALUE"""),"BLACK")</f>
        <v>BLACK</v>
      </c>
      <c r="G4993" s="20" t="str">
        <f>IFERROR(__xludf.DUMMYFUNCTION("""COMPUTED_VALUE"""),"Uncle Sams Cider (11/12/2021) 02")</f>
        <v>Uncle Sams Cider (11/12/2021) 02</v>
      </c>
      <c r="H4993" s="19"/>
    </row>
    <row r="4994">
      <c r="A4994" s="9"/>
      <c r="B4994" s="15"/>
      <c r="C4994" s="9">
        <f>IFERROR(__xludf.DUMMYFUNCTION("""COMPUTED_VALUE"""),44553.0882892361)</f>
        <v>44553.08829</v>
      </c>
      <c r="D4994" s="15">
        <f>IFERROR(__xludf.DUMMYFUNCTION("""COMPUTED_VALUE"""),1.015)</f>
        <v>1.015</v>
      </c>
      <c r="E4994" s="16">
        <f>IFERROR(__xludf.DUMMYFUNCTION("""COMPUTED_VALUE"""),66.0)</f>
        <v>66</v>
      </c>
      <c r="F4994" s="19" t="str">
        <f>IFERROR(__xludf.DUMMYFUNCTION("""COMPUTED_VALUE"""),"BLACK")</f>
        <v>BLACK</v>
      </c>
      <c r="G4994" s="20" t="str">
        <f>IFERROR(__xludf.DUMMYFUNCTION("""COMPUTED_VALUE"""),"Uncle Sams Cider (11/12/2021) 02")</f>
        <v>Uncle Sams Cider (11/12/2021) 02</v>
      </c>
      <c r="H4994" s="19"/>
    </row>
    <row r="4995">
      <c r="A4995" s="9"/>
      <c r="B4995" s="15"/>
      <c r="C4995" s="9">
        <f>IFERROR(__xludf.DUMMYFUNCTION("""COMPUTED_VALUE"""),44553.0778567939)</f>
        <v>44553.07786</v>
      </c>
      <c r="D4995" s="15">
        <f>IFERROR(__xludf.DUMMYFUNCTION("""COMPUTED_VALUE"""),1.015)</f>
        <v>1.015</v>
      </c>
      <c r="E4995" s="16">
        <f>IFERROR(__xludf.DUMMYFUNCTION("""COMPUTED_VALUE"""),66.0)</f>
        <v>66</v>
      </c>
      <c r="F4995" s="19" t="str">
        <f>IFERROR(__xludf.DUMMYFUNCTION("""COMPUTED_VALUE"""),"BLACK")</f>
        <v>BLACK</v>
      </c>
      <c r="G4995" s="20" t="str">
        <f>IFERROR(__xludf.DUMMYFUNCTION("""COMPUTED_VALUE"""),"Uncle Sams Cider (11/12/2021) 02")</f>
        <v>Uncle Sams Cider (11/12/2021) 02</v>
      </c>
      <c r="H4995" s="19"/>
    </row>
    <row r="4996">
      <c r="A4996" s="9"/>
      <c r="B4996" s="15"/>
      <c r="C4996" s="9">
        <f>IFERROR(__xludf.DUMMYFUNCTION("""COMPUTED_VALUE"""),44553.0674342939)</f>
        <v>44553.06743</v>
      </c>
      <c r="D4996" s="15">
        <f>IFERROR(__xludf.DUMMYFUNCTION("""COMPUTED_VALUE"""),1.015)</f>
        <v>1.015</v>
      </c>
      <c r="E4996" s="16">
        <f>IFERROR(__xludf.DUMMYFUNCTION("""COMPUTED_VALUE"""),66.0)</f>
        <v>66</v>
      </c>
      <c r="F4996" s="19" t="str">
        <f>IFERROR(__xludf.DUMMYFUNCTION("""COMPUTED_VALUE"""),"BLACK")</f>
        <v>BLACK</v>
      </c>
      <c r="G4996" s="20" t="str">
        <f>IFERROR(__xludf.DUMMYFUNCTION("""COMPUTED_VALUE"""),"Uncle Sams Cider (11/12/2021) 02")</f>
        <v>Uncle Sams Cider (11/12/2021) 02</v>
      </c>
      <c r="H4996" s="19"/>
    </row>
    <row r="4997">
      <c r="A4997" s="9"/>
      <c r="B4997" s="15"/>
      <c r="C4997" s="9">
        <f>IFERROR(__xludf.DUMMYFUNCTION("""COMPUTED_VALUE"""),44553.0570008796)</f>
        <v>44553.057</v>
      </c>
      <c r="D4997" s="15">
        <f>IFERROR(__xludf.DUMMYFUNCTION("""COMPUTED_VALUE"""),1.015)</f>
        <v>1.015</v>
      </c>
      <c r="E4997" s="16">
        <f>IFERROR(__xludf.DUMMYFUNCTION("""COMPUTED_VALUE"""),66.0)</f>
        <v>66</v>
      </c>
      <c r="F4997" s="19" t="str">
        <f>IFERROR(__xludf.DUMMYFUNCTION("""COMPUTED_VALUE"""),"BLACK")</f>
        <v>BLACK</v>
      </c>
      <c r="G4997" s="20" t="str">
        <f>IFERROR(__xludf.DUMMYFUNCTION("""COMPUTED_VALUE"""),"Uncle Sams Cider (11/12/2021) 02")</f>
        <v>Uncle Sams Cider (11/12/2021) 02</v>
      </c>
      <c r="H4997" s="19"/>
    </row>
    <row r="4998">
      <c r="A4998" s="9"/>
      <c r="B4998" s="15"/>
      <c r="C4998" s="9">
        <f>IFERROR(__xludf.DUMMYFUNCTION("""COMPUTED_VALUE"""),44553.0465788194)</f>
        <v>44553.04658</v>
      </c>
      <c r="D4998" s="15">
        <f>IFERROR(__xludf.DUMMYFUNCTION("""COMPUTED_VALUE"""),1.015)</f>
        <v>1.015</v>
      </c>
      <c r="E4998" s="16">
        <f>IFERROR(__xludf.DUMMYFUNCTION("""COMPUTED_VALUE"""),66.0)</f>
        <v>66</v>
      </c>
      <c r="F4998" s="19" t="str">
        <f>IFERROR(__xludf.DUMMYFUNCTION("""COMPUTED_VALUE"""),"BLACK")</f>
        <v>BLACK</v>
      </c>
      <c r="G4998" s="20" t="str">
        <f>IFERROR(__xludf.DUMMYFUNCTION("""COMPUTED_VALUE"""),"Uncle Sams Cider (11/12/2021) 02")</f>
        <v>Uncle Sams Cider (11/12/2021) 02</v>
      </c>
      <c r="H4998" s="19"/>
    </row>
    <row r="4999">
      <c r="A4999" s="9"/>
      <c r="B4999" s="15"/>
      <c r="C4999" s="9">
        <f>IFERROR(__xludf.DUMMYFUNCTION("""COMPUTED_VALUE"""),44553.0361470486)</f>
        <v>44553.03615</v>
      </c>
      <c r="D4999" s="15">
        <f>IFERROR(__xludf.DUMMYFUNCTION("""COMPUTED_VALUE"""),1.015)</f>
        <v>1.015</v>
      </c>
      <c r="E4999" s="16">
        <f>IFERROR(__xludf.DUMMYFUNCTION("""COMPUTED_VALUE"""),66.0)</f>
        <v>66</v>
      </c>
      <c r="F4999" s="19" t="str">
        <f>IFERROR(__xludf.DUMMYFUNCTION("""COMPUTED_VALUE"""),"BLACK")</f>
        <v>BLACK</v>
      </c>
      <c r="G4999" s="20" t="str">
        <f>IFERROR(__xludf.DUMMYFUNCTION("""COMPUTED_VALUE"""),"Uncle Sams Cider (11/12/2021) 02")</f>
        <v>Uncle Sams Cider (11/12/2021) 02</v>
      </c>
      <c r="H4999" s="19"/>
    </row>
    <row r="5000">
      <c r="A5000" s="9"/>
      <c r="B5000" s="15"/>
      <c r="C5000" s="9">
        <f>IFERROR(__xludf.DUMMYFUNCTION("""COMPUTED_VALUE"""),44553.0257245601)</f>
        <v>44553.02572</v>
      </c>
      <c r="D5000" s="15">
        <f>IFERROR(__xludf.DUMMYFUNCTION("""COMPUTED_VALUE"""),1.015)</f>
        <v>1.015</v>
      </c>
      <c r="E5000" s="16">
        <f>IFERROR(__xludf.DUMMYFUNCTION("""COMPUTED_VALUE"""),66.0)</f>
        <v>66</v>
      </c>
      <c r="F5000" s="19" t="str">
        <f>IFERROR(__xludf.DUMMYFUNCTION("""COMPUTED_VALUE"""),"BLACK")</f>
        <v>BLACK</v>
      </c>
      <c r="G5000" s="20" t="str">
        <f>IFERROR(__xludf.DUMMYFUNCTION("""COMPUTED_VALUE"""),"Uncle Sams Cider (11/12/2021) 02")</f>
        <v>Uncle Sams Cider (11/12/2021) 02</v>
      </c>
      <c r="H5000" s="19"/>
    </row>
    <row r="5001">
      <c r="A5001" s="9"/>
      <c r="B5001" s="15"/>
      <c r="C5001" s="9">
        <f>IFERROR(__xludf.DUMMYFUNCTION("""COMPUTED_VALUE"""),44553.0153033449)</f>
        <v>44553.0153</v>
      </c>
      <c r="D5001" s="15">
        <f>IFERROR(__xludf.DUMMYFUNCTION("""COMPUTED_VALUE"""),1.015)</f>
        <v>1.015</v>
      </c>
      <c r="E5001" s="16">
        <f>IFERROR(__xludf.DUMMYFUNCTION("""COMPUTED_VALUE"""),66.0)</f>
        <v>66</v>
      </c>
      <c r="F5001" s="19" t="str">
        <f>IFERROR(__xludf.DUMMYFUNCTION("""COMPUTED_VALUE"""),"BLACK")</f>
        <v>BLACK</v>
      </c>
      <c r="G5001" s="20" t="str">
        <f>IFERROR(__xludf.DUMMYFUNCTION("""COMPUTED_VALUE"""),"Uncle Sams Cider (11/12/2021) 02")</f>
        <v>Uncle Sams Cider (11/12/2021) 02</v>
      </c>
      <c r="H5001" s="19"/>
    </row>
    <row r="5002">
      <c r="A5002" s="9"/>
      <c r="B5002" s="15"/>
      <c r="C5002" s="9">
        <f>IFERROR(__xludf.DUMMYFUNCTION("""COMPUTED_VALUE"""),44553.0048829166)</f>
        <v>44553.00488</v>
      </c>
      <c r="D5002" s="15">
        <f>IFERROR(__xludf.DUMMYFUNCTION("""COMPUTED_VALUE"""),1.015)</f>
        <v>1.015</v>
      </c>
      <c r="E5002" s="16">
        <f>IFERROR(__xludf.DUMMYFUNCTION("""COMPUTED_VALUE"""),66.0)</f>
        <v>66</v>
      </c>
      <c r="F5002" s="19" t="str">
        <f>IFERROR(__xludf.DUMMYFUNCTION("""COMPUTED_VALUE"""),"BLACK")</f>
        <v>BLACK</v>
      </c>
      <c r="G5002" s="20" t="str">
        <f>IFERROR(__xludf.DUMMYFUNCTION("""COMPUTED_VALUE"""),"Uncle Sams Cider (11/12/2021) 02")</f>
        <v>Uncle Sams Cider (11/12/2021) 02</v>
      </c>
      <c r="H5002" s="19"/>
    </row>
    <row r="5003">
      <c r="A5003" s="9"/>
      <c r="B5003" s="15"/>
      <c r="C5003" s="9">
        <f>IFERROR(__xludf.DUMMYFUNCTION("""COMPUTED_VALUE"""),44552.9944593981)</f>
        <v>44552.99446</v>
      </c>
      <c r="D5003" s="15">
        <f>IFERROR(__xludf.DUMMYFUNCTION("""COMPUTED_VALUE"""),1.015)</f>
        <v>1.015</v>
      </c>
      <c r="E5003" s="16">
        <f>IFERROR(__xludf.DUMMYFUNCTION("""COMPUTED_VALUE"""),66.0)</f>
        <v>66</v>
      </c>
      <c r="F5003" s="19" t="str">
        <f>IFERROR(__xludf.DUMMYFUNCTION("""COMPUTED_VALUE"""),"BLACK")</f>
        <v>BLACK</v>
      </c>
      <c r="G5003" s="20" t="str">
        <f>IFERROR(__xludf.DUMMYFUNCTION("""COMPUTED_VALUE"""),"Uncle Sams Cider (11/12/2021) 02")</f>
        <v>Uncle Sams Cider (11/12/2021) 02</v>
      </c>
      <c r="H5003" s="19"/>
    </row>
    <row r="5004">
      <c r="A5004" s="9"/>
      <c r="B5004" s="15"/>
      <c r="C5004" s="9">
        <f>IFERROR(__xludf.DUMMYFUNCTION("""COMPUTED_VALUE"""),44552.9839926504)</f>
        <v>44552.98399</v>
      </c>
      <c r="D5004" s="15">
        <f>IFERROR(__xludf.DUMMYFUNCTION("""COMPUTED_VALUE"""),1.015)</f>
        <v>1.015</v>
      </c>
      <c r="E5004" s="16">
        <f>IFERROR(__xludf.DUMMYFUNCTION("""COMPUTED_VALUE"""),66.0)</f>
        <v>66</v>
      </c>
      <c r="F5004" s="19" t="str">
        <f>IFERROR(__xludf.DUMMYFUNCTION("""COMPUTED_VALUE"""),"BLACK")</f>
        <v>BLACK</v>
      </c>
      <c r="G5004" s="20" t="str">
        <f>IFERROR(__xludf.DUMMYFUNCTION("""COMPUTED_VALUE"""),"Uncle Sams Cider (11/12/2021) 02")</f>
        <v>Uncle Sams Cider (11/12/2021) 02</v>
      </c>
      <c r="H5004" s="19"/>
    </row>
    <row r="5005">
      <c r="A5005" s="9"/>
      <c r="B5005" s="15"/>
      <c r="C5005" s="9">
        <f>IFERROR(__xludf.DUMMYFUNCTION("""COMPUTED_VALUE"""),44552.9735481018)</f>
        <v>44552.97355</v>
      </c>
      <c r="D5005" s="15">
        <f>IFERROR(__xludf.DUMMYFUNCTION("""COMPUTED_VALUE"""),1.015)</f>
        <v>1.015</v>
      </c>
      <c r="E5005" s="16">
        <f>IFERROR(__xludf.DUMMYFUNCTION("""COMPUTED_VALUE"""),66.0)</f>
        <v>66</v>
      </c>
      <c r="F5005" s="19" t="str">
        <f>IFERROR(__xludf.DUMMYFUNCTION("""COMPUTED_VALUE"""),"BLACK")</f>
        <v>BLACK</v>
      </c>
      <c r="G5005" s="20" t="str">
        <f>IFERROR(__xludf.DUMMYFUNCTION("""COMPUTED_VALUE"""),"Uncle Sams Cider (11/12/2021) 02")</f>
        <v>Uncle Sams Cider (11/12/2021) 02</v>
      </c>
      <c r="H5005" s="19"/>
    </row>
    <row r="5006">
      <c r="A5006" s="9"/>
      <c r="B5006" s="15"/>
      <c r="C5006" s="9">
        <f>IFERROR(__xludf.DUMMYFUNCTION("""COMPUTED_VALUE"""),44552.963092118)</f>
        <v>44552.96309</v>
      </c>
      <c r="D5006" s="15">
        <f>IFERROR(__xludf.DUMMYFUNCTION("""COMPUTED_VALUE"""),1.015)</f>
        <v>1.015</v>
      </c>
      <c r="E5006" s="16">
        <f>IFERROR(__xludf.DUMMYFUNCTION("""COMPUTED_VALUE"""),66.0)</f>
        <v>66</v>
      </c>
      <c r="F5006" s="19" t="str">
        <f>IFERROR(__xludf.DUMMYFUNCTION("""COMPUTED_VALUE"""),"BLACK")</f>
        <v>BLACK</v>
      </c>
      <c r="G5006" s="20" t="str">
        <f>IFERROR(__xludf.DUMMYFUNCTION("""COMPUTED_VALUE"""),"Uncle Sams Cider (11/12/2021) 02")</f>
        <v>Uncle Sams Cider (11/12/2021) 02</v>
      </c>
      <c r="H5006" s="19"/>
    </row>
    <row r="5007">
      <c r="A5007" s="9"/>
      <c r="B5007" s="15"/>
      <c r="C5007" s="9">
        <f>IFERROR(__xludf.DUMMYFUNCTION("""COMPUTED_VALUE"""),44552.9526713657)</f>
        <v>44552.95267</v>
      </c>
      <c r="D5007" s="15">
        <f>IFERROR(__xludf.DUMMYFUNCTION("""COMPUTED_VALUE"""),1.015)</f>
        <v>1.015</v>
      </c>
      <c r="E5007" s="16">
        <f>IFERROR(__xludf.DUMMYFUNCTION("""COMPUTED_VALUE"""),67.0)</f>
        <v>67</v>
      </c>
      <c r="F5007" s="19" t="str">
        <f>IFERROR(__xludf.DUMMYFUNCTION("""COMPUTED_VALUE"""),"BLACK")</f>
        <v>BLACK</v>
      </c>
      <c r="G5007" s="20" t="str">
        <f>IFERROR(__xludf.DUMMYFUNCTION("""COMPUTED_VALUE"""),"Uncle Sams Cider (11/12/2021) 02")</f>
        <v>Uncle Sams Cider (11/12/2021) 02</v>
      </c>
      <c r="H5007" s="19"/>
    </row>
    <row r="5008">
      <c r="A5008" s="9"/>
      <c r="B5008" s="15"/>
      <c r="C5008" s="9">
        <f>IFERROR(__xludf.DUMMYFUNCTION("""COMPUTED_VALUE"""),44552.9422487847)</f>
        <v>44552.94225</v>
      </c>
      <c r="D5008" s="15">
        <f>IFERROR(__xludf.DUMMYFUNCTION("""COMPUTED_VALUE"""),1.015)</f>
        <v>1.015</v>
      </c>
      <c r="E5008" s="16">
        <f>IFERROR(__xludf.DUMMYFUNCTION("""COMPUTED_VALUE"""),67.0)</f>
        <v>67</v>
      </c>
      <c r="F5008" s="19" t="str">
        <f>IFERROR(__xludf.DUMMYFUNCTION("""COMPUTED_VALUE"""),"BLACK")</f>
        <v>BLACK</v>
      </c>
      <c r="G5008" s="20" t="str">
        <f>IFERROR(__xludf.DUMMYFUNCTION("""COMPUTED_VALUE"""),"Uncle Sams Cider (11/12/2021) 02")</f>
        <v>Uncle Sams Cider (11/12/2021) 02</v>
      </c>
      <c r="H5008" s="19"/>
    </row>
    <row r="5009">
      <c r="A5009" s="9"/>
      <c r="B5009" s="15"/>
      <c r="C5009" s="9">
        <f>IFERROR(__xludf.DUMMYFUNCTION("""COMPUTED_VALUE"""),44552.9318165509)</f>
        <v>44552.93182</v>
      </c>
      <c r="D5009" s="15">
        <f>IFERROR(__xludf.DUMMYFUNCTION("""COMPUTED_VALUE"""),1.015)</f>
        <v>1.015</v>
      </c>
      <c r="E5009" s="16">
        <f>IFERROR(__xludf.DUMMYFUNCTION("""COMPUTED_VALUE"""),67.0)</f>
        <v>67</v>
      </c>
      <c r="F5009" s="19" t="str">
        <f>IFERROR(__xludf.DUMMYFUNCTION("""COMPUTED_VALUE"""),"BLACK")</f>
        <v>BLACK</v>
      </c>
      <c r="G5009" s="20" t="str">
        <f>IFERROR(__xludf.DUMMYFUNCTION("""COMPUTED_VALUE"""),"Uncle Sams Cider (11/12/2021) 02")</f>
        <v>Uncle Sams Cider (11/12/2021) 02</v>
      </c>
      <c r="H5009" s="19"/>
    </row>
    <row r="5010">
      <c r="A5010" s="9"/>
      <c r="B5010" s="15"/>
      <c r="C5010" s="9">
        <f>IFERROR(__xludf.DUMMYFUNCTION("""COMPUTED_VALUE"""),44552.9213827546)</f>
        <v>44552.92138</v>
      </c>
      <c r="D5010" s="15">
        <f>IFERROR(__xludf.DUMMYFUNCTION("""COMPUTED_VALUE"""),1.015)</f>
        <v>1.015</v>
      </c>
      <c r="E5010" s="16">
        <f>IFERROR(__xludf.DUMMYFUNCTION("""COMPUTED_VALUE"""),67.0)</f>
        <v>67</v>
      </c>
      <c r="F5010" s="19" t="str">
        <f>IFERROR(__xludf.DUMMYFUNCTION("""COMPUTED_VALUE"""),"BLACK")</f>
        <v>BLACK</v>
      </c>
      <c r="G5010" s="20" t="str">
        <f>IFERROR(__xludf.DUMMYFUNCTION("""COMPUTED_VALUE"""),"Uncle Sams Cider (11/12/2021) 02")</f>
        <v>Uncle Sams Cider (11/12/2021) 02</v>
      </c>
      <c r="H5010" s="19"/>
    </row>
    <row r="5011">
      <c r="A5011" s="9"/>
      <c r="B5011" s="15"/>
      <c r="C5011" s="9">
        <f>IFERROR(__xludf.DUMMYFUNCTION("""COMPUTED_VALUE"""),44552.9109612037)</f>
        <v>44552.91096</v>
      </c>
      <c r="D5011" s="15">
        <f>IFERROR(__xludf.DUMMYFUNCTION("""COMPUTED_VALUE"""),1.015)</f>
        <v>1.015</v>
      </c>
      <c r="E5011" s="16">
        <f>IFERROR(__xludf.DUMMYFUNCTION("""COMPUTED_VALUE"""),67.0)</f>
        <v>67</v>
      </c>
      <c r="F5011" s="19" t="str">
        <f>IFERROR(__xludf.DUMMYFUNCTION("""COMPUTED_VALUE"""),"BLACK")</f>
        <v>BLACK</v>
      </c>
      <c r="G5011" s="20" t="str">
        <f>IFERROR(__xludf.DUMMYFUNCTION("""COMPUTED_VALUE"""),"Uncle Sams Cider (11/12/2021) 02")</f>
        <v>Uncle Sams Cider (11/12/2021) 02</v>
      </c>
      <c r="H5011" s="19"/>
    </row>
    <row r="5012">
      <c r="A5012" s="9"/>
      <c r="B5012" s="15"/>
      <c r="C5012" s="9">
        <f>IFERROR(__xludf.DUMMYFUNCTION("""COMPUTED_VALUE"""),44552.9004843402)</f>
        <v>44552.90048</v>
      </c>
      <c r="D5012" s="15">
        <f>IFERROR(__xludf.DUMMYFUNCTION("""COMPUTED_VALUE"""),1.015)</f>
        <v>1.015</v>
      </c>
      <c r="E5012" s="16">
        <f>IFERROR(__xludf.DUMMYFUNCTION("""COMPUTED_VALUE"""),67.0)</f>
        <v>67</v>
      </c>
      <c r="F5012" s="19" t="str">
        <f>IFERROR(__xludf.DUMMYFUNCTION("""COMPUTED_VALUE"""),"BLACK")</f>
        <v>BLACK</v>
      </c>
      <c r="G5012" s="20" t="str">
        <f>IFERROR(__xludf.DUMMYFUNCTION("""COMPUTED_VALUE"""),"Uncle Sams Cider (11/12/2021) 02")</f>
        <v>Uncle Sams Cider (11/12/2021) 02</v>
      </c>
      <c r="H5012" s="19"/>
    </row>
    <row r="5013">
      <c r="A5013" s="9"/>
      <c r="B5013" s="15"/>
      <c r="C5013" s="9">
        <f>IFERROR(__xludf.DUMMYFUNCTION("""COMPUTED_VALUE"""),44552.8900511226)</f>
        <v>44552.89005</v>
      </c>
      <c r="D5013" s="15">
        <f>IFERROR(__xludf.DUMMYFUNCTION("""COMPUTED_VALUE"""),1.015)</f>
        <v>1.015</v>
      </c>
      <c r="E5013" s="16">
        <f>IFERROR(__xludf.DUMMYFUNCTION("""COMPUTED_VALUE"""),67.0)</f>
        <v>67</v>
      </c>
      <c r="F5013" s="19" t="str">
        <f>IFERROR(__xludf.DUMMYFUNCTION("""COMPUTED_VALUE"""),"BLACK")</f>
        <v>BLACK</v>
      </c>
      <c r="G5013" s="20" t="str">
        <f>IFERROR(__xludf.DUMMYFUNCTION("""COMPUTED_VALUE"""),"Uncle Sams Cider (11/12/2021) 02")</f>
        <v>Uncle Sams Cider (11/12/2021) 02</v>
      </c>
      <c r="H5013" s="19"/>
    </row>
    <row r="5014">
      <c r="A5014" s="9"/>
      <c r="B5014" s="15"/>
      <c r="C5014" s="9">
        <f>IFERROR(__xludf.DUMMYFUNCTION("""COMPUTED_VALUE"""),44552.8796303125)</f>
        <v>44552.87963</v>
      </c>
      <c r="D5014" s="15">
        <f>IFERROR(__xludf.DUMMYFUNCTION("""COMPUTED_VALUE"""),1.015)</f>
        <v>1.015</v>
      </c>
      <c r="E5014" s="16">
        <f>IFERROR(__xludf.DUMMYFUNCTION("""COMPUTED_VALUE"""),67.0)</f>
        <v>67</v>
      </c>
      <c r="F5014" s="19" t="str">
        <f>IFERROR(__xludf.DUMMYFUNCTION("""COMPUTED_VALUE"""),"BLACK")</f>
        <v>BLACK</v>
      </c>
      <c r="G5014" s="20" t="str">
        <f>IFERROR(__xludf.DUMMYFUNCTION("""COMPUTED_VALUE"""),"Uncle Sams Cider (11/12/2021) 02")</f>
        <v>Uncle Sams Cider (11/12/2021) 02</v>
      </c>
      <c r="H5014" s="19"/>
    </row>
    <row r="5015">
      <c r="A5015" s="9"/>
      <c r="B5015" s="15"/>
      <c r="C5015" s="9">
        <f>IFERROR(__xludf.DUMMYFUNCTION("""COMPUTED_VALUE"""),44552.8692084837)</f>
        <v>44552.86921</v>
      </c>
      <c r="D5015" s="15">
        <f>IFERROR(__xludf.DUMMYFUNCTION("""COMPUTED_VALUE"""),1.015)</f>
        <v>1.015</v>
      </c>
      <c r="E5015" s="16">
        <f>IFERROR(__xludf.DUMMYFUNCTION("""COMPUTED_VALUE"""),67.0)</f>
        <v>67</v>
      </c>
      <c r="F5015" s="19" t="str">
        <f>IFERROR(__xludf.DUMMYFUNCTION("""COMPUTED_VALUE"""),"BLACK")</f>
        <v>BLACK</v>
      </c>
      <c r="G5015" s="20" t="str">
        <f>IFERROR(__xludf.DUMMYFUNCTION("""COMPUTED_VALUE"""),"Uncle Sams Cider (11/12/2021) 02")</f>
        <v>Uncle Sams Cider (11/12/2021) 02</v>
      </c>
      <c r="H5015" s="19"/>
    </row>
    <row r="5016">
      <c r="A5016" s="9"/>
      <c r="B5016" s="15"/>
      <c r="C5016" s="9">
        <f>IFERROR(__xludf.DUMMYFUNCTION("""COMPUTED_VALUE"""),44552.8587893634)</f>
        <v>44552.85879</v>
      </c>
      <c r="D5016" s="15">
        <f>IFERROR(__xludf.DUMMYFUNCTION("""COMPUTED_VALUE"""),1.015)</f>
        <v>1.015</v>
      </c>
      <c r="E5016" s="16">
        <f>IFERROR(__xludf.DUMMYFUNCTION("""COMPUTED_VALUE"""),67.0)</f>
        <v>67</v>
      </c>
      <c r="F5016" s="19" t="str">
        <f>IFERROR(__xludf.DUMMYFUNCTION("""COMPUTED_VALUE"""),"BLACK")</f>
        <v>BLACK</v>
      </c>
      <c r="G5016" s="20" t="str">
        <f>IFERROR(__xludf.DUMMYFUNCTION("""COMPUTED_VALUE"""),"Uncle Sams Cider (11/12/2021) 02")</f>
        <v>Uncle Sams Cider (11/12/2021) 02</v>
      </c>
      <c r="H5016" s="19"/>
    </row>
    <row r="5017">
      <c r="A5017" s="9"/>
      <c r="B5017" s="15"/>
      <c r="C5017" s="9">
        <f>IFERROR(__xludf.DUMMYFUNCTION("""COMPUTED_VALUE"""),44552.8483681712)</f>
        <v>44552.84837</v>
      </c>
      <c r="D5017" s="15">
        <f>IFERROR(__xludf.DUMMYFUNCTION("""COMPUTED_VALUE"""),1.015)</f>
        <v>1.015</v>
      </c>
      <c r="E5017" s="16">
        <f>IFERROR(__xludf.DUMMYFUNCTION("""COMPUTED_VALUE"""),67.0)</f>
        <v>67</v>
      </c>
      <c r="F5017" s="19" t="str">
        <f>IFERROR(__xludf.DUMMYFUNCTION("""COMPUTED_VALUE"""),"BLACK")</f>
        <v>BLACK</v>
      </c>
      <c r="G5017" s="20" t="str">
        <f>IFERROR(__xludf.DUMMYFUNCTION("""COMPUTED_VALUE"""),"Uncle Sams Cider (11/12/2021) 02")</f>
        <v>Uncle Sams Cider (11/12/2021) 02</v>
      </c>
      <c r="H5017" s="19"/>
    </row>
    <row r="5018">
      <c r="A5018" s="9"/>
      <c r="B5018" s="15"/>
      <c r="C5018" s="9">
        <f>IFERROR(__xludf.DUMMYFUNCTION("""COMPUTED_VALUE"""),44552.8379236805)</f>
        <v>44552.83792</v>
      </c>
      <c r="D5018" s="15">
        <f>IFERROR(__xludf.DUMMYFUNCTION("""COMPUTED_VALUE"""),1.015)</f>
        <v>1.015</v>
      </c>
      <c r="E5018" s="16">
        <f>IFERROR(__xludf.DUMMYFUNCTION("""COMPUTED_VALUE"""),67.0)</f>
        <v>67</v>
      </c>
      <c r="F5018" s="19" t="str">
        <f>IFERROR(__xludf.DUMMYFUNCTION("""COMPUTED_VALUE"""),"BLACK")</f>
        <v>BLACK</v>
      </c>
      <c r="G5018" s="20" t="str">
        <f>IFERROR(__xludf.DUMMYFUNCTION("""COMPUTED_VALUE"""),"Uncle Sams Cider (11/12/2021) 02")</f>
        <v>Uncle Sams Cider (11/12/2021) 02</v>
      </c>
      <c r="H5018" s="19"/>
    </row>
    <row r="5019">
      <c r="A5019" s="9"/>
      <c r="B5019" s="15"/>
      <c r="C5019" s="9">
        <f>IFERROR(__xludf.DUMMYFUNCTION("""COMPUTED_VALUE"""),44552.8274906944)</f>
        <v>44552.82749</v>
      </c>
      <c r="D5019" s="15">
        <f>IFERROR(__xludf.DUMMYFUNCTION("""COMPUTED_VALUE"""),1.015)</f>
        <v>1.015</v>
      </c>
      <c r="E5019" s="16">
        <f>IFERROR(__xludf.DUMMYFUNCTION("""COMPUTED_VALUE"""),67.0)</f>
        <v>67</v>
      </c>
      <c r="F5019" s="19" t="str">
        <f>IFERROR(__xludf.DUMMYFUNCTION("""COMPUTED_VALUE"""),"BLACK")</f>
        <v>BLACK</v>
      </c>
      <c r="G5019" s="20" t="str">
        <f>IFERROR(__xludf.DUMMYFUNCTION("""COMPUTED_VALUE"""),"Uncle Sams Cider (11/12/2021) 02")</f>
        <v>Uncle Sams Cider (11/12/2021) 02</v>
      </c>
      <c r="H5019" s="19"/>
    </row>
    <row r="5020">
      <c r="A5020" s="9"/>
      <c r="B5020" s="15"/>
      <c r="C5020" s="9">
        <f>IFERROR(__xludf.DUMMYFUNCTION("""COMPUTED_VALUE"""),44552.8170574074)</f>
        <v>44552.81706</v>
      </c>
      <c r="D5020" s="15">
        <f>IFERROR(__xludf.DUMMYFUNCTION("""COMPUTED_VALUE"""),1.015)</f>
        <v>1.015</v>
      </c>
      <c r="E5020" s="16">
        <f>IFERROR(__xludf.DUMMYFUNCTION("""COMPUTED_VALUE"""),67.0)</f>
        <v>67</v>
      </c>
      <c r="F5020" s="19" t="str">
        <f>IFERROR(__xludf.DUMMYFUNCTION("""COMPUTED_VALUE"""),"BLACK")</f>
        <v>BLACK</v>
      </c>
      <c r="G5020" s="20" t="str">
        <f>IFERROR(__xludf.DUMMYFUNCTION("""COMPUTED_VALUE"""),"Uncle Sams Cider (11/12/2021) 02")</f>
        <v>Uncle Sams Cider (11/12/2021) 02</v>
      </c>
      <c r="H5020" s="19"/>
    </row>
    <row r="5021">
      <c r="A5021" s="9"/>
      <c r="B5021" s="15"/>
      <c r="C5021" s="9">
        <f>IFERROR(__xludf.DUMMYFUNCTION("""COMPUTED_VALUE"""),44552.8066372337)</f>
        <v>44552.80664</v>
      </c>
      <c r="D5021" s="15">
        <f>IFERROR(__xludf.DUMMYFUNCTION("""COMPUTED_VALUE"""),1.015)</f>
        <v>1.015</v>
      </c>
      <c r="E5021" s="16">
        <f>IFERROR(__xludf.DUMMYFUNCTION("""COMPUTED_VALUE"""),67.0)</f>
        <v>67</v>
      </c>
      <c r="F5021" s="19" t="str">
        <f>IFERROR(__xludf.DUMMYFUNCTION("""COMPUTED_VALUE"""),"BLACK")</f>
        <v>BLACK</v>
      </c>
      <c r="G5021" s="20" t="str">
        <f>IFERROR(__xludf.DUMMYFUNCTION("""COMPUTED_VALUE"""),"Uncle Sams Cider (11/12/2021) 02")</f>
        <v>Uncle Sams Cider (11/12/2021) 02</v>
      </c>
      <c r="H5021" s="19"/>
    </row>
    <row r="5022">
      <c r="A5022" s="9"/>
      <c r="B5022" s="15"/>
      <c r="C5022" s="9">
        <f>IFERROR(__xludf.DUMMYFUNCTION("""COMPUTED_VALUE"""),44552.7962162962)</f>
        <v>44552.79622</v>
      </c>
      <c r="D5022" s="15">
        <f>IFERROR(__xludf.DUMMYFUNCTION("""COMPUTED_VALUE"""),1.015)</f>
        <v>1.015</v>
      </c>
      <c r="E5022" s="16">
        <f>IFERROR(__xludf.DUMMYFUNCTION("""COMPUTED_VALUE"""),67.0)</f>
        <v>67</v>
      </c>
      <c r="F5022" s="19" t="str">
        <f>IFERROR(__xludf.DUMMYFUNCTION("""COMPUTED_VALUE"""),"BLACK")</f>
        <v>BLACK</v>
      </c>
      <c r="G5022" s="20" t="str">
        <f>IFERROR(__xludf.DUMMYFUNCTION("""COMPUTED_VALUE"""),"Uncle Sams Cider (11/12/2021) 02")</f>
        <v>Uncle Sams Cider (11/12/2021) 02</v>
      </c>
      <c r="H5022" s="19"/>
    </row>
    <row r="5023">
      <c r="A5023" s="9"/>
      <c r="B5023" s="15"/>
      <c r="C5023" s="9">
        <f>IFERROR(__xludf.DUMMYFUNCTION("""COMPUTED_VALUE"""),44552.7857717013)</f>
        <v>44552.78577</v>
      </c>
      <c r="D5023" s="15">
        <f>IFERROR(__xludf.DUMMYFUNCTION("""COMPUTED_VALUE"""),1.015)</f>
        <v>1.015</v>
      </c>
      <c r="E5023" s="16">
        <f>IFERROR(__xludf.DUMMYFUNCTION("""COMPUTED_VALUE"""),67.0)</f>
        <v>67</v>
      </c>
      <c r="F5023" s="19" t="str">
        <f>IFERROR(__xludf.DUMMYFUNCTION("""COMPUTED_VALUE"""),"BLACK")</f>
        <v>BLACK</v>
      </c>
      <c r="G5023" s="20" t="str">
        <f>IFERROR(__xludf.DUMMYFUNCTION("""COMPUTED_VALUE"""),"Uncle Sams Cider (11/12/2021) 02")</f>
        <v>Uncle Sams Cider (11/12/2021) 02</v>
      </c>
      <c r="H5023" s="19"/>
    </row>
    <row r="5024">
      <c r="A5024" s="9"/>
      <c r="B5024" s="15"/>
      <c r="C5024" s="9">
        <f>IFERROR(__xludf.DUMMYFUNCTION("""COMPUTED_VALUE"""),44552.7752677893)</f>
        <v>44552.77527</v>
      </c>
      <c r="D5024" s="15">
        <f>IFERROR(__xludf.DUMMYFUNCTION("""COMPUTED_VALUE"""),1.015)</f>
        <v>1.015</v>
      </c>
      <c r="E5024" s="16">
        <f>IFERROR(__xludf.DUMMYFUNCTION("""COMPUTED_VALUE"""),67.0)</f>
        <v>67</v>
      </c>
      <c r="F5024" s="19" t="str">
        <f>IFERROR(__xludf.DUMMYFUNCTION("""COMPUTED_VALUE"""),"BLACK")</f>
        <v>BLACK</v>
      </c>
      <c r="G5024" s="20" t="str">
        <f>IFERROR(__xludf.DUMMYFUNCTION("""COMPUTED_VALUE"""),"Uncle Sams Cider (11/12/2021) 02")</f>
        <v>Uncle Sams Cider (11/12/2021) 02</v>
      </c>
      <c r="H5024" s="19"/>
    </row>
    <row r="5025">
      <c r="A5025" s="9"/>
      <c r="B5025" s="15"/>
      <c r="C5025" s="9">
        <f>IFERROR(__xludf.DUMMYFUNCTION("""COMPUTED_VALUE"""),44552.7648471064)</f>
        <v>44552.76485</v>
      </c>
      <c r="D5025" s="15">
        <f>IFERROR(__xludf.DUMMYFUNCTION("""COMPUTED_VALUE"""),1.015)</f>
        <v>1.015</v>
      </c>
      <c r="E5025" s="16">
        <f>IFERROR(__xludf.DUMMYFUNCTION("""COMPUTED_VALUE"""),67.0)</f>
        <v>67</v>
      </c>
      <c r="F5025" s="19" t="str">
        <f>IFERROR(__xludf.DUMMYFUNCTION("""COMPUTED_VALUE"""),"BLACK")</f>
        <v>BLACK</v>
      </c>
      <c r="G5025" s="20" t="str">
        <f>IFERROR(__xludf.DUMMYFUNCTION("""COMPUTED_VALUE"""),"Uncle Sams Cider (11/12/2021) 02")</f>
        <v>Uncle Sams Cider (11/12/2021) 02</v>
      </c>
      <c r="H5025" s="19"/>
    </row>
    <row r="5026">
      <c r="A5026" s="9"/>
      <c r="B5026" s="15"/>
      <c r="C5026" s="9">
        <f>IFERROR(__xludf.DUMMYFUNCTION("""COMPUTED_VALUE"""),44552.7544129282)</f>
        <v>44552.75441</v>
      </c>
      <c r="D5026" s="15">
        <f>IFERROR(__xludf.DUMMYFUNCTION("""COMPUTED_VALUE"""),1.015)</f>
        <v>1.015</v>
      </c>
      <c r="E5026" s="16">
        <f>IFERROR(__xludf.DUMMYFUNCTION("""COMPUTED_VALUE"""),67.0)</f>
        <v>67</v>
      </c>
      <c r="F5026" s="19" t="str">
        <f>IFERROR(__xludf.DUMMYFUNCTION("""COMPUTED_VALUE"""),"BLACK")</f>
        <v>BLACK</v>
      </c>
      <c r="G5026" s="20" t="str">
        <f>IFERROR(__xludf.DUMMYFUNCTION("""COMPUTED_VALUE"""),"Uncle Sams Cider (11/12/2021) 02")</f>
        <v>Uncle Sams Cider (11/12/2021) 02</v>
      </c>
      <c r="H5026" s="19"/>
    </row>
    <row r="5027">
      <c r="A5027" s="9"/>
      <c r="B5027" s="15"/>
      <c r="C5027" s="9">
        <f>IFERROR(__xludf.DUMMYFUNCTION("""COMPUTED_VALUE"""),44552.7439908333)</f>
        <v>44552.74399</v>
      </c>
      <c r="D5027" s="15">
        <f>IFERROR(__xludf.DUMMYFUNCTION("""COMPUTED_VALUE"""),1.015)</f>
        <v>1.015</v>
      </c>
      <c r="E5027" s="16">
        <f>IFERROR(__xludf.DUMMYFUNCTION("""COMPUTED_VALUE"""),67.0)</f>
        <v>67</v>
      </c>
      <c r="F5027" s="19" t="str">
        <f>IFERROR(__xludf.DUMMYFUNCTION("""COMPUTED_VALUE"""),"BLACK")</f>
        <v>BLACK</v>
      </c>
      <c r="G5027" s="20" t="str">
        <f>IFERROR(__xludf.DUMMYFUNCTION("""COMPUTED_VALUE"""),"Uncle Sams Cider (11/12/2021) 02")</f>
        <v>Uncle Sams Cider (11/12/2021) 02</v>
      </c>
      <c r="H5027" s="19"/>
    </row>
    <row r="5028">
      <c r="A5028" s="9"/>
      <c r="B5028" s="15"/>
      <c r="C5028" s="9">
        <f>IFERROR(__xludf.DUMMYFUNCTION("""COMPUTED_VALUE"""),44552.7335715972)</f>
        <v>44552.73357</v>
      </c>
      <c r="D5028" s="15">
        <f>IFERROR(__xludf.DUMMYFUNCTION("""COMPUTED_VALUE"""),1.015)</f>
        <v>1.015</v>
      </c>
      <c r="E5028" s="16">
        <f>IFERROR(__xludf.DUMMYFUNCTION("""COMPUTED_VALUE"""),67.0)</f>
        <v>67</v>
      </c>
      <c r="F5028" s="19" t="str">
        <f>IFERROR(__xludf.DUMMYFUNCTION("""COMPUTED_VALUE"""),"BLACK")</f>
        <v>BLACK</v>
      </c>
      <c r="G5028" s="20" t="str">
        <f>IFERROR(__xludf.DUMMYFUNCTION("""COMPUTED_VALUE"""),"Uncle Sams Cider (11/12/2021) 02")</f>
        <v>Uncle Sams Cider (11/12/2021) 02</v>
      </c>
      <c r="H5028" s="19"/>
    </row>
    <row r="5029">
      <c r="A5029" s="9"/>
      <c r="B5029" s="15"/>
      <c r="C5029" s="9">
        <f>IFERROR(__xludf.DUMMYFUNCTION("""COMPUTED_VALUE"""),44552.7231267824)</f>
        <v>44552.72313</v>
      </c>
      <c r="D5029" s="15">
        <f>IFERROR(__xludf.DUMMYFUNCTION("""COMPUTED_VALUE"""),1.015)</f>
        <v>1.015</v>
      </c>
      <c r="E5029" s="16">
        <f>IFERROR(__xludf.DUMMYFUNCTION("""COMPUTED_VALUE"""),67.0)</f>
        <v>67</v>
      </c>
      <c r="F5029" s="19" t="str">
        <f>IFERROR(__xludf.DUMMYFUNCTION("""COMPUTED_VALUE"""),"BLACK")</f>
        <v>BLACK</v>
      </c>
      <c r="G5029" s="20" t="str">
        <f>IFERROR(__xludf.DUMMYFUNCTION("""COMPUTED_VALUE"""),"Uncle Sams Cider (11/12/2021) 02")</f>
        <v>Uncle Sams Cider (11/12/2021) 02</v>
      </c>
      <c r="H5029" s="19"/>
    </row>
    <row r="5030">
      <c r="A5030" s="9"/>
      <c r="B5030" s="15"/>
      <c r="C5030" s="9">
        <f>IFERROR(__xludf.DUMMYFUNCTION("""COMPUTED_VALUE"""),44552.7126934027)</f>
        <v>44552.71269</v>
      </c>
      <c r="D5030" s="15">
        <f>IFERROR(__xludf.DUMMYFUNCTION("""COMPUTED_VALUE"""),1.015)</f>
        <v>1.015</v>
      </c>
      <c r="E5030" s="16">
        <f>IFERROR(__xludf.DUMMYFUNCTION("""COMPUTED_VALUE"""),67.0)</f>
        <v>67</v>
      </c>
      <c r="F5030" s="19" t="str">
        <f>IFERROR(__xludf.DUMMYFUNCTION("""COMPUTED_VALUE"""),"BLACK")</f>
        <v>BLACK</v>
      </c>
      <c r="G5030" s="20" t="str">
        <f>IFERROR(__xludf.DUMMYFUNCTION("""COMPUTED_VALUE"""),"Uncle Sams Cider (11/12/2021) 02")</f>
        <v>Uncle Sams Cider (11/12/2021) 02</v>
      </c>
      <c r="H5030" s="19"/>
    </row>
    <row r="5031">
      <c r="A5031" s="9"/>
      <c r="B5031" s="15"/>
      <c r="C5031" s="9">
        <f>IFERROR(__xludf.DUMMYFUNCTION("""COMPUTED_VALUE"""),44552.7022597916)</f>
        <v>44552.70226</v>
      </c>
      <c r="D5031" s="15">
        <f>IFERROR(__xludf.DUMMYFUNCTION("""COMPUTED_VALUE"""),1.015)</f>
        <v>1.015</v>
      </c>
      <c r="E5031" s="16">
        <f>IFERROR(__xludf.DUMMYFUNCTION("""COMPUTED_VALUE"""),67.0)</f>
        <v>67</v>
      </c>
      <c r="F5031" s="19" t="str">
        <f>IFERROR(__xludf.DUMMYFUNCTION("""COMPUTED_VALUE"""),"BLACK")</f>
        <v>BLACK</v>
      </c>
      <c r="G5031" s="20" t="str">
        <f>IFERROR(__xludf.DUMMYFUNCTION("""COMPUTED_VALUE"""),"Uncle Sams Cider (11/12/2021) 02")</f>
        <v>Uncle Sams Cider (11/12/2021) 02</v>
      </c>
      <c r="H5031" s="19"/>
    </row>
    <row r="5032">
      <c r="A5032" s="9"/>
      <c r="B5032" s="15"/>
      <c r="C5032" s="9">
        <f>IFERROR(__xludf.DUMMYFUNCTION("""COMPUTED_VALUE"""),44552.6918393055)</f>
        <v>44552.69184</v>
      </c>
      <c r="D5032" s="15">
        <f>IFERROR(__xludf.DUMMYFUNCTION("""COMPUTED_VALUE"""),1.015)</f>
        <v>1.015</v>
      </c>
      <c r="E5032" s="16">
        <f>IFERROR(__xludf.DUMMYFUNCTION("""COMPUTED_VALUE"""),67.0)</f>
        <v>67</v>
      </c>
      <c r="F5032" s="19" t="str">
        <f>IFERROR(__xludf.DUMMYFUNCTION("""COMPUTED_VALUE"""),"BLACK")</f>
        <v>BLACK</v>
      </c>
      <c r="G5032" s="20" t="str">
        <f>IFERROR(__xludf.DUMMYFUNCTION("""COMPUTED_VALUE"""),"Uncle Sams Cider (11/12/2021) 02")</f>
        <v>Uncle Sams Cider (11/12/2021) 02</v>
      </c>
      <c r="H5032" s="19"/>
    </row>
    <row r="5033">
      <c r="A5033" s="9"/>
      <c r="B5033" s="15"/>
      <c r="C5033" s="9">
        <f>IFERROR(__xludf.DUMMYFUNCTION("""COMPUTED_VALUE"""),44552.6814186689)</f>
        <v>44552.68142</v>
      </c>
      <c r="D5033" s="15">
        <f>IFERROR(__xludf.DUMMYFUNCTION("""COMPUTED_VALUE"""),1.015)</f>
        <v>1.015</v>
      </c>
      <c r="E5033" s="16">
        <f>IFERROR(__xludf.DUMMYFUNCTION("""COMPUTED_VALUE"""),67.0)</f>
        <v>67</v>
      </c>
      <c r="F5033" s="19" t="str">
        <f>IFERROR(__xludf.DUMMYFUNCTION("""COMPUTED_VALUE"""),"BLACK")</f>
        <v>BLACK</v>
      </c>
      <c r="G5033" s="20" t="str">
        <f>IFERROR(__xludf.DUMMYFUNCTION("""COMPUTED_VALUE"""),"Uncle Sams Cider (11/12/2021) 02")</f>
        <v>Uncle Sams Cider (11/12/2021) 02</v>
      </c>
      <c r="H5033" s="19"/>
    </row>
    <row r="5034">
      <c r="A5034" s="9"/>
      <c r="B5034" s="15"/>
      <c r="C5034" s="9">
        <f>IFERROR(__xludf.DUMMYFUNCTION("""COMPUTED_VALUE"""),44552.6709852893)</f>
        <v>44552.67099</v>
      </c>
      <c r="D5034" s="15">
        <f>IFERROR(__xludf.DUMMYFUNCTION("""COMPUTED_VALUE"""),1.015)</f>
        <v>1.015</v>
      </c>
      <c r="E5034" s="16">
        <f>IFERROR(__xludf.DUMMYFUNCTION("""COMPUTED_VALUE"""),67.0)</f>
        <v>67</v>
      </c>
      <c r="F5034" s="19" t="str">
        <f>IFERROR(__xludf.DUMMYFUNCTION("""COMPUTED_VALUE"""),"BLACK")</f>
        <v>BLACK</v>
      </c>
      <c r="G5034" s="20" t="str">
        <f>IFERROR(__xludf.DUMMYFUNCTION("""COMPUTED_VALUE"""),"Uncle Sams Cider (11/12/2021) 02")</f>
        <v>Uncle Sams Cider (11/12/2021) 02</v>
      </c>
      <c r="H5034" s="19"/>
    </row>
    <row r="5035">
      <c r="A5035" s="9"/>
      <c r="B5035" s="15"/>
      <c r="C5035" s="9">
        <f>IFERROR(__xludf.DUMMYFUNCTION("""COMPUTED_VALUE"""),44552.6605635416)</f>
        <v>44552.66056</v>
      </c>
      <c r="D5035" s="15">
        <f>IFERROR(__xludf.DUMMYFUNCTION("""COMPUTED_VALUE"""),1.016)</f>
        <v>1.016</v>
      </c>
      <c r="E5035" s="16">
        <f>IFERROR(__xludf.DUMMYFUNCTION("""COMPUTED_VALUE"""),67.0)</f>
        <v>67</v>
      </c>
      <c r="F5035" s="19" t="str">
        <f>IFERROR(__xludf.DUMMYFUNCTION("""COMPUTED_VALUE"""),"BLACK")</f>
        <v>BLACK</v>
      </c>
      <c r="G5035" s="20" t="str">
        <f>IFERROR(__xludf.DUMMYFUNCTION("""COMPUTED_VALUE"""),"Uncle Sams Cider (11/12/2021) 02")</f>
        <v>Uncle Sams Cider (11/12/2021) 02</v>
      </c>
      <c r="H5035" s="19"/>
    </row>
    <row r="5036">
      <c r="A5036" s="9"/>
      <c r="B5036" s="15"/>
      <c r="C5036" s="9">
        <f>IFERROR(__xludf.DUMMYFUNCTION("""COMPUTED_VALUE"""),44552.6501423958)</f>
        <v>44552.65014</v>
      </c>
      <c r="D5036" s="15">
        <f>IFERROR(__xludf.DUMMYFUNCTION("""COMPUTED_VALUE"""),1.016)</f>
        <v>1.016</v>
      </c>
      <c r="E5036" s="16">
        <f>IFERROR(__xludf.DUMMYFUNCTION("""COMPUTED_VALUE"""),67.0)</f>
        <v>67</v>
      </c>
      <c r="F5036" s="19" t="str">
        <f>IFERROR(__xludf.DUMMYFUNCTION("""COMPUTED_VALUE"""),"BLACK")</f>
        <v>BLACK</v>
      </c>
      <c r="G5036" s="20" t="str">
        <f>IFERROR(__xludf.DUMMYFUNCTION("""COMPUTED_VALUE"""),"Uncle Sams Cider (11/12/2021) 02")</f>
        <v>Uncle Sams Cider (11/12/2021) 02</v>
      </c>
      <c r="H5036" s="19"/>
    </row>
    <row r="5037">
      <c r="A5037" s="9"/>
      <c r="B5037" s="15"/>
      <c r="C5037" s="9">
        <f>IFERROR(__xludf.DUMMYFUNCTION("""COMPUTED_VALUE"""),44552.6397214351)</f>
        <v>44552.63972</v>
      </c>
      <c r="D5037" s="15">
        <f>IFERROR(__xludf.DUMMYFUNCTION("""COMPUTED_VALUE"""),1.015)</f>
        <v>1.015</v>
      </c>
      <c r="E5037" s="16">
        <f>IFERROR(__xludf.DUMMYFUNCTION("""COMPUTED_VALUE"""),67.0)</f>
        <v>67</v>
      </c>
      <c r="F5037" s="19" t="str">
        <f>IFERROR(__xludf.DUMMYFUNCTION("""COMPUTED_VALUE"""),"BLACK")</f>
        <v>BLACK</v>
      </c>
      <c r="G5037" s="20" t="str">
        <f>IFERROR(__xludf.DUMMYFUNCTION("""COMPUTED_VALUE"""),"Uncle Sams Cider (11/12/2021) 02")</f>
        <v>Uncle Sams Cider (11/12/2021) 02</v>
      </c>
      <c r="H5037" s="19"/>
    </row>
    <row r="5038">
      <c r="A5038" s="9"/>
      <c r="B5038" s="15"/>
      <c r="C5038" s="9">
        <f>IFERROR(__xludf.DUMMYFUNCTION("""COMPUTED_VALUE"""),44552.6292984837)</f>
        <v>44552.6293</v>
      </c>
      <c r="D5038" s="15">
        <f>IFERROR(__xludf.DUMMYFUNCTION("""COMPUTED_VALUE"""),1.016)</f>
        <v>1.016</v>
      </c>
      <c r="E5038" s="16">
        <f>IFERROR(__xludf.DUMMYFUNCTION("""COMPUTED_VALUE"""),67.0)</f>
        <v>67</v>
      </c>
      <c r="F5038" s="19" t="str">
        <f>IFERROR(__xludf.DUMMYFUNCTION("""COMPUTED_VALUE"""),"BLACK")</f>
        <v>BLACK</v>
      </c>
      <c r="G5038" s="20" t="str">
        <f>IFERROR(__xludf.DUMMYFUNCTION("""COMPUTED_VALUE"""),"Uncle Sams Cider (11/12/2021) 02")</f>
        <v>Uncle Sams Cider (11/12/2021) 02</v>
      </c>
      <c r="H5038" s="19"/>
    </row>
    <row r="5039">
      <c r="A5039" s="9"/>
      <c r="B5039" s="15"/>
      <c r="C5039" s="9">
        <f>IFERROR(__xludf.DUMMYFUNCTION("""COMPUTED_VALUE"""),44552.6188761111)</f>
        <v>44552.61888</v>
      </c>
      <c r="D5039" s="15">
        <f>IFERROR(__xludf.DUMMYFUNCTION("""COMPUTED_VALUE"""),1.015)</f>
        <v>1.015</v>
      </c>
      <c r="E5039" s="16">
        <f>IFERROR(__xludf.DUMMYFUNCTION("""COMPUTED_VALUE"""),67.0)</f>
        <v>67</v>
      </c>
      <c r="F5039" s="19" t="str">
        <f>IFERROR(__xludf.DUMMYFUNCTION("""COMPUTED_VALUE"""),"BLACK")</f>
        <v>BLACK</v>
      </c>
      <c r="G5039" s="20" t="str">
        <f>IFERROR(__xludf.DUMMYFUNCTION("""COMPUTED_VALUE"""),"Uncle Sams Cider (11/12/2021) 02")</f>
        <v>Uncle Sams Cider (11/12/2021) 02</v>
      </c>
      <c r="H5039" s="19"/>
    </row>
    <row r="5040">
      <c r="A5040" s="9"/>
      <c r="B5040" s="15"/>
      <c r="C5040" s="9">
        <f>IFERROR(__xludf.DUMMYFUNCTION("""COMPUTED_VALUE"""),44552.6084540277)</f>
        <v>44552.60845</v>
      </c>
      <c r="D5040" s="15">
        <f>IFERROR(__xludf.DUMMYFUNCTION("""COMPUTED_VALUE"""),1.015)</f>
        <v>1.015</v>
      </c>
      <c r="E5040" s="16">
        <f>IFERROR(__xludf.DUMMYFUNCTION("""COMPUTED_VALUE"""),67.0)</f>
        <v>67</v>
      </c>
      <c r="F5040" s="19" t="str">
        <f>IFERROR(__xludf.DUMMYFUNCTION("""COMPUTED_VALUE"""),"BLACK")</f>
        <v>BLACK</v>
      </c>
      <c r="G5040" s="20" t="str">
        <f>IFERROR(__xludf.DUMMYFUNCTION("""COMPUTED_VALUE"""),"Uncle Sams Cider (11/12/2021) 02")</f>
        <v>Uncle Sams Cider (11/12/2021) 02</v>
      </c>
      <c r="H5040" s="19"/>
    </row>
    <row r="5041">
      <c r="A5041" s="9"/>
      <c r="B5041" s="15"/>
      <c r="C5041" s="9">
        <f>IFERROR(__xludf.DUMMYFUNCTION("""COMPUTED_VALUE"""),44552.5979988194)</f>
        <v>44552.598</v>
      </c>
      <c r="D5041" s="15">
        <f>IFERROR(__xludf.DUMMYFUNCTION("""COMPUTED_VALUE"""),1.016)</f>
        <v>1.016</v>
      </c>
      <c r="E5041" s="16">
        <f>IFERROR(__xludf.DUMMYFUNCTION("""COMPUTED_VALUE"""),67.0)</f>
        <v>67</v>
      </c>
      <c r="F5041" s="19" t="str">
        <f>IFERROR(__xludf.DUMMYFUNCTION("""COMPUTED_VALUE"""),"BLACK")</f>
        <v>BLACK</v>
      </c>
      <c r="G5041" s="20" t="str">
        <f>IFERROR(__xludf.DUMMYFUNCTION("""COMPUTED_VALUE"""),"Uncle Sams Cider (11/12/2021) 02")</f>
        <v>Uncle Sams Cider (11/12/2021) 02</v>
      </c>
      <c r="H5041" s="19"/>
    </row>
    <row r="5042">
      <c r="A5042" s="9"/>
      <c r="B5042" s="15"/>
      <c r="C5042" s="9">
        <f>IFERROR(__xludf.DUMMYFUNCTION("""COMPUTED_VALUE"""),44552.5875772569)</f>
        <v>44552.58758</v>
      </c>
      <c r="D5042" s="15">
        <f>IFERROR(__xludf.DUMMYFUNCTION("""COMPUTED_VALUE"""),1.015)</f>
        <v>1.015</v>
      </c>
      <c r="E5042" s="16">
        <f>IFERROR(__xludf.DUMMYFUNCTION("""COMPUTED_VALUE"""),67.0)</f>
        <v>67</v>
      </c>
      <c r="F5042" s="19" t="str">
        <f>IFERROR(__xludf.DUMMYFUNCTION("""COMPUTED_VALUE"""),"BLACK")</f>
        <v>BLACK</v>
      </c>
      <c r="G5042" s="20" t="str">
        <f>IFERROR(__xludf.DUMMYFUNCTION("""COMPUTED_VALUE"""),"Uncle Sams Cider (11/12/2021) 02")</f>
        <v>Uncle Sams Cider (11/12/2021) 02</v>
      </c>
      <c r="H5042" s="19"/>
    </row>
    <row r="5043">
      <c r="A5043" s="9"/>
      <c r="B5043" s="15"/>
      <c r="C5043" s="9">
        <f>IFERROR(__xludf.DUMMYFUNCTION("""COMPUTED_VALUE"""),44552.5771198842)</f>
        <v>44552.57712</v>
      </c>
      <c r="D5043" s="15">
        <f>IFERROR(__xludf.DUMMYFUNCTION("""COMPUTED_VALUE"""),1.016)</f>
        <v>1.016</v>
      </c>
      <c r="E5043" s="16">
        <f>IFERROR(__xludf.DUMMYFUNCTION("""COMPUTED_VALUE"""),67.0)</f>
        <v>67</v>
      </c>
      <c r="F5043" s="19" t="str">
        <f>IFERROR(__xludf.DUMMYFUNCTION("""COMPUTED_VALUE"""),"BLACK")</f>
        <v>BLACK</v>
      </c>
      <c r="G5043" s="20" t="str">
        <f>IFERROR(__xludf.DUMMYFUNCTION("""COMPUTED_VALUE"""),"Uncle Sams Cider (11/12/2021) 02")</f>
        <v>Uncle Sams Cider (11/12/2021) 02</v>
      </c>
      <c r="H5043" s="19"/>
    </row>
    <row r="5044">
      <c r="A5044" s="9"/>
      <c r="B5044" s="15"/>
      <c r="C5044" s="9">
        <f>IFERROR(__xludf.DUMMYFUNCTION("""COMPUTED_VALUE"""),44552.5666883449)</f>
        <v>44552.56669</v>
      </c>
      <c r="D5044" s="15">
        <f>IFERROR(__xludf.DUMMYFUNCTION("""COMPUTED_VALUE"""),1.016)</f>
        <v>1.016</v>
      </c>
      <c r="E5044" s="16">
        <f>IFERROR(__xludf.DUMMYFUNCTION("""COMPUTED_VALUE"""),67.0)</f>
        <v>67</v>
      </c>
      <c r="F5044" s="19" t="str">
        <f>IFERROR(__xludf.DUMMYFUNCTION("""COMPUTED_VALUE"""),"BLACK")</f>
        <v>BLACK</v>
      </c>
      <c r="G5044" s="20" t="str">
        <f>IFERROR(__xludf.DUMMYFUNCTION("""COMPUTED_VALUE"""),"Uncle Sams Cider (11/12/2021) 02")</f>
        <v>Uncle Sams Cider (11/12/2021) 02</v>
      </c>
      <c r="H5044" s="19"/>
    </row>
    <row r="5045">
      <c r="A5045" s="9"/>
      <c r="B5045" s="15"/>
      <c r="C5045" s="9">
        <f>IFERROR(__xludf.DUMMYFUNCTION("""COMPUTED_VALUE"""),44552.5562546412)</f>
        <v>44552.55625</v>
      </c>
      <c r="D5045" s="15">
        <f>IFERROR(__xludf.DUMMYFUNCTION("""COMPUTED_VALUE"""),1.016)</f>
        <v>1.016</v>
      </c>
      <c r="E5045" s="16">
        <f>IFERROR(__xludf.DUMMYFUNCTION("""COMPUTED_VALUE"""),68.0)</f>
        <v>68</v>
      </c>
      <c r="F5045" s="19" t="str">
        <f>IFERROR(__xludf.DUMMYFUNCTION("""COMPUTED_VALUE"""),"BLACK")</f>
        <v>BLACK</v>
      </c>
      <c r="G5045" s="20" t="str">
        <f>IFERROR(__xludf.DUMMYFUNCTION("""COMPUTED_VALUE"""),"Uncle Sams Cider (11/12/2021) 02")</f>
        <v>Uncle Sams Cider (11/12/2021) 02</v>
      </c>
      <c r="H5045" s="19"/>
    </row>
    <row r="5046">
      <c r="A5046" s="9"/>
      <c r="B5046" s="15"/>
      <c r="C5046" s="9">
        <f>IFERROR(__xludf.DUMMYFUNCTION("""COMPUTED_VALUE"""),44552.5458348958)</f>
        <v>44552.54583</v>
      </c>
      <c r="D5046" s="15">
        <f>IFERROR(__xludf.DUMMYFUNCTION("""COMPUTED_VALUE"""),1.015)</f>
        <v>1.015</v>
      </c>
      <c r="E5046" s="16">
        <f>IFERROR(__xludf.DUMMYFUNCTION("""COMPUTED_VALUE"""),67.0)</f>
        <v>67</v>
      </c>
      <c r="F5046" s="19" t="str">
        <f>IFERROR(__xludf.DUMMYFUNCTION("""COMPUTED_VALUE"""),"BLACK")</f>
        <v>BLACK</v>
      </c>
      <c r="G5046" s="20" t="str">
        <f>IFERROR(__xludf.DUMMYFUNCTION("""COMPUTED_VALUE"""),"Uncle Sams Cider (11/12/2021) 02")</f>
        <v>Uncle Sams Cider (11/12/2021) 02</v>
      </c>
      <c r="H5046" s="19"/>
    </row>
    <row r="5047">
      <c r="A5047" s="9"/>
      <c r="B5047" s="15"/>
      <c r="C5047" s="9">
        <f>IFERROR(__xludf.DUMMYFUNCTION("""COMPUTED_VALUE"""),44552.5354013425)</f>
        <v>44552.5354</v>
      </c>
      <c r="D5047" s="15">
        <f>IFERROR(__xludf.DUMMYFUNCTION("""COMPUTED_VALUE"""),1.015)</f>
        <v>1.015</v>
      </c>
      <c r="E5047" s="16">
        <f>IFERROR(__xludf.DUMMYFUNCTION("""COMPUTED_VALUE"""),68.0)</f>
        <v>68</v>
      </c>
      <c r="F5047" s="19" t="str">
        <f>IFERROR(__xludf.DUMMYFUNCTION("""COMPUTED_VALUE"""),"BLACK")</f>
        <v>BLACK</v>
      </c>
      <c r="G5047" s="20" t="str">
        <f>IFERROR(__xludf.DUMMYFUNCTION("""COMPUTED_VALUE"""),"Uncle Sams Cider (11/12/2021) 02")</f>
        <v>Uncle Sams Cider (11/12/2021) 02</v>
      </c>
      <c r="H5047" s="19"/>
    </row>
    <row r="5048">
      <c r="A5048" s="9"/>
      <c r="B5048" s="15"/>
      <c r="C5048" s="9">
        <f>IFERROR(__xludf.DUMMYFUNCTION("""COMPUTED_VALUE"""),44552.5249678587)</f>
        <v>44552.52497</v>
      </c>
      <c r="D5048" s="15">
        <f>IFERROR(__xludf.DUMMYFUNCTION("""COMPUTED_VALUE"""),1.016)</f>
        <v>1.016</v>
      </c>
      <c r="E5048" s="16">
        <f>IFERROR(__xludf.DUMMYFUNCTION("""COMPUTED_VALUE"""),68.0)</f>
        <v>68</v>
      </c>
      <c r="F5048" s="19" t="str">
        <f>IFERROR(__xludf.DUMMYFUNCTION("""COMPUTED_VALUE"""),"BLACK")</f>
        <v>BLACK</v>
      </c>
      <c r="G5048" s="20" t="str">
        <f>IFERROR(__xludf.DUMMYFUNCTION("""COMPUTED_VALUE"""),"Uncle Sams Cider (11/12/2021) 02")</f>
        <v>Uncle Sams Cider (11/12/2021) 02</v>
      </c>
      <c r="H5048" s="19"/>
    </row>
    <row r="5049">
      <c r="A5049" s="9"/>
      <c r="B5049" s="15"/>
      <c r="C5049" s="9">
        <f>IFERROR(__xludf.DUMMYFUNCTION("""COMPUTED_VALUE"""),44552.51454603)</f>
        <v>44552.51455</v>
      </c>
      <c r="D5049" s="15">
        <f>IFERROR(__xludf.DUMMYFUNCTION("""COMPUTED_VALUE"""),1.016)</f>
        <v>1.016</v>
      </c>
      <c r="E5049" s="16">
        <f>IFERROR(__xludf.DUMMYFUNCTION("""COMPUTED_VALUE"""),68.0)</f>
        <v>68</v>
      </c>
      <c r="F5049" s="19" t="str">
        <f>IFERROR(__xludf.DUMMYFUNCTION("""COMPUTED_VALUE"""),"BLACK")</f>
        <v>BLACK</v>
      </c>
      <c r="G5049" s="20" t="str">
        <f>IFERROR(__xludf.DUMMYFUNCTION("""COMPUTED_VALUE"""),"Uncle Sams Cider (11/12/2021) 02")</f>
        <v>Uncle Sams Cider (11/12/2021) 02</v>
      </c>
      <c r="H5049" s="19"/>
    </row>
    <row r="5050">
      <c r="A5050" s="9"/>
      <c r="B5050" s="15"/>
      <c r="C5050" s="9">
        <f>IFERROR(__xludf.DUMMYFUNCTION("""COMPUTED_VALUE"""),44552.5041134953)</f>
        <v>44552.50411</v>
      </c>
      <c r="D5050" s="15">
        <f>IFERROR(__xludf.DUMMYFUNCTION("""COMPUTED_VALUE"""),1.015)</f>
        <v>1.015</v>
      </c>
      <c r="E5050" s="16">
        <f>IFERROR(__xludf.DUMMYFUNCTION("""COMPUTED_VALUE"""),68.0)</f>
        <v>68</v>
      </c>
      <c r="F5050" s="19" t="str">
        <f>IFERROR(__xludf.DUMMYFUNCTION("""COMPUTED_VALUE"""),"BLACK")</f>
        <v>BLACK</v>
      </c>
      <c r="G5050" s="20" t="str">
        <f>IFERROR(__xludf.DUMMYFUNCTION("""COMPUTED_VALUE"""),"Uncle Sams Cider (11/12/2021) 02")</f>
        <v>Uncle Sams Cider (11/12/2021) 02</v>
      </c>
      <c r="H5050" s="19"/>
    </row>
    <row r="5051">
      <c r="A5051" s="9"/>
      <c r="B5051" s="15"/>
      <c r="C5051" s="9">
        <f>IFERROR(__xludf.DUMMYFUNCTION("""COMPUTED_VALUE"""),44552.4936930092)</f>
        <v>44552.49369</v>
      </c>
      <c r="D5051" s="15">
        <f>IFERROR(__xludf.DUMMYFUNCTION("""COMPUTED_VALUE"""),1.015)</f>
        <v>1.015</v>
      </c>
      <c r="E5051" s="16">
        <f>IFERROR(__xludf.DUMMYFUNCTION("""COMPUTED_VALUE"""),68.0)</f>
        <v>68</v>
      </c>
      <c r="F5051" s="19" t="str">
        <f>IFERROR(__xludf.DUMMYFUNCTION("""COMPUTED_VALUE"""),"BLACK")</f>
        <v>BLACK</v>
      </c>
      <c r="G5051" s="20" t="str">
        <f>IFERROR(__xludf.DUMMYFUNCTION("""COMPUTED_VALUE"""),"Uncle Sams Cider (11/12/2021) 02")</f>
        <v>Uncle Sams Cider (11/12/2021) 02</v>
      </c>
      <c r="H5051" s="19"/>
    </row>
    <row r="5052">
      <c r="A5052" s="9"/>
      <c r="B5052" s="15"/>
      <c r="C5052" s="9">
        <f>IFERROR(__xludf.DUMMYFUNCTION("""COMPUTED_VALUE"""),44552.4832473379)</f>
        <v>44552.48325</v>
      </c>
      <c r="D5052" s="15">
        <f>IFERROR(__xludf.DUMMYFUNCTION("""COMPUTED_VALUE"""),1.015)</f>
        <v>1.015</v>
      </c>
      <c r="E5052" s="16">
        <f>IFERROR(__xludf.DUMMYFUNCTION("""COMPUTED_VALUE"""),68.0)</f>
        <v>68</v>
      </c>
      <c r="F5052" s="19" t="str">
        <f>IFERROR(__xludf.DUMMYFUNCTION("""COMPUTED_VALUE"""),"BLACK")</f>
        <v>BLACK</v>
      </c>
      <c r="G5052" s="20" t="str">
        <f>IFERROR(__xludf.DUMMYFUNCTION("""COMPUTED_VALUE"""),"Uncle Sams Cider (11/12/2021) 02")</f>
        <v>Uncle Sams Cider (11/12/2021) 02</v>
      </c>
      <c r="H5052" s="19"/>
    </row>
    <row r="5053">
      <c r="A5053" s="9"/>
      <c r="B5053" s="15"/>
      <c r="C5053" s="9">
        <f>IFERROR(__xludf.DUMMYFUNCTION("""COMPUTED_VALUE"""),44552.472803368)</f>
        <v>44552.4728</v>
      </c>
      <c r="D5053" s="15">
        <f>IFERROR(__xludf.DUMMYFUNCTION("""COMPUTED_VALUE"""),1.016)</f>
        <v>1.016</v>
      </c>
      <c r="E5053" s="16">
        <f>IFERROR(__xludf.DUMMYFUNCTION("""COMPUTED_VALUE"""),68.0)</f>
        <v>68</v>
      </c>
      <c r="F5053" s="19" t="str">
        <f>IFERROR(__xludf.DUMMYFUNCTION("""COMPUTED_VALUE"""),"BLACK")</f>
        <v>BLACK</v>
      </c>
      <c r="G5053" s="20" t="str">
        <f>IFERROR(__xludf.DUMMYFUNCTION("""COMPUTED_VALUE"""),"Uncle Sams Cider (11/12/2021) 02")</f>
        <v>Uncle Sams Cider (11/12/2021) 02</v>
      </c>
      <c r="H5053" s="19"/>
    </row>
    <row r="5054">
      <c r="A5054" s="9"/>
      <c r="B5054" s="15"/>
      <c r="C5054" s="9">
        <f>IFERROR(__xludf.DUMMYFUNCTION("""COMPUTED_VALUE"""),44552.4623827314)</f>
        <v>44552.46238</v>
      </c>
      <c r="D5054" s="15">
        <f>IFERROR(__xludf.DUMMYFUNCTION("""COMPUTED_VALUE"""),1.016)</f>
        <v>1.016</v>
      </c>
      <c r="E5054" s="16">
        <f>IFERROR(__xludf.DUMMYFUNCTION("""COMPUTED_VALUE"""),68.0)</f>
        <v>68</v>
      </c>
      <c r="F5054" s="19" t="str">
        <f>IFERROR(__xludf.DUMMYFUNCTION("""COMPUTED_VALUE"""),"BLACK")</f>
        <v>BLACK</v>
      </c>
      <c r="G5054" s="20" t="str">
        <f>IFERROR(__xludf.DUMMYFUNCTION("""COMPUTED_VALUE"""),"Uncle Sams Cider (11/12/2021) 02")</f>
        <v>Uncle Sams Cider (11/12/2021) 02</v>
      </c>
      <c r="H5054" s="19"/>
    </row>
    <row r="5055">
      <c r="A5055" s="9"/>
      <c r="B5055" s="15"/>
      <c r="C5055" s="9">
        <f>IFERROR(__xludf.DUMMYFUNCTION("""COMPUTED_VALUE"""),44552.4519617824)</f>
        <v>44552.45196</v>
      </c>
      <c r="D5055" s="15">
        <f>IFERROR(__xludf.DUMMYFUNCTION("""COMPUTED_VALUE"""),1.016)</f>
        <v>1.016</v>
      </c>
      <c r="E5055" s="16">
        <f>IFERROR(__xludf.DUMMYFUNCTION("""COMPUTED_VALUE"""),68.0)</f>
        <v>68</v>
      </c>
      <c r="F5055" s="19" t="str">
        <f>IFERROR(__xludf.DUMMYFUNCTION("""COMPUTED_VALUE"""),"BLACK")</f>
        <v>BLACK</v>
      </c>
      <c r="G5055" s="20" t="str">
        <f>IFERROR(__xludf.DUMMYFUNCTION("""COMPUTED_VALUE"""),"Uncle Sams Cider (11/12/2021) 02")</f>
        <v>Uncle Sams Cider (11/12/2021) 02</v>
      </c>
      <c r="H5055" s="19"/>
    </row>
    <row r="5056">
      <c r="A5056" s="9"/>
      <c r="B5056" s="15"/>
      <c r="C5056" s="9">
        <f>IFERROR(__xludf.DUMMYFUNCTION("""COMPUTED_VALUE"""),44552.4415301041)</f>
        <v>44552.44153</v>
      </c>
      <c r="D5056" s="15">
        <f>IFERROR(__xludf.DUMMYFUNCTION("""COMPUTED_VALUE"""),1.016)</f>
        <v>1.016</v>
      </c>
      <c r="E5056" s="16">
        <f>IFERROR(__xludf.DUMMYFUNCTION("""COMPUTED_VALUE"""),68.0)</f>
        <v>68</v>
      </c>
      <c r="F5056" s="19" t="str">
        <f>IFERROR(__xludf.DUMMYFUNCTION("""COMPUTED_VALUE"""),"BLACK")</f>
        <v>BLACK</v>
      </c>
      <c r="G5056" s="20" t="str">
        <f>IFERROR(__xludf.DUMMYFUNCTION("""COMPUTED_VALUE"""),"Uncle Sams Cider (11/12/2021) 02")</f>
        <v>Uncle Sams Cider (11/12/2021) 02</v>
      </c>
      <c r="H5056" s="19"/>
    </row>
    <row r="5057">
      <c r="A5057" s="9"/>
      <c r="B5057" s="15"/>
      <c r="C5057" s="9">
        <f>IFERROR(__xludf.DUMMYFUNCTION("""COMPUTED_VALUE"""),44552.4311079976)</f>
        <v>44552.43111</v>
      </c>
      <c r="D5057" s="15">
        <f>IFERROR(__xludf.DUMMYFUNCTION("""COMPUTED_VALUE"""),1.016)</f>
        <v>1.016</v>
      </c>
      <c r="E5057" s="16">
        <f>IFERROR(__xludf.DUMMYFUNCTION("""COMPUTED_VALUE"""),68.0)</f>
        <v>68</v>
      </c>
      <c r="F5057" s="19" t="str">
        <f>IFERROR(__xludf.DUMMYFUNCTION("""COMPUTED_VALUE"""),"BLACK")</f>
        <v>BLACK</v>
      </c>
      <c r="G5057" s="20" t="str">
        <f>IFERROR(__xludf.DUMMYFUNCTION("""COMPUTED_VALUE"""),"Uncle Sams Cider (11/12/2021) 02")</f>
        <v>Uncle Sams Cider (11/12/2021) 02</v>
      </c>
      <c r="H5057" s="19"/>
    </row>
    <row r="5058">
      <c r="A5058" s="9"/>
      <c r="B5058" s="15"/>
      <c r="C5058" s="9">
        <f>IFERROR(__xludf.DUMMYFUNCTION("""COMPUTED_VALUE"""),44552.4206630787)</f>
        <v>44552.42066</v>
      </c>
      <c r="D5058" s="15">
        <f>IFERROR(__xludf.DUMMYFUNCTION("""COMPUTED_VALUE"""),1.015)</f>
        <v>1.015</v>
      </c>
      <c r="E5058" s="16">
        <f>IFERROR(__xludf.DUMMYFUNCTION("""COMPUTED_VALUE"""),68.0)</f>
        <v>68</v>
      </c>
      <c r="F5058" s="19" t="str">
        <f>IFERROR(__xludf.DUMMYFUNCTION("""COMPUTED_VALUE"""),"BLACK")</f>
        <v>BLACK</v>
      </c>
      <c r="G5058" s="20" t="str">
        <f>IFERROR(__xludf.DUMMYFUNCTION("""COMPUTED_VALUE"""),"Uncle Sams Cider (11/12/2021) 02")</f>
        <v>Uncle Sams Cider (11/12/2021) 02</v>
      </c>
      <c r="H5058" s="19"/>
    </row>
    <row r="5059">
      <c r="A5059" s="9"/>
      <c r="B5059" s="15"/>
      <c r="C5059" s="9">
        <f>IFERROR(__xludf.DUMMYFUNCTION("""COMPUTED_VALUE"""),44552.4102303703)</f>
        <v>44552.41023</v>
      </c>
      <c r="D5059" s="15">
        <f>IFERROR(__xludf.DUMMYFUNCTION("""COMPUTED_VALUE"""),1.016)</f>
        <v>1.016</v>
      </c>
      <c r="E5059" s="16">
        <f>IFERROR(__xludf.DUMMYFUNCTION("""COMPUTED_VALUE"""),68.0)</f>
        <v>68</v>
      </c>
      <c r="F5059" s="19" t="str">
        <f>IFERROR(__xludf.DUMMYFUNCTION("""COMPUTED_VALUE"""),"BLACK")</f>
        <v>BLACK</v>
      </c>
      <c r="G5059" s="20" t="str">
        <f>IFERROR(__xludf.DUMMYFUNCTION("""COMPUTED_VALUE"""),"Uncle Sams Cider (11/12/2021) 02")</f>
        <v>Uncle Sams Cider (11/12/2021) 02</v>
      </c>
      <c r="H5059" s="19"/>
    </row>
    <row r="5060">
      <c r="A5060" s="9"/>
      <c r="B5060" s="15"/>
      <c r="C5060" s="9">
        <f>IFERROR(__xludf.DUMMYFUNCTION("""COMPUTED_VALUE"""),44552.3997954398)</f>
        <v>44552.3998</v>
      </c>
      <c r="D5060" s="15">
        <f>IFERROR(__xludf.DUMMYFUNCTION("""COMPUTED_VALUE"""),1.016)</f>
        <v>1.016</v>
      </c>
      <c r="E5060" s="16">
        <f>IFERROR(__xludf.DUMMYFUNCTION("""COMPUTED_VALUE"""),68.0)</f>
        <v>68</v>
      </c>
      <c r="F5060" s="19" t="str">
        <f>IFERROR(__xludf.DUMMYFUNCTION("""COMPUTED_VALUE"""),"BLACK")</f>
        <v>BLACK</v>
      </c>
      <c r="G5060" s="20" t="str">
        <f>IFERROR(__xludf.DUMMYFUNCTION("""COMPUTED_VALUE"""),"Uncle Sams Cider (11/12/2021) 02")</f>
        <v>Uncle Sams Cider (11/12/2021) 02</v>
      </c>
      <c r="H5060" s="19"/>
    </row>
    <row r="5061">
      <c r="A5061" s="9"/>
      <c r="B5061" s="15"/>
      <c r="C5061" s="9">
        <f>IFERROR(__xludf.DUMMYFUNCTION("""COMPUTED_VALUE"""),44552.3893626504)</f>
        <v>44552.38936</v>
      </c>
      <c r="D5061" s="15">
        <f>IFERROR(__xludf.DUMMYFUNCTION("""COMPUTED_VALUE"""),1.015)</f>
        <v>1.015</v>
      </c>
      <c r="E5061" s="16">
        <f>IFERROR(__xludf.DUMMYFUNCTION("""COMPUTED_VALUE"""),68.0)</f>
        <v>68</v>
      </c>
      <c r="F5061" s="19" t="str">
        <f>IFERROR(__xludf.DUMMYFUNCTION("""COMPUTED_VALUE"""),"BLACK")</f>
        <v>BLACK</v>
      </c>
      <c r="G5061" s="20" t="str">
        <f>IFERROR(__xludf.DUMMYFUNCTION("""COMPUTED_VALUE"""),"Uncle Sams Cider (11/12/2021) 02")</f>
        <v>Uncle Sams Cider (11/12/2021) 02</v>
      </c>
      <c r="H5061" s="19"/>
    </row>
    <row r="5062">
      <c r="A5062" s="9"/>
      <c r="B5062" s="15"/>
      <c r="C5062" s="9">
        <f>IFERROR(__xludf.DUMMYFUNCTION("""COMPUTED_VALUE"""),44552.378941574)</f>
        <v>44552.37894</v>
      </c>
      <c r="D5062" s="15">
        <f>IFERROR(__xludf.DUMMYFUNCTION("""COMPUTED_VALUE"""),1.016)</f>
        <v>1.016</v>
      </c>
      <c r="E5062" s="16">
        <f>IFERROR(__xludf.DUMMYFUNCTION("""COMPUTED_VALUE"""),68.0)</f>
        <v>68</v>
      </c>
      <c r="F5062" s="19" t="str">
        <f>IFERROR(__xludf.DUMMYFUNCTION("""COMPUTED_VALUE"""),"BLACK")</f>
        <v>BLACK</v>
      </c>
      <c r="G5062" s="20" t="str">
        <f>IFERROR(__xludf.DUMMYFUNCTION("""COMPUTED_VALUE"""),"Uncle Sams Cider (11/12/2021) 02")</f>
        <v>Uncle Sams Cider (11/12/2021) 02</v>
      </c>
      <c r="H5062" s="19"/>
    </row>
    <row r="5063">
      <c r="A5063" s="9"/>
      <c r="B5063" s="15"/>
      <c r="C5063" s="9">
        <f>IFERROR(__xludf.DUMMYFUNCTION("""COMPUTED_VALUE"""),44552.3685076736)</f>
        <v>44552.36851</v>
      </c>
      <c r="D5063" s="15">
        <f>IFERROR(__xludf.DUMMYFUNCTION("""COMPUTED_VALUE"""),1.016)</f>
        <v>1.016</v>
      </c>
      <c r="E5063" s="16">
        <f>IFERROR(__xludf.DUMMYFUNCTION("""COMPUTED_VALUE"""),68.0)</f>
        <v>68</v>
      </c>
      <c r="F5063" s="19" t="str">
        <f>IFERROR(__xludf.DUMMYFUNCTION("""COMPUTED_VALUE"""),"BLACK")</f>
        <v>BLACK</v>
      </c>
      <c r="G5063" s="20" t="str">
        <f>IFERROR(__xludf.DUMMYFUNCTION("""COMPUTED_VALUE"""),"Uncle Sams Cider (11/12/2021) 02")</f>
        <v>Uncle Sams Cider (11/12/2021) 02</v>
      </c>
      <c r="H5063" s="19"/>
    </row>
    <row r="5064">
      <c r="A5064" s="9"/>
      <c r="B5064" s="15"/>
      <c r="C5064" s="9">
        <f>IFERROR(__xludf.DUMMYFUNCTION("""COMPUTED_VALUE"""),44552.3579824189)</f>
        <v>44552.35798</v>
      </c>
      <c r="D5064" s="15">
        <f>IFERROR(__xludf.DUMMYFUNCTION("""COMPUTED_VALUE"""),1.016)</f>
        <v>1.016</v>
      </c>
      <c r="E5064" s="16">
        <f>IFERROR(__xludf.DUMMYFUNCTION("""COMPUTED_VALUE"""),67.0)</f>
        <v>67</v>
      </c>
      <c r="F5064" s="19" t="str">
        <f>IFERROR(__xludf.DUMMYFUNCTION("""COMPUTED_VALUE"""),"BLACK")</f>
        <v>BLACK</v>
      </c>
      <c r="G5064" s="20" t="str">
        <f>IFERROR(__xludf.DUMMYFUNCTION("""COMPUTED_VALUE"""),"Uncle Sams Cider (11/12/2021) 02")</f>
        <v>Uncle Sams Cider (11/12/2021) 02</v>
      </c>
      <c r="H5064" s="19"/>
    </row>
    <row r="5065">
      <c r="A5065" s="9"/>
      <c r="B5065" s="15"/>
      <c r="C5065" s="9">
        <f>IFERROR(__xludf.DUMMYFUNCTION("""COMPUTED_VALUE"""),44552.3475508101)</f>
        <v>44552.34755</v>
      </c>
      <c r="D5065" s="15">
        <f>IFERROR(__xludf.DUMMYFUNCTION("""COMPUTED_VALUE"""),1.016)</f>
        <v>1.016</v>
      </c>
      <c r="E5065" s="16">
        <f>IFERROR(__xludf.DUMMYFUNCTION("""COMPUTED_VALUE"""),67.0)</f>
        <v>67</v>
      </c>
      <c r="F5065" s="19" t="str">
        <f>IFERROR(__xludf.DUMMYFUNCTION("""COMPUTED_VALUE"""),"BLACK")</f>
        <v>BLACK</v>
      </c>
      <c r="G5065" s="20" t="str">
        <f>IFERROR(__xludf.DUMMYFUNCTION("""COMPUTED_VALUE"""),"Uncle Sams Cider (11/12/2021) 02")</f>
        <v>Uncle Sams Cider (11/12/2021) 02</v>
      </c>
      <c r="H5065" s="19"/>
    </row>
    <row r="5066">
      <c r="A5066" s="9"/>
      <c r="B5066" s="15"/>
      <c r="C5066" s="9">
        <f>IFERROR(__xludf.DUMMYFUNCTION("""COMPUTED_VALUE"""),44552.337128912)</f>
        <v>44552.33713</v>
      </c>
      <c r="D5066" s="15">
        <f>IFERROR(__xludf.DUMMYFUNCTION("""COMPUTED_VALUE"""),1.016)</f>
        <v>1.016</v>
      </c>
      <c r="E5066" s="16">
        <f>IFERROR(__xludf.DUMMYFUNCTION("""COMPUTED_VALUE"""),67.0)</f>
        <v>67</v>
      </c>
      <c r="F5066" s="19" t="str">
        <f>IFERROR(__xludf.DUMMYFUNCTION("""COMPUTED_VALUE"""),"BLACK")</f>
        <v>BLACK</v>
      </c>
      <c r="G5066" s="20" t="str">
        <f>IFERROR(__xludf.DUMMYFUNCTION("""COMPUTED_VALUE"""),"Uncle Sams Cider (11/12/2021) 02")</f>
        <v>Uncle Sams Cider (11/12/2021) 02</v>
      </c>
      <c r="H5066" s="19"/>
    </row>
    <row r="5067">
      <c r="A5067" s="9"/>
      <c r="B5067" s="15"/>
      <c r="C5067" s="9">
        <f>IFERROR(__xludf.DUMMYFUNCTION("""COMPUTED_VALUE"""),44552.3266849768)</f>
        <v>44552.32668</v>
      </c>
      <c r="D5067" s="15">
        <f>IFERROR(__xludf.DUMMYFUNCTION("""COMPUTED_VALUE"""),1.016)</f>
        <v>1.016</v>
      </c>
      <c r="E5067" s="16">
        <f>IFERROR(__xludf.DUMMYFUNCTION("""COMPUTED_VALUE"""),66.0)</f>
        <v>66</v>
      </c>
      <c r="F5067" s="19" t="str">
        <f>IFERROR(__xludf.DUMMYFUNCTION("""COMPUTED_VALUE"""),"BLACK")</f>
        <v>BLACK</v>
      </c>
      <c r="G5067" s="20" t="str">
        <f>IFERROR(__xludf.DUMMYFUNCTION("""COMPUTED_VALUE"""),"Uncle Sams Cider (11/12/2021) 02")</f>
        <v>Uncle Sams Cider (11/12/2021) 02</v>
      </c>
      <c r="H5067" s="19"/>
    </row>
    <row r="5068">
      <c r="A5068" s="9"/>
      <c r="B5068" s="15"/>
      <c r="C5068" s="9">
        <f>IFERROR(__xludf.DUMMYFUNCTION("""COMPUTED_VALUE"""),44552.3162632407)</f>
        <v>44552.31626</v>
      </c>
      <c r="D5068" s="15">
        <f>IFERROR(__xludf.DUMMYFUNCTION("""COMPUTED_VALUE"""),1.016)</f>
        <v>1.016</v>
      </c>
      <c r="E5068" s="16">
        <f>IFERROR(__xludf.DUMMYFUNCTION("""COMPUTED_VALUE"""),66.0)</f>
        <v>66</v>
      </c>
      <c r="F5068" s="19" t="str">
        <f>IFERROR(__xludf.DUMMYFUNCTION("""COMPUTED_VALUE"""),"BLACK")</f>
        <v>BLACK</v>
      </c>
      <c r="G5068" s="20" t="str">
        <f>IFERROR(__xludf.DUMMYFUNCTION("""COMPUTED_VALUE"""),"Uncle Sams Cider (11/12/2021) 02")</f>
        <v>Uncle Sams Cider (11/12/2021) 02</v>
      </c>
      <c r="H5068" s="19"/>
    </row>
    <row r="5069">
      <c r="A5069" s="9"/>
      <c r="B5069" s="15"/>
      <c r="C5069" s="9">
        <f>IFERROR(__xludf.DUMMYFUNCTION("""COMPUTED_VALUE"""),44552.3058433333)</f>
        <v>44552.30584</v>
      </c>
      <c r="D5069" s="15">
        <f>IFERROR(__xludf.DUMMYFUNCTION("""COMPUTED_VALUE"""),1.016)</f>
        <v>1.016</v>
      </c>
      <c r="E5069" s="16">
        <f>IFERROR(__xludf.DUMMYFUNCTION("""COMPUTED_VALUE"""),65.0)</f>
        <v>65</v>
      </c>
      <c r="F5069" s="19" t="str">
        <f>IFERROR(__xludf.DUMMYFUNCTION("""COMPUTED_VALUE"""),"BLACK")</f>
        <v>BLACK</v>
      </c>
      <c r="G5069" s="20" t="str">
        <f>IFERROR(__xludf.DUMMYFUNCTION("""COMPUTED_VALUE"""),"Uncle Sams Cider (11/12/2021) 02")</f>
        <v>Uncle Sams Cider (11/12/2021) 02</v>
      </c>
      <c r="H5069" s="19"/>
    </row>
    <row r="5070">
      <c r="A5070" s="9"/>
      <c r="B5070" s="15"/>
      <c r="C5070" s="9">
        <f>IFERROR(__xludf.DUMMYFUNCTION("""COMPUTED_VALUE"""),44552.2953986458)</f>
        <v>44552.2954</v>
      </c>
      <c r="D5070" s="15">
        <f>IFERROR(__xludf.DUMMYFUNCTION("""COMPUTED_VALUE"""),1.016)</f>
        <v>1.016</v>
      </c>
      <c r="E5070" s="16">
        <f>IFERROR(__xludf.DUMMYFUNCTION("""COMPUTED_VALUE"""),65.0)</f>
        <v>65</v>
      </c>
      <c r="F5070" s="19" t="str">
        <f>IFERROR(__xludf.DUMMYFUNCTION("""COMPUTED_VALUE"""),"BLACK")</f>
        <v>BLACK</v>
      </c>
      <c r="G5070" s="20" t="str">
        <f>IFERROR(__xludf.DUMMYFUNCTION("""COMPUTED_VALUE"""),"Uncle Sams Cider (11/12/2021) 02")</f>
        <v>Uncle Sams Cider (11/12/2021) 02</v>
      </c>
      <c r="H5070" s="19"/>
    </row>
    <row r="5071">
      <c r="A5071" s="9"/>
      <c r="B5071" s="15"/>
      <c r="C5071" s="9">
        <f>IFERROR(__xludf.DUMMYFUNCTION("""COMPUTED_VALUE"""),44552.2849657638)</f>
        <v>44552.28497</v>
      </c>
      <c r="D5071" s="15">
        <f>IFERROR(__xludf.DUMMYFUNCTION("""COMPUTED_VALUE"""),1.016)</f>
        <v>1.016</v>
      </c>
      <c r="E5071" s="16">
        <f>IFERROR(__xludf.DUMMYFUNCTION("""COMPUTED_VALUE"""),65.0)</f>
        <v>65</v>
      </c>
      <c r="F5071" s="19" t="str">
        <f>IFERROR(__xludf.DUMMYFUNCTION("""COMPUTED_VALUE"""),"BLACK")</f>
        <v>BLACK</v>
      </c>
      <c r="G5071" s="20" t="str">
        <f>IFERROR(__xludf.DUMMYFUNCTION("""COMPUTED_VALUE"""),"Uncle Sams Cider (11/12/2021) 02")</f>
        <v>Uncle Sams Cider (11/12/2021) 02</v>
      </c>
      <c r="H5071" s="19"/>
    </row>
    <row r="5072">
      <c r="A5072" s="9"/>
      <c r="B5072" s="15"/>
      <c r="C5072" s="9">
        <f>IFERROR(__xludf.DUMMYFUNCTION("""COMPUTED_VALUE"""),44552.2745428356)</f>
        <v>44552.27454</v>
      </c>
      <c r="D5072" s="15">
        <f>IFERROR(__xludf.DUMMYFUNCTION("""COMPUTED_VALUE"""),1.016)</f>
        <v>1.016</v>
      </c>
      <c r="E5072" s="16">
        <f>IFERROR(__xludf.DUMMYFUNCTION("""COMPUTED_VALUE"""),64.0)</f>
        <v>64</v>
      </c>
      <c r="F5072" s="19" t="str">
        <f>IFERROR(__xludf.DUMMYFUNCTION("""COMPUTED_VALUE"""),"BLACK")</f>
        <v>BLACK</v>
      </c>
      <c r="G5072" s="20" t="str">
        <f>IFERROR(__xludf.DUMMYFUNCTION("""COMPUTED_VALUE"""),"Uncle Sams Cider (11/12/2021) 02")</f>
        <v>Uncle Sams Cider (11/12/2021) 02</v>
      </c>
      <c r="H5072" s="19"/>
    </row>
    <row r="5073">
      <c r="A5073" s="9"/>
      <c r="B5073" s="15"/>
      <c r="C5073" s="9">
        <f>IFERROR(__xludf.DUMMYFUNCTION("""COMPUTED_VALUE"""),44552.2641222916)</f>
        <v>44552.26412</v>
      </c>
      <c r="D5073" s="15">
        <f>IFERROR(__xludf.DUMMYFUNCTION("""COMPUTED_VALUE"""),1.016)</f>
        <v>1.016</v>
      </c>
      <c r="E5073" s="16">
        <f>IFERROR(__xludf.DUMMYFUNCTION("""COMPUTED_VALUE"""),64.0)</f>
        <v>64</v>
      </c>
      <c r="F5073" s="19" t="str">
        <f>IFERROR(__xludf.DUMMYFUNCTION("""COMPUTED_VALUE"""),"BLACK")</f>
        <v>BLACK</v>
      </c>
      <c r="G5073" s="20" t="str">
        <f>IFERROR(__xludf.DUMMYFUNCTION("""COMPUTED_VALUE"""),"Uncle Sams Cider (11/12/2021) 02")</f>
        <v>Uncle Sams Cider (11/12/2021) 02</v>
      </c>
      <c r="H5073" s="19"/>
    </row>
    <row r="5074">
      <c r="A5074" s="9"/>
      <c r="B5074" s="15"/>
      <c r="C5074" s="9">
        <f>IFERROR(__xludf.DUMMYFUNCTION("""COMPUTED_VALUE"""),44552.2536879513)</f>
        <v>44552.25369</v>
      </c>
      <c r="D5074" s="15">
        <f>IFERROR(__xludf.DUMMYFUNCTION("""COMPUTED_VALUE"""),1.016)</f>
        <v>1.016</v>
      </c>
      <c r="E5074" s="16">
        <f>IFERROR(__xludf.DUMMYFUNCTION("""COMPUTED_VALUE"""),63.0)</f>
        <v>63</v>
      </c>
      <c r="F5074" s="19" t="str">
        <f>IFERROR(__xludf.DUMMYFUNCTION("""COMPUTED_VALUE"""),"BLACK")</f>
        <v>BLACK</v>
      </c>
      <c r="G5074" s="20" t="str">
        <f>IFERROR(__xludf.DUMMYFUNCTION("""COMPUTED_VALUE"""),"Uncle Sams Cider (11/12/2021) 02")</f>
        <v>Uncle Sams Cider (11/12/2021) 02</v>
      </c>
      <c r="H5074" s="19"/>
    </row>
    <row r="5075">
      <c r="A5075" s="9"/>
      <c r="B5075" s="15"/>
      <c r="C5075" s="9">
        <f>IFERROR(__xludf.DUMMYFUNCTION("""COMPUTED_VALUE"""),44552.24326728)</f>
        <v>44552.24327</v>
      </c>
      <c r="D5075" s="15">
        <f>IFERROR(__xludf.DUMMYFUNCTION("""COMPUTED_VALUE"""),1.016)</f>
        <v>1.016</v>
      </c>
      <c r="E5075" s="16">
        <f>IFERROR(__xludf.DUMMYFUNCTION("""COMPUTED_VALUE"""),63.0)</f>
        <v>63</v>
      </c>
      <c r="F5075" s="19" t="str">
        <f>IFERROR(__xludf.DUMMYFUNCTION("""COMPUTED_VALUE"""),"BLACK")</f>
        <v>BLACK</v>
      </c>
      <c r="G5075" s="20" t="str">
        <f>IFERROR(__xludf.DUMMYFUNCTION("""COMPUTED_VALUE"""),"Uncle Sams Cider (11/12/2021) 02")</f>
        <v>Uncle Sams Cider (11/12/2021) 02</v>
      </c>
      <c r="H5075" s="19"/>
    </row>
    <row r="5076">
      <c r="A5076" s="9"/>
      <c r="B5076" s="15"/>
      <c r="C5076" s="9">
        <f>IFERROR(__xludf.DUMMYFUNCTION("""COMPUTED_VALUE"""),44552.2328478703)</f>
        <v>44552.23285</v>
      </c>
      <c r="D5076" s="15">
        <f>IFERROR(__xludf.DUMMYFUNCTION("""COMPUTED_VALUE"""),1.016)</f>
        <v>1.016</v>
      </c>
      <c r="E5076" s="16">
        <f>IFERROR(__xludf.DUMMYFUNCTION("""COMPUTED_VALUE"""),63.0)</f>
        <v>63</v>
      </c>
      <c r="F5076" s="19" t="str">
        <f>IFERROR(__xludf.DUMMYFUNCTION("""COMPUTED_VALUE"""),"BLACK")</f>
        <v>BLACK</v>
      </c>
      <c r="G5076" s="20" t="str">
        <f>IFERROR(__xludf.DUMMYFUNCTION("""COMPUTED_VALUE"""),"Uncle Sams Cider (11/12/2021) 02")</f>
        <v>Uncle Sams Cider (11/12/2021) 02</v>
      </c>
      <c r="H5076" s="19"/>
    </row>
    <row r="5077">
      <c r="A5077" s="9"/>
      <c r="B5077" s="15"/>
      <c r="C5077" s="9">
        <f>IFERROR(__xludf.DUMMYFUNCTION("""COMPUTED_VALUE"""),44552.2224158101)</f>
        <v>44552.22242</v>
      </c>
      <c r="D5077" s="15">
        <f>IFERROR(__xludf.DUMMYFUNCTION("""COMPUTED_VALUE"""),1.016)</f>
        <v>1.016</v>
      </c>
      <c r="E5077" s="16">
        <f>IFERROR(__xludf.DUMMYFUNCTION("""COMPUTED_VALUE"""),63.0)</f>
        <v>63</v>
      </c>
      <c r="F5077" s="19" t="str">
        <f>IFERROR(__xludf.DUMMYFUNCTION("""COMPUTED_VALUE"""),"BLACK")</f>
        <v>BLACK</v>
      </c>
      <c r="G5077" s="20" t="str">
        <f>IFERROR(__xludf.DUMMYFUNCTION("""COMPUTED_VALUE"""),"Uncle Sams Cider (11/12/2021) 02")</f>
        <v>Uncle Sams Cider (11/12/2021) 02</v>
      </c>
      <c r="H5077" s="19"/>
    </row>
    <row r="5078">
      <c r="A5078" s="9"/>
      <c r="B5078" s="15"/>
      <c r="C5078" s="9">
        <f>IFERROR(__xludf.DUMMYFUNCTION("""COMPUTED_VALUE"""),44552.2119826736)</f>
        <v>44552.21198</v>
      </c>
      <c r="D5078" s="15">
        <f>IFERROR(__xludf.DUMMYFUNCTION("""COMPUTED_VALUE"""),1.016)</f>
        <v>1.016</v>
      </c>
      <c r="E5078" s="16">
        <f>IFERROR(__xludf.DUMMYFUNCTION("""COMPUTED_VALUE"""),63.0)</f>
        <v>63</v>
      </c>
      <c r="F5078" s="19" t="str">
        <f>IFERROR(__xludf.DUMMYFUNCTION("""COMPUTED_VALUE"""),"BLACK")</f>
        <v>BLACK</v>
      </c>
      <c r="G5078" s="20" t="str">
        <f>IFERROR(__xludf.DUMMYFUNCTION("""COMPUTED_VALUE"""),"Uncle Sams Cider (11/12/2021) 02")</f>
        <v>Uncle Sams Cider (11/12/2021) 02</v>
      </c>
      <c r="H5078" s="19"/>
    </row>
    <row r="5079">
      <c r="A5079" s="9"/>
      <c r="B5079" s="15"/>
      <c r="C5079" s="9">
        <f>IFERROR(__xludf.DUMMYFUNCTION("""COMPUTED_VALUE"""),44552.201561331)</f>
        <v>44552.20156</v>
      </c>
      <c r="D5079" s="15">
        <f>IFERROR(__xludf.DUMMYFUNCTION("""COMPUTED_VALUE"""),1.016)</f>
        <v>1.016</v>
      </c>
      <c r="E5079" s="16">
        <f>IFERROR(__xludf.DUMMYFUNCTION("""COMPUTED_VALUE"""),63.0)</f>
        <v>63</v>
      </c>
      <c r="F5079" s="19" t="str">
        <f>IFERROR(__xludf.DUMMYFUNCTION("""COMPUTED_VALUE"""),"BLACK")</f>
        <v>BLACK</v>
      </c>
      <c r="G5079" s="20" t="str">
        <f>IFERROR(__xludf.DUMMYFUNCTION("""COMPUTED_VALUE"""),"Uncle Sams Cider (11/12/2021) 02")</f>
        <v>Uncle Sams Cider (11/12/2021) 02</v>
      </c>
      <c r="H5079" s="19"/>
    </row>
    <row r="5080">
      <c r="A5080" s="9"/>
      <c r="B5080" s="15"/>
      <c r="C5080" s="9">
        <f>IFERROR(__xludf.DUMMYFUNCTION("""COMPUTED_VALUE"""),44552.1911394097)</f>
        <v>44552.19114</v>
      </c>
      <c r="D5080" s="15">
        <f>IFERROR(__xludf.DUMMYFUNCTION("""COMPUTED_VALUE"""),1.016)</f>
        <v>1.016</v>
      </c>
      <c r="E5080" s="16">
        <f>IFERROR(__xludf.DUMMYFUNCTION("""COMPUTED_VALUE"""),63.0)</f>
        <v>63</v>
      </c>
      <c r="F5080" s="19" t="str">
        <f>IFERROR(__xludf.DUMMYFUNCTION("""COMPUTED_VALUE"""),"BLACK")</f>
        <v>BLACK</v>
      </c>
      <c r="G5080" s="20" t="str">
        <f>IFERROR(__xludf.DUMMYFUNCTION("""COMPUTED_VALUE"""),"Uncle Sams Cider (11/12/2021) 02")</f>
        <v>Uncle Sams Cider (11/12/2021) 02</v>
      </c>
      <c r="H5080" s="19"/>
    </row>
    <row r="5081">
      <c r="A5081" s="9"/>
      <c r="B5081" s="15"/>
      <c r="C5081" s="9">
        <f>IFERROR(__xludf.DUMMYFUNCTION("""COMPUTED_VALUE"""),44552.1807191435)</f>
        <v>44552.18072</v>
      </c>
      <c r="D5081" s="15">
        <f>IFERROR(__xludf.DUMMYFUNCTION("""COMPUTED_VALUE"""),1.016)</f>
        <v>1.016</v>
      </c>
      <c r="E5081" s="16">
        <f>IFERROR(__xludf.DUMMYFUNCTION("""COMPUTED_VALUE"""),63.0)</f>
        <v>63</v>
      </c>
      <c r="F5081" s="19" t="str">
        <f>IFERROR(__xludf.DUMMYFUNCTION("""COMPUTED_VALUE"""),"BLACK")</f>
        <v>BLACK</v>
      </c>
      <c r="G5081" s="20" t="str">
        <f>IFERROR(__xludf.DUMMYFUNCTION("""COMPUTED_VALUE"""),"Uncle Sams Cider (11/12/2021) 02")</f>
        <v>Uncle Sams Cider (11/12/2021) 02</v>
      </c>
      <c r="H5081" s="19"/>
    </row>
    <row r="5082">
      <c r="A5082" s="9"/>
      <c r="B5082" s="15"/>
      <c r="C5082" s="9">
        <f>IFERROR(__xludf.DUMMYFUNCTION("""COMPUTED_VALUE"""),44552.1703002546)</f>
        <v>44552.1703</v>
      </c>
      <c r="D5082" s="15">
        <f>IFERROR(__xludf.DUMMYFUNCTION("""COMPUTED_VALUE"""),1.016)</f>
        <v>1.016</v>
      </c>
      <c r="E5082" s="16">
        <f>IFERROR(__xludf.DUMMYFUNCTION("""COMPUTED_VALUE"""),63.0)</f>
        <v>63</v>
      </c>
      <c r="F5082" s="19" t="str">
        <f>IFERROR(__xludf.DUMMYFUNCTION("""COMPUTED_VALUE"""),"BLACK")</f>
        <v>BLACK</v>
      </c>
      <c r="G5082" s="20" t="str">
        <f>IFERROR(__xludf.DUMMYFUNCTION("""COMPUTED_VALUE"""),"Uncle Sams Cider (11/12/2021) 02")</f>
        <v>Uncle Sams Cider (11/12/2021) 02</v>
      </c>
      <c r="H5082" s="19"/>
    </row>
    <row r="5083">
      <c r="A5083" s="9"/>
      <c r="B5083" s="15"/>
      <c r="C5083" s="9">
        <f>IFERROR(__xludf.DUMMYFUNCTION("""COMPUTED_VALUE"""),44552.1598676967)</f>
        <v>44552.15987</v>
      </c>
      <c r="D5083" s="15">
        <f>IFERROR(__xludf.DUMMYFUNCTION("""COMPUTED_VALUE"""),1.016)</f>
        <v>1.016</v>
      </c>
      <c r="E5083" s="16">
        <f>IFERROR(__xludf.DUMMYFUNCTION("""COMPUTED_VALUE"""),63.0)</f>
        <v>63</v>
      </c>
      <c r="F5083" s="19" t="str">
        <f>IFERROR(__xludf.DUMMYFUNCTION("""COMPUTED_VALUE"""),"BLACK")</f>
        <v>BLACK</v>
      </c>
      <c r="G5083" s="20" t="str">
        <f>IFERROR(__xludf.DUMMYFUNCTION("""COMPUTED_VALUE"""),"Uncle Sams Cider (11/12/2021) 02")</f>
        <v>Uncle Sams Cider (11/12/2021) 02</v>
      </c>
      <c r="H5083" s="19"/>
    </row>
    <row r="5084">
      <c r="A5084" s="9"/>
      <c r="B5084" s="15"/>
      <c r="C5084" s="9">
        <f>IFERROR(__xludf.DUMMYFUNCTION("""COMPUTED_VALUE"""),44552.149448449)</f>
        <v>44552.14945</v>
      </c>
      <c r="D5084" s="15">
        <f>IFERROR(__xludf.DUMMYFUNCTION("""COMPUTED_VALUE"""),1.016)</f>
        <v>1.016</v>
      </c>
      <c r="E5084" s="16">
        <f>IFERROR(__xludf.DUMMYFUNCTION("""COMPUTED_VALUE"""),63.0)</f>
        <v>63</v>
      </c>
      <c r="F5084" s="19" t="str">
        <f>IFERROR(__xludf.DUMMYFUNCTION("""COMPUTED_VALUE"""),"BLACK")</f>
        <v>BLACK</v>
      </c>
      <c r="G5084" s="20" t="str">
        <f>IFERROR(__xludf.DUMMYFUNCTION("""COMPUTED_VALUE"""),"Uncle Sams Cider (11/12/2021) 02")</f>
        <v>Uncle Sams Cider (11/12/2021) 02</v>
      </c>
      <c r="H5084" s="19"/>
    </row>
    <row r="5085">
      <c r="A5085" s="9"/>
      <c r="B5085" s="15"/>
      <c r="C5085" s="9">
        <f>IFERROR(__xludf.DUMMYFUNCTION("""COMPUTED_VALUE"""),44552.1389682986)</f>
        <v>44552.13897</v>
      </c>
      <c r="D5085" s="15">
        <f>IFERROR(__xludf.DUMMYFUNCTION("""COMPUTED_VALUE"""),1.016)</f>
        <v>1.016</v>
      </c>
      <c r="E5085" s="16">
        <f>IFERROR(__xludf.DUMMYFUNCTION("""COMPUTED_VALUE"""),63.0)</f>
        <v>63</v>
      </c>
      <c r="F5085" s="19" t="str">
        <f>IFERROR(__xludf.DUMMYFUNCTION("""COMPUTED_VALUE"""),"BLACK")</f>
        <v>BLACK</v>
      </c>
      <c r="G5085" s="20" t="str">
        <f>IFERROR(__xludf.DUMMYFUNCTION("""COMPUTED_VALUE"""),"Uncle Sams Cider (11/12/2021) 02")</f>
        <v>Uncle Sams Cider (11/12/2021) 02</v>
      </c>
      <c r="H5085" s="19"/>
    </row>
    <row r="5086">
      <c r="A5086" s="9"/>
      <c r="B5086" s="15"/>
      <c r="C5086" s="9">
        <f>IFERROR(__xludf.DUMMYFUNCTION("""COMPUTED_VALUE"""),44552.128535949)</f>
        <v>44552.12854</v>
      </c>
      <c r="D5086" s="15">
        <f>IFERROR(__xludf.DUMMYFUNCTION("""COMPUTED_VALUE"""),1.016)</f>
        <v>1.016</v>
      </c>
      <c r="E5086" s="16">
        <f>IFERROR(__xludf.DUMMYFUNCTION("""COMPUTED_VALUE"""),63.0)</f>
        <v>63</v>
      </c>
      <c r="F5086" s="19" t="str">
        <f>IFERROR(__xludf.DUMMYFUNCTION("""COMPUTED_VALUE"""),"BLACK")</f>
        <v>BLACK</v>
      </c>
      <c r="G5086" s="20" t="str">
        <f>IFERROR(__xludf.DUMMYFUNCTION("""COMPUTED_VALUE"""),"Uncle Sams Cider (11/12/2021) 02")</f>
        <v>Uncle Sams Cider (11/12/2021) 02</v>
      </c>
      <c r="H5086" s="19"/>
    </row>
    <row r="5087">
      <c r="A5087" s="9"/>
      <c r="B5087" s="15"/>
      <c r="C5087" s="9">
        <f>IFERROR(__xludf.DUMMYFUNCTION("""COMPUTED_VALUE"""),44552.1181045833)</f>
        <v>44552.1181</v>
      </c>
      <c r="D5087" s="15">
        <f>IFERROR(__xludf.DUMMYFUNCTION("""COMPUTED_VALUE"""),1.016)</f>
        <v>1.016</v>
      </c>
      <c r="E5087" s="16">
        <f>IFERROR(__xludf.DUMMYFUNCTION("""COMPUTED_VALUE"""),63.0)</f>
        <v>63</v>
      </c>
      <c r="F5087" s="19" t="str">
        <f>IFERROR(__xludf.DUMMYFUNCTION("""COMPUTED_VALUE"""),"BLACK")</f>
        <v>BLACK</v>
      </c>
      <c r="G5087" s="20" t="str">
        <f>IFERROR(__xludf.DUMMYFUNCTION("""COMPUTED_VALUE"""),"Uncle Sams Cider (11/12/2021) 02")</f>
        <v>Uncle Sams Cider (11/12/2021) 02</v>
      </c>
      <c r="H5087" s="19"/>
    </row>
    <row r="5088">
      <c r="A5088" s="9"/>
      <c r="B5088" s="15"/>
      <c r="C5088" s="9">
        <f>IFERROR(__xludf.DUMMYFUNCTION("""COMPUTED_VALUE"""),44552.1076482754)</f>
        <v>44552.10765</v>
      </c>
      <c r="D5088" s="15">
        <f>IFERROR(__xludf.DUMMYFUNCTION("""COMPUTED_VALUE"""),1.016)</f>
        <v>1.016</v>
      </c>
      <c r="E5088" s="16">
        <f>IFERROR(__xludf.DUMMYFUNCTION("""COMPUTED_VALUE"""),63.0)</f>
        <v>63</v>
      </c>
      <c r="F5088" s="19" t="str">
        <f>IFERROR(__xludf.DUMMYFUNCTION("""COMPUTED_VALUE"""),"BLACK")</f>
        <v>BLACK</v>
      </c>
      <c r="G5088" s="20" t="str">
        <f>IFERROR(__xludf.DUMMYFUNCTION("""COMPUTED_VALUE"""),"Uncle Sams Cider (11/12/2021) 02")</f>
        <v>Uncle Sams Cider (11/12/2021) 02</v>
      </c>
      <c r="H5088" s="19"/>
    </row>
    <row r="5089">
      <c r="A5089" s="9"/>
      <c r="B5089" s="15"/>
      <c r="C5089" s="9">
        <f>IFERROR(__xludf.DUMMYFUNCTION("""COMPUTED_VALUE"""),44552.0971921643)</f>
        <v>44552.09719</v>
      </c>
      <c r="D5089" s="15">
        <f>IFERROR(__xludf.DUMMYFUNCTION("""COMPUTED_VALUE"""),1.016)</f>
        <v>1.016</v>
      </c>
      <c r="E5089" s="16">
        <f>IFERROR(__xludf.DUMMYFUNCTION("""COMPUTED_VALUE"""),63.0)</f>
        <v>63</v>
      </c>
      <c r="F5089" s="19" t="str">
        <f>IFERROR(__xludf.DUMMYFUNCTION("""COMPUTED_VALUE"""),"BLACK")</f>
        <v>BLACK</v>
      </c>
      <c r="G5089" s="20" t="str">
        <f>IFERROR(__xludf.DUMMYFUNCTION("""COMPUTED_VALUE"""),"Uncle Sams Cider (11/12/2021) 02")</f>
        <v>Uncle Sams Cider (11/12/2021) 02</v>
      </c>
      <c r="H5089" s="19"/>
    </row>
    <row r="5090">
      <c r="A5090" s="9"/>
      <c r="B5090" s="15"/>
      <c r="C5090" s="9">
        <f>IFERROR(__xludf.DUMMYFUNCTION("""COMPUTED_VALUE"""),44552.0867588657)</f>
        <v>44552.08676</v>
      </c>
      <c r="D5090" s="15">
        <f>IFERROR(__xludf.DUMMYFUNCTION("""COMPUTED_VALUE"""),1.016)</f>
        <v>1.016</v>
      </c>
      <c r="E5090" s="16">
        <f>IFERROR(__xludf.DUMMYFUNCTION("""COMPUTED_VALUE"""),63.0)</f>
        <v>63</v>
      </c>
      <c r="F5090" s="19" t="str">
        <f>IFERROR(__xludf.DUMMYFUNCTION("""COMPUTED_VALUE"""),"BLACK")</f>
        <v>BLACK</v>
      </c>
      <c r="G5090" s="20" t="str">
        <f>IFERROR(__xludf.DUMMYFUNCTION("""COMPUTED_VALUE"""),"Uncle Sams Cider (11/12/2021) 02")</f>
        <v>Uncle Sams Cider (11/12/2021) 02</v>
      </c>
      <c r="H5090" s="19"/>
    </row>
    <row r="5091">
      <c r="A5091" s="9"/>
      <c r="B5091" s="15"/>
      <c r="C5091" s="9">
        <f>IFERROR(__xludf.DUMMYFUNCTION("""COMPUTED_VALUE"""),44552.0763146296)</f>
        <v>44552.07631</v>
      </c>
      <c r="D5091" s="15">
        <f>IFERROR(__xludf.DUMMYFUNCTION("""COMPUTED_VALUE"""),1.016)</f>
        <v>1.016</v>
      </c>
      <c r="E5091" s="16">
        <f>IFERROR(__xludf.DUMMYFUNCTION("""COMPUTED_VALUE"""),63.0)</f>
        <v>63</v>
      </c>
      <c r="F5091" s="19" t="str">
        <f>IFERROR(__xludf.DUMMYFUNCTION("""COMPUTED_VALUE"""),"BLACK")</f>
        <v>BLACK</v>
      </c>
      <c r="G5091" s="20" t="str">
        <f>IFERROR(__xludf.DUMMYFUNCTION("""COMPUTED_VALUE"""),"Uncle Sams Cider (11/12/2021) 02")</f>
        <v>Uncle Sams Cider (11/12/2021) 02</v>
      </c>
      <c r="H5091" s="19"/>
    </row>
    <row r="5092">
      <c r="A5092" s="9"/>
      <c r="B5092" s="15"/>
      <c r="C5092" s="9">
        <f>IFERROR(__xludf.DUMMYFUNCTION("""COMPUTED_VALUE"""),44552.065870706)</f>
        <v>44552.06587</v>
      </c>
      <c r="D5092" s="15">
        <f>IFERROR(__xludf.DUMMYFUNCTION("""COMPUTED_VALUE"""),1.016)</f>
        <v>1.016</v>
      </c>
      <c r="E5092" s="16">
        <f>IFERROR(__xludf.DUMMYFUNCTION("""COMPUTED_VALUE"""),63.0)</f>
        <v>63</v>
      </c>
      <c r="F5092" s="19" t="str">
        <f>IFERROR(__xludf.DUMMYFUNCTION("""COMPUTED_VALUE"""),"BLACK")</f>
        <v>BLACK</v>
      </c>
      <c r="G5092" s="20" t="str">
        <f>IFERROR(__xludf.DUMMYFUNCTION("""COMPUTED_VALUE"""),"Uncle Sams Cider (11/12/2021) 02")</f>
        <v>Uncle Sams Cider (11/12/2021) 02</v>
      </c>
      <c r="H5092" s="19"/>
    </row>
    <row r="5093">
      <c r="A5093" s="9"/>
      <c r="B5093" s="15"/>
      <c r="C5093" s="9">
        <f>IFERROR(__xludf.DUMMYFUNCTION("""COMPUTED_VALUE"""),44552.055437037)</f>
        <v>44552.05544</v>
      </c>
      <c r="D5093" s="15">
        <f>IFERROR(__xludf.DUMMYFUNCTION("""COMPUTED_VALUE"""),1.016)</f>
        <v>1.016</v>
      </c>
      <c r="E5093" s="16">
        <f>IFERROR(__xludf.DUMMYFUNCTION("""COMPUTED_VALUE"""),63.0)</f>
        <v>63</v>
      </c>
      <c r="F5093" s="19" t="str">
        <f>IFERROR(__xludf.DUMMYFUNCTION("""COMPUTED_VALUE"""),"BLACK")</f>
        <v>BLACK</v>
      </c>
      <c r="G5093" s="20" t="str">
        <f>IFERROR(__xludf.DUMMYFUNCTION("""COMPUTED_VALUE"""),"Uncle Sams Cider (11/12/2021) 02")</f>
        <v>Uncle Sams Cider (11/12/2021) 02</v>
      </c>
      <c r="H5093" s="19"/>
    </row>
    <row r="5094">
      <c r="A5094" s="9"/>
      <c r="B5094" s="15"/>
      <c r="C5094" s="9">
        <f>IFERROR(__xludf.DUMMYFUNCTION("""COMPUTED_VALUE"""),44552.0450149074)</f>
        <v>44552.04501</v>
      </c>
      <c r="D5094" s="15">
        <f>IFERROR(__xludf.DUMMYFUNCTION("""COMPUTED_VALUE"""),1.016)</f>
        <v>1.016</v>
      </c>
      <c r="E5094" s="16">
        <f>IFERROR(__xludf.DUMMYFUNCTION("""COMPUTED_VALUE"""),63.0)</f>
        <v>63</v>
      </c>
      <c r="F5094" s="19" t="str">
        <f>IFERROR(__xludf.DUMMYFUNCTION("""COMPUTED_VALUE"""),"BLACK")</f>
        <v>BLACK</v>
      </c>
      <c r="G5094" s="20" t="str">
        <f>IFERROR(__xludf.DUMMYFUNCTION("""COMPUTED_VALUE"""),"Uncle Sams Cider (11/12/2021) 02")</f>
        <v>Uncle Sams Cider (11/12/2021) 02</v>
      </c>
      <c r="H5094" s="19"/>
    </row>
    <row r="5095">
      <c r="A5095" s="9"/>
      <c r="B5095" s="15"/>
      <c r="C5095" s="9">
        <f>IFERROR(__xludf.DUMMYFUNCTION("""COMPUTED_VALUE"""),44552.0345477662)</f>
        <v>44552.03455</v>
      </c>
      <c r="D5095" s="15">
        <f>IFERROR(__xludf.DUMMYFUNCTION("""COMPUTED_VALUE"""),1.016)</f>
        <v>1.016</v>
      </c>
      <c r="E5095" s="16">
        <f>IFERROR(__xludf.DUMMYFUNCTION("""COMPUTED_VALUE"""),63.0)</f>
        <v>63</v>
      </c>
      <c r="F5095" s="19" t="str">
        <f>IFERROR(__xludf.DUMMYFUNCTION("""COMPUTED_VALUE"""),"BLACK")</f>
        <v>BLACK</v>
      </c>
      <c r="G5095" s="20" t="str">
        <f>IFERROR(__xludf.DUMMYFUNCTION("""COMPUTED_VALUE"""),"Uncle Sams Cider (11/12/2021) 02")</f>
        <v>Uncle Sams Cider (11/12/2021) 02</v>
      </c>
      <c r="H5095" s="19"/>
    </row>
    <row r="5096">
      <c r="A5096" s="9"/>
      <c r="B5096" s="15"/>
      <c r="C5096" s="9">
        <f>IFERROR(__xludf.DUMMYFUNCTION("""COMPUTED_VALUE"""),44552.0241175347)</f>
        <v>44552.02412</v>
      </c>
      <c r="D5096" s="15">
        <f>IFERROR(__xludf.DUMMYFUNCTION("""COMPUTED_VALUE"""),1.016)</f>
        <v>1.016</v>
      </c>
      <c r="E5096" s="16">
        <f>IFERROR(__xludf.DUMMYFUNCTION("""COMPUTED_VALUE"""),63.0)</f>
        <v>63</v>
      </c>
      <c r="F5096" s="19" t="str">
        <f>IFERROR(__xludf.DUMMYFUNCTION("""COMPUTED_VALUE"""),"BLACK")</f>
        <v>BLACK</v>
      </c>
      <c r="G5096" s="20" t="str">
        <f>IFERROR(__xludf.DUMMYFUNCTION("""COMPUTED_VALUE"""),"Uncle Sams Cider (11/12/2021) 02")</f>
        <v>Uncle Sams Cider (11/12/2021) 02</v>
      </c>
      <c r="H5096" s="19"/>
    </row>
    <row r="5097">
      <c r="A5097" s="9"/>
      <c r="B5097" s="15"/>
      <c r="C5097" s="9">
        <f>IFERROR(__xludf.DUMMYFUNCTION("""COMPUTED_VALUE"""),44552.0136965277)</f>
        <v>44552.0137</v>
      </c>
      <c r="D5097" s="15">
        <f>IFERROR(__xludf.DUMMYFUNCTION("""COMPUTED_VALUE"""),1.016)</f>
        <v>1.016</v>
      </c>
      <c r="E5097" s="16">
        <f>IFERROR(__xludf.DUMMYFUNCTION("""COMPUTED_VALUE"""),63.0)</f>
        <v>63</v>
      </c>
      <c r="F5097" s="19" t="str">
        <f>IFERROR(__xludf.DUMMYFUNCTION("""COMPUTED_VALUE"""),"BLACK")</f>
        <v>BLACK</v>
      </c>
      <c r="G5097" s="20" t="str">
        <f>IFERROR(__xludf.DUMMYFUNCTION("""COMPUTED_VALUE"""),"Uncle Sams Cider (11/12/2021) 02")</f>
        <v>Uncle Sams Cider (11/12/2021) 02</v>
      </c>
      <c r="H5097" s="19"/>
    </row>
    <row r="5098">
      <c r="A5098" s="9"/>
      <c r="B5098" s="15"/>
      <c r="C5098" s="9">
        <f>IFERROR(__xludf.DUMMYFUNCTION("""COMPUTED_VALUE"""),44552.0032637268)</f>
        <v>44552.00326</v>
      </c>
      <c r="D5098" s="15">
        <f>IFERROR(__xludf.DUMMYFUNCTION("""COMPUTED_VALUE"""),1.016)</f>
        <v>1.016</v>
      </c>
      <c r="E5098" s="16">
        <f>IFERROR(__xludf.DUMMYFUNCTION("""COMPUTED_VALUE"""),63.0)</f>
        <v>63</v>
      </c>
      <c r="F5098" s="19" t="str">
        <f>IFERROR(__xludf.DUMMYFUNCTION("""COMPUTED_VALUE"""),"BLACK")</f>
        <v>BLACK</v>
      </c>
      <c r="G5098" s="20" t="str">
        <f>IFERROR(__xludf.DUMMYFUNCTION("""COMPUTED_VALUE"""),"Uncle Sams Cider (11/12/2021) 02")</f>
        <v>Uncle Sams Cider (11/12/2021) 02</v>
      </c>
      <c r="H5098" s="19"/>
    </row>
    <row r="5099">
      <c r="A5099" s="9"/>
      <c r="B5099" s="15"/>
      <c r="C5099" s="9">
        <f>IFERROR(__xludf.DUMMYFUNCTION("""COMPUTED_VALUE"""),44551.9928401736)</f>
        <v>44551.99284</v>
      </c>
      <c r="D5099" s="15">
        <f>IFERROR(__xludf.DUMMYFUNCTION("""COMPUTED_VALUE"""),1.016)</f>
        <v>1.016</v>
      </c>
      <c r="E5099" s="16">
        <f>IFERROR(__xludf.DUMMYFUNCTION("""COMPUTED_VALUE"""),63.0)</f>
        <v>63</v>
      </c>
      <c r="F5099" s="19" t="str">
        <f>IFERROR(__xludf.DUMMYFUNCTION("""COMPUTED_VALUE"""),"BLACK")</f>
        <v>BLACK</v>
      </c>
      <c r="G5099" s="20" t="str">
        <f>IFERROR(__xludf.DUMMYFUNCTION("""COMPUTED_VALUE"""),"Uncle Sams Cider (11/12/2021) 02")</f>
        <v>Uncle Sams Cider (11/12/2021) 02</v>
      </c>
      <c r="H5099" s="19"/>
    </row>
    <row r="5100">
      <c r="A5100" s="9"/>
      <c r="B5100" s="15"/>
      <c r="C5100" s="9">
        <f>IFERROR(__xludf.DUMMYFUNCTION("""COMPUTED_VALUE"""),44551.9823830555)</f>
        <v>44551.98238</v>
      </c>
      <c r="D5100" s="15">
        <f>IFERROR(__xludf.DUMMYFUNCTION("""COMPUTED_VALUE"""),1.016)</f>
        <v>1.016</v>
      </c>
      <c r="E5100" s="16">
        <f>IFERROR(__xludf.DUMMYFUNCTION("""COMPUTED_VALUE"""),63.0)</f>
        <v>63</v>
      </c>
      <c r="F5100" s="19" t="str">
        <f>IFERROR(__xludf.DUMMYFUNCTION("""COMPUTED_VALUE"""),"BLACK")</f>
        <v>BLACK</v>
      </c>
      <c r="G5100" s="20" t="str">
        <f>IFERROR(__xludf.DUMMYFUNCTION("""COMPUTED_VALUE"""),"Uncle Sams Cider (11/12/2021) 02")</f>
        <v>Uncle Sams Cider (11/12/2021) 02</v>
      </c>
      <c r="H5100" s="19"/>
    </row>
    <row r="5101">
      <c r="A5101" s="9"/>
      <c r="B5101" s="15"/>
      <c r="C5101" s="9">
        <f>IFERROR(__xludf.DUMMYFUNCTION("""COMPUTED_VALUE"""),44551.9719626041)</f>
        <v>44551.97196</v>
      </c>
      <c r="D5101" s="15">
        <f>IFERROR(__xludf.DUMMYFUNCTION("""COMPUTED_VALUE"""),1.016)</f>
        <v>1.016</v>
      </c>
      <c r="E5101" s="16">
        <f>IFERROR(__xludf.DUMMYFUNCTION("""COMPUTED_VALUE"""),63.0)</f>
        <v>63</v>
      </c>
      <c r="F5101" s="19" t="str">
        <f>IFERROR(__xludf.DUMMYFUNCTION("""COMPUTED_VALUE"""),"BLACK")</f>
        <v>BLACK</v>
      </c>
      <c r="G5101" s="20" t="str">
        <f>IFERROR(__xludf.DUMMYFUNCTION("""COMPUTED_VALUE"""),"Uncle Sams Cider (11/12/2021) 02")</f>
        <v>Uncle Sams Cider (11/12/2021) 02</v>
      </c>
      <c r="H5101" s="19"/>
    </row>
    <row r="5102">
      <c r="A5102" s="9"/>
      <c r="B5102" s="15"/>
      <c r="C5102" s="9">
        <f>IFERROR(__xludf.DUMMYFUNCTION("""COMPUTED_VALUE"""),44551.9615416435)</f>
        <v>44551.96154</v>
      </c>
      <c r="D5102" s="15">
        <f>IFERROR(__xludf.DUMMYFUNCTION("""COMPUTED_VALUE"""),1.016)</f>
        <v>1.016</v>
      </c>
      <c r="E5102" s="16">
        <f>IFERROR(__xludf.DUMMYFUNCTION("""COMPUTED_VALUE"""),63.0)</f>
        <v>63</v>
      </c>
      <c r="F5102" s="19" t="str">
        <f>IFERROR(__xludf.DUMMYFUNCTION("""COMPUTED_VALUE"""),"BLACK")</f>
        <v>BLACK</v>
      </c>
      <c r="G5102" s="20" t="str">
        <f>IFERROR(__xludf.DUMMYFUNCTION("""COMPUTED_VALUE"""),"Uncle Sams Cider (11/12/2021) 02")</f>
        <v>Uncle Sams Cider (11/12/2021) 02</v>
      </c>
      <c r="H5102" s="19"/>
    </row>
    <row r="5103">
      <c r="A5103" s="9"/>
      <c r="B5103" s="15"/>
      <c r="C5103" s="9">
        <f>IFERROR(__xludf.DUMMYFUNCTION("""COMPUTED_VALUE"""),44551.9511068171)</f>
        <v>44551.95111</v>
      </c>
      <c r="D5103" s="15">
        <f>IFERROR(__xludf.DUMMYFUNCTION("""COMPUTED_VALUE"""),1.016)</f>
        <v>1.016</v>
      </c>
      <c r="E5103" s="16">
        <f>IFERROR(__xludf.DUMMYFUNCTION("""COMPUTED_VALUE"""),63.0)</f>
        <v>63</v>
      </c>
      <c r="F5103" s="19" t="str">
        <f>IFERROR(__xludf.DUMMYFUNCTION("""COMPUTED_VALUE"""),"BLACK")</f>
        <v>BLACK</v>
      </c>
      <c r="G5103" s="20" t="str">
        <f>IFERROR(__xludf.DUMMYFUNCTION("""COMPUTED_VALUE"""),"Uncle Sams Cider (11/12/2021) 02")</f>
        <v>Uncle Sams Cider (11/12/2021) 02</v>
      </c>
      <c r="H5103" s="19"/>
    </row>
    <row r="5104">
      <c r="A5104" s="9"/>
      <c r="B5104" s="15"/>
      <c r="C5104" s="9">
        <f>IFERROR(__xludf.DUMMYFUNCTION("""COMPUTED_VALUE"""),44551.9406862847)</f>
        <v>44551.94069</v>
      </c>
      <c r="D5104" s="15">
        <f>IFERROR(__xludf.DUMMYFUNCTION("""COMPUTED_VALUE"""),1.016)</f>
        <v>1.016</v>
      </c>
      <c r="E5104" s="16">
        <f>IFERROR(__xludf.DUMMYFUNCTION("""COMPUTED_VALUE"""),63.0)</f>
        <v>63</v>
      </c>
      <c r="F5104" s="19" t="str">
        <f>IFERROR(__xludf.DUMMYFUNCTION("""COMPUTED_VALUE"""),"BLACK")</f>
        <v>BLACK</v>
      </c>
      <c r="G5104" s="20" t="str">
        <f>IFERROR(__xludf.DUMMYFUNCTION("""COMPUTED_VALUE"""),"Uncle Sams Cider (11/12/2021) 02")</f>
        <v>Uncle Sams Cider (11/12/2021) 02</v>
      </c>
      <c r="H5104" s="19"/>
    </row>
    <row r="5105">
      <c r="A5105" s="9"/>
      <c r="B5105" s="15"/>
      <c r="C5105" s="9">
        <f>IFERROR(__xludf.DUMMYFUNCTION("""COMPUTED_VALUE"""),44551.9302529398)</f>
        <v>44551.93025</v>
      </c>
      <c r="D5105" s="15">
        <f>IFERROR(__xludf.DUMMYFUNCTION("""COMPUTED_VALUE"""),1.016)</f>
        <v>1.016</v>
      </c>
      <c r="E5105" s="16">
        <f>IFERROR(__xludf.DUMMYFUNCTION("""COMPUTED_VALUE"""),63.0)</f>
        <v>63</v>
      </c>
      <c r="F5105" s="19" t="str">
        <f>IFERROR(__xludf.DUMMYFUNCTION("""COMPUTED_VALUE"""),"BLACK")</f>
        <v>BLACK</v>
      </c>
      <c r="G5105" s="20" t="str">
        <f>IFERROR(__xludf.DUMMYFUNCTION("""COMPUTED_VALUE"""),"Uncle Sams Cider (11/12/2021) 02")</f>
        <v>Uncle Sams Cider (11/12/2021) 02</v>
      </c>
      <c r="H5105" s="19"/>
    </row>
    <row r="5106">
      <c r="A5106" s="9"/>
      <c r="B5106" s="15"/>
      <c r="C5106" s="9">
        <f>IFERROR(__xludf.DUMMYFUNCTION("""COMPUTED_VALUE"""),44551.9198085995)</f>
        <v>44551.91981</v>
      </c>
      <c r="D5106" s="15">
        <f>IFERROR(__xludf.DUMMYFUNCTION("""COMPUTED_VALUE"""),1.016)</f>
        <v>1.016</v>
      </c>
      <c r="E5106" s="16">
        <f>IFERROR(__xludf.DUMMYFUNCTION("""COMPUTED_VALUE"""),63.0)</f>
        <v>63</v>
      </c>
      <c r="F5106" s="19" t="str">
        <f>IFERROR(__xludf.DUMMYFUNCTION("""COMPUTED_VALUE"""),"BLACK")</f>
        <v>BLACK</v>
      </c>
      <c r="G5106" s="20" t="str">
        <f>IFERROR(__xludf.DUMMYFUNCTION("""COMPUTED_VALUE"""),"Uncle Sams Cider (11/12/2021) 02")</f>
        <v>Uncle Sams Cider (11/12/2021) 02</v>
      </c>
      <c r="H5106" s="19"/>
    </row>
    <row r="5107">
      <c r="A5107" s="9"/>
      <c r="B5107" s="15"/>
      <c r="C5107" s="9">
        <f>IFERROR(__xludf.DUMMYFUNCTION("""COMPUTED_VALUE"""),44551.9093867824)</f>
        <v>44551.90939</v>
      </c>
      <c r="D5107" s="15">
        <f>IFERROR(__xludf.DUMMYFUNCTION("""COMPUTED_VALUE"""),1.016)</f>
        <v>1.016</v>
      </c>
      <c r="E5107" s="16">
        <f>IFERROR(__xludf.DUMMYFUNCTION("""COMPUTED_VALUE"""),63.0)</f>
        <v>63</v>
      </c>
      <c r="F5107" s="19" t="str">
        <f>IFERROR(__xludf.DUMMYFUNCTION("""COMPUTED_VALUE"""),"BLACK")</f>
        <v>BLACK</v>
      </c>
      <c r="G5107" s="20" t="str">
        <f>IFERROR(__xludf.DUMMYFUNCTION("""COMPUTED_VALUE"""),"Uncle Sams Cider (11/12/2021) 02")</f>
        <v>Uncle Sams Cider (11/12/2021) 02</v>
      </c>
      <c r="H5107" s="19"/>
    </row>
    <row r="5108">
      <c r="A5108" s="9"/>
      <c r="B5108" s="15"/>
      <c r="C5108" s="9">
        <f>IFERROR(__xludf.DUMMYFUNCTION("""COMPUTED_VALUE"""),44551.8989534027)</f>
        <v>44551.89895</v>
      </c>
      <c r="D5108" s="15">
        <f>IFERROR(__xludf.DUMMYFUNCTION("""COMPUTED_VALUE"""),1.016)</f>
        <v>1.016</v>
      </c>
      <c r="E5108" s="16">
        <f>IFERROR(__xludf.DUMMYFUNCTION("""COMPUTED_VALUE"""),63.0)</f>
        <v>63</v>
      </c>
      <c r="F5108" s="19" t="str">
        <f>IFERROR(__xludf.DUMMYFUNCTION("""COMPUTED_VALUE"""),"BLACK")</f>
        <v>BLACK</v>
      </c>
      <c r="G5108" s="20" t="str">
        <f>IFERROR(__xludf.DUMMYFUNCTION("""COMPUTED_VALUE"""),"Uncle Sams Cider (11/12/2021) 02")</f>
        <v>Uncle Sams Cider (11/12/2021) 02</v>
      </c>
      <c r="H5108" s="19"/>
    </row>
    <row r="5109">
      <c r="A5109" s="9"/>
      <c r="B5109" s="15"/>
      <c r="C5109" s="9">
        <f>IFERROR(__xludf.DUMMYFUNCTION("""COMPUTED_VALUE"""),44551.8885193287)</f>
        <v>44551.88852</v>
      </c>
      <c r="D5109" s="15">
        <f>IFERROR(__xludf.DUMMYFUNCTION("""COMPUTED_VALUE"""),1.016)</f>
        <v>1.016</v>
      </c>
      <c r="E5109" s="16">
        <f>IFERROR(__xludf.DUMMYFUNCTION("""COMPUTED_VALUE"""),63.0)</f>
        <v>63</v>
      </c>
      <c r="F5109" s="19" t="str">
        <f>IFERROR(__xludf.DUMMYFUNCTION("""COMPUTED_VALUE"""),"BLACK")</f>
        <v>BLACK</v>
      </c>
      <c r="G5109" s="20" t="str">
        <f>IFERROR(__xludf.DUMMYFUNCTION("""COMPUTED_VALUE"""),"Uncle Sams Cider (11/12/2021) 02")</f>
        <v>Uncle Sams Cider (11/12/2021) 02</v>
      </c>
      <c r="H5109" s="19"/>
    </row>
    <row r="5110">
      <c r="A5110" s="9"/>
      <c r="B5110" s="15"/>
      <c r="C5110" s="9">
        <f>IFERROR(__xludf.DUMMYFUNCTION("""COMPUTED_VALUE"""),44551.8780623148)</f>
        <v>44551.87806</v>
      </c>
      <c r="D5110" s="15">
        <f>IFERROR(__xludf.DUMMYFUNCTION("""COMPUTED_VALUE"""),1.016)</f>
        <v>1.016</v>
      </c>
      <c r="E5110" s="16">
        <f>IFERROR(__xludf.DUMMYFUNCTION("""COMPUTED_VALUE"""),63.0)</f>
        <v>63</v>
      </c>
      <c r="F5110" s="19" t="str">
        <f>IFERROR(__xludf.DUMMYFUNCTION("""COMPUTED_VALUE"""),"BLACK")</f>
        <v>BLACK</v>
      </c>
      <c r="G5110" s="20" t="str">
        <f>IFERROR(__xludf.DUMMYFUNCTION("""COMPUTED_VALUE"""),"Uncle Sams Cider (11/12/2021) 02")</f>
        <v>Uncle Sams Cider (11/12/2021) 02</v>
      </c>
      <c r="H5110" s="19"/>
    </row>
    <row r="5111">
      <c r="A5111" s="9"/>
      <c r="B5111" s="15"/>
      <c r="C5111" s="9">
        <f>IFERROR(__xludf.DUMMYFUNCTION("""COMPUTED_VALUE"""),44551.8676418981)</f>
        <v>44551.86764</v>
      </c>
      <c r="D5111" s="15">
        <f>IFERROR(__xludf.DUMMYFUNCTION("""COMPUTED_VALUE"""),1.016)</f>
        <v>1.016</v>
      </c>
      <c r="E5111" s="16">
        <f>IFERROR(__xludf.DUMMYFUNCTION("""COMPUTED_VALUE"""),63.0)</f>
        <v>63</v>
      </c>
      <c r="F5111" s="19" t="str">
        <f>IFERROR(__xludf.DUMMYFUNCTION("""COMPUTED_VALUE"""),"BLACK")</f>
        <v>BLACK</v>
      </c>
      <c r="G5111" s="20" t="str">
        <f>IFERROR(__xludf.DUMMYFUNCTION("""COMPUTED_VALUE"""),"Uncle Sams Cider (11/12/2021) 02")</f>
        <v>Uncle Sams Cider (11/12/2021) 02</v>
      </c>
      <c r="H5111" s="19"/>
    </row>
    <row r="5112">
      <c r="A5112" s="9"/>
      <c r="B5112" s="15"/>
      <c r="C5112" s="9">
        <f>IFERROR(__xludf.DUMMYFUNCTION("""COMPUTED_VALUE"""),44551.8572210648)</f>
        <v>44551.85722</v>
      </c>
      <c r="D5112" s="15">
        <f>IFERROR(__xludf.DUMMYFUNCTION("""COMPUTED_VALUE"""),1.016)</f>
        <v>1.016</v>
      </c>
      <c r="E5112" s="16">
        <f>IFERROR(__xludf.DUMMYFUNCTION("""COMPUTED_VALUE"""),63.0)</f>
        <v>63</v>
      </c>
      <c r="F5112" s="19" t="str">
        <f>IFERROR(__xludf.DUMMYFUNCTION("""COMPUTED_VALUE"""),"BLACK")</f>
        <v>BLACK</v>
      </c>
      <c r="G5112" s="20" t="str">
        <f>IFERROR(__xludf.DUMMYFUNCTION("""COMPUTED_VALUE"""),"Uncle Sams Cider (11/12/2021) 02")</f>
        <v>Uncle Sams Cider (11/12/2021) 02</v>
      </c>
      <c r="H5112" s="19"/>
    </row>
    <row r="5113">
      <c r="A5113" s="9"/>
      <c r="B5113" s="15"/>
      <c r="C5113" s="9">
        <f>IFERROR(__xludf.DUMMYFUNCTION("""COMPUTED_VALUE"""),44551.8467991087)</f>
        <v>44551.8468</v>
      </c>
      <c r="D5113" s="15">
        <f>IFERROR(__xludf.DUMMYFUNCTION("""COMPUTED_VALUE"""),1.016)</f>
        <v>1.016</v>
      </c>
      <c r="E5113" s="16">
        <f>IFERROR(__xludf.DUMMYFUNCTION("""COMPUTED_VALUE"""),63.0)</f>
        <v>63</v>
      </c>
      <c r="F5113" s="19" t="str">
        <f>IFERROR(__xludf.DUMMYFUNCTION("""COMPUTED_VALUE"""),"BLACK")</f>
        <v>BLACK</v>
      </c>
      <c r="G5113" s="20" t="str">
        <f>IFERROR(__xludf.DUMMYFUNCTION("""COMPUTED_VALUE"""),"Uncle Sams Cider (11/12/2021) 02")</f>
        <v>Uncle Sams Cider (11/12/2021) 02</v>
      </c>
      <c r="H5113" s="19"/>
    </row>
    <row r="5114">
      <c r="A5114" s="9"/>
      <c r="B5114" s="15"/>
      <c r="C5114" s="9">
        <f>IFERROR(__xludf.DUMMYFUNCTION("""COMPUTED_VALUE"""),44551.8363777083)</f>
        <v>44551.83638</v>
      </c>
      <c r="D5114" s="15">
        <f>IFERROR(__xludf.DUMMYFUNCTION("""COMPUTED_VALUE"""),1.016)</f>
        <v>1.016</v>
      </c>
      <c r="E5114" s="16">
        <f>IFERROR(__xludf.DUMMYFUNCTION("""COMPUTED_VALUE"""),63.0)</f>
        <v>63</v>
      </c>
      <c r="F5114" s="19" t="str">
        <f>IFERROR(__xludf.DUMMYFUNCTION("""COMPUTED_VALUE"""),"BLACK")</f>
        <v>BLACK</v>
      </c>
      <c r="G5114" s="20" t="str">
        <f>IFERROR(__xludf.DUMMYFUNCTION("""COMPUTED_VALUE"""),"Uncle Sams Cider (11/12/2021) 02")</f>
        <v>Uncle Sams Cider (11/12/2021) 02</v>
      </c>
      <c r="H5114" s="19"/>
    </row>
    <row r="5115">
      <c r="A5115" s="9"/>
      <c r="B5115" s="15"/>
      <c r="C5115" s="9">
        <f>IFERROR(__xludf.DUMMYFUNCTION("""COMPUTED_VALUE"""),44551.8259578588)</f>
        <v>44551.82596</v>
      </c>
      <c r="D5115" s="15">
        <f>IFERROR(__xludf.DUMMYFUNCTION("""COMPUTED_VALUE"""),1.016)</f>
        <v>1.016</v>
      </c>
      <c r="E5115" s="16">
        <f>IFERROR(__xludf.DUMMYFUNCTION("""COMPUTED_VALUE"""),63.0)</f>
        <v>63</v>
      </c>
      <c r="F5115" s="19" t="str">
        <f>IFERROR(__xludf.DUMMYFUNCTION("""COMPUTED_VALUE"""),"BLACK")</f>
        <v>BLACK</v>
      </c>
      <c r="G5115" s="20" t="str">
        <f>IFERROR(__xludf.DUMMYFUNCTION("""COMPUTED_VALUE"""),"Uncle Sams Cider (11/12/2021) 02")</f>
        <v>Uncle Sams Cider (11/12/2021) 02</v>
      </c>
      <c r="H5115" s="19"/>
    </row>
    <row r="5116">
      <c r="A5116" s="9"/>
      <c r="B5116" s="15"/>
      <c r="C5116" s="9">
        <f>IFERROR(__xludf.DUMMYFUNCTION("""COMPUTED_VALUE"""),44551.815526493)</f>
        <v>44551.81553</v>
      </c>
      <c r="D5116" s="15">
        <f>IFERROR(__xludf.DUMMYFUNCTION("""COMPUTED_VALUE"""),1.016)</f>
        <v>1.016</v>
      </c>
      <c r="E5116" s="16">
        <f>IFERROR(__xludf.DUMMYFUNCTION("""COMPUTED_VALUE"""),63.0)</f>
        <v>63</v>
      </c>
      <c r="F5116" s="19" t="str">
        <f>IFERROR(__xludf.DUMMYFUNCTION("""COMPUTED_VALUE"""),"BLACK")</f>
        <v>BLACK</v>
      </c>
      <c r="G5116" s="20" t="str">
        <f>IFERROR(__xludf.DUMMYFUNCTION("""COMPUTED_VALUE"""),"Uncle Sams Cider (11/12/2021) 02")</f>
        <v>Uncle Sams Cider (11/12/2021) 02</v>
      </c>
      <c r="H5116" s="19"/>
    </row>
    <row r="5117">
      <c r="A5117" s="9"/>
      <c r="B5117" s="15"/>
      <c r="C5117" s="9">
        <f>IFERROR(__xludf.DUMMYFUNCTION("""COMPUTED_VALUE"""),44551.8051059027)</f>
        <v>44551.80511</v>
      </c>
      <c r="D5117" s="15">
        <f>IFERROR(__xludf.DUMMYFUNCTION("""COMPUTED_VALUE"""),1.016)</f>
        <v>1.016</v>
      </c>
      <c r="E5117" s="16">
        <f>IFERROR(__xludf.DUMMYFUNCTION("""COMPUTED_VALUE"""),63.0)</f>
        <v>63</v>
      </c>
      <c r="F5117" s="19" t="str">
        <f>IFERROR(__xludf.DUMMYFUNCTION("""COMPUTED_VALUE"""),"BLACK")</f>
        <v>BLACK</v>
      </c>
      <c r="G5117" s="20" t="str">
        <f>IFERROR(__xludf.DUMMYFUNCTION("""COMPUTED_VALUE"""),"Uncle Sams Cider (11/12/2021) 02")</f>
        <v>Uncle Sams Cider (11/12/2021) 02</v>
      </c>
      <c r="H5117" s="19"/>
    </row>
    <row r="5118">
      <c r="A5118" s="9"/>
      <c r="B5118" s="15"/>
      <c r="C5118" s="9">
        <f>IFERROR(__xludf.DUMMYFUNCTION("""COMPUTED_VALUE"""),44551.7946734953)</f>
        <v>44551.79467</v>
      </c>
      <c r="D5118" s="15">
        <f>IFERROR(__xludf.DUMMYFUNCTION("""COMPUTED_VALUE"""),1.016)</f>
        <v>1.016</v>
      </c>
      <c r="E5118" s="16">
        <f>IFERROR(__xludf.DUMMYFUNCTION("""COMPUTED_VALUE"""),63.0)</f>
        <v>63</v>
      </c>
      <c r="F5118" s="19" t="str">
        <f>IFERROR(__xludf.DUMMYFUNCTION("""COMPUTED_VALUE"""),"BLACK")</f>
        <v>BLACK</v>
      </c>
      <c r="G5118" s="20" t="str">
        <f>IFERROR(__xludf.DUMMYFUNCTION("""COMPUTED_VALUE"""),"Uncle Sams Cider (11/12/2021) 02")</f>
        <v>Uncle Sams Cider (11/12/2021) 02</v>
      </c>
      <c r="H5118" s="19"/>
    </row>
    <row r="5119">
      <c r="A5119" s="9"/>
      <c r="B5119" s="15"/>
      <c r="C5119" s="9">
        <f>IFERROR(__xludf.DUMMYFUNCTION("""COMPUTED_VALUE"""),44551.784252118)</f>
        <v>44551.78425</v>
      </c>
      <c r="D5119" s="15">
        <f>IFERROR(__xludf.DUMMYFUNCTION("""COMPUTED_VALUE"""),1.016)</f>
        <v>1.016</v>
      </c>
      <c r="E5119" s="16">
        <f>IFERROR(__xludf.DUMMYFUNCTION("""COMPUTED_VALUE"""),63.0)</f>
        <v>63</v>
      </c>
      <c r="F5119" s="19" t="str">
        <f>IFERROR(__xludf.DUMMYFUNCTION("""COMPUTED_VALUE"""),"BLACK")</f>
        <v>BLACK</v>
      </c>
      <c r="G5119" s="20" t="str">
        <f>IFERROR(__xludf.DUMMYFUNCTION("""COMPUTED_VALUE"""),"Uncle Sams Cider (11/12/2021) 02")</f>
        <v>Uncle Sams Cider (11/12/2021) 02</v>
      </c>
      <c r="H5119" s="19"/>
    </row>
    <row r="5120">
      <c r="A5120" s="9"/>
      <c r="B5120" s="15"/>
      <c r="C5120" s="9">
        <f>IFERROR(__xludf.DUMMYFUNCTION("""COMPUTED_VALUE"""),44551.7738192824)</f>
        <v>44551.77382</v>
      </c>
      <c r="D5120" s="15">
        <f>IFERROR(__xludf.DUMMYFUNCTION("""COMPUTED_VALUE"""),1.016)</f>
        <v>1.016</v>
      </c>
      <c r="E5120" s="16">
        <f>IFERROR(__xludf.DUMMYFUNCTION("""COMPUTED_VALUE"""),63.0)</f>
        <v>63</v>
      </c>
      <c r="F5120" s="19" t="str">
        <f>IFERROR(__xludf.DUMMYFUNCTION("""COMPUTED_VALUE"""),"BLACK")</f>
        <v>BLACK</v>
      </c>
      <c r="G5120" s="20" t="str">
        <f>IFERROR(__xludf.DUMMYFUNCTION("""COMPUTED_VALUE"""),"Uncle Sams Cider (11/12/2021) 02")</f>
        <v>Uncle Sams Cider (11/12/2021) 02</v>
      </c>
      <c r="H5120" s="19"/>
    </row>
    <row r="5121">
      <c r="A5121" s="9"/>
      <c r="B5121" s="15"/>
      <c r="C5121" s="9">
        <f>IFERROR(__xludf.DUMMYFUNCTION("""COMPUTED_VALUE"""),44551.7633857291)</f>
        <v>44551.76339</v>
      </c>
      <c r="D5121" s="15">
        <f>IFERROR(__xludf.DUMMYFUNCTION("""COMPUTED_VALUE"""),1.016)</f>
        <v>1.016</v>
      </c>
      <c r="E5121" s="16">
        <f>IFERROR(__xludf.DUMMYFUNCTION("""COMPUTED_VALUE"""),63.0)</f>
        <v>63</v>
      </c>
      <c r="F5121" s="19" t="str">
        <f>IFERROR(__xludf.DUMMYFUNCTION("""COMPUTED_VALUE"""),"BLACK")</f>
        <v>BLACK</v>
      </c>
      <c r="G5121" s="20" t="str">
        <f>IFERROR(__xludf.DUMMYFUNCTION("""COMPUTED_VALUE"""),"Uncle Sams Cider (11/12/2021) 02")</f>
        <v>Uncle Sams Cider (11/12/2021) 02</v>
      </c>
      <c r="H5121" s="19"/>
    </row>
    <row r="5122">
      <c r="A5122" s="9"/>
      <c r="B5122" s="15"/>
      <c r="C5122" s="9">
        <f>IFERROR(__xludf.DUMMYFUNCTION("""COMPUTED_VALUE"""),44551.7529648726)</f>
        <v>44551.75296</v>
      </c>
      <c r="D5122" s="15">
        <f>IFERROR(__xludf.DUMMYFUNCTION("""COMPUTED_VALUE"""),1.016)</f>
        <v>1.016</v>
      </c>
      <c r="E5122" s="16">
        <f>IFERROR(__xludf.DUMMYFUNCTION("""COMPUTED_VALUE"""),63.0)</f>
        <v>63</v>
      </c>
      <c r="F5122" s="19" t="str">
        <f>IFERROR(__xludf.DUMMYFUNCTION("""COMPUTED_VALUE"""),"BLACK")</f>
        <v>BLACK</v>
      </c>
      <c r="G5122" s="20" t="str">
        <f>IFERROR(__xludf.DUMMYFUNCTION("""COMPUTED_VALUE"""),"Uncle Sams Cider (11/12/2021) 02")</f>
        <v>Uncle Sams Cider (11/12/2021) 02</v>
      </c>
      <c r="H5122" s="19"/>
    </row>
    <row r="5123">
      <c r="A5123" s="9"/>
      <c r="B5123" s="15"/>
      <c r="C5123" s="9">
        <f>IFERROR(__xludf.DUMMYFUNCTION("""COMPUTED_VALUE"""),44551.7425324421)</f>
        <v>44551.74253</v>
      </c>
      <c r="D5123" s="15">
        <f>IFERROR(__xludf.DUMMYFUNCTION("""COMPUTED_VALUE"""),1.016)</f>
        <v>1.016</v>
      </c>
      <c r="E5123" s="16">
        <f>IFERROR(__xludf.DUMMYFUNCTION("""COMPUTED_VALUE"""),63.0)</f>
        <v>63</v>
      </c>
      <c r="F5123" s="19" t="str">
        <f>IFERROR(__xludf.DUMMYFUNCTION("""COMPUTED_VALUE"""),"BLACK")</f>
        <v>BLACK</v>
      </c>
      <c r="G5123" s="20" t="str">
        <f>IFERROR(__xludf.DUMMYFUNCTION("""COMPUTED_VALUE"""),"Uncle Sams Cider (11/12/2021) 02")</f>
        <v>Uncle Sams Cider (11/12/2021) 02</v>
      </c>
      <c r="H5123" s="19"/>
    </row>
    <row r="5124">
      <c r="A5124" s="9"/>
      <c r="B5124" s="15"/>
      <c r="C5124" s="9">
        <f>IFERROR(__xludf.DUMMYFUNCTION("""COMPUTED_VALUE"""),44551.7321114004)</f>
        <v>44551.73211</v>
      </c>
      <c r="D5124" s="15">
        <f>IFERROR(__xludf.DUMMYFUNCTION("""COMPUTED_VALUE"""),1.016)</f>
        <v>1.016</v>
      </c>
      <c r="E5124" s="16">
        <f>IFERROR(__xludf.DUMMYFUNCTION("""COMPUTED_VALUE"""),63.0)</f>
        <v>63</v>
      </c>
      <c r="F5124" s="19" t="str">
        <f>IFERROR(__xludf.DUMMYFUNCTION("""COMPUTED_VALUE"""),"BLACK")</f>
        <v>BLACK</v>
      </c>
      <c r="G5124" s="20" t="str">
        <f>IFERROR(__xludf.DUMMYFUNCTION("""COMPUTED_VALUE"""),"Uncle Sams Cider (11/12/2021) 02")</f>
        <v>Uncle Sams Cider (11/12/2021) 02</v>
      </c>
      <c r="H5124" s="19"/>
    </row>
    <row r="5125">
      <c r="A5125" s="9"/>
      <c r="B5125" s="15"/>
      <c r="C5125" s="9">
        <f>IFERROR(__xludf.DUMMYFUNCTION("""COMPUTED_VALUE"""),44551.7216662847)</f>
        <v>44551.72167</v>
      </c>
      <c r="D5125" s="15">
        <f>IFERROR(__xludf.DUMMYFUNCTION("""COMPUTED_VALUE"""),1.016)</f>
        <v>1.016</v>
      </c>
      <c r="E5125" s="16">
        <f>IFERROR(__xludf.DUMMYFUNCTION("""COMPUTED_VALUE"""),63.0)</f>
        <v>63</v>
      </c>
      <c r="F5125" s="19" t="str">
        <f>IFERROR(__xludf.DUMMYFUNCTION("""COMPUTED_VALUE"""),"BLACK")</f>
        <v>BLACK</v>
      </c>
      <c r="G5125" s="20" t="str">
        <f>IFERROR(__xludf.DUMMYFUNCTION("""COMPUTED_VALUE"""),"Uncle Sams Cider (11/12/2021) 02")</f>
        <v>Uncle Sams Cider (11/12/2021) 02</v>
      </c>
      <c r="H5125" s="19"/>
    </row>
    <row r="5126">
      <c r="A5126" s="9"/>
      <c r="B5126" s="15"/>
      <c r="C5126" s="9">
        <f>IFERROR(__xludf.DUMMYFUNCTION("""COMPUTED_VALUE"""),44551.7112451967)</f>
        <v>44551.71125</v>
      </c>
      <c r="D5126" s="15">
        <f>IFERROR(__xludf.DUMMYFUNCTION("""COMPUTED_VALUE"""),1.016)</f>
        <v>1.016</v>
      </c>
      <c r="E5126" s="16">
        <f>IFERROR(__xludf.DUMMYFUNCTION("""COMPUTED_VALUE"""),63.0)</f>
        <v>63</v>
      </c>
      <c r="F5126" s="19" t="str">
        <f>IFERROR(__xludf.DUMMYFUNCTION("""COMPUTED_VALUE"""),"BLACK")</f>
        <v>BLACK</v>
      </c>
      <c r="G5126" s="20" t="str">
        <f>IFERROR(__xludf.DUMMYFUNCTION("""COMPUTED_VALUE"""),"Uncle Sams Cider (11/12/2021) 02")</f>
        <v>Uncle Sams Cider (11/12/2021) 02</v>
      </c>
      <c r="H5126" s="19"/>
    </row>
    <row r="5127">
      <c r="A5127" s="9"/>
      <c r="B5127" s="15"/>
      <c r="C5127" s="9">
        <f>IFERROR(__xludf.DUMMYFUNCTION("""COMPUTED_VALUE"""),44551.7008139699)</f>
        <v>44551.70081</v>
      </c>
      <c r="D5127" s="15">
        <f>IFERROR(__xludf.DUMMYFUNCTION("""COMPUTED_VALUE"""),1.016)</f>
        <v>1.016</v>
      </c>
      <c r="E5127" s="16">
        <f>IFERROR(__xludf.DUMMYFUNCTION("""COMPUTED_VALUE"""),63.0)</f>
        <v>63</v>
      </c>
      <c r="F5127" s="19" t="str">
        <f>IFERROR(__xludf.DUMMYFUNCTION("""COMPUTED_VALUE"""),"BLACK")</f>
        <v>BLACK</v>
      </c>
      <c r="G5127" s="20" t="str">
        <f>IFERROR(__xludf.DUMMYFUNCTION("""COMPUTED_VALUE"""),"Uncle Sams Cider (11/12/2021) 02")</f>
        <v>Uncle Sams Cider (11/12/2021) 02</v>
      </c>
      <c r="H5127" s="19"/>
    </row>
    <row r="5128">
      <c r="A5128" s="9"/>
      <c r="B5128" s="15"/>
      <c r="C5128" s="9">
        <f>IFERROR(__xludf.DUMMYFUNCTION("""COMPUTED_VALUE"""),44551.6903451273)</f>
        <v>44551.69035</v>
      </c>
      <c r="D5128" s="15">
        <f>IFERROR(__xludf.DUMMYFUNCTION("""COMPUTED_VALUE"""),1.016)</f>
        <v>1.016</v>
      </c>
      <c r="E5128" s="16">
        <f>IFERROR(__xludf.DUMMYFUNCTION("""COMPUTED_VALUE"""),63.0)</f>
        <v>63</v>
      </c>
      <c r="F5128" s="19" t="str">
        <f>IFERROR(__xludf.DUMMYFUNCTION("""COMPUTED_VALUE"""),"BLACK")</f>
        <v>BLACK</v>
      </c>
      <c r="G5128" s="20" t="str">
        <f>IFERROR(__xludf.DUMMYFUNCTION("""COMPUTED_VALUE"""),"Uncle Sams Cider (11/12/2021) 02")</f>
        <v>Uncle Sams Cider (11/12/2021) 02</v>
      </c>
      <c r="H5128" s="19"/>
    </row>
    <row r="5129">
      <c r="A5129" s="9"/>
      <c r="B5129" s="15"/>
      <c r="C5129" s="9">
        <f>IFERROR(__xludf.DUMMYFUNCTION("""COMPUTED_VALUE"""),44551.6799124537)</f>
        <v>44551.67991</v>
      </c>
      <c r="D5129" s="15">
        <f>IFERROR(__xludf.DUMMYFUNCTION("""COMPUTED_VALUE"""),1.016)</f>
        <v>1.016</v>
      </c>
      <c r="E5129" s="16">
        <f>IFERROR(__xludf.DUMMYFUNCTION("""COMPUTED_VALUE"""),63.0)</f>
        <v>63</v>
      </c>
      <c r="F5129" s="19" t="str">
        <f>IFERROR(__xludf.DUMMYFUNCTION("""COMPUTED_VALUE"""),"BLACK")</f>
        <v>BLACK</v>
      </c>
      <c r="G5129" s="20" t="str">
        <f>IFERROR(__xludf.DUMMYFUNCTION("""COMPUTED_VALUE"""),"Uncle Sams Cider (11/12/2021) 02")</f>
        <v>Uncle Sams Cider (11/12/2021) 02</v>
      </c>
      <c r="H5129" s="19"/>
    </row>
    <row r="5130">
      <c r="A5130" s="9"/>
      <c r="B5130" s="15"/>
      <c r="C5130" s="9">
        <f>IFERROR(__xludf.DUMMYFUNCTION("""COMPUTED_VALUE"""),44551.6694816435)</f>
        <v>44551.66948</v>
      </c>
      <c r="D5130" s="15">
        <f>IFERROR(__xludf.DUMMYFUNCTION("""COMPUTED_VALUE"""),1.016)</f>
        <v>1.016</v>
      </c>
      <c r="E5130" s="16">
        <f>IFERROR(__xludf.DUMMYFUNCTION("""COMPUTED_VALUE"""),63.0)</f>
        <v>63</v>
      </c>
      <c r="F5130" s="19" t="str">
        <f>IFERROR(__xludf.DUMMYFUNCTION("""COMPUTED_VALUE"""),"BLACK")</f>
        <v>BLACK</v>
      </c>
      <c r="G5130" s="20" t="str">
        <f>IFERROR(__xludf.DUMMYFUNCTION("""COMPUTED_VALUE"""),"Uncle Sams Cider (11/12/2021) 02")</f>
        <v>Uncle Sams Cider (11/12/2021) 02</v>
      </c>
      <c r="H5130" s="19"/>
    </row>
    <row r="5131">
      <c r="A5131" s="9"/>
      <c r="B5131" s="15"/>
      <c r="C5131" s="9">
        <f>IFERROR(__xludf.DUMMYFUNCTION("""COMPUTED_VALUE"""),44551.6590492013)</f>
        <v>44551.65905</v>
      </c>
      <c r="D5131" s="15">
        <f>IFERROR(__xludf.DUMMYFUNCTION("""COMPUTED_VALUE"""),1.016)</f>
        <v>1.016</v>
      </c>
      <c r="E5131" s="16">
        <f>IFERROR(__xludf.DUMMYFUNCTION("""COMPUTED_VALUE"""),63.0)</f>
        <v>63</v>
      </c>
      <c r="F5131" s="19" t="str">
        <f>IFERROR(__xludf.DUMMYFUNCTION("""COMPUTED_VALUE"""),"BLACK")</f>
        <v>BLACK</v>
      </c>
      <c r="G5131" s="20" t="str">
        <f>IFERROR(__xludf.DUMMYFUNCTION("""COMPUTED_VALUE"""),"Uncle Sams Cider (11/12/2021) 02")</f>
        <v>Uncle Sams Cider (11/12/2021) 02</v>
      </c>
      <c r="H5131" s="19"/>
    </row>
    <row r="5132">
      <c r="A5132" s="9"/>
      <c r="B5132" s="15"/>
      <c r="C5132" s="9">
        <f>IFERROR(__xludf.DUMMYFUNCTION("""COMPUTED_VALUE"""),44551.6486159259)</f>
        <v>44551.64862</v>
      </c>
      <c r="D5132" s="15">
        <f>IFERROR(__xludf.DUMMYFUNCTION("""COMPUTED_VALUE"""),1.016)</f>
        <v>1.016</v>
      </c>
      <c r="E5132" s="16">
        <f>IFERROR(__xludf.DUMMYFUNCTION("""COMPUTED_VALUE"""),63.0)</f>
        <v>63</v>
      </c>
      <c r="F5132" s="19" t="str">
        <f>IFERROR(__xludf.DUMMYFUNCTION("""COMPUTED_VALUE"""),"BLACK")</f>
        <v>BLACK</v>
      </c>
      <c r="G5132" s="20" t="str">
        <f>IFERROR(__xludf.DUMMYFUNCTION("""COMPUTED_VALUE"""),"Uncle Sams Cider (11/12/2021) 02")</f>
        <v>Uncle Sams Cider (11/12/2021) 02</v>
      </c>
      <c r="H5132" s="19"/>
    </row>
    <row r="5133">
      <c r="A5133" s="9"/>
      <c r="B5133" s="15"/>
      <c r="C5133" s="9">
        <f>IFERROR(__xludf.DUMMYFUNCTION("""COMPUTED_VALUE"""),44551.6381948611)</f>
        <v>44551.63819</v>
      </c>
      <c r="D5133" s="15">
        <f>IFERROR(__xludf.DUMMYFUNCTION("""COMPUTED_VALUE"""),1.016)</f>
        <v>1.016</v>
      </c>
      <c r="E5133" s="16">
        <f>IFERROR(__xludf.DUMMYFUNCTION("""COMPUTED_VALUE"""),63.0)</f>
        <v>63</v>
      </c>
      <c r="F5133" s="19" t="str">
        <f>IFERROR(__xludf.DUMMYFUNCTION("""COMPUTED_VALUE"""),"BLACK")</f>
        <v>BLACK</v>
      </c>
      <c r="G5133" s="20" t="str">
        <f>IFERROR(__xludf.DUMMYFUNCTION("""COMPUTED_VALUE"""),"Uncle Sams Cider (11/12/2021) 02")</f>
        <v>Uncle Sams Cider (11/12/2021) 02</v>
      </c>
      <c r="H5133" s="19"/>
    </row>
    <row r="5134">
      <c r="A5134" s="9"/>
      <c r="B5134" s="15"/>
      <c r="C5134" s="9">
        <f>IFERROR(__xludf.DUMMYFUNCTION("""COMPUTED_VALUE"""),44551.6277746296)</f>
        <v>44551.62777</v>
      </c>
      <c r="D5134" s="15">
        <f>IFERROR(__xludf.DUMMYFUNCTION("""COMPUTED_VALUE"""),1.016)</f>
        <v>1.016</v>
      </c>
      <c r="E5134" s="16">
        <f>IFERROR(__xludf.DUMMYFUNCTION("""COMPUTED_VALUE"""),63.0)</f>
        <v>63</v>
      </c>
      <c r="F5134" s="19" t="str">
        <f>IFERROR(__xludf.DUMMYFUNCTION("""COMPUTED_VALUE"""),"BLACK")</f>
        <v>BLACK</v>
      </c>
      <c r="G5134" s="20" t="str">
        <f>IFERROR(__xludf.DUMMYFUNCTION("""COMPUTED_VALUE"""),"Uncle Sams Cider (11/12/2021) 02")</f>
        <v>Uncle Sams Cider (11/12/2021) 02</v>
      </c>
      <c r="H5134" s="19"/>
    </row>
    <row r="5135">
      <c r="A5135" s="9"/>
      <c r="B5135" s="15"/>
      <c r="C5135" s="9">
        <f>IFERROR(__xludf.DUMMYFUNCTION("""COMPUTED_VALUE"""),44551.6173300925)</f>
        <v>44551.61733</v>
      </c>
      <c r="D5135" s="15">
        <f>IFERROR(__xludf.DUMMYFUNCTION("""COMPUTED_VALUE"""),1.016)</f>
        <v>1.016</v>
      </c>
      <c r="E5135" s="16">
        <f>IFERROR(__xludf.DUMMYFUNCTION("""COMPUTED_VALUE"""),63.0)</f>
        <v>63</v>
      </c>
      <c r="F5135" s="19" t="str">
        <f>IFERROR(__xludf.DUMMYFUNCTION("""COMPUTED_VALUE"""),"BLACK")</f>
        <v>BLACK</v>
      </c>
      <c r="G5135" s="20" t="str">
        <f>IFERROR(__xludf.DUMMYFUNCTION("""COMPUTED_VALUE"""),"Uncle Sams Cider (11/12/2021) 02")</f>
        <v>Uncle Sams Cider (11/12/2021) 02</v>
      </c>
      <c r="H5135" s="19"/>
    </row>
    <row r="5136">
      <c r="A5136" s="9"/>
      <c r="B5136" s="15"/>
      <c r="C5136" s="9">
        <f>IFERROR(__xludf.DUMMYFUNCTION("""COMPUTED_VALUE"""),44551.6069092129)</f>
        <v>44551.60691</v>
      </c>
      <c r="D5136" s="15">
        <f>IFERROR(__xludf.DUMMYFUNCTION("""COMPUTED_VALUE"""),1.016)</f>
        <v>1.016</v>
      </c>
      <c r="E5136" s="16">
        <f>IFERROR(__xludf.DUMMYFUNCTION("""COMPUTED_VALUE"""),63.0)</f>
        <v>63</v>
      </c>
      <c r="F5136" s="19" t="str">
        <f>IFERROR(__xludf.DUMMYFUNCTION("""COMPUTED_VALUE"""),"BLACK")</f>
        <v>BLACK</v>
      </c>
      <c r="G5136" s="20" t="str">
        <f>IFERROR(__xludf.DUMMYFUNCTION("""COMPUTED_VALUE"""),"Uncle Sams Cider (11/12/2021) 02")</f>
        <v>Uncle Sams Cider (11/12/2021) 02</v>
      </c>
      <c r="H5136" s="19"/>
    </row>
    <row r="5137">
      <c r="A5137" s="9"/>
      <c r="B5137" s="15"/>
      <c r="C5137" s="9">
        <f>IFERROR(__xludf.DUMMYFUNCTION("""COMPUTED_VALUE"""),44551.5964873032)</f>
        <v>44551.59649</v>
      </c>
      <c r="D5137" s="15">
        <f>IFERROR(__xludf.DUMMYFUNCTION("""COMPUTED_VALUE"""),1.016)</f>
        <v>1.016</v>
      </c>
      <c r="E5137" s="16">
        <f>IFERROR(__xludf.DUMMYFUNCTION("""COMPUTED_VALUE"""),63.0)</f>
        <v>63</v>
      </c>
      <c r="F5137" s="19" t="str">
        <f>IFERROR(__xludf.DUMMYFUNCTION("""COMPUTED_VALUE"""),"BLACK")</f>
        <v>BLACK</v>
      </c>
      <c r="G5137" s="20" t="str">
        <f>IFERROR(__xludf.DUMMYFUNCTION("""COMPUTED_VALUE"""),"Uncle Sams Cider (11/12/2021) 02")</f>
        <v>Uncle Sams Cider (11/12/2021) 02</v>
      </c>
      <c r="H5137" s="19"/>
    </row>
    <row r="5138">
      <c r="A5138" s="9"/>
      <c r="B5138" s="15"/>
      <c r="C5138" s="9">
        <f>IFERROR(__xludf.DUMMYFUNCTION("""COMPUTED_VALUE"""),44551.5860632638)</f>
        <v>44551.58606</v>
      </c>
      <c r="D5138" s="15">
        <f>IFERROR(__xludf.DUMMYFUNCTION("""COMPUTED_VALUE"""),1.016)</f>
        <v>1.016</v>
      </c>
      <c r="E5138" s="16">
        <f>IFERROR(__xludf.DUMMYFUNCTION("""COMPUTED_VALUE"""),63.0)</f>
        <v>63</v>
      </c>
      <c r="F5138" s="19" t="str">
        <f>IFERROR(__xludf.DUMMYFUNCTION("""COMPUTED_VALUE"""),"BLACK")</f>
        <v>BLACK</v>
      </c>
      <c r="G5138" s="20" t="str">
        <f>IFERROR(__xludf.DUMMYFUNCTION("""COMPUTED_VALUE"""),"Uncle Sams Cider (11/12/2021) 02")</f>
        <v>Uncle Sams Cider (11/12/2021) 02</v>
      </c>
      <c r="H5138" s="19"/>
    </row>
    <row r="5139">
      <c r="A5139" s="9"/>
      <c r="B5139" s="15"/>
      <c r="C5139" s="9">
        <f>IFERROR(__xludf.DUMMYFUNCTION("""COMPUTED_VALUE"""),44551.575642581)</f>
        <v>44551.57564</v>
      </c>
      <c r="D5139" s="15">
        <f>IFERROR(__xludf.DUMMYFUNCTION("""COMPUTED_VALUE"""),1.016)</f>
        <v>1.016</v>
      </c>
      <c r="E5139" s="16">
        <f>IFERROR(__xludf.DUMMYFUNCTION("""COMPUTED_VALUE"""),63.0)</f>
        <v>63</v>
      </c>
      <c r="F5139" s="19" t="str">
        <f>IFERROR(__xludf.DUMMYFUNCTION("""COMPUTED_VALUE"""),"BLACK")</f>
        <v>BLACK</v>
      </c>
      <c r="G5139" s="20" t="str">
        <f>IFERROR(__xludf.DUMMYFUNCTION("""COMPUTED_VALUE"""),"Uncle Sams Cider (11/12/2021) 02")</f>
        <v>Uncle Sams Cider (11/12/2021) 02</v>
      </c>
      <c r="H5139" s="19"/>
    </row>
    <row r="5140">
      <c r="A5140" s="9"/>
      <c r="B5140" s="15"/>
      <c r="C5140" s="9">
        <f>IFERROR(__xludf.DUMMYFUNCTION("""COMPUTED_VALUE"""),44551.5652100347)</f>
        <v>44551.56521</v>
      </c>
      <c r="D5140" s="15">
        <f>IFERROR(__xludf.DUMMYFUNCTION("""COMPUTED_VALUE"""),1.016)</f>
        <v>1.016</v>
      </c>
      <c r="E5140" s="16">
        <f>IFERROR(__xludf.DUMMYFUNCTION("""COMPUTED_VALUE"""),63.0)</f>
        <v>63</v>
      </c>
      <c r="F5140" s="19" t="str">
        <f>IFERROR(__xludf.DUMMYFUNCTION("""COMPUTED_VALUE"""),"BLACK")</f>
        <v>BLACK</v>
      </c>
      <c r="G5140" s="20" t="str">
        <f>IFERROR(__xludf.DUMMYFUNCTION("""COMPUTED_VALUE"""),"Uncle Sams Cider (11/12/2021) 02")</f>
        <v>Uncle Sams Cider (11/12/2021) 02</v>
      </c>
      <c r="H5140" s="19"/>
    </row>
    <row r="5141">
      <c r="A5141" s="9"/>
      <c r="B5141" s="15"/>
      <c r="C5141" s="9">
        <f>IFERROR(__xludf.DUMMYFUNCTION("""COMPUTED_VALUE"""),44551.5547881134)</f>
        <v>44551.55479</v>
      </c>
      <c r="D5141" s="15">
        <f>IFERROR(__xludf.DUMMYFUNCTION("""COMPUTED_VALUE"""),1.016)</f>
        <v>1.016</v>
      </c>
      <c r="E5141" s="16">
        <f>IFERROR(__xludf.DUMMYFUNCTION("""COMPUTED_VALUE"""),63.0)</f>
        <v>63</v>
      </c>
      <c r="F5141" s="19" t="str">
        <f>IFERROR(__xludf.DUMMYFUNCTION("""COMPUTED_VALUE"""),"BLACK")</f>
        <v>BLACK</v>
      </c>
      <c r="G5141" s="20" t="str">
        <f>IFERROR(__xludf.DUMMYFUNCTION("""COMPUTED_VALUE"""),"Uncle Sams Cider (11/12/2021) 02")</f>
        <v>Uncle Sams Cider (11/12/2021) 02</v>
      </c>
      <c r="H5141" s="19"/>
    </row>
    <row r="5142">
      <c r="A5142" s="9"/>
      <c r="B5142" s="15"/>
      <c r="C5142" s="9">
        <f>IFERROR(__xludf.DUMMYFUNCTION("""COMPUTED_VALUE"""),44551.5443561111)</f>
        <v>44551.54436</v>
      </c>
      <c r="D5142" s="15">
        <f>IFERROR(__xludf.DUMMYFUNCTION("""COMPUTED_VALUE"""),1.016)</f>
        <v>1.016</v>
      </c>
      <c r="E5142" s="16">
        <f>IFERROR(__xludf.DUMMYFUNCTION("""COMPUTED_VALUE"""),63.0)</f>
        <v>63</v>
      </c>
      <c r="F5142" s="19" t="str">
        <f>IFERROR(__xludf.DUMMYFUNCTION("""COMPUTED_VALUE"""),"BLACK")</f>
        <v>BLACK</v>
      </c>
      <c r="G5142" s="20" t="str">
        <f>IFERROR(__xludf.DUMMYFUNCTION("""COMPUTED_VALUE"""),"Uncle Sams Cider (11/12/2021) 02")</f>
        <v>Uncle Sams Cider (11/12/2021) 02</v>
      </c>
      <c r="H5142" s="19"/>
    </row>
    <row r="5143">
      <c r="A5143" s="9"/>
      <c r="B5143" s="15"/>
      <c r="C5143" s="9">
        <f>IFERROR(__xludf.DUMMYFUNCTION("""COMPUTED_VALUE"""),44551.5339362731)</f>
        <v>44551.53394</v>
      </c>
      <c r="D5143" s="15">
        <f>IFERROR(__xludf.DUMMYFUNCTION("""COMPUTED_VALUE"""),1.016)</f>
        <v>1.016</v>
      </c>
      <c r="E5143" s="16">
        <f>IFERROR(__xludf.DUMMYFUNCTION("""COMPUTED_VALUE"""),63.0)</f>
        <v>63</v>
      </c>
      <c r="F5143" s="19" t="str">
        <f>IFERROR(__xludf.DUMMYFUNCTION("""COMPUTED_VALUE"""),"BLACK")</f>
        <v>BLACK</v>
      </c>
      <c r="G5143" s="20" t="str">
        <f>IFERROR(__xludf.DUMMYFUNCTION("""COMPUTED_VALUE"""),"Uncle Sams Cider (11/12/2021) 02")</f>
        <v>Uncle Sams Cider (11/12/2021) 02</v>
      </c>
      <c r="H5143" s="19"/>
    </row>
    <row r="5144">
      <c r="A5144" s="9"/>
      <c r="B5144" s="15"/>
      <c r="C5144" s="9">
        <f>IFERROR(__xludf.DUMMYFUNCTION("""COMPUTED_VALUE"""),44551.52351478)</f>
        <v>44551.52351</v>
      </c>
      <c r="D5144" s="15">
        <f>IFERROR(__xludf.DUMMYFUNCTION("""COMPUTED_VALUE"""),1.016)</f>
        <v>1.016</v>
      </c>
      <c r="E5144" s="16">
        <f>IFERROR(__xludf.DUMMYFUNCTION("""COMPUTED_VALUE"""),63.0)</f>
        <v>63</v>
      </c>
      <c r="F5144" s="19" t="str">
        <f>IFERROR(__xludf.DUMMYFUNCTION("""COMPUTED_VALUE"""),"BLACK")</f>
        <v>BLACK</v>
      </c>
      <c r="G5144" s="20" t="str">
        <f>IFERROR(__xludf.DUMMYFUNCTION("""COMPUTED_VALUE"""),"Uncle Sams Cider (11/12/2021) 02")</f>
        <v>Uncle Sams Cider (11/12/2021) 02</v>
      </c>
      <c r="H5144" s="19"/>
    </row>
    <row r="5145">
      <c r="A5145" s="9"/>
      <c r="B5145" s="15"/>
      <c r="C5145" s="9">
        <f>IFERROR(__xludf.DUMMYFUNCTION("""COMPUTED_VALUE"""),44551.5130930902)</f>
        <v>44551.51309</v>
      </c>
      <c r="D5145" s="15">
        <f>IFERROR(__xludf.DUMMYFUNCTION("""COMPUTED_VALUE"""),1.016)</f>
        <v>1.016</v>
      </c>
      <c r="E5145" s="16">
        <f>IFERROR(__xludf.DUMMYFUNCTION("""COMPUTED_VALUE"""),63.0)</f>
        <v>63</v>
      </c>
      <c r="F5145" s="19" t="str">
        <f>IFERROR(__xludf.DUMMYFUNCTION("""COMPUTED_VALUE"""),"BLACK")</f>
        <v>BLACK</v>
      </c>
      <c r="G5145" s="20" t="str">
        <f>IFERROR(__xludf.DUMMYFUNCTION("""COMPUTED_VALUE"""),"Uncle Sams Cider (11/12/2021) 02")</f>
        <v>Uncle Sams Cider (11/12/2021) 02</v>
      </c>
      <c r="H5145" s="19"/>
    </row>
    <row r="5146">
      <c r="A5146" s="9"/>
      <c r="B5146" s="15"/>
      <c r="C5146" s="9">
        <f>IFERROR(__xludf.DUMMYFUNCTION("""COMPUTED_VALUE"""),44551.5026624768)</f>
        <v>44551.50266</v>
      </c>
      <c r="D5146" s="15">
        <f>IFERROR(__xludf.DUMMYFUNCTION("""COMPUTED_VALUE"""),1.017)</f>
        <v>1.017</v>
      </c>
      <c r="E5146" s="16">
        <f>IFERROR(__xludf.DUMMYFUNCTION("""COMPUTED_VALUE"""),63.0)</f>
        <v>63</v>
      </c>
      <c r="F5146" s="19" t="str">
        <f>IFERROR(__xludf.DUMMYFUNCTION("""COMPUTED_VALUE"""),"BLACK")</f>
        <v>BLACK</v>
      </c>
      <c r="G5146" s="20" t="str">
        <f>IFERROR(__xludf.DUMMYFUNCTION("""COMPUTED_VALUE"""),"Uncle Sams Cider (11/12/2021) 02")</f>
        <v>Uncle Sams Cider (11/12/2021) 02</v>
      </c>
      <c r="H5146" s="19"/>
    </row>
    <row r="5147">
      <c r="A5147" s="9"/>
      <c r="B5147" s="15"/>
      <c r="C5147" s="9">
        <f>IFERROR(__xludf.DUMMYFUNCTION("""COMPUTED_VALUE"""),44551.4922305555)</f>
        <v>44551.49223</v>
      </c>
      <c r="D5147" s="15">
        <f>IFERROR(__xludf.DUMMYFUNCTION("""COMPUTED_VALUE"""),1.017)</f>
        <v>1.017</v>
      </c>
      <c r="E5147" s="16">
        <f>IFERROR(__xludf.DUMMYFUNCTION("""COMPUTED_VALUE"""),63.0)</f>
        <v>63</v>
      </c>
      <c r="F5147" s="19" t="str">
        <f>IFERROR(__xludf.DUMMYFUNCTION("""COMPUTED_VALUE"""),"BLACK")</f>
        <v>BLACK</v>
      </c>
      <c r="G5147" s="20" t="str">
        <f>IFERROR(__xludf.DUMMYFUNCTION("""COMPUTED_VALUE"""),"Uncle Sams Cider (11/12/2021) 02")</f>
        <v>Uncle Sams Cider (11/12/2021) 02</v>
      </c>
      <c r="H5147" s="19"/>
    </row>
    <row r="5148">
      <c r="A5148" s="9"/>
      <c r="B5148" s="15"/>
      <c r="C5148" s="9">
        <f>IFERROR(__xludf.DUMMYFUNCTION("""COMPUTED_VALUE"""),44551.4818091435)</f>
        <v>44551.48181</v>
      </c>
      <c r="D5148" s="15">
        <f>IFERROR(__xludf.DUMMYFUNCTION("""COMPUTED_VALUE"""),1.016)</f>
        <v>1.016</v>
      </c>
      <c r="E5148" s="16">
        <f>IFERROR(__xludf.DUMMYFUNCTION("""COMPUTED_VALUE"""),63.0)</f>
        <v>63</v>
      </c>
      <c r="F5148" s="19" t="str">
        <f>IFERROR(__xludf.DUMMYFUNCTION("""COMPUTED_VALUE"""),"BLACK")</f>
        <v>BLACK</v>
      </c>
      <c r="G5148" s="20" t="str">
        <f>IFERROR(__xludf.DUMMYFUNCTION("""COMPUTED_VALUE"""),"Uncle Sams Cider (11/12/2021) 02")</f>
        <v>Uncle Sams Cider (11/12/2021) 02</v>
      </c>
      <c r="H5148" s="19"/>
    </row>
    <row r="5149">
      <c r="A5149" s="9"/>
      <c r="B5149" s="15"/>
      <c r="C5149" s="9">
        <f>IFERROR(__xludf.DUMMYFUNCTION("""COMPUTED_VALUE"""),44551.4713878935)</f>
        <v>44551.47139</v>
      </c>
      <c r="D5149" s="15">
        <f>IFERROR(__xludf.DUMMYFUNCTION("""COMPUTED_VALUE"""),1.016)</f>
        <v>1.016</v>
      </c>
      <c r="E5149" s="16">
        <f>IFERROR(__xludf.DUMMYFUNCTION("""COMPUTED_VALUE"""),63.0)</f>
        <v>63</v>
      </c>
      <c r="F5149" s="19" t="str">
        <f>IFERROR(__xludf.DUMMYFUNCTION("""COMPUTED_VALUE"""),"BLACK")</f>
        <v>BLACK</v>
      </c>
      <c r="G5149" s="20" t="str">
        <f>IFERROR(__xludf.DUMMYFUNCTION("""COMPUTED_VALUE"""),"Uncle Sams Cider (11/12/2021) 02")</f>
        <v>Uncle Sams Cider (11/12/2021) 02</v>
      </c>
      <c r="H5149" s="19"/>
    </row>
    <row r="5150">
      <c r="A5150" s="9"/>
      <c r="B5150" s="15"/>
      <c r="C5150" s="9">
        <f>IFERROR(__xludf.DUMMYFUNCTION("""COMPUTED_VALUE"""),44551.4609325578)</f>
        <v>44551.46093</v>
      </c>
      <c r="D5150" s="15">
        <f>IFERROR(__xludf.DUMMYFUNCTION("""COMPUTED_VALUE"""),1.016)</f>
        <v>1.016</v>
      </c>
      <c r="E5150" s="16">
        <f>IFERROR(__xludf.DUMMYFUNCTION("""COMPUTED_VALUE"""),63.0)</f>
        <v>63</v>
      </c>
      <c r="F5150" s="19" t="str">
        <f>IFERROR(__xludf.DUMMYFUNCTION("""COMPUTED_VALUE"""),"BLACK")</f>
        <v>BLACK</v>
      </c>
      <c r="G5150" s="20" t="str">
        <f>IFERROR(__xludf.DUMMYFUNCTION("""COMPUTED_VALUE"""),"Uncle Sams Cider (11/12/2021) 02")</f>
        <v>Uncle Sams Cider (11/12/2021) 02</v>
      </c>
      <c r="H5150" s="19"/>
    </row>
    <row r="5151">
      <c r="A5151" s="9"/>
      <c r="B5151" s="15"/>
      <c r="C5151" s="9">
        <f>IFERROR(__xludf.DUMMYFUNCTION("""COMPUTED_VALUE"""),44551.4505105208)</f>
        <v>44551.45051</v>
      </c>
      <c r="D5151" s="15">
        <f>IFERROR(__xludf.DUMMYFUNCTION("""COMPUTED_VALUE"""),1.016)</f>
        <v>1.016</v>
      </c>
      <c r="E5151" s="16">
        <f>IFERROR(__xludf.DUMMYFUNCTION("""COMPUTED_VALUE"""),63.0)</f>
        <v>63</v>
      </c>
      <c r="F5151" s="19" t="str">
        <f>IFERROR(__xludf.DUMMYFUNCTION("""COMPUTED_VALUE"""),"BLACK")</f>
        <v>BLACK</v>
      </c>
      <c r="G5151" s="20" t="str">
        <f>IFERROR(__xludf.DUMMYFUNCTION("""COMPUTED_VALUE"""),"Uncle Sams Cider (11/12/2021) 02")</f>
        <v>Uncle Sams Cider (11/12/2021) 02</v>
      </c>
      <c r="H5151" s="19"/>
    </row>
    <row r="5152">
      <c r="A5152" s="9"/>
      <c r="B5152" s="15"/>
      <c r="C5152" s="9">
        <f>IFERROR(__xludf.DUMMYFUNCTION("""COMPUTED_VALUE"""),44551.4400888773)</f>
        <v>44551.44009</v>
      </c>
      <c r="D5152" s="15">
        <f>IFERROR(__xludf.DUMMYFUNCTION("""COMPUTED_VALUE"""),1.016)</f>
        <v>1.016</v>
      </c>
      <c r="E5152" s="16">
        <f>IFERROR(__xludf.DUMMYFUNCTION("""COMPUTED_VALUE"""),63.0)</f>
        <v>63</v>
      </c>
      <c r="F5152" s="19" t="str">
        <f>IFERROR(__xludf.DUMMYFUNCTION("""COMPUTED_VALUE"""),"BLACK")</f>
        <v>BLACK</v>
      </c>
      <c r="G5152" s="20" t="str">
        <f>IFERROR(__xludf.DUMMYFUNCTION("""COMPUTED_VALUE"""),"Uncle Sams Cider (11/12/2021) 02")</f>
        <v>Uncle Sams Cider (11/12/2021) 02</v>
      </c>
      <c r="H5152" s="19"/>
    </row>
    <row r="5153">
      <c r="A5153" s="9"/>
      <c r="B5153" s="15"/>
      <c r="C5153" s="9">
        <f>IFERROR(__xludf.DUMMYFUNCTION("""COMPUTED_VALUE"""),44551.4296561111)</f>
        <v>44551.42966</v>
      </c>
      <c r="D5153" s="15">
        <f>IFERROR(__xludf.DUMMYFUNCTION("""COMPUTED_VALUE"""),1.017)</f>
        <v>1.017</v>
      </c>
      <c r="E5153" s="16">
        <f>IFERROR(__xludf.DUMMYFUNCTION("""COMPUTED_VALUE"""),63.0)</f>
        <v>63</v>
      </c>
      <c r="F5153" s="19" t="str">
        <f>IFERROR(__xludf.DUMMYFUNCTION("""COMPUTED_VALUE"""),"BLACK")</f>
        <v>BLACK</v>
      </c>
      <c r="G5153" s="20" t="str">
        <f>IFERROR(__xludf.DUMMYFUNCTION("""COMPUTED_VALUE"""),"Uncle Sams Cider (11/12/2021) 02")</f>
        <v>Uncle Sams Cider (11/12/2021) 02</v>
      </c>
      <c r="H5153" s="19"/>
    </row>
    <row r="5154">
      <c r="A5154" s="9"/>
      <c r="B5154" s="15"/>
      <c r="C5154" s="9">
        <f>IFERROR(__xludf.DUMMYFUNCTION("""COMPUTED_VALUE"""),44551.4192230324)</f>
        <v>44551.41922</v>
      </c>
      <c r="D5154" s="15">
        <f>IFERROR(__xludf.DUMMYFUNCTION("""COMPUTED_VALUE"""),1.016)</f>
        <v>1.016</v>
      </c>
      <c r="E5154" s="16">
        <f>IFERROR(__xludf.DUMMYFUNCTION("""COMPUTED_VALUE"""),63.0)</f>
        <v>63</v>
      </c>
      <c r="F5154" s="19" t="str">
        <f>IFERROR(__xludf.DUMMYFUNCTION("""COMPUTED_VALUE"""),"BLACK")</f>
        <v>BLACK</v>
      </c>
      <c r="G5154" s="20" t="str">
        <f>IFERROR(__xludf.DUMMYFUNCTION("""COMPUTED_VALUE"""),"Uncle Sams Cider (11/12/2021) 02")</f>
        <v>Uncle Sams Cider (11/12/2021) 02</v>
      </c>
      <c r="H5154" s="19"/>
    </row>
    <row r="5155">
      <c r="A5155" s="9"/>
      <c r="B5155" s="15"/>
      <c r="C5155" s="9">
        <f>IFERROR(__xludf.DUMMYFUNCTION("""COMPUTED_VALUE"""),44551.4088010763)</f>
        <v>44551.4088</v>
      </c>
      <c r="D5155" s="15">
        <f>IFERROR(__xludf.DUMMYFUNCTION("""COMPUTED_VALUE"""),1.016)</f>
        <v>1.016</v>
      </c>
      <c r="E5155" s="16">
        <f>IFERROR(__xludf.DUMMYFUNCTION("""COMPUTED_VALUE"""),63.0)</f>
        <v>63</v>
      </c>
      <c r="F5155" s="19" t="str">
        <f>IFERROR(__xludf.DUMMYFUNCTION("""COMPUTED_VALUE"""),"BLACK")</f>
        <v>BLACK</v>
      </c>
      <c r="G5155" s="20" t="str">
        <f>IFERROR(__xludf.DUMMYFUNCTION("""COMPUTED_VALUE"""),"Uncle Sams Cider (11/12/2021) 02")</f>
        <v>Uncle Sams Cider (11/12/2021) 02</v>
      </c>
      <c r="H5155" s="19"/>
    </row>
    <row r="5156">
      <c r="A5156" s="9"/>
      <c r="B5156" s="15"/>
      <c r="C5156" s="9">
        <f>IFERROR(__xludf.DUMMYFUNCTION("""COMPUTED_VALUE"""),44551.3983445254)</f>
        <v>44551.39834</v>
      </c>
      <c r="D5156" s="15">
        <f>IFERROR(__xludf.DUMMYFUNCTION("""COMPUTED_VALUE"""),1.016)</f>
        <v>1.016</v>
      </c>
      <c r="E5156" s="16">
        <f>IFERROR(__xludf.DUMMYFUNCTION("""COMPUTED_VALUE"""),63.0)</f>
        <v>63</v>
      </c>
      <c r="F5156" s="19" t="str">
        <f>IFERROR(__xludf.DUMMYFUNCTION("""COMPUTED_VALUE"""),"BLACK")</f>
        <v>BLACK</v>
      </c>
      <c r="G5156" s="20" t="str">
        <f>IFERROR(__xludf.DUMMYFUNCTION("""COMPUTED_VALUE"""),"Uncle Sams Cider (11/12/2021) 02")</f>
        <v>Uncle Sams Cider (11/12/2021) 02</v>
      </c>
      <c r="H5156" s="19"/>
    </row>
    <row r="5157">
      <c r="A5157" s="9"/>
      <c r="B5157" s="15"/>
      <c r="C5157" s="9">
        <f>IFERROR(__xludf.DUMMYFUNCTION("""COMPUTED_VALUE"""),44551.3879237847)</f>
        <v>44551.38792</v>
      </c>
      <c r="D5157" s="15">
        <f>IFERROR(__xludf.DUMMYFUNCTION("""COMPUTED_VALUE"""),1.016)</f>
        <v>1.016</v>
      </c>
      <c r="E5157" s="16">
        <f>IFERROR(__xludf.DUMMYFUNCTION("""COMPUTED_VALUE"""),63.0)</f>
        <v>63</v>
      </c>
      <c r="F5157" s="19" t="str">
        <f>IFERROR(__xludf.DUMMYFUNCTION("""COMPUTED_VALUE"""),"BLACK")</f>
        <v>BLACK</v>
      </c>
      <c r="G5157" s="20" t="str">
        <f>IFERROR(__xludf.DUMMYFUNCTION("""COMPUTED_VALUE"""),"Uncle Sams Cider (11/12/2021) 02")</f>
        <v>Uncle Sams Cider (11/12/2021) 02</v>
      </c>
      <c r="H5157" s="19"/>
    </row>
    <row r="5158">
      <c r="A5158" s="9"/>
      <c r="B5158" s="15"/>
      <c r="C5158" s="9">
        <f>IFERROR(__xludf.DUMMYFUNCTION("""COMPUTED_VALUE"""),44551.3774448958)</f>
        <v>44551.37744</v>
      </c>
      <c r="D5158" s="15">
        <f>IFERROR(__xludf.DUMMYFUNCTION("""COMPUTED_VALUE"""),1.016)</f>
        <v>1.016</v>
      </c>
      <c r="E5158" s="16">
        <f>IFERROR(__xludf.DUMMYFUNCTION("""COMPUTED_VALUE"""),63.0)</f>
        <v>63</v>
      </c>
      <c r="F5158" s="19" t="str">
        <f>IFERROR(__xludf.DUMMYFUNCTION("""COMPUTED_VALUE"""),"BLACK")</f>
        <v>BLACK</v>
      </c>
      <c r="G5158" s="20" t="str">
        <f>IFERROR(__xludf.DUMMYFUNCTION("""COMPUTED_VALUE"""),"Uncle Sams Cider (11/12/2021) 02")</f>
        <v>Uncle Sams Cider (11/12/2021) 02</v>
      </c>
      <c r="H5158" s="19"/>
    </row>
    <row r="5159">
      <c r="A5159" s="9"/>
      <c r="B5159" s="15"/>
      <c r="C5159" s="9">
        <f>IFERROR(__xludf.DUMMYFUNCTION("""COMPUTED_VALUE"""),44551.367023831)</f>
        <v>44551.36702</v>
      </c>
      <c r="D5159" s="15">
        <f>IFERROR(__xludf.DUMMYFUNCTION("""COMPUTED_VALUE"""),1.016)</f>
        <v>1.016</v>
      </c>
      <c r="E5159" s="16">
        <f>IFERROR(__xludf.DUMMYFUNCTION("""COMPUTED_VALUE"""),63.0)</f>
        <v>63</v>
      </c>
      <c r="F5159" s="19" t="str">
        <f>IFERROR(__xludf.DUMMYFUNCTION("""COMPUTED_VALUE"""),"BLACK")</f>
        <v>BLACK</v>
      </c>
      <c r="G5159" s="20" t="str">
        <f>IFERROR(__xludf.DUMMYFUNCTION("""COMPUTED_VALUE"""),"Uncle Sams Cider (11/12/2021) 02")</f>
        <v>Uncle Sams Cider (11/12/2021) 02</v>
      </c>
      <c r="H5159" s="19"/>
    </row>
    <row r="5160">
      <c r="A5160" s="9"/>
      <c r="B5160" s="15"/>
      <c r="C5160" s="9">
        <f>IFERROR(__xludf.DUMMYFUNCTION("""COMPUTED_VALUE"""),44551.3565928472)</f>
        <v>44551.35659</v>
      </c>
      <c r="D5160" s="15">
        <f>IFERROR(__xludf.DUMMYFUNCTION("""COMPUTED_VALUE"""),1.016)</f>
        <v>1.016</v>
      </c>
      <c r="E5160" s="16">
        <f>IFERROR(__xludf.DUMMYFUNCTION("""COMPUTED_VALUE"""),63.0)</f>
        <v>63</v>
      </c>
      <c r="F5160" s="19" t="str">
        <f>IFERROR(__xludf.DUMMYFUNCTION("""COMPUTED_VALUE"""),"BLACK")</f>
        <v>BLACK</v>
      </c>
      <c r="G5160" s="20" t="str">
        <f>IFERROR(__xludf.DUMMYFUNCTION("""COMPUTED_VALUE"""),"Uncle Sams Cider (11/12/2021) 02")</f>
        <v>Uncle Sams Cider (11/12/2021) 02</v>
      </c>
      <c r="H5160" s="19"/>
    </row>
    <row r="5161">
      <c r="A5161" s="9"/>
      <c r="B5161" s="15"/>
      <c r="C5161" s="9">
        <f>IFERROR(__xludf.DUMMYFUNCTION("""COMPUTED_VALUE"""),44551.3461606481)</f>
        <v>44551.34616</v>
      </c>
      <c r="D5161" s="15">
        <f>IFERROR(__xludf.DUMMYFUNCTION("""COMPUTED_VALUE"""),1.016)</f>
        <v>1.016</v>
      </c>
      <c r="E5161" s="16">
        <f>IFERROR(__xludf.DUMMYFUNCTION("""COMPUTED_VALUE"""),63.0)</f>
        <v>63</v>
      </c>
      <c r="F5161" s="19" t="str">
        <f>IFERROR(__xludf.DUMMYFUNCTION("""COMPUTED_VALUE"""),"BLACK")</f>
        <v>BLACK</v>
      </c>
      <c r="G5161" s="20" t="str">
        <f>IFERROR(__xludf.DUMMYFUNCTION("""COMPUTED_VALUE"""),"Uncle Sams Cider (11/12/2021) 02")</f>
        <v>Uncle Sams Cider (11/12/2021) 02</v>
      </c>
      <c r="H5161" s="19"/>
    </row>
    <row r="5162">
      <c r="A5162" s="9"/>
      <c r="B5162" s="15"/>
      <c r="C5162" s="9">
        <f>IFERROR(__xludf.DUMMYFUNCTION("""COMPUTED_VALUE"""),44551.335725243)</f>
        <v>44551.33573</v>
      </c>
      <c r="D5162" s="15">
        <f>IFERROR(__xludf.DUMMYFUNCTION("""COMPUTED_VALUE"""),1.016)</f>
        <v>1.016</v>
      </c>
      <c r="E5162" s="16">
        <f>IFERROR(__xludf.DUMMYFUNCTION("""COMPUTED_VALUE"""),63.0)</f>
        <v>63</v>
      </c>
      <c r="F5162" s="19" t="str">
        <f>IFERROR(__xludf.DUMMYFUNCTION("""COMPUTED_VALUE"""),"BLACK")</f>
        <v>BLACK</v>
      </c>
      <c r="G5162" s="20" t="str">
        <f>IFERROR(__xludf.DUMMYFUNCTION("""COMPUTED_VALUE"""),"Uncle Sams Cider (11/12/2021) 02")</f>
        <v>Uncle Sams Cider (11/12/2021) 02</v>
      </c>
      <c r="H5162" s="19"/>
    </row>
    <row r="5163">
      <c r="A5163" s="9"/>
      <c r="B5163" s="15"/>
      <c r="C5163" s="9">
        <f>IFERROR(__xludf.DUMMYFUNCTION("""COMPUTED_VALUE"""),44551.3253042129)</f>
        <v>44551.3253</v>
      </c>
      <c r="D5163" s="15">
        <f>IFERROR(__xludf.DUMMYFUNCTION("""COMPUTED_VALUE"""),1.017)</f>
        <v>1.017</v>
      </c>
      <c r="E5163" s="16">
        <f>IFERROR(__xludf.DUMMYFUNCTION("""COMPUTED_VALUE"""),63.0)</f>
        <v>63</v>
      </c>
      <c r="F5163" s="19" t="str">
        <f>IFERROR(__xludf.DUMMYFUNCTION("""COMPUTED_VALUE"""),"BLACK")</f>
        <v>BLACK</v>
      </c>
      <c r="G5163" s="20" t="str">
        <f>IFERROR(__xludf.DUMMYFUNCTION("""COMPUTED_VALUE"""),"Uncle Sams Cider (11/12/2021) 02")</f>
        <v>Uncle Sams Cider (11/12/2021) 02</v>
      </c>
      <c r="H5163" s="19"/>
    </row>
    <row r="5164">
      <c r="A5164" s="9"/>
      <c r="B5164" s="15"/>
      <c r="C5164" s="9">
        <f>IFERROR(__xludf.DUMMYFUNCTION("""COMPUTED_VALUE"""),44551.3148838888)</f>
        <v>44551.31488</v>
      </c>
      <c r="D5164" s="15">
        <f>IFERROR(__xludf.DUMMYFUNCTION("""COMPUTED_VALUE"""),1.017)</f>
        <v>1.017</v>
      </c>
      <c r="E5164" s="16">
        <f>IFERROR(__xludf.DUMMYFUNCTION("""COMPUTED_VALUE"""),63.0)</f>
        <v>63</v>
      </c>
      <c r="F5164" s="19" t="str">
        <f>IFERROR(__xludf.DUMMYFUNCTION("""COMPUTED_VALUE"""),"BLACK")</f>
        <v>BLACK</v>
      </c>
      <c r="G5164" s="20" t="str">
        <f>IFERROR(__xludf.DUMMYFUNCTION("""COMPUTED_VALUE"""),"Uncle Sams Cider (11/12/2021) 02")</f>
        <v>Uncle Sams Cider (11/12/2021) 02</v>
      </c>
      <c r="H5164" s="19"/>
    </row>
    <row r="5165">
      <c r="A5165" s="9"/>
      <c r="B5165" s="15"/>
      <c r="C5165" s="9">
        <f>IFERROR(__xludf.DUMMYFUNCTION("""COMPUTED_VALUE"""),44551.304462037)</f>
        <v>44551.30446</v>
      </c>
      <c r="D5165" s="15">
        <f>IFERROR(__xludf.DUMMYFUNCTION("""COMPUTED_VALUE"""),1.016)</f>
        <v>1.016</v>
      </c>
      <c r="E5165" s="16">
        <f>IFERROR(__xludf.DUMMYFUNCTION("""COMPUTED_VALUE"""),63.0)</f>
        <v>63</v>
      </c>
      <c r="F5165" s="19" t="str">
        <f>IFERROR(__xludf.DUMMYFUNCTION("""COMPUTED_VALUE"""),"BLACK")</f>
        <v>BLACK</v>
      </c>
      <c r="G5165" s="20" t="str">
        <f>IFERROR(__xludf.DUMMYFUNCTION("""COMPUTED_VALUE"""),"Uncle Sams Cider (11/12/2021) 02")</f>
        <v>Uncle Sams Cider (11/12/2021) 02</v>
      </c>
      <c r="H5165" s="19"/>
    </row>
    <row r="5166">
      <c r="A5166" s="9"/>
      <c r="B5166" s="15"/>
      <c r="C5166" s="9">
        <f>IFERROR(__xludf.DUMMYFUNCTION("""COMPUTED_VALUE"""),44551.294041956)</f>
        <v>44551.29404</v>
      </c>
      <c r="D5166" s="15">
        <f>IFERROR(__xludf.DUMMYFUNCTION("""COMPUTED_VALUE"""),1.017)</f>
        <v>1.017</v>
      </c>
      <c r="E5166" s="16">
        <f>IFERROR(__xludf.DUMMYFUNCTION("""COMPUTED_VALUE"""),63.0)</f>
        <v>63</v>
      </c>
      <c r="F5166" s="19" t="str">
        <f>IFERROR(__xludf.DUMMYFUNCTION("""COMPUTED_VALUE"""),"BLACK")</f>
        <v>BLACK</v>
      </c>
      <c r="G5166" s="20" t="str">
        <f>IFERROR(__xludf.DUMMYFUNCTION("""COMPUTED_VALUE"""),"Uncle Sams Cider (11/12/2021) 02")</f>
        <v>Uncle Sams Cider (11/12/2021) 02</v>
      </c>
      <c r="H5166" s="19"/>
    </row>
    <row r="5167">
      <c r="A5167" s="9"/>
      <c r="B5167" s="15"/>
      <c r="C5167" s="9">
        <f>IFERROR(__xludf.DUMMYFUNCTION("""COMPUTED_VALUE"""),44551.2836207754)</f>
        <v>44551.28362</v>
      </c>
      <c r="D5167" s="15">
        <f>IFERROR(__xludf.DUMMYFUNCTION("""COMPUTED_VALUE"""),1.017)</f>
        <v>1.017</v>
      </c>
      <c r="E5167" s="16">
        <f>IFERROR(__xludf.DUMMYFUNCTION("""COMPUTED_VALUE"""),63.0)</f>
        <v>63</v>
      </c>
      <c r="F5167" s="19" t="str">
        <f>IFERROR(__xludf.DUMMYFUNCTION("""COMPUTED_VALUE"""),"BLACK")</f>
        <v>BLACK</v>
      </c>
      <c r="G5167" s="20" t="str">
        <f>IFERROR(__xludf.DUMMYFUNCTION("""COMPUTED_VALUE"""),"Uncle Sams Cider (11/12/2021) 02")</f>
        <v>Uncle Sams Cider (11/12/2021) 02</v>
      </c>
      <c r="H5167" s="19"/>
    </row>
    <row r="5168">
      <c r="A5168" s="9"/>
      <c r="B5168" s="15"/>
      <c r="C5168" s="9">
        <f>IFERROR(__xludf.DUMMYFUNCTION("""COMPUTED_VALUE"""),44551.2731990972)</f>
        <v>44551.2732</v>
      </c>
      <c r="D5168" s="15">
        <f>IFERROR(__xludf.DUMMYFUNCTION("""COMPUTED_VALUE"""),1.017)</f>
        <v>1.017</v>
      </c>
      <c r="E5168" s="16">
        <f>IFERROR(__xludf.DUMMYFUNCTION("""COMPUTED_VALUE"""),63.0)</f>
        <v>63</v>
      </c>
      <c r="F5168" s="19" t="str">
        <f>IFERROR(__xludf.DUMMYFUNCTION("""COMPUTED_VALUE"""),"BLACK")</f>
        <v>BLACK</v>
      </c>
      <c r="G5168" s="20" t="str">
        <f>IFERROR(__xludf.DUMMYFUNCTION("""COMPUTED_VALUE"""),"Uncle Sams Cider (11/12/2021) 02")</f>
        <v>Uncle Sams Cider (11/12/2021) 02</v>
      </c>
      <c r="H5168" s="19"/>
    </row>
    <row r="5169">
      <c r="A5169" s="9"/>
      <c r="B5169" s="15"/>
      <c r="C5169" s="9">
        <f>IFERROR(__xludf.DUMMYFUNCTION("""COMPUTED_VALUE"""),44551.2627652083)</f>
        <v>44551.26277</v>
      </c>
      <c r="D5169" s="15">
        <f>IFERROR(__xludf.DUMMYFUNCTION("""COMPUTED_VALUE"""),1.017)</f>
        <v>1.017</v>
      </c>
      <c r="E5169" s="16">
        <f>IFERROR(__xludf.DUMMYFUNCTION("""COMPUTED_VALUE"""),63.0)</f>
        <v>63</v>
      </c>
      <c r="F5169" s="19" t="str">
        <f>IFERROR(__xludf.DUMMYFUNCTION("""COMPUTED_VALUE"""),"BLACK")</f>
        <v>BLACK</v>
      </c>
      <c r="G5169" s="20" t="str">
        <f>IFERROR(__xludf.DUMMYFUNCTION("""COMPUTED_VALUE"""),"Uncle Sams Cider (11/12/2021) 02")</f>
        <v>Uncle Sams Cider (11/12/2021) 02</v>
      </c>
      <c r="H5169" s="19"/>
    </row>
    <row r="5170">
      <c r="A5170" s="9"/>
      <c r="B5170" s="15"/>
      <c r="C5170" s="9">
        <f>IFERROR(__xludf.DUMMYFUNCTION("""COMPUTED_VALUE"""),44551.2523435416)</f>
        <v>44551.25234</v>
      </c>
      <c r="D5170" s="15">
        <f>IFERROR(__xludf.DUMMYFUNCTION("""COMPUTED_VALUE"""),1.017)</f>
        <v>1.017</v>
      </c>
      <c r="E5170" s="16">
        <f>IFERROR(__xludf.DUMMYFUNCTION("""COMPUTED_VALUE"""),63.0)</f>
        <v>63</v>
      </c>
      <c r="F5170" s="19" t="str">
        <f>IFERROR(__xludf.DUMMYFUNCTION("""COMPUTED_VALUE"""),"BLACK")</f>
        <v>BLACK</v>
      </c>
      <c r="G5170" s="20" t="str">
        <f>IFERROR(__xludf.DUMMYFUNCTION("""COMPUTED_VALUE"""),"Uncle Sams Cider (11/12/2021) 02")</f>
        <v>Uncle Sams Cider (11/12/2021) 02</v>
      </c>
      <c r="H5170" s="19"/>
    </row>
    <row r="5171">
      <c r="A5171" s="9"/>
      <c r="B5171" s="15"/>
      <c r="C5171" s="9">
        <f>IFERROR(__xludf.DUMMYFUNCTION("""COMPUTED_VALUE"""),44551.2419129861)</f>
        <v>44551.24191</v>
      </c>
      <c r="D5171" s="15">
        <f>IFERROR(__xludf.DUMMYFUNCTION("""COMPUTED_VALUE"""),1.017)</f>
        <v>1.017</v>
      </c>
      <c r="E5171" s="16">
        <f>IFERROR(__xludf.DUMMYFUNCTION("""COMPUTED_VALUE"""),63.0)</f>
        <v>63</v>
      </c>
      <c r="F5171" s="19" t="str">
        <f>IFERROR(__xludf.DUMMYFUNCTION("""COMPUTED_VALUE"""),"BLACK")</f>
        <v>BLACK</v>
      </c>
      <c r="G5171" s="20" t="str">
        <f>IFERROR(__xludf.DUMMYFUNCTION("""COMPUTED_VALUE"""),"Uncle Sams Cider (11/12/2021) 02")</f>
        <v>Uncle Sams Cider (11/12/2021) 02</v>
      </c>
      <c r="H5171" s="19"/>
    </row>
    <row r="5172">
      <c r="A5172" s="9"/>
      <c r="B5172" s="15"/>
      <c r="C5172" s="9">
        <f>IFERROR(__xludf.DUMMYFUNCTION("""COMPUTED_VALUE"""),44551.2314823032)</f>
        <v>44551.23148</v>
      </c>
      <c r="D5172" s="15">
        <f>IFERROR(__xludf.DUMMYFUNCTION("""COMPUTED_VALUE"""),1.017)</f>
        <v>1.017</v>
      </c>
      <c r="E5172" s="16">
        <f>IFERROR(__xludf.DUMMYFUNCTION("""COMPUTED_VALUE"""),63.0)</f>
        <v>63</v>
      </c>
      <c r="F5172" s="19" t="str">
        <f>IFERROR(__xludf.DUMMYFUNCTION("""COMPUTED_VALUE"""),"BLACK")</f>
        <v>BLACK</v>
      </c>
      <c r="G5172" s="20" t="str">
        <f>IFERROR(__xludf.DUMMYFUNCTION("""COMPUTED_VALUE"""),"Uncle Sams Cider (11/12/2021) 02")</f>
        <v>Uncle Sams Cider (11/12/2021) 02</v>
      </c>
      <c r="H5172" s="19"/>
    </row>
    <row r="5173">
      <c r="A5173" s="9"/>
      <c r="B5173" s="15"/>
      <c r="C5173" s="9">
        <f>IFERROR(__xludf.DUMMYFUNCTION("""COMPUTED_VALUE"""),44551.2210379745)</f>
        <v>44551.22104</v>
      </c>
      <c r="D5173" s="15">
        <f>IFERROR(__xludf.DUMMYFUNCTION("""COMPUTED_VALUE"""),1.017)</f>
        <v>1.017</v>
      </c>
      <c r="E5173" s="16">
        <f>IFERROR(__xludf.DUMMYFUNCTION("""COMPUTED_VALUE"""),63.0)</f>
        <v>63</v>
      </c>
      <c r="F5173" s="19" t="str">
        <f>IFERROR(__xludf.DUMMYFUNCTION("""COMPUTED_VALUE"""),"BLACK")</f>
        <v>BLACK</v>
      </c>
      <c r="G5173" s="20" t="str">
        <f>IFERROR(__xludf.DUMMYFUNCTION("""COMPUTED_VALUE"""),"Uncle Sams Cider (11/12/2021) 02")</f>
        <v>Uncle Sams Cider (11/12/2021) 02</v>
      </c>
      <c r="H5173" s="19"/>
    </row>
    <row r="5174">
      <c r="A5174" s="9"/>
      <c r="B5174" s="15"/>
      <c r="C5174" s="9">
        <f>IFERROR(__xludf.DUMMYFUNCTION("""COMPUTED_VALUE"""),44551.210605625)</f>
        <v>44551.21061</v>
      </c>
      <c r="D5174" s="15">
        <f>IFERROR(__xludf.DUMMYFUNCTION("""COMPUTED_VALUE"""),1.017)</f>
        <v>1.017</v>
      </c>
      <c r="E5174" s="16">
        <f>IFERROR(__xludf.DUMMYFUNCTION("""COMPUTED_VALUE"""),63.0)</f>
        <v>63</v>
      </c>
      <c r="F5174" s="19" t="str">
        <f>IFERROR(__xludf.DUMMYFUNCTION("""COMPUTED_VALUE"""),"BLACK")</f>
        <v>BLACK</v>
      </c>
      <c r="G5174" s="20" t="str">
        <f>IFERROR(__xludf.DUMMYFUNCTION("""COMPUTED_VALUE"""),"Uncle Sams Cider (11/12/2021) 02")</f>
        <v>Uncle Sams Cider (11/12/2021) 02</v>
      </c>
      <c r="H5174" s="19"/>
    </row>
    <row r="5175">
      <c r="A5175" s="9"/>
      <c r="B5175" s="15"/>
      <c r="C5175" s="9">
        <f>IFERROR(__xludf.DUMMYFUNCTION("""COMPUTED_VALUE"""),44551.2001856365)</f>
        <v>44551.20019</v>
      </c>
      <c r="D5175" s="15">
        <f>IFERROR(__xludf.DUMMYFUNCTION("""COMPUTED_VALUE"""),1.017)</f>
        <v>1.017</v>
      </c>
      <c r="E5175" s="16">
        <f>IFERROR(__xludf.DUMMYFUNCTION("""COMPUTED_VALUE"""),63.0)</f>
        <v>63</v>
      </c>
      <c r="F5175" s="19" t="str">
        <f>IFERROR(__xludf.DUMMYFUNCTION("""COMPUTED_VALUE"""),"BLACK")</f>
        <v>BLACK</v>
      </c>
      <c r="G5175" s="20" t="str">
        <f>IFERROR(__xludf.DUMMYFUNCTION("""COMPUTED_VALUE"""),"Uncle Sams Cider (11/12/2021) 02")</f>
        <v>Uncle Sams Cider (11/12/2021) 02</v>
      </c>
      <c r="H5175" s="19"/>
    </row>
    <row r="5176">
      <c r="A5176" s="9"/>
      <c r="B5176" s="15"/>
      <c r="C5176" s="9">
        <f>IFERROR(__xludf.DUMMYFUNCTION("""COMPUTED_VALUE"""),44551.1897510995)</f>
        <v>44551.18975</v>
      </c>
      <c r="D5176" s="15">
        <f>IFERROR(__xludf.DUMMYFUNCTION("""COMPUTED_VALUE"""),1.017)</f>
        <v>1.017</v>
      </c>
      <c r="E5176" s="16">
        <f>IFERROR(__xludf.DUMMYFUNCTION("""COMPUTED_VALUE"""),63.0)</f>
        <v>63</v>
      </c>
      <c r="F5176" s="19" t="str">
        <f>IFERROR(__xludf.DUMMYFUNCTION("""COMPUTED_VALUE"""),"BLACK")</f>
        <v>BLACK</v>
      </c>
      <c r="G5176" s="20" t="str">
        <f>IFERROR(__xludf.DUMMYFUNCTION("""COMPUTED_VALUE"""),"Uncle Sams Cider (11/12/2021) 02")</f>
        <v>Uncle Sams Cider (11/12/2021) 02</v>
      </c>
      <c r="H5176" s="19"/>
    </row>
    <row r="5177">
      <c r="A5177" s="9"/>
      <c r="B5177" s="15"/>
      <c r="C5177" s="9">
        <f>IFERROR(__xludf.DUMMYFUNCTION("""COMPUTED_VALUE"""),44551.1793278009)</f>
        <v>44551.17933</v>
      </c>
      <c r="D5177" s="15">
        <f>IFERROR(__xludf.DUMMYFUNCTION("""COMPUTED_VALUE"""),1.016)</f>
        <v>1.016</v>
      </c>
      <c r="E5177" s="16">
        <f>IFERROR(__xludf.DUMMYFUNCTION("""COMPUTED_VALUE"""),63.0)</f>
        <v>63</v>
      </c>
      <c r="F5177" s="19" t="str">
        <f>IFERROR(__xludf.DUMMYFUNCTION("""COMPUTED_VALUE"""),"BLACK")</f>
        <v>BLACK</v>
      </c>
      <c r="G5177" s="20" t="str">
        <f>IFERROR(__xludf.DUMMYFUNCTION("""COMPUTED_VALUE"""),"Uncle Sams Cider (11/12/2021) 02")</f>
        <v>Uncle Sams Cider (11/12/2021) 02</v>
      </c>
      <c r="H5177" s="19"/>
    </row>
    <row r="5178">
      <c r="A5178" s="9"/>
      <c r="B5178" s="15"/>
      <c r="C5178" s="9">
        <f>IFERROR(__xludf.DUMMYFUNCTION("""COMPUTED_VALUE"""),44551.1689059722)</f>
        <v>44551.16891</v>
      </c>
      <c r="D5178" s="15">
        <f>IFERROR(__xludf.DUMMYFUNCTION("""COMPUTED_VALUE"""),1.016)</f>
        <v>1.016</v>
      </c>
      <c r="E5178" s="16">
        <f>IFERROR(__xludf.DUMMYFUNCTION("""COMPUTED_VALUE"""),63.0)</f>
        <v>63</v>
      </c>
      <c r="F5178" s="19" t="str">
        <f>IFERROR(__xludf.DUMMYFUNCTION("""COMPUTED_VALUE"""),"BLACK")</f>
        <v>BLACK</v>
      </c>
      <c r="G5178" s="20" t="str">
        <f>IFERROR(__xludf.DUMMYFUNCTION("""COMPUTED_VALUE"""),"Uncle Sams Cider (11/12/2021) 02")</f>
        <v>Uncle Sams Cider (11/12/2021) 02</v>
      </c>
      <c r="H5178" s="19"/>
    </row>
    <row r="5179">
      <c r="A5179" s="9"/>
      <c r="B5179" s="15"/>
      <c r="C5179" s="9">
        <f>IFERROR(__xludf.DUMMYFUNCTION("""COMPUTED_VALUE"""),44551.1584853125)</f>
        <v>44551.15849</v>
      </c>
      <c r="D5179" s="15">
        <f>IFERROR(__xludf.DUMMYFUNCTION("""COMPUTED_VALUE"""),1.017)</f>
        <v>1.017</v>
      </c>
      <c r="E5179" s="16">
        <f>IFERROR(__xludf.DUMMYFUNCTION("""COMPUTED_VALUE"""),63.0)</f>
        <v>63</v>
      </c>
      <c r="F5179" s="19" t="str">
        <f>IFERROR(__xludf.DUMMYFUNCTION("""COMPUTED_VALUE"""),"BLACK")</f>
        <v>BLACK</v>
      </c>
      <c r="G5179" s="20" t="str">
        <f>IFERROR(__xludf.DUMMYFUNCTION("""COMPUTED_VALUE"""),"Uncle Sams Cider (11/12/2021) 02")</f>
        <v>Uncle Sams Cider (11/12/2021) 02</v>
      </c>
      <c r="H5179" s="19"/>
    </row>
    <row r="5180">
      <c r="A5180" s="9"/>
      <c r="B5180" s="15"/>
      <c r="C5180" s="9">
        <f>IFERROR(__xludf.DUMMYFUNCTION("""COMPUTED_VALUE"""),44551.1480514699)</f>
        <v>44551.14805</v>
      </c>
      <c r="D5180" s="15">
        <f>IFERROR(__xludf.DUMMYFUNCTION("""COMPUTED_VALUE"""),1.016)</f>
        <v>1.016</v>
      </c>
      <c r="E5180" s="16">
        <f>IFERROR(__xludf.DUMMYFUNCTION("""COMPUTED_VALUE"""),63.0)</f>
        <v>63</v>
      </c>
      <c r="F5180" s="19" t="str">
        <f>IFERROR(__xludf.DUMMYFUNCTION("""COMPUTED_VALUE"""),"BLACK")</f>
        <v>BLACK</v>
      </c>
      <c r="G5180" s="20" t="str">
        <f>IFERROR(__xludf.DUMMYFUNCTION("""COMPUTED_VALUE"""),"Uncle Sams Cider (11/12/2021) 02")</f>
        <v>Uncle Sams Cider (11/12/2021) 02</v>
      </c>
      <c r="H5180" s="19"/>
    </row>
    <row r="5181">
      <c r="A5181" s="9"/>
      <c r="B5181" s="15"/>
      <c r="C5181" s="9">
        <f>IFERROR(__xludf.DUMMYFUNCTION("""COMPUTED_VALUE"""),44551.1376071759)</f>
        <v>44551.13761</v>
      </c>
      <c r="D5181" s="15">
        <f>IFERROR(__xludf.DUMMYFUNCTION("""COMPUTED_VALUE"""),1.016)</f>
        <v>1.016</v>
      </c>
      <c r="E5181" s="16">
        <f>IFERROR(__xludf.DUMMYFUNCTION("""COMPUTED_VALUE"""),63.0)</f>
        <v>63</v>
      </c>
      <c r="F5181" s="19" t="str">
        <f>IFERROR(__xludf.DUMMYFUNCTION("""COMPUTED_VALUE"""),"BLACK")</f>
        <v>BLACK</v>
      </c>
      <c r="G5181" s="20" t="str">
        <f>IFERROR(__xludf.DUMMYFUNCTION("""COMPUTED_VALUE"""),"Uncle Sams Cider (11/12/2021) 02")</f>
        <v>Uncle Sams Cider (11/12/2021) 02</v>
      </c>
      <c r="H5181" s="19"/>
    </row>
    <row r="5182">
      <c r="A5182" s="9"/>
      <c r="B5182" s="15"/>
      <c r="C5182" s="9">
        <f>IFERROR(__xludf.DUMMYFUNCTION("""COMPUTED_VALUE"""),44551.1271742592)</f>
        <v>44551.12717</v>
      </c>
      <c r="D5182" s="15">
        <f>IFERROR(__xludf.DUMMYFUNCTION("""COMPUTED_VALUE"""),1.017)</f>
        <v>1.017</v>
      </c>
      <c r="E5182" s="16">
        <f>IFERROR(__xludf.DUMMYFUNCTION("""COMPUTED_VALUE"""),63.0)</f>
        <v>63</v>
      </c>
      <c r="F5182" s="19" t="str">
        <f>IFERROR(__xludf.DUMMYFUNCTION("""COMPUTED_VALUE"""),"BLACK")</f>
        <v>BLACK</v>
      </c>
      <c r="G5182" s="20" t="str">
        <f>IFERROR(__xludf.DUMMYFUNCTION("""COMPUTED_VALUE"""),"Uncle Sams Cider (11/12/2021) 02")</f>
        <v>Uncle Sams Cider (11/12/2021) 02</v>
      </c>
      <c r="H5182" s="19"/>
    </row>
    <row r="5183">
      <c r="A5183" s="9"/>
      <c r="B5183" s="15"/>
      <c r="C5183" s="9">
        <f>IFERROR(__xludf.DUMMYFUNCTION("""COMPUTED_VALUE"""),44551.1167525694)</f>
        <v>44551.11675</v>
      </c>
      <c r="D5183" s="15">
        <f>IFERROR(__xludf.DUMMYFUNCTION("""COMPUTED_VALUE"""),1.017)</f>
        <v>1.017</v>
      </c>
      <c r="E5183" s="16">
        <f>IFERROR(__xludf.DUMMYFUNCTION("""COMPUTED_VALUE"""),63.0)</f>
        <v>63</v>
      </c>
      <c r="F5183" s="19" t="str">
        <f>IFERROR(__xludf.DUMMYFUNCTION("""COMPUTED_VALUE"""),"BLACK")</f>
        <v>BLACK</v>
      </c>
      <c r="G5183" s="20" t="str">
        <f>IFERROR(__xludf.DUMMYFUNCTION("""COMPUTED_VALUE"""),"Uncle Sams Cider (11/12/2021) 02")</f>
        <v>Uncle Sams Cider (11/12/2021) 02</v>
      </c>
      <c r="H5183" s="19"/>
    </row>
    <row r="5184">
      <c r="A5184" s="9"/>
      <c r="B5184" s="15"/>
      <c r="C5184" s="9">
        <f>IFERROR(__xludf.DUMMYFUNCTION("""COMPUTED_VALUE"""),44551.1063315972)</f>
        <v>44551.10633</v>
      </c>
      <c r="D5184" s="15">
        <f>IFERROR(__xludf.DUMMYFUNCTION("""COMPUTED_VALUE"""),1.017)</f>
        <v>1.017</v>
      </c>
      <c r="E5184" s="16">
        <f>IFERROR(__xludf.DUMMYFUNCTION("""COMPUTED_VALUE"""),63.0)</f>
        <v>63</v>
      </c>
      <c r="F5184" s="19" t="str">
        <f>IFERROR(__xludf.DUMMYFUNCTION("""COMPUTED_VALUE"""),"BLACK")</f>
        <v>BLACK</v>
      </c>
      <c r="G5184" s="20" t="str">
        <f>IFERROR(__xludf.DUMMYFUNCTION("""COMPUTED_VALUE"""),"Uncle Sams Cider (11/12/2021) 02")</f>
        <v>Uncle Sams Cider (11/12/2021) 02</v>
      </c>
      <c r="H5184" s="19"/>
    </row>
    <row r="5185">
      <c r="A5185" s="9"/>
      <c r="B5185" s="15"/>
      <c r="C5185" s="9">
        <f>IFERROR(__xludf.DUMMYFUNCTION("""COMPUTED_VALUE"""),44551.09590978)</f>
        <v>44551.09591</v>
      </c>
      <c r="D5185" s="15">
        <f>IFERROR(__xludf.DUMMYFUNCTION("""COMPUTED_VALUE"""),1.017)</f>
        <v>1.017</v>
      </c>
      <c r="E5185" s="16">
        <f>IFERROR(__xludf.DUMMYFUNCTION("""COMPUTED_VALUE"""),63.0)</f>
        <v>63</v>
      </c>
      <c r="F5185" s="19" t="str">
        <f>IFERROR(__xludf.DUMMYFUNCTION("""COMPUTED_VALUE"""),"BLACK")</f>
        <v>BLACK</v>
      </c>
      <c r="G5185" s="20" t="str">
        <f>IFERROR(__xludf.DUMMYFUNCTION("""COMPUTED_VALUE"""),"Uncle Sams Cider (11/12/2021) 02")</f>
        <v>Uncle Sams Cider (11/12/2021) 02</v>
      </c>
      <c r="H5185" s="19"/>
    </row>
    <row r="5186">
      <c r="A5186" s="9"/>
      <c r="B5186" s="15"/>
      <c r="C5186" s="9">
        <f>IFERROR(__xludf.DUMMYFUNCTION("""COMPUTED_VALUE"""),44551.0854780671)</f>
        <v>44551.08548</v>
      </c>
      <c r="D5186" s="15">
        <f>IFERROR(__xludf.DUMMYFUNCTION("""COMPUTED_VALUE"""),1.017)</f>
        <v>1.017</v>
      </c>
      <c r="E5186" s="16">
        <f>IFERROR(__xludf.DUMMYFUNCTION("""COMPUTED_VALUE"""),63.0)</f>
        <v>63</v>
      </c>
      <c r="F5186" s="19" t="str">
        <f>IFERROR(__xludf.DUMMYFUNCTION("""COMPUTED_VALUE"""),"BLACK")</f>
        <v>BLACK</v>
      </c>
      <c r="G5186" s="20" t="str">
        <f>IFERROR(__xludf.DUMMYFUNCTION("""COMPUTED_VALUE"""),"Uncle Sams Cider (11/12/2021) 02")</f>
        <v>Uncle Sams Cider (11/12/2021) 02</v>
      </c>
      <c r="H5186" s="19"/>
    </row>
    <row r="5187">
      <c r="A5187" s="9"/>
      <c r="B5187" s="15"/>
      <c r="C5187" s="9">
        <f>IFERROR(__xludf.DUMMYFUNCTION("""COMPUTED_VALUE"""),44551.0750568171)</f>
        <v>44551.07506</v>
      </c>
      <c r="D5187" s="15">
        <f>IFERROR(__xludf.DUMMYFUNCTION("""COMPUTED_VALUE"""),1.017)</f>
        <v>1.017</v>
      </c>
      <c r="E5187" s="16">
        <f>IFERROR(__xludf.DUMMYFUNCTION("""COMPUTED_VALUE"""),63.0)</f>
        <v>63</v>
      </c>
      <c r="F5187" s="19" t="str">
        <f>IFERROR(__xludf.DUMMYFUNCTION("""COMPUTED_VALUE"""),"BLACK")</f>
        <v>BLACK</v>
      </c>
      <c r="G5187" s="20" t="str">
        <f>IFERROR(__xludf.DUMMYFUNCTION("""COMPUTED_VALUE"""),"Uncle Sams Cider (11/12/2021) 02")</f>
        <v>Uncle Sams Cider (11/12/2021) 02</v>
      </c>
      <c r="H5187" s="19"/>
    </row>
    <row r="5188">
      <c r="A5188" s="9"/>
      <c r="B5188" s="15"/>
      <c r="C5188" s="9">
        <f>IFERROR(__xludf.DUMMYFUNCTION("""COMPUTED_VALUE"""),44551.0646345254)</f>
        <v>44551.06463</v>
      </c>
      <c r="D5188" s="15">
        <f>IFERROR(__xludf.DUMMYFUNCTION("""COMPUTED_VALUE"""),1.016)</f>
        <v>1.016</v>
      </c>
      <c r="E5188" s="16">
        <f>IFERROR(__xludf.DUMMYFUNCTION("""COMPUTED_VALUE"""),63.0)</f>
        <v>63</v>
      </c>
      <c r="F5188" s="19" t="str">
        <f>IFERROR(__xludf.DUMMYFUNCTION("""COMPUTED_VALUE"""),"BLACK")</f>
        <v>BLACK</v>
      </c>
      <c r="G5188" s="20" t="str">
        <f>IFERROR(__xludf.DUMMYFUNCTION("""COMPUTED_VALUE"""),"Uncle Sams Cider (11/12/2021) 02")</f>
        <v>Uncle Sams Cider (11/12/2021) 02</v>
      </c>
      <c r="H5188" s="19"/>
    </row>
    <row r="5189">
      <c r="A5189" s="9"/>
      <c r="B5189" s="15"/>
      <c r="C5189" s="9">
        <f>IFERROR(__xludf.DUMMYFUNCTION("""COMPUTED_VALUE"""),44551.0542004166)</f>
        <v>44551.0542</v>
      </c>
      <c r="D5189" s="15">
        <f>IFERROR(__xludf.DUMMYFUNCTION("""COMPUTED_VALUE"""),1.017)</f>
        <v>1.017</v>
      </c>
      <c r="E5189" s="16">
        <f>IFERROR(__xludf.DUMMYFUNCTION("""COMPUTED_VALUE"""),64.0)</f>
        <v>64</v>
      </c>
      <c r="F5189" s="19" t="str">
        <f>IFERROR(__xludf.DUMMYFUNCTION("""COMPUTED_VALUE"""),"BLACK")</f>
        <v>BLACK</v>
      </c>
      <c r="G5189" s="20" t="str">
        <f>IFERROR(__xludf.DUMMYFUNCTION("""COMPUTED_VALUE"""),"Uncle Sams Cider (11/12/2021) 02")</f>
        <v>Uncle Sams Cider (11/12/2021) 02</v>
      </c>
      <c r="H5189" s="19"/>
    </row>
    <row r="5190">
      <c r="A5190" s="9"/>
      <c r="B5190" s="15"/>
      <c r="C5190" s="9">
        <f>IFERROR(__xludf.DUMMYFUNCTION("""COMPUTED_VALUE"""),44551.0437682638)</f>
        <v>44551.04377</v>
      </c>
      <c r="D5190" s="15">
        <f>IFERROR(__xludf.DUMMYFUNCTION("""COMPUTED_VALUE"""),1.017)</f>
        <v>1.017</v>
      </c>
      <c r="E5190" s="16">
        <f>IFERROR(__xludf.DUMMYFUNCTION("""COMPUTED_VALUE"""),63.0)</f>
        <v>63</v>
      </c>
      <c r="F5190" s="19" t="str">
        <f>IFERROR(__xludf.DUMMYFUNCTION("""COMPUTED_VALUE"""),"BLACK")</f>
        <v>BLACK</v>
      </c>
      <c r="G5190" s="20" t="str">
        <f>IFERROR(__xludf.DUMMYFUNCTION("""COMPUTED_VALUE"""),"Uncle Sams Cider (11/12/2021) 02")</f>
        <v>Uncle Sams Cider (11/12/2021) 02</v>
      </c>
      <c r="H5190" s="19"/>
    </row>
    <row r="5191">
      <c r="A5191" s="9"/>
      <c r="B5191" s="15"/>
      <c r="C5191" s="9">
        <f>IFERROR(__xludf.DUMMYFUNCTION("""COMPUTED_VALUE"""),44551.0333473842)</f>
        <v>44551.03335</v>
      </c>
      <c r="D5191" s="15">
        <f>IFERROR(__xludf.DUMMYFUNCTION("""COMPUTED_VALUE"""),1.017)</f>
        <v>1.017</v>
      </c>
      <c r="E5191" s="16">
        <f>IFERROR(__xludf.DUMMYFUNCTION("""COMPUTED_VALUE"""),64.0)</f>
        <v>64</v>
      </c>
      <c r="F5191" s="19" t="str">
        <f>IFERROR(__xludf.DUMMYFUNCTION("""COMPUTED_VALUE"""),"BLACK")</f>
        <v>BLACK</v>
      </c>
      <c r="G5191" s="20" t="str">
        <f>IFERROR(__xludf.DUMMYFUNCTION("""COMPUTED_VALUE"""),"Uncle Sams Cider (11/12/2021) 02")</f>
        <v>Uncle Sams Cider (11/12/2021) 02</v>
      </c>
      <c r="H5191" s="19"/>
    </row>
    <row r="5192">
      <c r="A5192" s="9"/>
      <c r="B5192" s="15"/>
      <c r="C5192" s="9">
        <f>IFERROR(__xludf.DUMMYFUNCTION("""COMPUTED_VALUE"""),44551.0229146296)</f>
        <v>44551.02291</v>
      </c>
      <c r="D5192" s="15">
        <f>IFERROR(__xludf.DUMMYFUNCTION("""COMPUTED_VALUE"""),1.017)</f>
        <v>1.017</v>
      </c>
      <c r="E5192" s="16">
        <f>IFERROR(__xludf.DUMMYFUNCTION("""COMPUTED_VALUE"""),64.0)</f>
        <v>64</v>
      </c>
      <c r="F5192" s="19" t="str">
        <f>IFERROR(__xludf.DUMMYFUNCTION("""COMPUTED_VALUE"""),"BLACK")</f>
        <v>BLACK</v>
      </c>
      <c r="G5192" s="20" t="str">
        <f>IFERROR(__xludf.DUMMYFUNCTION("""COMPUTED_VALUE"""),"Uncle Sams Cider (11/12/2021) 02")</f>
        <v>Uncle Sams Cider (11/12/2021) 02</v>
      </c>
      <c r="H5192" s="19"/>
    </row>
    <row r="5193">
      <c r="A5193" s="9"/>
      <c r="B5193" s="15"/>
      <c r="C5193" s="9">
        <f>IFERROR(__xludf.DUMMYFUNCTION("""COMPUTED_VALUE"""),44551.012481574)</f>
        <v>44551.01248</v>
      </c>
      <c r="D5193" s="15">
        <f>IFERROR(__xludf.DUMMYFUNCTION("""COMPUTED_VALUE"""),1.017)</f>
        <v>1.017</v>
      </c>
      <c r="E5193" s="16">
        <f>IFERROR(__xludf.DUMMYFUNCTION("""COMPUTED_VALUE"""),63.0)</f>
        <v>63</v>
      </c>
      <c r="F5193" s="19" t="str">
        <f>IFERROR(__xludf.DUMMYFUNCTION("""COMPUTED_VALUE"""),"BLACK")</f>
        <v>BLACK</v>
      </c>
      <c r="G5193" s="20" t="str">
        <f>IFERROR(__xludf.DUMMYFUNCTION("""COMPUTED_VALUE"""),"Uncle Sams Cider (11/12/2021) 02")</f>
        <v>Uncle Sams Cider (11/12/2021) 02</v>
      </c>
      <c r="H5193" s="19"/>
    </row>
    <row r="5194">
      <c r="A5194" s="9"/>
      <c r="B5194" s="15"/>
      <c r="C5194" s="9">
        <f>IFERROR(__xludf.DUMMYFUNCTION("""COMPUTED_VALUE"""),44551.0020381944)</f>
        <v>44551.00204</v>
      </c>
      <c r="D5194" s="15">
        <f>IFERROR(__xludf.DUMMYFUNCTION("""COMPUTED_VALUE"""),1.017)</f>
        <v>1.017</v>
      </c>
      <c r="E5194" s="16">
        <f>IFERROR(__xludf.DUMMYFUNCTION("""COMPUTED_VALUE"""),64.0)</f>
        <v>64</v>
      </c>
      <c r="F5194" s="19" t="str">
        <f>IFERROR(__xludf.DUMMYFUNCTION("""COMPUTED_VALUE"""),"BLACK")</f>
        <v>BLACK</v>
      </c>
      <c r="G5194" s="20" t="str">
        <f>IFERROR(__xludf.DUMMYFUNCTION("""COMPUTED_VALUE"""),"Uncle Sams Cider (11/12/2021) 02")</f>
        <v>Uncle Sams Cider (11/12/2021) 02</v>
      </c>
      <c r="H5194" s="19"/>
    </row>
    <row r="5195">
      <c r="A5195" s="9"/>
      <c r="B5195" s="15"/>
      <c r="C5195" s="9">
        <f>IFERROR(__xludf.DUMMYFUNCTION("""COMPUTED_VALUE"""),44550.9916172685)</f>
        <v>44550.99162</v>
      </c>
      <c r="D5195" s="15">
        <f>IFERROR(__xludf.DUMMYFUNCTION("""COMPUTED_VALUE"""),1.017)</f>
        <v>1.017</v>
      </c>
      <c r="E5195" s="16">
        <f>IFERROR(__xludf.DUMMYFUNCTION("""COMPUTED_VALUE"""),64.0)</f>
        <v>64</v>
      </c>
      <c r="F5195" s="19" t="str">
        <f>IFERROR(__xludf.DUMMYFUNCTION("""COMPUTED_VALUE"""),"BLACK")</f>
        <v>BLACK</v>
      </c>
      <c r="G5195" s="20" t="str">
        <f>IFERROR(__xludf.DUMMYFUNCTION("""COMPUTED_VALUE"""),"Uncle Sams Cider (11/12/2021) 02")</f>
        <v>Uncle Sams Cider (11/12/2021) 02</v>
      </c>
      <c r="H5195" s="19"/>
    </row>
    <row r="5196">
      <c r="A5196" s="9"/>
      <c r="B5196" s="15"/>
      <c r="C5196" s="9">
        <f>IFERROR(__xludf.DUMMYFUNCTION("""COMPUTED_VALUE"""),44550.9811825462)</f>
        <v>44550.98118</v>
      </c>
      <c r="D5196" s="15">
        <f>IFERROR(__xludf.DUMMYFUNCTION("""COMPUTED_VALUE"""),1.016)</f>
        <v>1.016</v>
      </c>
      <c r="E5196" s="16">
        <f>IFERROR(__xludf.DUMMYFUNCTION("""COMPUTED_VALUE"""),64.0)</f>
        <v>64</v>
      </c>
      <c r="F5196" s="19" t="str">
        <f>IFERROR(__xludf.DUMMYFUNCTION("""COMPUTED_VALUE"""),"BLACK")</f>
        <v>BLACK</v>
      </c>
      <c r="G5196" s="20" t="str">
        <f>IFERROR(__xludf.DUMMYFUNCTION("""COMPUTED_VALUE"""),"Uncle Sams Cider (11/12/2021) 02")</f>
        <v>Uncle Sams Cider (11/12/2021) 02</v>
      </c>
      <c r="H5196" s="19"/>
    </row>
    <row r="5197">
      <c r="A5197" s="9"/>
      <c r="B5197" s="15"/>
      <c r="C5197" s="9">
        <f>IFERROR(__xludf.DUMMYFUNCTION("""COMPUTED_VALUE"""),44550.9707361805)</f>
        <v>44550.97074</v>
      </c>
      <c r="D5197" s="15">
        <f>IFERROR(__xludf.DUMMYFUNCTION("""COMPUTED_VALUE"""),1.017)</f>
        <v>1.017</v>
      </c>
      <c r="E5197" s="16">
        <f>IFERROR(__xludf.DUMMYFUNCTION("""COMPUTED_VALUE"""),64.0)</f>
        <v>64</v>
      </c>
      <c r="F5197" s="19" t="str">
        <f>IFERROR(__xludf.DUMMYFUNCTION("""COMPUTED_VALUE"""),"BLACK")</f>
        <v>BLACK</v>
      </c>
      <c r="G5197" s="20" t="str">
        <f>IFERROR(__xludf.DUMMYFUNCTION("""COMPUTED_VALUE"""),"Uncle Sams Cider (11/12/2021) 02")</f>
        <v>Uncle Sams Cider (11/12/2021) 02</v>
      </c>
      <c r="H5197" s="19"/>
    </row>
    <row r="5198">
      <c r="A5198" s="9"/>
      <c r="B5198" s="15"/>
      <c r="C5198" s="9">
        <f>IFERROR(__xludf.DUMMYFUNCTION("""COMPUTED_VALUE"""),44550.9603040856)</f>
        <v>44550.9603</v>
      </c>
      <c r="D5198" s="15">
        <f>IFERROR(__xludf.DUMMYFUNCTION("""COMPUTED_VALUE"""),1.017)</f>
        <v>1.017</v>
      </c>
      <c r="E5198" s="16">
        <f>IFERROR(__xludf.DUMMYFUNCTION("""COMPUTED_VALUE"""),64.0)</f>
        <v>64</v>
      </c>
      <c r="F5198" s="19" t="str">
        <f>IFERROR(__xludf.DUMMYFUNCTION("""COMPUTED_VALUE"""),"BLACK")</f>
        <v>BLACK</v>
      </c>
      <c r="G5198" s="20" t="str">
        <f>IFERROR(__xludf.DUMMYFUNCTION("""COMPUTED_VALUE"""),"Uncle Sams Cider (11/12/2021) 02")</f>
        <v>Uncle Sams Cider (11/12/2021) 02</v>
      </c>
      <c r="H5198" s="19"/>
    </row>
    <row r="5199">
      <c r="A5199" s="9"/>
      <c r="B5199" s="15"/>
      <c r="C5199" s="9">
        <f>IFERROR(__xludf.DUMMYFUNCTION("""COMPUTED_VALUE"""),44550.9498709606)</f>
        <v>44550.94987</v>
      </c>
      <c r="D5199" s="15">
        <f>IFERROR(__xludf.DUMMYFUNCTION("""COMPUTED_VALUE"""),1.017)</f>
        <v>1.017</v>
      </c>
      <c r="E5199" s="16">
        <f>IFERROR(__xludf.DUMMYFUNCTION("""COMPUTED_VALUE"""),64.0)</f>
        <v>64</v>
      </c>
      <c r="F5199" s="19" t="str">
        <f>IFERROR(__xludf.DUMMYFUNCTION("""COMPUTED_VALUE"""),"BLACK")</f>
        <v>BLACK</v>
      </c>
      <c r="G5199" s="20" t="str">
        <f>IFERROR(__xludf.DUMMYFUNCTION("""COMPUTED_VALUE"""),"Uncle Sams Cider (11/12/2021) 02")</f>
        <v>Uncle Sams Cider (11/12/2021) 02</v>
      </c>
      <c r="H5199" s="19"/>
    </row>
    <row r="5200">
      <c r="A5200" s="9"/>
      <c r="B5200" s="15"/>
      <c r="C5200" s="9">
        <f>IFERROR(__xludf.DUMMYFUNCTION("""COMPUTED_VALUE"""),44550.9394489467)</f>
        <v>44550.93945</v>
      </c>
      <c r="D5200" s="15">
        <f>IFERROR(__xludf.DUMMYFUNCTION("""COMPUTED_VALUE"""),1.017)</f>
        <v>1.017</v>
      </c>
      <c r="E5200" s="16">
        <f>IFERROR(__xludf.DUMMYFUNCTION("""COMPUTED_VALUE"""),64.0)</f>
        <v>64</v>
      </c>
      <c r="F5200" s="19" t="str">
        <f>IFERROR(__xludf.DUMMYFUNCTION("""COMPUTED_VALUE"""),"BLACK")</f>
        <v>BLACK</v>
      </c>
      <c r="G5200" s="20" t="str">
        <f>IFERROR(__xludf.DUMMYFUNCTION("""COMPUTED_VALUE"""),"Uncle Sams Cider (11/12/2021) 02")</f>
        <v>Uncle Sams Cider (11/12/2021) 02</v>
      </c>
      <c r="H5200" s="19"/>
    </row>
    <row r="5201">
      <c r="A5201" s="9"/>
      <c r="B5201" s="15"/>
      <c r="C5201" s="9">
        <f>IFERROR(__xludf.DUMMYFUNCTION("""COMPUTED_VALUE"""),44550.9290163078)</f>
        <v>44550.92902</v>
      </c>
      <c r="D5201" s="15">
        <f>IFERROR(__xludf.DUMMYFUNCTION("""COMPUTED_VALUE"""),1.017)</f>
        <v>1.017</v>
      </c>
      <c r="E5201" s="16">
        <f>IFERROR(__xludf.DUMMYFUNCTION("""COMPUTED_VALUE"""),64.0)</f>
        <v>64</v>
      </c>
      <c r="F5201" s="19" t="str">
        <f>IFERROR(__xludf.DUMMYFUNCTION("""COMPUTED_VALUE"""),"BLACK")</f>
        <v>BLACK</v>
      </c>
      <c r="G5201" s="20" t="str">
        <f>IFERROR(__xludf.DUMMYFUNCTION("""COMPUTED_VALUE"""),"Uncle Sams Cider (11/12/2021) 02")</f>
        <v>Uncle Sams Cider (11/12/2021) 02</v>
      </c>
      <c r="H5201" s="19"/>
    </row>
    <row r="5202">
      <c r="A5202" s="9"/>
      <c r="B5202" s="15"/>
      <c r="C5202" s="9">
        <f>IFERROR(__xludf.DUMMYFUNCTION("""COMPUTED_VALUE"""),44550.9185948842)</f>
        <v>44550.91859</v>
      </c>
      <c r="D5202" s="15">
        <f>IFERROR(__xludf.DUMMYFUNCTION("""COMPUTED_VALUE"""),1.017)</f>
        <v>1.017</v>
      </c>
      <c r="E5202" s="16">
        <f>IFERROR(__xludf.DUMMYFUNCTION("""COMPUTED_VALUE"""),64.0)</f>
        <v>64</v>
      </c>
      <c r="F5202" s="19" t="str">
        <f>IFERROR(__xludf.DUMMYFUNCTION("""COMPUTED_VALUE"""),"BLACK")</f>
        <v>BLACK</v>
      </c>
      <c r="G5202" s="20" t="str">
        <f>IFERROR(__xludf.DUMMYFUNCTION("""COMPUTED_VALUE"""),"Uncle Sams Cider (11/12/2021) 02")</f>
        <v>Uncle Sams Cider (11/12/2021) 02</v>
      </c>
      <c r="H5202" s="19"/>
    </row>
    <row r="5203">
      <c r="A5203" s="9"/>
      <c r="B5203" s="15"/>
      <c r="C5203" s="9">
        <f>IFERROR(__xludf.DUMMYFUNCTION("""COMPUTED_VALUE"""),44550.908102581)</f>
        <v>44550.9081</v>
      </c>
      <c r="D5203" s="15">
        <f>IFERROR(__xludf.DUMMYFUNCTION("""COMPUTED_VALUE"""),1.017)</f>
        <v>1.017</v>
      </c>
      <c r="E5203" s="16">
        <f>IFERROR(__xludf.DUMMYFUNCTION("""COMPUTED_VALUE"""),64.0)</f>
        <v>64</v>
      </c>
      <c r="F5203" s="19" t="str">
        <f>IFERROR(__xludf.DUMMYFUNCTION("""COMPUTED_VALUE"""),"BLACK")</f>
        <v>BLACK</v>
      </c>
      <c r="G5203" s="20" t="str">
        <f>IFERROR(__xludf.DUMMYFUNCTION("""COMPUTED_VALUE"""),"Uncle Sams Cider (11/12/2021) 02")</f>
        <v>Uncle Sams Cider (11/12/2021) 02</v>
      </c>
      <c r="H5203" s="19"/>
    </row>
    <row r="5204">
      <c r="A5204" s="9"/>
      <c r="B5204" s="15"/>
      <c r="C5204" s="9">
        <f>IFERROR(__xludf.DUMMYFUNCTION("""COMPUTED_VALUE"""),44550.8976803703)</f>
        <v>44550.89768</v>
      </c>
      <c r="D5204" s="15">
        <f>IFERROR(__xludf.DUMMYFUNCTION("""COMPUTED_VALUE"""),1.017)</f>
        <v>1.017</v>
      </c>
      <c r="E5204" s="16">
        <f>IFERROR(__xludf.DUMMYFUNCTION("""COMPUTED_VALUE"""),64.0)</f>
        <v>64</v>
      </c>
      <c r="F5204" s="19" t="str">
        <f>IFERROR(__xludf.DUMMYFUNCTION("""COMPUTED_VALUE"""),"BLACK")</f>
        <v>BLACK</v>
      </c>
      <c r="G5204" s="20" t="str">
        <f>IFERROR(__xludf.DUMMYFUNCTION("""COMPUTED_VALUE"""),"Uncle Sams Cider (11/12/2021) 02")</f>
        <v>Uncle Sams Cider (11/12/2021) 02</v>
      </c>
      <c r="H5204" s="19"/>
    </row>
    <row r="5205">
      <c r="A5205" s="9"/>
      <c r="B5205" s="15"/>
      <c r="C5205" s="9">
        <f>IFERROR(__xludf.DUMMYFUNCTION("""COMPUTED_VALUE"""),44550.8872601504)</f>
        <v>44550.88726</v>
      </c>
      <c r="D5205" s="15">
        <f>IFERROR(__xludf.DUMMYFUNCTION("""COMPUTED_VALUE"""),1.017)</f>
        <v>1.017</v>
      </c>
      <c r="E5205" s="16">
        <f>IFERROR(__xludf.DUMMYFUNCTION("""COMPUTED_VALUE"""),64.0)</f>
        <v>64</v>
      </c>
      <c r="F5205" s="19" t="str">
        <f>IFERROR(__xludf.DUMMYFUNCTION("""COMPUTED_VALUE"""),"BLACK")</f>
        <v>BLACK</v>
      </c>
      <c r="G5205" s="20" t="str">
        <f>IFERROR(__xludf.DUMMYFUNCTION("""COMPUTED_VALUE"""),"Uncle Sams Cider (11/12/2021) 02")</f>
        <v>Uncle Sams Cider (11/12/2021) 02</v>
      </c>
      <c r="H5205" s="19"/>
    </row>
    <row r="5206">
      <c r="A5206" s="9"/>
      <c r="B5206" s="15"/>
      <c r="C5206" s="9">
        <f>IFERROR(__xludf.DUMMYFUNCTION("""COMPUTED_VALUE"""),44550.8768381944)</f>
        <v>44550.87684</v>
      </c>
      <c r="D5206" s="15">
        <f>IFERROR(__xludf.DUMMYFUNCTION("""COMPUTED_VALUE"""),1.017)</f>
        <v>1.017</v>
      </c>
      <c r="E5206" s="16">
        <f>IFERROR(__xludf.DUMMYFUNCTION("""COMPUTED_VALUE"""),64.0)</f>
        <v>64</v>
      </c>
      <c r="F5206" s="19" t="str">
        <f>IFERROR(__xludf.DUMMYFUNCTION("""COMPUTED_VALUE"""),"BLACK")</f>
        <v>BLACK</v>
      </c>
      <c r="G5206" s="20" t="str">
        <f>IFERROR(__xludf.DUMMYFUNCTION("""COMPUTED_VALUE"""),"Uncle Sams Cider (11/12/2021) 02")</f>
        <v>Uncle Sams Cider (11/12/2021) 02</v>
      </c>
      <c r="H5206" s="19"/>
    </row>
    <row r="5207">
      <c r="A5207" s="9"/>
      <c r="B5207" s="15"/>
      <c r="C5207" s="9">
        <f>IFERROR(__xludf.DUMMYFUNCTION("""COMPUTED_VALUE"""),44550.8663824305)</f>
        <v>44550.86638</v>
      </c>
      <c r="D5207" s="15">
        <f>IFERROR(__xludf.DUMMYFUNCTION("""COMPUTED_VALUE"""),1.016)</f>
        <v>1.016</v>
      </c>
      <c r="E5207" s="16">
        <f>IFERROR(__xludf.DUMMYFUNCTION("""COMPUTED_VALUE"""),64.0)</f>
        <v>64</v>
      </c>
      <c r="F5207" s="19" t="str">
        <f>IFERROR(__xludf.DUMMYFUNCTION("""COMPUTED_VALUE"""),"BLACK")</f>
        <v>BLACK</v>
      </c>
      <c r="G5207" s="20" t="str">
        <f>IFERROR(__xludf.DUMMYFUNCTION("""COMPUTED_VALUE"""),"Uncle Sams Cider (11/12/2021) 02")</f>
        <v>Uncle Sams Cider (11/12/2021) 02</v>
      </c>
      <c r="H5207" s="19"/>
    </row>
    <row r="5208">
      <c r="A5208" s="9"/>
      <c r="B5208" s="15"/>
      <c r="C5208" s="9">
        <f>IFERROR(__xludf.DUMMYFUNCTION("""COMPUTED_VALUE"""),44550.8559619213)</f>
        <v>44550.85596</v>
      </c>
      <c r="D5208" s="15">
        <f>IFERROR(__xludf.DUMMYFUNCTION("""COMPUTED_VALUE"""),1.017)</f>
        <v>1.017</v>
      </c>
      <c r="E5208" s="16">
        <f>IFERROR(__xludf.DUMMYFUNCTION("""COMPUTED_VALUE"""),64.0)</f>
        <v>64</v>
      </c>
      <c r="F5208" s="19" t="str">
        <f>IFERROR(__xludf.DUMMYFUNCTION("""COMPUTED_VALUE"""),"BLACK")</f>
        <v>BLACK</v>
      </c>
      <c r="G5208" s="20" t="str">
        <f>IFERROR(__xludf.DUMMYFUNCTION("""COMPUTED_VALUE"""),"Uncle Sams Cider (11/12/2021) 02")</f>
        <v>Uncle Sams Cider (11/12/2021) 02</v>
      </c>
      <c r="H5208" s="19"/>
    </row>
    <row r="5209">
      <c r="A5209" s="9"/>
      <c r="B5209" s="15"/>
      <c r="C5209" s="9">
        <f>IFERROR(__xludf.DUMMYFUNCTION("""COMPUTED_VALUE"""),44550.8455272106)</f>
        <v>44550.84553</v>
      </c>
      <c r="D5209" s="15">
        <f>IFERROR(__xludf.DUMMYFUNCTION("""COMPUTED_VALUE"""),1.017)</f>
        <v>1.017</v>
      </c>
      <c r="E5209" s="16">
        <f>IFERROR(__xludf.DUMMYFUNCTION("""COMPUTED_VALUE"""),64.0)</f>
        <v>64</v>
      </c>
      <c r="F5209" s="19" t="str">
        <f>IFERROR(__xludf.DUMMYFUNCTION("""COMPUTED_VALUE"""),"BLACK")</f>
        <v>BLACK</v>
      </c>
      <c r="G5209" s="20" t="str">
        <f>IFERROR(__xludf.DUMMYFUNCTION("""COMPUTED_VALUE"""),"Uncle Sams Cider (11/12/2021) 02")</f>
        <v>Uncle Sams Cider (11/12/2021) 02</v>
      </c>
      <c r="H5209" s="19"/>
    </row>
    <row r="5210">
      <c r="A5210" s="9"/>
      <c r="B5210" s="15"/>
      <c r="C5210" s="9">
        <f>IFERROR(__xludf.DUMMYFUNCTION("""COMPUTED_VALUE"""),44550.8351045717)</f>
        <v>44550.8351</v>
      </c>
      <c r="D5210" s="15">
        <f>IFERROR(__xludf.DUMMYFUNCTION("""COMPUTED_VALUE"""),1.017)</f>
        <v>1.017</v>
      </c>
      <c r="E5210" s="16">
        <f>IFERROR(__xludf.DUMMYFUNCTION("""COMPUTED_VALUE"""),64.0)</f>
        <v>64</v>
      </c>
      <c r="F5210" s="19" t="str">
        <f>IFERROR(__xludf.DUMMYFUNCTION("""COMPUTED_VALUE"""),"BLACK")</f>
        <v>BLACK</v>
      </c>
      <c r="G5210" s="20" t="str">
        <f>IFERROR(__xludf.DUMMYFUNCTION("""COMPUTED_VALUE"""),"Uncle Sams Cider (11/12/2021) 02")</f>
        <v>Uncle Sams Cider (11/12/2021) 02</v>
      </c>
      <c r="H5210" s="19"/>
    </row>
    <row r="5211">
      <c r="A5211" s="9"/>
      <c r="B5211" s="15"/>
      <c r="C5211" s="9">
        <f>IFERROR(__xludf.DUMMYFUNCTION("""COMPUTED_VALUE"""),44550.8246715509)</f>
        <v>44550.82467</v>
      </c>
      <c r="D5211" s="15">
        <f>IFERROR(__xludf.DUMMYFUNCTION("""COMPUTED_VALUE"""),1.017)</f>
        <v>1.017</v>
      </c>
      <c r="E5211" s="16">
        <f>IFERROR(__xludf.DUMMYFUNCTION("""COMPUTED_VALUE"""),64.0)</f>
        <v>64</v>
      </c>
      <c r="F5211" s="19" t="str">
        <f>IFERROR(__xludf.DUMMYFUNCTION("""COMPUTED_VALUE"""),"BLACK")</f>
        <v>BLACK</v>
      </c>
      <c r="G5211" s="20" t="str">
        <f>IFERROR(__xludf.DUMMYFUNCTION("""COMPUTED_VALUE"""),"Uncle Sams Cider (11/12/2021) 02")</f>
        <v>Uncle Sams Cider (11/12/2021) 02</v>
      </c>
      <c r="H5211" s="19"/>
    </row>
    <row r="5212">
      <c r="A5212" s="9"/>
      <c r="B5212" s="15"/>
      <c r="C5212" s="9">
        <f>IFERROR(__xludf.DUMMYFUNCTION("""COMPUTED_VALUE"""),44550.8142394212)</f>
        <v>44550.81424</v>
      </c>
      <c r="D5212" s="15">
        <f>IFERROR(__xludf.DUMMYFUNCTION("""COMPUTED_VALUE"""),1.017)</f>
        <v>1.017</v>
      </c>
      <c r="E5212" s="16">
        <f>IFERROR(__xludf.DUMMYFUNCTION("""COMPUTED_VALUE"""),64.0)</f>
        <v>64</v>
      </c>
      <c r="F5212" s="19" t="str">
        <f>IFERROR(__xludf.DUMMYFUNCTION("""COMPUTED_VALUE"""),"BLACK")</f>
        <v>BLACK</v>
      </c>
      <c r="G5212" s="20" t="str">
        <f>IFERROR(__xludf.DUMMYFUNCTION("""COMPUTED_VALUE"""),"Uncle Sams Cider (11/12/2021) 02")</f>
        <v>Uncle Sams Cider (11/12/2021) 02</v>
      </c>
      <c r="H5212" s="19"/>
    </row>
    <row r="5213">
      <c r="A5213" s="9"/>
      <c r="B5213" s="15"/>
      <c r="C5213" s="9">
        <f>IFERROR(__xludf.DUMMYFUNCTION("""COMPUTED_VALUE"""),44550.8038190509)</f>
        <v>44550.80382</v>
      </c>
      <c r="D5213" s="15">
        <f>IFERROR(__xludf.DUMMYFUNCTION("""COMPUTED_VALUE"""),1.017)</f>
        <v>1.017</v>
      </c>
      <c r="E5213" s="16">
        <f>IFERROR(__xludf.DUMMYFUNCTION("""COMPUTED_VALUE"""),64.0)</f>
        <v>64</v>
      </c>
      <c r="F5213" s="19" t="str">
        <f>IFERROR(__xludf.DUMMYFUNCTION("""COMPUTED_VALUE"""),"BLACK")</f>
        <v>BLACK</v>
      </c>
      <c r="G5213" s="20" t="str">
        <f>IFERROR(__xludf.DUMMYFUNCTION("""COMPUTED_VALUE"""),"Uncle Sams Cider (11/12/2021) 02")</f>
        <v>Uncle Sams Cider (11/12/2021) 02</v>
      </c>
      <c r="H5213" s="19"/>
    </row>
    <row r="5214">
      <c r="A5214" s="9"/>
      <c r="B5214" s="15"/>
      <c r="C5214" s="9">
        <f>IFERROR(__xludf.DUMMYFUNCTION("""COMPUTED_VALUE"""),44550.7933971064)</f>
        <v>44550.7934</v>
      </c>
      <c r="D5214" s="15">
        <f>IFERROR(__xludf.DUMMYFUNCTION("""COMPUTED_VALUE"""),1.017)</f>
        <v>1.017</v>
      </c>
      <c r="E5214" s="16">
        <f>IFERROR(__xludf.DUMMYFUNCTION("""COMPUTED_VALUE"""),64.0)</f>
        <v>64</v>
      </c>
      <c r="F5214" s="19" t="str">
        <f>IFERROR(__xludf.DUMMYFUNCTION("""COMPUTED_VALUE"""),"BLACK")</f>
        <v>BLACK</v>
      </c>
      <c r="G5214" s="20" t="str">
        <f>IFERROR(__xludf.DUMMYFUNCTION("""COMPUTED_VALUE"""),"Uncle Sams Cider (11/12/2021) 02")</f>
        <v>Uncle Sams Cider (11/12/2021) 02</v>
      </c>
      <c r="H5214" s="19"/>
    </row>
    <row r="5215">
      <c r="A5215" s="9"/>
      <c r="B5215" s="15"/>
      <c r="C5215" s="9">
        <f>IFERROR(__xludf.DUMMYFUNCTION("""COMPUTED_VALUE"""),44550.7829647106)</f>
        <v>44550.78296</v>
      </c>
      <c r="D5215" s="15">
        <f>IFERROR(__xludf.DUMMYFUNCTION("""COMPUTED_VALUE"""),1.017)</f>
        <v>1.017</v>
      </c>
      <c r="E5215" s="16">
        <f>IFERROR(__xludf.DUMMYFUNCTION("""COMPUTED_VALUE"""),64.0)</f>
        <v>64</v>
      </c>
      <c r="F5215" s="19" t="str">
        <f>IFERROR(__xludf.DUMMYFUNCTION("""COMPUTED_VALUE"""),"BLACK")</f>
        <v>BLACK</v>
      </c>
      <c r="G5215" s="20" t="str">
        <f>IFERROR(__xludf.DUMMYFUNCTION("""COMPUTED_VALUE"""),"Uncle Sams Cider (11/12/2021) 02")</f>
        <v>Uncle Sams Cider (11/12/2021) 02</v>
      </c>
      <c r="H5215" s="19"/>
    </row>
    <row r="5216">
      <c r="A5216" s="9"/>
      <c r="B5216" s="15"/>
      <c r="C5216" s="9">
        <f>IFERROR(__xludf.DUMMYFUNCTION("""COMPUTED_VALUE"""),44550.7725434143)</f>
        <v>44550.77254</v>
      </c>
      <c r="D5216" s="15">
        <f>IFERROR(__xludf.DUMMYFUNCTION("""COMPUTED_VALUE"""),1.017)</f>
        <v>1.017</v>
      </c>
      <c r="E5216" s="16">
        <f>IFERROR(__xludf.DUMMYFUNCTION("""COMPUTED_VALUE"""),64.0)</f>
        <v>64</v>
      </c>
      <c r="F5216" s="19" t="str">
        <f>IFERROR(__xludf.DUMMYFUNCTION("""COMPUTED_VALUE"""),"BLACK")</f>
        <v>BLACK</v>
      </c>
      <c r="G5216" s="20" t="str">
        <f>IFERROR(__xludf.DUMMYFUNCTION("""COMPUTED_VALUE"""),"Uncle Sams Cider (11/12/2021) 02")</f>
        <v>Uncle Sams Cider (11/12/2021) 02</v>
      </c>
      <c r="H5216" s="19"/>
    </row>
    <row r="5217">
      <c r="A5217" s="9"/>
      <c r="B5217" s="15"/>
      <c r="C5217" s="9">
        <f>IFERROR(__xludf.DUMMYFUNCTION("""COMPUTED_VALUE"""),44550.762120081)</f>
        <v>44550.76212</v>
      </c>
      <c r="D5217" s="15">
        <f>IFERROR(__xludf.DUMMYFUNCTION("""COMPUTED_VALUE"""),1.017)</f>
        <v>1.017</v>
      </c>
      <c r="E5217" s="16">
        <f>IFERROR(__xludf.DUMMYFUNCTION("""COMPUTED_VALUE"""),64.0)</f>
        <v>64</v>
      </c>
      <c r="F5217" s="19" t="str">
        <f>IFERROR(__xludf.DUMMYFUNCTION("""COMPUTED_VALUE"""),"BLACK")</f>
        <v>BLACK</v>
      </c>
      <c r="G5217" s="20" t="str">
        <f>IFERROR(__xludf.DUMMYFUNCTION("""COMPUTED_VALUE"""),"Uncle Sams Cider (11/12/2021) 02")</f>
        <v>Uncle Sams Cider (11/12/2021) 02</v>
      </c>
      <c r="H5217" s="19"/>
    </row>
    <row r="5218">
      <c r="A5218" s="9"/>
      <c r="B5218" s="15"/>
      <c r="C5218" s="9">
        <f>IFERROR(__xludf.DUMMYFUNCTION("""COMPUTED_VALUE"""),44550.7516984143)</f>
        <v>44550.7517</v>
      </c>
      <c r="D5218" s="15">
        <f>IFERROR(__xludf.DUMMYFUNCTION("""COMPUTED_VALUE"""),1.017)</f>
        <v>1.017</v>
      </c>
      <c r="E5218" s="16">
        <f>IFERROR(__xludf.DUMMYFUNCTION("""COMPUTED_VALUE"""),64.0)</f>
        <v>64</v>
      </c>
      <c r="F5218" s="19" t="str">
        <f>IFERROR(__xludf.DUMMYFUNCTION("""COMPUTED_VALUE"""),"BLACK")</f>
        <v>BLACK</v>
      </c>
      <c r="G5218" s="20" t="str">
        <f>IFERROR(__xludf.DUMMYFUNCTION("""COMPUTED_VALUE"""),"Uncle Sams Cider (11/12/2021) 02")</f>
        <v>Uncle Sams Cider (11/12/2021) 02</v>
      </c>
      <c r="H5218" s="19"/>
    </row>
    <row r="5219">
      <c r="A5219" s="9"/>
      <c r="B5219" s="15"/>
      <c r="C5219" s="9">
        <f>IFERROR(__xludf.DUMMYFUNCTION("""COMPUTED_VALUE"""),44550.7412629745)</f>
        <v>44550.74126</v>
      </c>
      <c r="D5219" s="15">
        <f>IFERROR(__xludf.DUMMYFUNCTION("""COMPUTED_VALUE"""),1.017)</f>
        <v>1.017</v>
      </c>
      <c r="E5219" s="16">
        <f>IFERROR(__xludf.DUMMYFUNCTION("""COMPUTED_VALUE"""),64.0)</f>
        <v>64</v>
      </c>
      <c r="F5219" s="19" t="str">
        <f>IFERROR(__xludf.DUMMYFUNCTION("""COMPUTED_VALUE"""),"BLACK")</f>
        <v>BLACK</v>
      </c>
      <c r="G5219" s="20" t="str">
        <f>IFERROR(__xludf.DUMMYFUNCTION("""COMPUTED_VALUE"""),"Uncle Sams Cider (11/12/2021) 02")</f>
        <v>Uncle Sams Cider (11/12/2021) 02</v>
      </c>
      <c r="H5219" s="19"/>
    </row>
    <row r="5220">
      <c r="A5220" s="9"/>
      <c r="B5220" s="15"/>
      <c r="C5220" s="9">
        <f>IFERROR(__xludf.DUMMYFUNCTION("""COMPUTED_VALUE"""),44550.730840625)</f>
        <v>44550.73084</v>
      </c>
      <c r="D5220" s="15">
        <f>IFERROR(__xludf.DUMMYFUNCTION("""COMPUTED_VALUE"""),1.017)</f>
        <v>1.017</v>
      </c>
      <c r="E5220" s="16">
        <f>IFERROR(__xludf.DUMMYFUNCTION("""COMPUTED_VALUE"""),64.0)</f>
        <v>64</v>
      </c>
      <c r="F5220" s="19" t="str">
        <f>IFERROR(__xludf.DUMMYFUNCTION("""COMPUTED_VALUE"""),"BLACK")</f>
        <v>BLACK</v>
      </c>
      <c r="G5220" s="20" t="str">
        <f>IFERROR(__xludf.DUMMYFUNCTION("""COMPUTED_VALUE"""),"Uncle Sams Cider (11/12/2021) 02")</f>
        <v>Uncle Sams Cider (11/12/2021) 02</v>
      </c>
      <c r="H5220" s="19"/>
    </row>
    <row r="5221">
      <c r="A5221" s="9"/>
      <c r="B5221" s="15"/>
      <c r="C5221" s="9">
        <f>IFERROR(__xludf.DUMMYFUNCTION("""COMPUTED_VALUE"""),44550.7204066898)</f>
        <v>44550.72041</v>
      </c>
      <c r="D5221" s="15">
        <f>IFERROR(__xludf.DUMMYFUNCTION("""COMPUTED_VALUE"""),1.017)</f>
        <v>1.017</v>
      </c>
      <c r="E5221" s="16">
        <f>IFERROR(__xludf.DUMMYFUNCTION("""COMPUTED_VALUE"""),64.0)</f>
        <v>64</v>
      </c>
      <c r="F5221" s="19" t="str">
        <f>IFERROR(__xludf.DUMMYFUNCTION("""COMPUTED_VALUE"""),"BLACK")</f>
        <v>BLACK</v>
      </c>
      <c r="G5221" s="20" t="str">
        <f>IFERROR(__xludf.DUMMYFUNCTION("""COMPUTED_VALUE"""),"Uncle Sams Cider (11/12/2021) 02")</f>
        <v>Uncle Sams Cider (11/12/2021) 02</v>
      </c>
      <c r="H5221" s="19"/>
    </row>
    <row r="5222">
      <c r="A5222" s="9"/>
      <c r="B5222" s="15"/>
      <c r="C5222" s="9">
        <f>IFERROR(__xludf.DUMMYFUNCTION("""COMPUTED_VALUE"""),44550.7099858912)</f>
        <v>44550.70999</v>
      </c>
      <c r="D5222" s="15">
        <f>IFERROR(__xludf.DUMMYFUNCTION("""COMPUTED_VALUE"""),1.017)</f>
        <v>1.017</v>
      </c>
      <c r="E5222" s="16">
        <f>IFERROR(__xludf.DUMMYFUNCTION("""COMPUTED_VALUE"""),64.0)</f>
        <v>64</v>
      </c>
      <c r="F5222" s="19" t="str">
        <f>IFERROR(__xludf.DUMMYFUNCTION("""COMPUTED_VALUE"""),"BLACK")</f>
        <v>BLACK</v>
      </c>
      <c r="G5222" s="20" t="str">
        <f>IFERROR(__xludf.DUMMYFUNCTION("""COMPUTED_VALUE"""),"Uncle Sams Cider (11/12/2021) 02")</f>
        <v>Uncle Sams Cider (11/12/2021) 02</v>
      </c>
      <c r="H5222" s="19"/>
    </row>
    <row r="5223">
      <c r="A5223" s="9"/>
      <c r="B5223" s="15"/>
      <c r="C5223" s="9">
        <f>IFERROR(__xludf.DUMMYFUNCTION("""COMPUTED_VALUE"""),44550.6891328819)</f>
        <v>44550.68913</v>
      </c>
      <c r="D5223" s="15">
        <f>IFERROR(__xludf.DUMMYFUNCTION("""COMPUTED_VALUE"""),1.017)</f>
        <v>1.017</v>
      </c>
      <c r="E5223" s="16">
        <f>IFERROR(__xludf.DUMMYFUNCTION("""COMPUTED_VALUE"""),64.0)</f>
        <v>64</v>
      </c>
      <c r="F5223" s="19" t="str">
        <f>IFERROR(__xludf.DUMMYFUNCTION("""COMPUTED_VALUE"""),"BLACK")</f>
        <v>BLACK</v>
      </c>
      <c r="G5223" s="20" t="str">
        <f>IFERROR(__xludf.DUMMYFUNCTION("""COMPUTED_VALUE"""),"Uncle Sams Cider (11/12/2021) 02")</f>
        <v>Uncle Sams Cider (11/12/2021) 02</v>
      </c>
      <c r="H5223" s="19"/>
    </row>
    <row r="5224">
      <c r="A5224" s="9"/>
      <c r="B5224" s="15"/>
      <c r="C5224" s="9">
        <f>IFERROR(__xludf.DUMMYFUNCTION("""COMPUTED_VALUE"""),44550.6787003125)</f>
        <v>44550.6787</v>
      </c>
      <c r="D5224" s="15">
        <f>IFERROR(__xludf.DUMMYFUNCTION("""COMPUTED_VALUE"""),1.017)</f>
        <v>1.017</v>
      </c>
      <c r="E5224" s="16">
        <f>IFERROR(__xludf.DUMMYFUNCTION("""COMPUTED_VALUE"""),64.0)</f>
        <v>64</v>
      </c>
      <c r="F5224" s="19" t="str">
        <f>IFERROR(__xludf.DUMMYFUNCTION("""COMPUTED_VALUE"""),"BLACK")</f>
        <v>BLACK</v>
      </c>
      <c r="G5224" s="20" t="str">
        <f>IFERROR(__xludf.DUMMYFUNCTION("""COMPUTED_VALUE"""),"Uncle Sams Cider (11/12/2021) 02")</f>
        <v>Uncle Sams Cider (11/12/2021) 02</v>
      </c>
      <c r="H5224" s="19"/>
    </row>
    <row r="5225">
      <c r="A5225" s="9"/>
      <c r="B5225" s="15"/>
      <c r="C5225" s="9">
        <f>IFERROR(__xludf.DUMMYFUNCTION("""COMPUTED_VALUE"""),44550.6682564583)</f>
        <v>44550.66826</v>
      </c>
      <c r="D5225" s="15">
        <f>IFERROR(__xludf.DUMMYFUNCTION("""COMPUTED_VALUE"""),1.017)</f>
        <v>1.017</v>
      </c>
      <c r="E5225" s="16">
        <f>IFERROR(__xludf.DUMMYFUNCTION("""COMPUTED_VALUE"""),64.0)</f>
        <v>64</v>
      </c>
      <c r="F5225" s="19" t="str">
        <f>IFERROR(__xludf.DUMMYFUNCTION("""COMPUTED_VALUE"""),"BLACK")</f>
        <v>BLACK</v>
      </c>
      <c r="G5225" s="20" t="str">
        <f>IFERROR(__xludf.DUMMYFUNCTION("""COMPUTED_VALUE"""),"Uncle Sams Cider (11/12/2021) 02")</f>
        <v>Uncle Sams Cider (11/12/2021) 02</v>
      </c>
      <c r="H5225" s="19"/>
    </row>
    <row r="5226">
      <c r="A5226" s="9"/>
      <c r="B5226" s="15"/>
      <c r="C5226" s="9">
        <f>IFERROR(__xludf.DUMMYFUNCTION("""COMPUTED_VALUE"""),44550.6578236805)</f>
        <v>44550.65782</v>
      </c>
      <c r="D5226" s="15">
        <f>IFERROR(__xludf.DUMMYFUNCTION("""COMPUTED_VALUE"""),1.017)</f>
        <v>1.017</v>
      </c>
      <c r="E5226" s="16">
        <f>IFERROR(__xludf.DUMMYFUNCTION("""COMPUTED_VALUE"""),64.0)</f>
        <v>64</v>
      </c>
      <c r="F5226" s="19" t="str">
        <f>IFERROR(__xludf.DUMMYFUNCTION("""COMPUTED_VALUE"""),"BLACK")</f>
        <v>BLACK</v>
      </c>
      <c r="G5226" s="20" t="str">
        <f>IFERROR(__xludf.DUMMYFUNCTION("""COMPUTED_VALUE"""),"Uncle Sams Cider (11/12/2021) 02")</f>
        <v>Uncle Sams Cider (11/12/2021) 02</v>
      </c>
      <c r="H5226" s="19"/>
    </row>
    <row r="5227">
      <c r="A5227" s="9"/>
      <c r="B5227" s="15"/>
      <c r="C5227" s="9">
        <f>IFERROR(__xludf.DUMMYFUNCTION("""COMPUTED_VALUE"""),44550.6474053009)</f>
        <v>44550.64741</v>
      </c>
      <c r="D5227" s="15">
        <f>IFERROR(__xludf.DUMMYFUNCTION("""COMPUTED_VALUE"""),1.017)</f>
        <v>1.017</v>
      </c>
      <c r="E5227" s="16">
        <f>IFERROR(__xludf.DUMMYFUNCTION("""COMPUTED_VALUE"""),64.0)</f>
        <v>64</v>
      </c>
      <c r="F5227" s="19" t="str">
        <f>IFERROR(__xludf.DUMMYFUNCTION("""COMPUTED_VALUE"""),"BLACK")</f>
        <v>BLACK</v>
      </c>
      <c r="G5227" s="20" t="str">
        <f>IFERROR(__xludf.DUMMYFUNCTION("""COMPUTED_VALUE"""),"Uncle Sams Cider (11/12/2021) 02")</f>
        <v>Uncle Sams Cider (11/12/2021) 02</v>
      </c>
      <c r="H5227" s="19"/>
    </row>
    <row r="5228">
      <c r="A5228" s="9"/>
      <c r="B5228" s="15"/>
      <c r="C5228" s="9">
        <f>IFERROR(__xludf.DUMMYFUNCTION("""COMPUTED_VALUE"""),44550.6369716898)</f>
        <v>44550.63697</v>
      </c>
      <c r="D5228" s="15">
        <f>IFERROR(__xludf.DUMMYFUNCTION("""COMPUTED_VALUE"""),1.017)</f>
        <v>1.017</v>
      </c>
      <c r="E5228" s="16">
        <f>IFERROR(__xludf.DUMMYFUNCTION("""COMPUTED_VALUE"""),64.0)</f>
        <v>64</v>
      </c>
      <c r="F5228" s="19" t="str">
        <f>IFERROR(__xludf.DUMMYFUNCTION("""COMPUTED_VALUE"""),"BLACK")</f>
        <v>BLACK</v>
      </c>
      <c r="G5228" s="20" t="str">
        <f>IFERROR(__xludf.DUMMYFUNCTION("""COMPUTED_VALUE"""),"Uncle Sams Cider (11/12/2021) 02")</f>
        <v>Uncle Sams Cider (11/12/2021) 02</v>
      </c>
      <c r="H5228" s="19"/>
    </row>
    <row r="5229">
      <c r="A5229" s="9"/>
      <c r="B5229" s="15"/>
      <c r="C5229" s="9">
        <f>IFERROR(__xludf.DUMMYFUNCTION("""COMPUTED_VALUE"""),44550.6265513541)</f>
        <v>44550.62655</v>
      </c>
      <c r="D5229" s="15">
        <f>IFERROR(__xludf.DUMMYFUNCTION("""COMPUTED_VALUE"""),1.017)</f>
        <v>1.017</v>
      </c>
      <c r="E5229" s="16">
        <f>IFERROR(__xludf.DUMMYFUNCTION("""COMPUTED_VALUE"""),64.0)</f>
        <v>64</v>
      </c>
      <c r="F5229" s="19" t="str">
        <f>IFERROR(__xludf.DUMMYFUNCTION("""COMPUTED_VALUE"""),"BLACK")</f>
        <v>BLACK</v>
      </c>
      <c r="G5229" s="20" t="str">
        <f>IFERROR(__xludf.DUMMYFUNCTION("""COMPUTED_VALUE"""),"Uncle Sams Cider (11/12/2021) 02")</f>
        <v>Uncle Sams Cider (11/12/2021) 02</v>
      </c>
      <c r="H5229" s="19"/>
    </row>
    <row r="5230">
      <c r="A5230" s="9"/>
      <c r="B5230" s="15"/>
      <c r="C5230" s="9">
        <f>IFERROR(__xludf.DUMMYFUNCTION("""COMPUTED_VALUE"""),44550.6161299652)</f>
        <v>44550.61613</v>
      </c>
      <c r="D5230" s="15">
        <f>IFERROR(__xludf.DUMMYFUNCTION("""COMPUTED_VALUE"""),1.017)</f>
        <v>1.017</v>
      </c>
      <c r="E5230" s="16">
        <f>IFERROR(__xludf.DUMMYFUNCTION("""COMPUTED_VALUE"""),64.0)</f>
        <v>64</v>
      </c>
      <c r="F5230" s="19" t="str">
        <f>IFERROR(__xludf.DUMMYFUNCTION("""COMPUTED_VALUE"""),"BLACK")</f>
        <v>BLACK</v>
      </c>
      <c r="G5230" s="20" t="str">
        <f>IFERROR(__xludf.DUMMYFUNCTION("""COMPUTED_VALUE"""),"Uncle Sams Cider (11/12/2021) 02")</f>
        <v>Uncle Sams Cider (11/12/2021) 02</v>
      </c>
      <c r="H5230" s="19"/>
    </row>
    <row r="5231">
      <c r="A5231" s="9"/>
      <c r="B5231" s="15"/>
      <c r="C5231" s="9">
        <f>IFERROR(__xludf.DUMMYFUNCTION("""COMPUTED_VALUE"""),44550.6056968518)</f>
        <v>44550.6057</v>
      </c>
      <c r="D5231" s="15">
        <f>IFERROR(__xludf.DUMMYFUNCTION("""COMPUTED_VALUE"""),1.017)</f>
        <v>1.017</v>
      </c>
      <c r="E5231" s="16">
        <f>IFERROR(__xludf.DUMMYFUNCTION("""COMPUTED_VALUE"""),64.0)</f>
        <v>64</v>
      </c>
      <c r="F5231" s="19" t="str">
        <f>IFERROR(__xludf.DUMMYFUNCTION("""COMPUTED_VALUE"""),"BLACK")</f>
        <v>BLACK</v>
      </c>
      <c r="G5231" s="20" t="str">
        <f>IFERROR(__xludf.DUMMYFUNCTION("""COMPUTED_VALUE"""),"Uncle Sams Cider (11/12/2021) 02")</f>
        <v>Uncle Sams Cider (11/12/2021) 02</v>
      </c>
      <c r="H5231" s="19"/>
    </row>
    <row r="5232">
      <c r="A5232" s="9"/>
      <c r="B5232" s="15"/>
      <c r="C5232" s="9">
        <f>IFERROR(__xludf.DUMMYFUNCTION("""COMPUTED_VALUE"""),44550.5952750694)</f>
        <v>44550.59528</v>
      </c>
      <c r="D5232" s="15">
        <f>IFERROR(__xludf.DUMMYFUNCTION("""COMPUTED_VALUE"""),1.017)</f>
        <v>1.017</v>
      </c>
      <c r="E5232" s="16">
        <f>IFERROR(__xludf.DUMMYFUNCTION("""COMPUTED_VALUE"""),64.0)</f>
        <v>64</v>
      </c>
      <c r="F5232" s="19" t="str">
        <f>IFERROR(__xludf.DUMMYFUNCTION("""COMPUTED_VALUE"""),"BLACK")</f>
        <v>BLACK</v>
      </c>
      <c r="G5232" s="20" t="str">
        <f>IFERROR(__xludf.DUMMYFUNCTION("""COMPUTED_VALUE"""),"Uncle Sams Cider (11/12/2021) 02")</f>
        <v>Uncle Sams Cider (11/12/2021) 02</v>
      </c>
      <c r="H5232" s="19"/>
    </row>
    <row r="5233">
      <c r="A5233" s="9"/>
      <c r="B5233" s="15"/>
      <c r="C5233" s="9">
        <f>IFERROR(__xludf.DUMMYFUNCTION("""COMPUTED_VALUE"""),44550.5848550231)</f>
        <v>44550.58486</v>
      </c>
      <c r="D5233" s="15">
        <f>IFERROR(__xludf.DUMMYFUNCTION("""COMPUTED_VALUE"""),1.017)</f>
        <v>1.017</v>
      </c>
      <c r="E5233" s="16">
        <f>IFERROR(__xludf.DUMMYFUNCTION("""COMPUTED_VALUE"""),64.0)</f>
        <v>64</v>
      </c>
      <c r="F5233" s="19" t="str">
        <f>IFERROR(__xludf.DUMMYFUNCTION("""COMPUTED_VALUE"""),"BLACK")</f>
        <v>BLACK</v>
      </c>
      <c r="G5233" s="20" t="str">
        <f>IFERROR(__xludf.DUMMYFUNCTION("""COMPUTED_VALUE"""),"Uncle Sams Cider (11/12/2021) 02")</f>
        <v>Uncle Sams Cider (11/12/2021) 02</v>
      </c>
      <c r="H5233" s="19"/>
    </row>
    <row r="5234">
      <c r="A5234" s="9"/>
      <c r="B5234" s="15"/>
      <c r="C5234" s="9">
        <f>IFERROR(__xludf.DUMMYFUNCTION("""COMPUTED_VALUE"""),44550.5744349189)</f>
        <v>44550.57443</v>
      </c>
      <c r="D5234" s="15">
        <f>IFERROR(__xludf.DUMMYFUNCTION("""COMPUTED_VALUE"""),1.017)</f>
        <v>1.017</v>
      </c>
      <c r="E5234" s="16">
        <f>IFERROR(__xludf.DUMMYFUNCTION("""COMPUTED_VALUE"""),64.0)</f>
        <v>64</v>
      </c>
      <c r="F5234" s="19" t="str">
        <f>IFERROR(__xludf.DUMMYFUNCTION("""COMPUTED_VALUE"""),"BLACK")</f>
        <v>BLACK</v>
      </c>
      <c r="G5234" s="20" t="str">
        <f>IFERROR(__xludf.DUMMYFUNCTION("""COMPUTED_VALUE"""),"Uncle Sams Cider (11/12/2021) 02")</f>
        <v>Uncle Sams Cider (11/12/2021) 02</v>
      </c>
      <c r="H5234" s="19"/>
    </row>
    <row r="5235">
      <c r="A5235" s="9"/>
      <c r="B5235" s="15"/>
      <c r="C5235" s="9">
        <f>IFERROR(__xludf.DUMMYFUNCTION("""COMPUTED_VALUE"""),44550.5640142592)</f>
        <v>44550.56401</v>
      </c>
      <c r="D5235" s="15">
        <f>IFERROR(__xludf.DUMMYFUNCTION("""COMPUTED_VALUE"""),1.018)</f>
        <v>1.018</v>
      </c>
      <c r="E5235" s="16">
        <f>IFERROR(__xludf.DUMMYFUNCTION("""COMPUTED_VALUE"""),64.0)</f>
        <v>64</v>
      </c>
      <c r="F5235" s="19" t="str">
        <f>IFERROR(__xludf.DUMMYFUNCTION("""COMPUTED_VALUE"""),"BLACK")</f>
        <v>BLACK</v>
      </c>
      <c r="G5235" s="20" t="str">
        <f>IFERROR(__xludf.DUMMYFUNCTION("""COMPUTED_VALUE"""),"Uncle Sams Cider (11/12/2021) 02")</f>
        <v>Uncle Sams Cider (11/12/2021) 02</v>
      </c>
      <c r="H5235" s="19"/>
    </row>
    <row r="5236">
      <c r="A5236" s="9"/>
      <c r="B5236" s="15"/>
      <c r="C5236" s="9">
        <f>IFERROR(__xludf.DUMMYFUNCTION("""COMPUTED_VALUE"""),44550.5535815856)</f>
        <v>44550.55358</v>
      </c>
      <c r="D5236" s="15">
        <f>IFERROR(__xludf.DUMMYFUNCTION("""COMPUTED_VALUE"""),1.017)</f>
        <v>1.017</v>
      </c>
      <c r="E5236" s="16">
        <f>IFERROR(__xludf.DUMMYFUNCTION("""COMPUTED_VALUE"""),64.0)</f>
        <v>64</v>
      </c>
      <c r="F5236" s="19" t="str">
        <f>IFERROR(__xludf.DUMMYFUNCTION("""COMPUTED_VALUE"""),"BLACK")</f>
        <v>BLACK</v>
      </c>
      <c r="G5236" s="20" t="str">
        <f>IFERROR(__xludf.DUMMYFUNCTION("""COMPUTED_VALUE"""),"Uncle Sams Cider (11/12/2021) 02")</f>
        <v>Uncle Sams Cider (11/12/2021) 02</v>
      </c>
      <c r="H5236" s="19"/>
    </row>
    <row r="5237">
      <c r="A5237" s="9"/>
      <c r="B5237" s="15"/>
      <c r="C5237" s="9">
        <f>IFERROR(__xludf.DUMMYFUNCTION("""COMPUTED_VALUE"""),44550.5431485416)</f>
        <v>44550.54315</v>
      </c>
      <c r="D5237" s="15">
        <f>IFERROR(__xludf.DUMMYFUNCTION("""COMPUTED_VALUE"""),1.017)</f>
        <v>1.017</v>
      </c>
      <c r="E5237" s="16">
        <f>IFERROR(__xludf.DUMMYFUNCTION("""COMPUTED_VALUE"""),64.0)</f>
        <v>64</v>
      </c>
      <c r="F5237" s="19" t="str">
        <f>IFERROR(__xludf.DUMMYFUNCTION("""COMPUTED_VALUE"""),"BLACK")</f>
        <v>BLACK</v>
      </c>
      <c r="G5237" s="20" t="str">
        <f>IFERROR(__xludf.DUMMYFUNCTION("""COMPUTED_VALUE"""),"Uncle Sams Cider (11/12/2021) 02")</f>
        <v>Uncle Sams Cider (11/12/2021) 02</v>
      </c>
      <c r="H5237" s="19"/>
    </row>
    <row r="5238">
      <c r="A5238" s="9"/>
      <c r="B5238" s="15"/>
      <c r="C5238" s="9">
        <f>IFERROR(__xludf.DUMMYFUNCTION("""COMPUTED_VALUE"""),44550.5326924652)</f>
        <v>44550.53269</v>
      </c>
      <c r="D5238" s="15">
        <f>IFERROR(__xludf.DUMMYFUNCTION("""COMPUTED_VALUE"""),1.017)</f>
        <v>1.017</v>
      </c>
      <c r="E5238" s="16">
        <f>IFERROR(__xludf.DUMMYFUNCTION("""COMPUTED_VALUE"""),64.0)</f>
        <v>64</v>
      </c>
      <c r="F5238" s="19" t="str">
        <f>IFERROR(__xludf.DUMMYFUNCTION("""COMPUTED_VALUE"""),"BLACK")</f>
        <v>BLACK</v>
      </c>
      <c r="G5238" s="20" t="str">
        <f>IFERROR(__xludf.DUMMYFUNCTION("""COMPUTED_VALUE"""),"Uncle Sams Cider (11/12/2021) 02")</f>
        <v>Uncle Sams Cider (11/12/2021) 02</v>
      </c>
      <c r="H5238" s="19"/>
    </row>
    <row r="5239">
      <c r="A5239" s="9"/>
      <c r="B5239" s="15"/>
      <c r="C5239" s="9">
        <f>IFERROR(__xludf.DUMMYFUNCTION("""COMPUTED_VALUE"""),44550.5222609606)</f>
        <v>44550.52226</v>
      </c>
      <c r="D5239" s="15">
        <f>IFERROR(__xludf.DUMMYFUNCTION("""COMPUTED_VALUE"""),1.017)</f>
        <v>1.017</v>
      </c>
      <c r="E5239" s="16">
        <f>IFERROR(__xludf.DUMMYFUNCTION("""COMPUTED_VALUE"""),64.0)</f>
        <v>64</v>
      </c>
      <c r="F5239" s="19" t="str">
        <f>IFERROR(__xludf.DUMMYFUNCTION("""COMPUTED_VALUE"""),"BLACK")</f>
        <v>BLACK</v>
      </c>
      <c r="G5239" s="20" t="str">
        <f>IFERROR(__xludf.DUMMYFUNCTION("""COMPUTED_VALUE"""),"Uncle Sams Cider (11/12/2021) 02")</f>
        <v>Uncle Sams Cider (11/12/2021) 02</v>
      </c>
      <c r="H5239" s="19"/>
    </row>
    <row r="5240">
      <c r="A5240" s="9"/>
      <c r="B5240" s="15"/>
      <c r="C5240" s="9">
        <f>IFERROR(__xludf.DUMMYFUNCTION("""COMPUTED_VALUE"""),44550.5118406828)</f>
        <v>44550.51184</v>
      </c>
      <c r="D5240" s="15">
        <f>IFERROR(__xludf.DUMMYFUNCTION("""COMPUTED_VALUE"""),1.017)</f>
        <v>1.017</v>
      </c>
      <c r="E5240" s="16">
        <f>IFERROR(__xludf.DUMMYFUNCTION("""COMPUTED_VALUE"""),64.0)</f>
        <v>64</v>
      </c>
      <c r="F5240" s="19" t="str">
        <f>IFERROR(__xludf.DUMMYFUNCTION("""COMPUTED_VALUE"""),"BLACK")</f>
        <v>BLACK</v>
      </c>
      <c r="G5240" s="20" t="str">
        <f>IFERROR(__xludf.DUMMYFUNCTION("""COMPUTED_VALUE"""),"Uncle Sams Cider (11/12/2021) 02")</f>
        <v>Uncle Sams Cider (11/12/2021) 02</v>
      </c>
      <c r="H5240" s="19"/>
    </row>
    <row r="5241">
      <c r="A5241" s="9"/>
      <c r="B5241" s="15"/>
      <c r="C5241" s="9">
        <f>IFERROR(__xludf.DUMMYFUNCTION("""COMPUTED_VALUE"""),44550.5014203703)</f>
        <v>44550.50142</v>
      </c>
      <c r="D5241" s="15">
        <f>IFERROR(__xludf.DUMMYFUNCTION("""COMPUTED_VALUE"""),1.017)</f>
        <v>1.017</v>
      </c>
      <c r="E5241" s="16">
        <f>IFERROR(__xludf.DUMMYFUNCTION("""COMPUTED_VALUE"""),64.0)</f>
        <v>64</v>
      </c>
      <c r="F5241" s="19" t="str">
        <f>IFERROR(__xludf.DUMMYFUNCTION("""COMPUTED_VALUE"""),"BLACK")</f>
        <v>BLACK</v>
      </c>
      <c r="G5241" s="20" t="str">
        <f>IFERROR(__xludf.DUMMYFUNCTION("""COMPUTED_VALUE"""),"Uncle Sams Cider (11/12/2021) 02")</f>
        <v>Uncle Sams Cider (11/12/2021) 02</v>
      </c>
      <c r="H5241" s="19"/>
    </row>
    <row r="5242">
      <c r="A5242" s="9"/>
      <c r="B5242" s="15"/>
      <c r="C5242" s="9">
        <f>IFERROR(__xludf.DUMMYFUNCTION("""COMPUTED_VALUE"""),44550.4910006712)</f>
        <v>44550.491</v>
      </c>
      <c r="D5242" s="15">
        <f>IFERROR(__xludf.DUMMYFUNCTION("""COMPUTED_VALUE"""),1.017)</f>
        <v>1.017</v>
      </c>
      <c r="E5242" s="16">
        <f>IFERROR(__xludf.DUMMYFUNCTION("""COMPUTED_VALUE"""),64.0)</f>
        <v>64</v>
      </c>
      <c r="F5242" s="19" t="str">
        <f>IFERROR(__xludf.DUMMYFUNCTION("""COMPUTED_VALUE"""),"BLACK")</f>
        <v>BLACK</v>
      </c>
      <c r="G5242" s="20" t="str">
        <f>IFERROR(__xludf.DUMMYFUNCTION("""COMPUTED_VALUE"""),"Uncle Sams Cider (11/12/2021) 02")</f>
        <v>Uncle Sams Cider (11/12/2021) 02</v>
      </c>
      <c r="H5242" s="19"/>
    </row>
    <row r="5243">
      <c r="A5243" s="9"/>
      <c r="B5243" s="15"/>
      <c r="C5243" s="9">
        <f>IFERROR(__xludf.DUMMYFUNCTION("""COMPUTED_VALUE"""),44550.4805309143)</f>
        <v>44550.48053</v>
      </c>
      <c r="D5243" s="15">
        <f>IFERROR(__xludf.DUMMYFUNCTION("""COMPUTED_VALUE"""),1.017)</f>
        <v>1.017</v>
      </c>
      <c r="E5243" s="16">
        <f>IFERROR(__xludf.DUMMYFUNCTION("""COMPUTED_VALUE"""),64.0)</f>
        <v>64</v>
      </c>
      <c r="F5243" s="19" t="str">
        <f>IFERROR(__xludf.DUMMYFUNCTION("""COMPUTED_VALUE"""),"BLACK")</f>
        <v>BLACK</v>
      </c>
      <c r="G5243" s="20" t="str">
        <f>IFERROR(__xludf.DUMMYFUNCTION("""COMPUTED_VALUE"""),"Uncle Sams Cider (11/12/2021) 02")</f>
        <v>Uncle Sams Cider (11/12/2021) 02</v>
      </c>
      <c r="H5243" s="19"/>
    </row>
    <row r="5244">
      <c r="A5244" s="9"/>
      <c r="B5244" s="15"/>
      <c r="C5244" s="9">
        <f>IFERROR(__xludf.DUMMYFUNCTION("""COMPUTED_VALUE"""),44550.4701102546)</f>
        <v>44550.47011</v>
      </c>
      <c r="D5244" s="15">
        <f>IFERROR(__xludf.DUMMYFUNCTION("""COMPUTED_VALUE"""),1.017)</f>
        <v>1.017</v>
      </c>
      <c r="E5244" s="16">
        <f>IFERROR(__xludf.DUMMYFUNCTION("""COMPUTED_VALUE"""),64.0)</f>
        <v>64</v>
      </c>
      <c r="F5244" s="19" t="str">
        <f>IFERROR(__xludf.DUMMYFUNCTION("""COMPUTED_VALUE"""),"BLACK")</f>
        <v>BLACK</v>
      </c>
      <c r="G5244" s="20" t="str">
        <f>IFERROR(__xludf.DUMMYFUNCTION("""COMPUTED_VALUE"""),"Uncle Sams Cider (11/12/2021) 02")</f>
        <v>Uncle Sams Cider (11/12/2021) 02</v>
      </c>
      <c r="H5244" s="19"/>
    </row>
    <row r="5245">
      <c r="A5245" s="9"/>
      <c r="B5245" s="15"/>
      <c r="C5245" s="9">
        <f>IFERROR(__xludf.DUMMYFUNCTION("""COMPUTED_VALUE"""),44550.4596786574)</f>
        <v>44550.45968</v>
      </c>
      <c r="D5245" s="15">
        <f>IFERROR(__xludf.DUMMYFUNCTION("""COMPUTED_VALUE"""),1.017)</f>
        <v>1.017</v>
      </c>
      <c r="E5245" s="16">
        <f>IFERROR(__xludf.DUMMYFUNCTION("""COMPUTED_VALUE"""),64.0)</f>
        <v>64</v>
      </c>
      <c r="F5245" s="19" t="str">
        <f>IFERROR(__xludf.DUMMYFUNCTION("""COMPUTED_VALUE"""),"BLACK")</f>
        <v>BLACK</v>
      </c>
      <c r="G5245" s="20" t="str">
        <f>IFERROR(__xludf.DUMMYFUNCTION("""COMPUTED_VALUE"""),"Uncle Sams Cider (11/12/2021) 02")</f>
        <v>Uncle Sams Cider (11/12/2021) 02</v>
      </c>
      <c r="H5245" s="19"/>
    </row>
    <row r="5246">
      <c r="A5246" s="9"/>
      <c r="B5246" s="15"/>
      <c r="C5246" s="9">
        <f>IFERROR(__xludf.DUMMYFUNCTION("""COMPUTED_VALUE"""),44550.44922125)</f>
        <v>44550.44922</v>
      </c>
      <c r="D5246" s="15">
        <f>IFERROR(__xludf.DUMMYFUNCTION("""COMPUTED_VALUE"""),1.017)</f>
        <v>1.017</v>
      </c>
      <c r="E5246" s="16">
        <f>IFERROR(__xludf.DUMMYFUNCTION("""COMPUTED_VALUE"""),64.0)</f>
        <v>64</v>
      </c>
      <c r="F5246" s="19" t="str">
        <f>IFERROR(__xludf.DUMMYFUNCTION("""COMPUTED_VALUE"""),"BLACK")</f>
        <v>BLACK</v>
      </c>
      <c r="G5246" s="20" t="str">
        <f>IFERROR(__xludf.DUMMYFUNCTION("""COMPUTED_VALUE"""),"Uncle Sams Cider (11/12/2021) 02")</f>
        <v>Uncle Sams Cider (11/12/2021) 02</v>
      </c>
      <c r="H5246" s="19"/>
    </row>
    <row r="5247">
      <c r="A5247" s="9"/>
      <c r="B5247" s="15"/>
      <c r="C5247" s="9">
        <f>IFERROR(__xludf.DUMMYFUNCTION("""COMPUTED_VALUE"""),44550.4387995254)</f>
        <v>44550.4388</v>
      </c>
      <c r="D5247" s="15">
        <f>IFERROR(__xludf.DUMMYFUNCTION("""COMPUTED_VALUE"""),1.017)</f>
        <v>1.017</v>
      </c>
      <c r="E5247" s="16">
        <f>IFERROR(__xludf.DUMMYFUNCTION("""COMPUTED_VALUE"""),64.0)</f>
        <v>64</v>
      </c>
      <c r="F5247" s="19" t="str">
        <f>IFERROR(__xludf.DUMMYFUNCTION("""COMPUTED_VALUE"""),"BLACK")</f>
        <v>BLACK</v>
      </c>
      <c r="G5247" s="20" t="str">
        <f>IFERROR(__xludf.DUMMYFUNCTION("""COMPUTED_VALUE"""),"Uncle Sams Cider (11/12/2021) 02")</f>
        <v>Uncle Sams Cider (11/12/2021) 02</v>
      </c>
      <c r="H5247" s="19"/>
    </row>
    <row r="5248">
      <c r="A5248" s="9"/>
      <c r="B5248" s="15"/>
      <c r="C5248" s="9">
        <f>IFERROR(__xludf.DUMMYFUNCTION("""COMPUTED_VALUE"""),44550.4283660763)</f>
        <v>44550.42837</v>
      </c>
      <c r="D5248" s="15">
        <f>IFERROR(__xludf.DUMMYFUNCTION("""COMPUTED_VALUE"""),1.017)</f>
        <v>1.017</v>
      </c>
      <c r="E5248" s="16">
        <f>IFERROR(__xludf.DUMMYFUNCTION("""COMPUTED_VALUE"""),64.0)</f>
        <v>64</v>
      </c>
      <c r="F5248" s="19" t="str">
        <f>IFERROR(__xludf.DUMMYFUNCTION("""COMPUTED_VALUE"""),"BLACK")</f>
        <v>BLACK</v>
      </c>
      <c r="G5248" s="20" t="str">
        <f>IFERROR(__xludf.DUMMYFUNCTION("""COMPUTED_VALUE"""),"Uncle Sams Cider (11/12/2021) 02")</f>
        <v>Uncle Sams Cider (11/12/2021) 02</v>
      </c>
      <c r="H5248" s="19"/>
    </row>
    <row r="5249">
      <c r="A5249" s="9"/>
      <c r="B5249" s="15"/>
      <c r="C5249" s="9">
        <f>IFERROR(__xludf.DUMMYFUNCTION("""COMPUTED_VALUE"""),44550.4179222916)</f>
        <v>44550.41792</v>
      </c>
      <c r="D5249" s="15">
        <f>IFERROR(__xludf.DUMMYFUNCTION("""COMPUTED_VALUE"""),1.017)</f>
        <v>1.017</v>
      </c>
      <c r="E5249" s="16">
        <f>IFERROR(__xludf.DUMMYFUNCTION("""COMPUTED_VALUE"""),64.0)</f>
        <v>64</v>
      </c>
      <c r="F5249" s="19" t="str">
        <f>IFERROR(__xludf.DUMMYFUNCTION("""COMPUTED_VALUE"""),"BLACK")</f>
        <v>BLACK</v>
      </c>
      <c r="G5249" s="20" t="str">
        <f>IFERROR(__xludf.DUMMYFUNCTION("""COMPUTED_VALUE"""),"Uncle Sams Cider (11/12/2021) 02")</f>
        <v>Uncle Sams Cider (11/12/2021) 02</v>
      </c>
      <c r="H5249" s="19"/>
    </row>
    <row r="5250">
      <c r="A5250" s="9"/>
      <c r="B5250" s="15"/>
      <c r="C5250" s="9">
        <f>IFERROR(__xludf.DUMMYFUNCTION("""COMPUTED_VALUE"""),44550.4074788425)</f>
        <v>44550.40748</v>
      </c>
      <c r="D5250" s="15">
        <f>IFERROR(__xludf.DUMMYFUNCTION("""COMPUTED_VALUE"""),1.017)</f>
        <v>1.017</v>
      </c>
      <c r="E5250" s="16">
        <f>IFERROR(__xludf.DUMMYFUNCTION("""COMPUTED_VALUE"""),64.0)</f>
        <v>64</v>
      </c>
      <c r="F5250" s="19" t="str">
        <f>IFERROR(__xludf.DUMMYFUNCTION("""COMPUTED_VALUE"""),"BLACK")</f>
        <v>BLACK</v>
      </c>
      <c r="G5250" s="20" t="str">
        <f>IFERROR(__xludf.DUMMYFUNCTION("""COMPUTED_VALUE"""),"Uncle Sams Cider (11/12/2021) 02")</f>
        <v>Uncle Sams Cider (11/12/2021) 02</v>
      </c>
      <c r="H5250" s="19"/>
    </row>
    <row r="5251">
      <c r="A5251" s="9"/>
      <c r="B5251" s="15"/>
      <c r="C5251" s="9">
        <f>IFERROR(__xludf.DUMMYFUNCTION("""COMPUTED_VALUE"""),44550.3970222916)</f>
        <v>44550.39702</v>
      </c>
      <c r="D5251" s="15">
        <f>IFERROR(__xludf.DUMMYFUNCTION("""COMPUTED_VALUE"""),1.017)</f>
        <v>1.017</v>
      </c>
      <c r="E5251" s="16">
        <f>IFERROR(__xludf.DUMMYFUNCTION("""COMPUTED_VALUE"""),64.0)</f>
        <v>64</v>
      </c>
      <c r="F5251" s="19" t="str">
        <f>IFERROR(__xludf.DUMMYFUNCTION("""COMPUTED_VALUE"""),"BLACK")</f>
        <v>BLACK</v>
      </c>
      <c r="G5251" s="20" t="str">
        <f>IFERROR(__xludf.DUMMYFUNCTION("""COMPUTED_VALUE"""),"Uncle Sams Cider (11/12/2021) 02")</f>
        <v>Uncle Sams Cider (11/12/2021) 02</v>
      </c>
      <c r="H5251" s="19"/>
    </row>
    <row r="5252">
      <c r="A5252" s="9"/>
      <c r="B5252" s="15"/>
      <c r="C5252" s="9">
        <f>IFERROR(__xludf.DUMMYFUNCTION("""COMPUTED_VALUE"""),44550.3866003472)</f>
        <v>44550.3866</v>
      </c>
      <c r="D5252" s="15">
        <f>IFERROR(__xludf.DUMMYFUNCTION("""COMPUTED_VALUE"""),1.017)</f>
        <v>1.017</v>
      </c>
      <c r="E5252" s="16">
        <f>IFERROR(__xludf.DUMMYFUNCTION("""COMPUTED_VALUE"""),64.0)</f>
        <v>64</v>
      </c>
      <c r="F5252" s="19" t="str">
        <f>IFERROR(__xludf.DUMMYFUNCTION("""COMPUTED_VALUE"""),"BLACK")</f>
        <v>BLACK</v>
      </c>
      <c r="G5252" s="20" t="str">
        <f>IFERROR(__xludf.DUMMYFUNCTION("""COMPUTED_VALUE"""),"Uncle Sams Cider (11/12/2021) 02")</f>
        <v>Uncle Sams Cider (11/12/2021) 02</v>
      </c>
      <c r="H5252" s="19"/>
    </row>
    <row r="5253">
      <c r="A5253" s="9"/>
      <c r="B5253" s="15"/>
      <c r="C5253" s="9">
        <f>IFERROR(__xludf.DUMMYFUNCTION("""COMPUTED_VALUE"""),44550.3761447916)</f>
        <v>44550.37614</v>
      </c>
      <c r="D5253" s="15">
        <f>IFERROR(__xludf.DUMMYFUNCTION("""COMPUTED_VALUE"""),1.017)</f>
        <v>1.017</v>
      </c>
      <c r="E5253" s="16">
        <f>IFERROR(__xludf.DUMMYFUNCTION("""COMPUTED_VALUE"""),64.0)</f>
        <v>64</v>
      </c>
      <c r="F5253" s="19" t="str">
        <f>IFERROR(__xludf.DUMMYFUNCTION("""COMPUTED_VALUE"""),"BLACK")</f>
        <v>BLACK</v>
      </c>
      <c r="G5253" s="20" t="str">
        <f>IFERROR(__xludf.DUMMYFUNCTION("""COMPUTED_VALUE"""),"Uncle Sams Cider (11/12/2021) 02")</f>
        <v>Uncle Sams Cider (11/12/2021) 02</v>
      </c>
      <c r="H5253" s="19"/>
    </row>
    <row r="5254">
      <c r="A5254" s="9"/>
      <c r="B5254" s="15"/>
      <c r="C5254" s="9">
        <f>IFERROR(__xludf.DUMMYFUNCTION("""COMPUTED_VALUE"""),44550.3657222337)</f>
        <v>44550.36572</v>
      </c>
      <c r="D5254" s="15">
        <f>IFERROR(__xludf.DUMMYFUNCTION("""COMPUTED_VALUE"""),1.017)</f>
        <v>1.017</v>
      </c>
      <c r="E5254" s="16">
        <f>IFERROR(__xludf.DUMMYFUNCTION("""COMPUTED_VALUE"""),64.0)</f>
        <v>64</v>
      </c>
      <c r="F5254" s="19" t="str">
        <f>IFERROR(__xludf.DUMMYFUNCTION("""COMPUTED_VALUE"""),"BLACK")</f>
        <v>BLACK</v>
      </c>
      <c r="G5254" s="20" t="str">
        <f>IFERROR(__xludf.DUMMYFUNCTION("""COMPUTED_VALUE"""),"Uncle Sams Cider (11/12/2021) 02")</f>
        <v>Uncle Sams Cider (11/12/2021) 02</v>
      </c>
      <c r="H5254" s="19"/>
    </row>
    <row r="5255">
      <c r="A5255" s="9"/>
      <c r="B5255" s="15"/>
      <c r="C5255" s="9">
        <f>IFERROR(__xludf.DUMMYFUNCTION("""COMPUTED_VALUE"""),44550.3552894675)</f>
        <v>44550.35529</v>
      </c>
      <c r="D5255" s="15">
        <f>IFERROR(__xludf.DUMMYFUNCTION("""COMPUTED_VALUE"""),1.017)</f>
        <v>1.017</v>
      </c>
      <c r="E5255" s="16">
        <f>IFERROR(__xludf.DUMMYFUNCTION("""COMPUTED_VALUE"""),64.0)</f>
        <v>64</v>
      </c>
      <c r="F5255" s="19" t="str">
        <f>IFERROR(__xludf.DUMMYFUNCTION("""COMPUTED_VALUE"""),"BLACK")</f>
        <v>BLACK</v>
      </c>
      <c r="G5255" s="20" t="str">
        <f>IFERROR(__xludf.DUMMYFUNCTION("""COMPUTED_VALUE"""),"Uncle Sams Cider (11/12/2021) 02")</f>
        <v>Uncle Sams Cider (11/12/2021) 02</v>
      </c>
      <c r="H5255" s="19"/>
    </row>
    <row r="5256">
      <c r="A5256" s="9"/>
      <c r="B5256" s="15"/>
      <c r="C5256" s="9">
        <f>IFERROR(__xludf.DUMMYFUNCTION("""COMPUTED_VALUE"""),44550.3448684722)</f>
        <v>44550.34487</v>
      </c>
      <c r="D5256" s="15">
        <f>IFERROR(__xludf.DUMMYFUNCTION("""COMPUTED_VALUE"""),1.017)</f>
        <v>1.017</v>
      </c>
      <c r="E5256" s="16">
        <f>IFERROR(__xludf.DUMMYFUNCTION("""COMPUTED_VALUE"""),64.0)</f>
        <v>64</v>
      </c>
      <c r="F5256" s="19" t="str">
        <f>IFERROR(__xludf.DUMMYFUNCTION("""COMPUTED_VALUE"""),"BLACK")</f>
        <v>BLACK</v>
      </c>
      <c r="G5256" s="20" t="str">
        <f>IFERROR(__xludf.DUMMYFUNCTION("""COMPUTED_VALUE"""),"Uncle Sams Cider (11/12/2021) 02")</f>
        <v>Uncle Sams Cider (11/12/2021) 02</v>
      </c>
      <c r="H5256" s="19"/>
    </row>
    <row r="5257">
      <c r="A5257" s="9"/>
      <c r="B5257" s="15"/>
      <c r="C5257" s="9">
        <f>IFERROR(__xludf.DUMMYFUNCTION("""COMPUTED_VALUE"""),44550.3344484837)</f>
        <v>44550.33445</v>
      </c>
      <c r="D5257" s="15">
        <f>IFERROR(__xludf.DUMMYFUNCTION("""COMPUTED_VALUE"""),1.017)</f>
        <v>1.017</v>
      </c>
      <c r="E5257" s="16">
        <f>IFERROR(__xludf.DUMMYFUNCTION("""COMPUTED_VALUE"""),64.0)</f>
        <v>64</v>
      </c>
      <c r="F5257" s="19" t="str">
        <f>IFERROR(__xludf.DUMMYFUNCTION("""COMPUTED_VALUE"""),"BLACK")</f>
        <v>BLACK</v>
      </c>
      <c r="G5257" s="20" t="str">
        <f>IFERROR(__xludf.DUMMYFUNCTION("""COMPUTED_VALUE"""),"Uncle Sams Cider (11/12/2021) 02")</f>
        <v>Uncle Sams Cider (11/12/2021) 02</v>
      </c>
      <c r="H5257" s="19"/>
    </row>
    <row r="5258">
      <c r="A5258" s="9"/>
      <c r="B5258" s="15"/>
      <c r="C5258" s="9">
        <f>IFERROR(__xludf.DUMMYFUNCTION("""COMPUTED_VALUE"""),44550.3240150578)</f>
        <v>44550.32402</v>
      </c>
      <c r="D5258" s="15">
        <f>IFERROR(__xludf.DUMMYFUNCTION("""COMPUTED_VALUE"""),1.017)</f>
        <v>1.017</v>
      </c>
      <c r="E5258" s="16">
        <f>IFERROR(__xludf.DUMMYFUNCTION("""COMPUTED_VALUE"""),64.0)</f>
        <v>64</v>
      </c>
      <c r="F5258" s="19" t="str">
        <f>IFERROR(__xludf.DUMMYFUNCTION("""COMPUTED_VALUE"""),"BLACK")</f>
        <v>BLACK</v>
      </c>
      <c r="G5258" s="20" t="str">
        <f>IFERROR(__xludf.DUMMYFUNCTION("""COMPUTED_VALUE"""),"Uncle Sams Cider (11/12/2021) 02")</f>
        <v>Uncle Sams Cider (11/12/2021) 02</v>
      </c>
      <c r="H5258" s="19"/>
    </row>
    <row r="5259">
      <c r="A5259" s="9"/>
      <c r="B5259" s="15"/>
      <c r="C5259" s="9">
        <f>IFERROR(__xludf.DUMMYFUNCTION("""COMPUTED_VALUE"""),44550.313593206)</f>
        <v>44550.31359</v>
      </c>
      <c r="D5259" s="15">
        <f>IFERROR(__xludf.DUMMYFUNCTION("""COMPUTED_VALUE"""),1.017)</f>
        <v>1.017</v>
      </c>
      <c r="E5259" s="16">
        <f>IFERROR(__xludf.DUMMYFUNCTION("""COMPUTED_VALUE"""),64.0)</f>
        <v>64</v>
      </c>
      <c r="F5259" s="19" t="str">
        <f>IFERROR(__xludf.DUMMYFUNCTION("""COMPUTED_VALUE"""),"BLACK")</f>
        <v>BLACK</v>
      </c>
      <c r="G5259" s="20" t="str">
        <f>IFERROR(__xludf.DUMMYFUNCTION("""COMPUTED_VALUE"""),"Uncle Sams Cider (11/12/2021) 02")</f>
        <v>Uncle Sams Cider (11/12/2021) 02</v>
      </c>
      <c r="H5259" s="19"/>
    </row>
    <row r="5260">
      <c r="A5260" s="9"/>
      <c r="B5260" s="15"/>
      <c r="C5260" s="9">
        <f>IFERROR(__xludf.DUMMYFUNCTION("""COMPUTED_VALUE"""),44550.3031609953)</f>
        <v>44550.30316</v>
      </c>
      <c r="D5260" s="15">
        <f>IFERROR(__xludf.DUMMYFUNCTION("""COMPUTED_VALUE"""),1.017)</f>
        <v>1.017</v>
      </c>
      <c r="E5260" s="16">
        <f>IFERROR(__xludf.DUMMYFUNCTION("""COMPUTED_VALUE"""),64.0)</f>
        <v>64</v>
      </c>
      <c r="F5260" s="19" t="str">
        <f>IFERROR(__xludf.DUMMYFUNCTION("""COMPUTED_VALUE"""),"BLACK")</f>
        <v>BLACK</v>
      </c>
      <c r="G5260" s="20" t="str">
        <f>IFERROR(__xludf.DUMMYFUNCTION("""COMPUTED_VALUE"""),"Uncle Sams Cider (11/12/2021) 02")</f>
        <v>Uncle Sams Cider (11/12/2021) 02</v>
      </c>
      <c r="H5260" s="19"/>
    </row>
    <row r="5261">
      <c r="A5261" s="9"/>
      <c r="B5261" s="15"/>
      <c r="C5261" s="9">
        <f>IFERROR(__xludf.DUMMYFUNCTION("""COMPUTED_VALUE"""),44550.2927403819)</f>
        <v>44550.29274</v>
      </c>
      <c r="D5261" s="15">
        <f>IFERROR(__xludf.DUMMYFUNCTION("""COMPUTED_VALUE"""),1.017)</f>
        <v>1.017</v>
      </c>
      <c r="E5261" s="16">
        <f>IFERROR(__xludf.DUMMYFUNCTION("""COMPUTED_VALUE"""),64.0)</f>
        <v>64</v>
      </c>
      <c r="F5261" s="19" t="str">
        <f>IFERROR(__xludf.DUMMYFUNCTION("""COMPUTED_VALUE"""),"BLACK")</f>
        <v>BLACK</v>
      </c>
      <c r="G5261" s="20" t="str">
        <f>IFERROR(__xludf.DUMMYFUNCTION("""COMPUTED_VALUE"""),"Uncle Sams Cider (11/12/2021) 02")</f>
        <v>Uncle Sams Cider (11/12/2021) 02</v>
      </c>
      <c r="H5261" s="19"/>
    </row>
    <row r="5262">
      <c r="A5262" s="9"/>
      <c r="B5262" s="15"/>
      <c r="C5262" s="9">
        <f>IFERROR(__xludf.DUMMYFUNCTION("""COMPUTED_VALUE"""),44550.282318287)</f>
        <v>44550.28232</v>
      </c>
      <c r="D5262" s="15">
        <f>IFERROR(__xludf.DUMMYFUNCTION("""COMPUTED_VALUE"""),1.017)</f>
        <v>1.017</v>
      </c>
      <c r="E5262" s="16">
        <f>IFERROR(__xludf.DUMMYFUNCTION("""COMPUTED_VALUE"""),64.0)</f>
        <v>64</v>
      </c>
      <c r="F5262" s="19" t="str">
        <f>IFERROR(__xludf.DUMMYFUNCTION("""COMPUTED_VALUE"""),"BLACK")</f>
        <v>BLACK</v>
      </c>
      <c r="G5262" s="20" t="str">
        <f>IFERROR(__xludf.DUMMYFUNCTION("""COMPUTED_VALUE"""),"Uncle Sams Cider (11/12/2021) 02")</f>
        <v>Uncle Sams Cider (11/12/2021) 02</v>
      </c>
      <c r="H5262" s="19"/>
    </row>
    <row r="5263">
      <c r="A5263" s="9"/>
      <c r="B5263" s="15"/>
      <c r="C5263" s="9">
        <f>IFERROR(__xludf.DUMMYFUNCTION("""COMPUTED_VALUE"""),44550.2718736226)</f>
        <v>44550.27187</v>
      </c>
      <c r="D5263" s="15">
        <f>IFERROR(__xludf.DUMMYFUNCTION("""COMPUTED_VALUE"""),1.018)</f>
        <v>1.018</v>
      </c>
      <c r="E5263" s="16">
        <f>IFERROR(__xludf.DUMMYFUNCTION("""COMPUTED_VALUE"""),64.0)</f>
        <v>64</v>
      </c>
      <c r="F5263" s="19" t="str">
        <f>IFERROR(__xludf.DUMMYFUNCTION("""COMPUTED_VALUE"""),"BLACK")</f>
        <v>BLACK</v>
      </c>
      <c r="G5263" s="20" t="str">
        <f>IFERROR(__xludf.DUMMYFUNCTION("""COMPUTED_VALUE"""),"Uncle Sams Cider (11/12/2021) 02")</f>
        <v>Uncle Sams Cider (11/12/2021) 02</v>
      </c>
      <c r="H5263" s="19"/>
    </row>
    <row r="5264">
      <c r="A5264" s="9"/>
      <c r="B5264" s="15"/>
      <c r="C5264" s="9">
        <f>IFERROR(__xludf.DUMMYFUNCTION("""COMPUTED_VALUE"""),44550.261451875)</f>
        <v>44550.26145</v>
      </c>
      <c r="D5264" s="15">
        <f>IFERROR(__xludf.DUMMYFUNCTION("""COMPUTED_VALUE"""),1.017)</f>
        <v>1.017</v>
      </c>
      <c r="E5264" s="16">
        <f>IFERROR(__xludf.DUMMYFUNCTION("""COMPUTED_VALUE"""),64.0)</f>
        <v>64</v>
      </c>
      <c r="F5264" s="19" t="str">
        <f>IFERROR(__xludf.DUMMYFUNCTION("""COMPUTED_VALUE"""),"BLACK")</f>
        <v>BLACK</v>
      </c>
      <c r="G5264" s="20" t="str">
        <f>IFERROR(__xludf.DUMMYFUNCTION("""COMPUTED_VALUE"""),"Uncle Sams Cider (11/12/2021) 02")</f>
        <v>Uncle Sams Cider (11/12/2021) 02</v>
      </c>
      <c r="H5264" s="19"/>
    </row>
    <row r="5265">
      <c r="A5265" s="9"/>
      <c r="B5265" s="15"/>
      <c r="C5265" s="9">
        <f>IFERROR(__xludf.DUMMYFUNCTION("""COMPUTED_VALUE"""),44550.251030243)</f>
        <v>44550.25103</v>
      </c>
      <c r="D5265" s="15">
        <f>IFERROR(__xludf.DUMMYFUNCTION("""COMPUTED_VALUE"""),1.018)</f>
        <v>1.018</v>
      </c>
      <c r="E5265" s="16">
        <f>IFERROR(__xludf.DUMMYFUNCTION("""COMPUTED_VALUE"""),64.0)</f>
        <v>64</v>
      </c>
      <c r="F5265" s="19" t="str">
        <f>IFERROR(__xludf.DUMMYFUNCTION("""COMPUTED_VALUE"""),"BLACK")</f>
        <v>BLACK</v>
      </c>
      <c r="G5265" s="20" t="str">
        <f>IFERROR(__xludf.DUMMYFUNCTION("""COMPUTED_VALUE"""),"Uncle Sams Cider (11/12/2021) 02")</f>
        <v>Uncle Sams Cider (11/12/2021) 02</v>
      </c>
      <c r="H5265" s="19"/>
    </row>
    <row r="5266">
      <c r="A5266" s="9"/>
      <c r="B5266" s="15"/>
      <c r="C5266" s="9">
        <f>IFERROR(__xludf.DUMMYFUNCTION("""COMPUTED_VALUE"""),44550.2405857175)</f>
        <v>44550.24059</v>
      </c>
      <c r="D5266" s="15">
        <f>IFERROR(__xludf.DUMMYFUNCTION("""COMPUTED_VALUE"""),1.018)</f>
        <v>1.018</v>
      </c>
      <c r="E5266" s="16">
        <f>IFERROR(__xludf.DUMMYFUNCTION("""COMPUTED_VALUE"""),64.0)</f>
        <v>64</v>
      </c>
      <c r="F5266" s="19" t="str">
        <f>IFERROR(__xludf.DUMMYFUNCTION("""COMPUTED_VALUE"""),"BLACK")</f>
        <v>BLACK</v>
      </c>
      <c r="G5266" s="20" t="str">
        <f>IFERROR(__xludf.DUMMYFUNCTION("""COMPUTED_VALUE"""),"Uncle Sams Cider (11/12/2021) 02")</f>
        <v>Uncle Sams Cider (11/12/2021) 02</v>
      </c>
      <c r="H5266" s="19"/>
    </row>
    <row r="5267">
      <c r="A5267" s="9"/>
      <c r="B5267" s="15"/>
      <c r="C5267" s="9">
        <f>IFERROR(__xludf.DUMMYFUNCTION("""COMPUTED_VALUE"""),44550.2301550115)</f>
        <v>44550.23016</v>
      </c>
      <c r="D5267" s="15">
        <f>IFERROR(__xludf.DUMMYFUNCTION("""COMPUTED_VALUE"""),1.017)</f>
        <v>1.017</v>
      </c>
      <c r="E5267" s="16">
        <f>IFERROR(__xludf.DUMMYFUNCTION("""COMPUTED_VALUE"""),64.0)</f>
        <v>64</v>
      </c>
      <c r="F5267" s="19" t="str">
        <f>IFERROR(__xludf.DUMMYFUNCTION("""COMPUTED_VALUE"""),"BLACK")</f>
        <v>BLACK</v>
      </c>
      <c r="G5267" s="20" t="str">
        <f>IFERROR(__xludf.DUMMYFUNCTION("""COMPUTED_VALUE"""),"Uncle Sams Cider (11/12/2021) 02")</f>
        <v>Uncle Sams Cider (11/12/2021) 02</v>
      </c>
      <c r="H5267" s="19"/>
    </row>
    <row r="5268">
      <c r="A5268" s="9"/>
      <c r="B5268" s="15"/>
      <c r="C5268" s="9">
        <f>IFERROR(__xludf.DUMMYFUNCTION("""COMPUTED_VALUE"""),44550.2197223148)</f>
        <v>44550.21972</v>
      </c>
      <c r="D5268" s="15">
        <f>IFERROR(__xludf.DUMMYFUNCTION("""COMPUTED_VALUE"""),1.017)</f>
        <v>1.017</v>
      </c>
      <c r="E5268" s="16">
        <f>IFERROR(__xludf.DUMMYFUNCTION("""COMPUTED_VALUE"""),64.0)</f>
        <v>64</v>
      </c>
      <c r="F5268" s="19" t="str">
        <f>IFERROR(__xludf.DUMMYFUNCTION("""COMPUTED_VALUE"""),"BLACK")</f>
        <v>BLACK</v>
      </c>
      <c r="G5268" s="20" t="str">
        <f>IFERROR(__xludf.DUMMYFUNCTION("""COMPUTED_VALUE"""),"Uncle Sams Cider (11/12/2021) 02")</f>
        <v>Uncle Sams Cider (11/12/2021) 02</v>
      </c>
      <c r="H5268" s="19"/>
    </row>
    <row r="5269">
      <c r="A5269" s="9"/>
      <c r="B5269" s="15"/>
      <c r="C5269" s="9">
        <f>IFERROR(__xludf.DUMMYFUNCTION("""COMPUTED_VALUE"""),44550.2092672106)</f>
        <v>44550.20927</v>
      </c>
      <c r="D5269" s="15">
        <f>IFERROR(__xludf.DUMMYFUNCTION("""COMPUTED_VALUE"""),1.018)</f>
        <v>1.018</v>
      </c>
      <c r="E5269" s="16">
        <f>IFERROR(__xludf.DUMMYFUNCTION("""COMPUTED_VALUE"""),64.0)</f>
        <v>64</v>
      </c>
      <c r="F5269" s="19" t="str">
        <f>IFERROR(__xludf.DUMMYFUNCTION("""COMPUTED_VALUE"""),"BLACK")</f>
        <v>BLACK</v>
      </c>
      <c r="G5269" s="20" t="str">
        <f>IFERROR(__xludf.DUMMYFUNCTION("""COMPUTED_VALUE"""),"Uncle Sams Cider (11/12/2021) 02")</f>
        <v>Uncle Sams Cider (11/12/2021) 02</v>
      </c>
      <c r="H5269" s="19"/>
    </row>
    <row r="5270">
      <c r="A5270" s="9"/>
      <c r="B5270" s="15"/>
      <c r="C5270" s="9">
        <f>IFERROR(__xludf.DUMMYFUNCTION("""COMPUTED_VALUE"""),44550.1988331828)</f>
        <v>44550.19883</v>
      </c>
      <c r="D5270" s="15">
        <f>IFERROR(__xludf.DUMMYFUNCTION("""COMPUTED_VALUE"""),1.017)</f>
        <v>1.017</v>
      </c>
      <c r="E5270" s="16">
        <f>IFERROR(__xludf.DUMMYFUNCTION("""COMPUTED_VALUE"""),64.0)</f>
        <v>64</v>
      </c>
      <c r="F5270" s="19" t="str">
        <f>IFERROR(__xludf.DUMMYFUNCTION("""COMPUTED_VALUE"""),"BLACK")</f>
        <v>BLACK</v>
      </c>
      <c r="G5270" s="20" t="str">
        <f>IFERROR(__xludf.DUMMYFUNCTION("""COMPUTED_VALUE"""),"Uncle Sams Cider (11/12/2021) 02")</f>
        <v>Uncle Sams Cider (11/12/2021) 02</v>
      </c>
      <c r="H5270" s="19"/>
    </row>
    <row r="5271">
      <c r="A5271" s="9"/>
      <c r="B5271" s="15"/>
      <c r="C5271" s="9">
        <f>IFERROR(__xludf.DUMMYFUNCTION("""COMPUTED_VALUE"""),44550.1884117245)</f>
        <v>44550.18841</v>
      </c>
      <c r="D5271" s="15">
        <f>IFERROR(__xludf.DUMMYFUNCTION("""COMPUTED_VALUE"""),1.018)</f>
        <v>1.018</v>
      </c>
      <c r="E5271" s="16">
        <f>IFERROR(__xludf.DUMMYFUNCTION("""COMPUTED_VALUE"""),64.0)</f>
        <v>64</v>
      </c>
      <c r="F5271" s="19" t="str">
        <f>IFERROR(__xludf.DUMMYFUNCTION("""COMPUTED_VALUE"""),"BLACK")</f>
        <v>BLACK</v>
      </c>
      <c r="G5271" s="20" t="str">
        <f>IFERROR(__xludf.DUMMYFUNCTION("""COMPUTED_VALUE"""),"Uncle Sams Cider (11/12/2021) 02")</f>
        <v>Uncle Sams Cider (11/12/2021) 02</v>
      </c>
      <c r="H5271" s="19"/>
    </row>
    <row r="5272">
      <c r="A5272" s="9"/>
      <c r="B5272" s="15"/>
      <c r="C5272" s="9">
        <f>IFERROR(__xludf.DUMMYFUNCTION("""COMPUTED_VALUE"""),44550.1779552314)</f>
        <v>44550.17796</v>
      </c>
      <c r="D5272" s="15">
        <f>IFERROR(__xludf.DUMMYFUNCTION("""COMPUTED_VALUE"""),1.018)</f>
        <v>1.018</v>
      </c>
      <c r="E5272" s="16">
        <f>IFERROR(__xludf.DUMMYFUNCTION("""COMPUTED_VALUE"""),64.0)</f>
        <v>64</v>
      </c>
      <c r="F5272" s="19" t="str">
        <f>IFERROR(__xludf.DUMMYFUNCTION("""COMPUTED_VALUE"""),"BLACK")</f>
        <v>BLACK</v>
      </c>
      <c r="G5272" s="20" t="str">
        <f>IFERROR(__xludf.DUMMYFUNCTION("""COMPUTED_VALUE"""),"Uncle Sams Cider (11/12/2021) 02")</f>
        <v>Uncle Sams Cider (11/12/2021) 02</v>
      </c>
      <c r="H5272" s="19"/>
    </row>
    <row r="5273">
      <c r="A5273" s="9"/>
      <c r="B5273" s="15"/>
      <c r="C5273" s="9">
        <f>IFERROR(__xludf.DUMMYFUNCTION("""COMPUTED_VALUE"""),44550.1675345833)</f>
        <v>44550.16753</v>
      </c>
      <c r="D5273" s="15">
        <f>IFERROR(__xludf.DUMMYFUNCTION("""COMPUTED_VALUE"""),1.017)</f>
        <v>1.017</v>
      </c>
      <c r="E5273" s="16">
        <f>IFERROR(__xludf.DUMMYFUNCTION("""COMPUTED_VALUE"""),64.0)</f>
        <v>64</v>
      </c>
      <c r="F5273" s="19" t="str">
        <f>IFERROR(__xludf.DUMMYFUNCTION("""COMPUTED_VALUE"""),"BLACK")</f>
        <v>BLACK</v>
      </c>
      <c r="G5273" s="20" t="str">
        <f>IFERROR(__xludf.DUMMYFUNCTION("""COMPUTED_VALUE"""),"Uncle Sams Cider (11/12/2021) 02")</f>
        <v>Uncle Sams Cider (11/12/2021) 02</v>
      </c>
      <c r="H5273" s="19"/>
    </row>
    <row r="5274">
      <c r="A5274" s="9"/>
      <c r="B5274" s="15"/>
      <c r="C5274" s="9">
        <f>IFERROR(__xludf.DUMMYFUNCTION("""COMPUTED_VALUE"""),44550.1571128703)</f>
        <v>44550.15711</v>
      </c>
      <c r="D5274" s="15">
        <f>IFERROR(__xludf.DUMMYFUNCTION("""COMPUTED_VALUE"""),1.017)</f>
        <v>1.017</v>
      </c>
      <c r="E5274" s="16">
        <f>IFERROR(__xludf.DUMMYFUNCTION("""COMPUTED_VALUE"""),65.0)</f>
        <v>65</v>
      </c>
      <c r="F5274" s="19" t="str">
        <f>IFERROR(__xludf.DUMMYFUNCTION("""COMPUTED_VALUE"""),"BLACK")</f>
        <v>BLACK</v>
      </c>
      <c r="G5274" s="20" t="str">
        <f>IFERROR(__xludf.DUMMYFUNCTION("""COMPUTED_VALUE"""),"Uncle Sams Cider (11/12/2021) 02")</f>
        <v>Uncle Sams Cider (11/12/2021) 02</v>
      </c>
      <c r="H5274" s="19"/>
    </row>
    <row r="5275">
      <c r="A5275" s="9"/>
      <c r="B5275" s="15"/>
      <c r="C5275" s="9">
        <f>IFERROR(__xludf.DUMMYFUNCTION("""COMPUTED_VALUE"""),44550.1466785185)</f>
        <v>44550.14668</v>
      </c>
      <c r="D5275" s="15">
        <f>IFERROR(__xludf.DUMMYFUNCTION("""COMPUTED_VALUE"""),1.017)</f>
        <v>1.017</v>
      </c>
      <c r="E5275" s="16">
        <f>IFERROR(__xludf.DUMMYFUNCTION("""COMPUTED_VALUE"""),64.0)</f>
        <v>64</v>
      </c>
      <c r="F5275" s="19" t="str">
        <f>IFERROR(__xludf.DUMMYFUNCTION("""COMPUTED_VALUE"""),"BLACK")</f>
        <v>BLACK</v>
      </c>
      <c r="G5275" s="20" t="str">
        <f>IFERROR(__xludf.DUMMYFUNCTION("""COMPUTED_VALUE"""),"Uncle Sams Cider (11/12/2021) 02")</f>
        <v>Uncle Sams Cider (11/12/2021) 02</v>
      </c>
      <c r="H5275" s="19"/>
    </row>
    <row r="5276">
      <c r="A5276" s="9"/>
      <c r="B5276" s="15"/>
      <c r="C5276" s="9">
        <f>IFERROR(__xludf.DUMMYFUNCTION("""COMPUTED_VALUE"""),44550.1362584259)</f>
        <v>44550.13626</v>
      </c>
      <c r="D5276" s="15">
        <f>IFERROR(__xludf.DUMMYFUNCTION("""COMPUTED_VALUE"""),1.017)</f>
        <v>1.017</v>
      </c>
      <c r="E5276" s="16">
        <f>IFERROR(__xludf.DUMMYFUNCTION("""COMPUTED_VALUE"""),64.0)</f>
        <v>64</v>
      </c>
      <c r="F5276" s="19" t="str">
        <f>IFERROR(__xludf.DUMMYFUNCTION("""COMPUTED_VALUE"""),"BLACK")</f>
        <v>BLACK</v>
      </c>
      <c r="G5276" s="20" t="str">
        <f>IFERROR(__xludf.DUMMYFUNCTION("""COMPUTED_VALUE"""),"Uncle Sams Cider (11/12/2021) 02")</f>
        <v>Uncle Sams Cider (11/12/2021) 02</v>
      </c>
      <c r="H5276" s="19"/>
    </row>
    <row r="5277">
      <c r="A5277" s="9"/>
      <c r="B5277" s="15"/>
      <c r="C5277" s="9">
        <f>IFERROR(__xludf.DUMMYFUNCTION("""COMPUTED_VALUE"""),44550.1258135532)</f>
        <v>44550.12581</v>
      </c>
      <c r="D5277" s="15">
        <f>IFERROR(__xludf.DUMMYFUNCTION("""COMPUTED_VALUE"""),1.017)</f>
        <v>1.017</v>
      </c>
      <c r="E5277" s="16">
        <f>IFERROR(__xludf.DUMMYFUNCTION("""COMPUTED_VALUE"""),64.0)</f>
        <v>64</v>
      </c>
      <c r="F5277" s="19" t="str">
        <f>IFERROR(__xludf.DUMMYFUNCTION("""COMPUTED_VALUE"""),"BLACK")</f>
        <v>BLACK</v>
      </c>
      <c r="G5277" s="20" t="str">
        <f>IFERROR(__xludf.DUMMYFUNCTION("""COMPUTED_VALUE"""),"Uncle Sams Cider (11/12/2021) 02")</f>
        <v>Uncle Sams Cider (11/12/2021) 02</v>
      </c>
      <c r="H5277" s="19"/>
    </row>
    <row r="5278">
      <c r="A5278" s="9"/>
      <c r="B5278" s="15"/>
      <c r="C5278" s="9">
        <f>IFERROR(__xludf.DUMMYFUNCTION("""COMPUTED_VALUE"""),44550.1153924768)</f>
        <v>44550.11539</v>
      </c>
      <c r="D5278" s="15">
        <f>IFERROR(__xludf.DUMMYFUNCTION("""COMPUTED_VALUE"""),1.018)</f>
        <v>1.018</v>
      </c>
      <c r="E5278" s="16">
        <f>IFERROR(__xludf.DUMMYFUNCTION("""COMPUTED_VALUE"""),65.0)</f>
        <v>65</v>
      </c>
      <c r="F5278" s="19" t="str">
        <f>IFERROR(__xludf.DUMMYFUNCTION("""COMPUTED_VALUE"""),"BLACK")</f>
        <v>BLACK</v>
      </c>
      <c r="G5278" s="20" t="str">
        <f>IFERROR(__xludf.DUMMYFUNCTION("""COMPUTED_VALUE"""),"Uncle Sams Cider (11/12/2021) 02")</f>
        <v>Uncle Sams Cider (11/12/2021) 02</v>
      </c>
      <c r="H5278" s="19"/>
    </row>
    <row r="5279">
      <c r="A5279" s="9"/>
      <c r="B5279" s="15"/>
      <c r="C5279" s="9">
        <f>IFERROR(__xludf.DUMMYFUNCTION("""COMPUTED_VALUE"""),44550.1049511921)</f>
        <v>44550.10495</v>
      </c>
      <c r="D5279" s="15">
        <f>IFERROR(__xludf.DUMMYFUNCTION("""COMPUTED_VALUE"""),1.017)</f>
        <v>1.017</v>
      </c>
      <c r="E5279" s="16">
        <f>IFERROR(__xludf.DUMMYFUNCTION("""COMPUTED_VALUE"""),65.0)</f>
        <v>65</v>
      </c>
      <c r="F5279" s="19" t="str">
        <f>IFERROR(__xludf.DUMMYFUNCTION("""COMPUTED_VALUE"""),"BLACK")</f>
        <v>BLACK</v>
      </c>
      <c r="G5279" s="20" t="str">
        <f>IFERROR(__xludf.DUMMYFUNCTION("""COMPUTED_VALUE"""),"Uncle Sams Cider (11/12/2021) 02")</f>
        <v>Uncle Sams Cider (11/12/2021) 02</v>
      </c>
      <c r="H5279" s="19"/>
    </row>
    <row r="5280">
      <c r="A5280" s="9"/>
      <c r="B5280" s="15"/>
      <c r="C5280" s="9">
        <f>IFERROR(__xludf.DUMMYFUNCTION("""COMPUTED_VALUE"""),44550.0945310069)</f>
        <v>44550.09453</v>
      </c>
      <c r="D5280" s="15">
        <f>IFERROR(__xludf.DUMMYFUNCTION("""COMPUTED_VALUE"""),1.017)</f>
        <v>1.017</v>
      </c>
      <c r="E5280" s="16">
        <f>IFERROR(__xludf.DUMMYFUNCTION("""COMPUTED_VALUE"""),64.0)</f>
        <v>64</v>
      </c>
      <c r="F5280" s="19" t="str">
        <f>IFERROR(__xludf.DUMMYFUNCTION("""COMPUTED_VALUE"""),"BLACK")</f>
        <v>BLACK</v>
      </c>
      <c r="G5280" s="20" t="str">
        <f>IFERROR(__xludf.DUMMYFUNCTION("""COMPUTED_VALUE"""),"Uncle Sams Cider (11/12/2021) 02")</f>
        <v>Uncle Sams Cider (11/12/2021) 02</v>
      </c>
      <c r="H5280" s="19"/>
    </row>
    <row r="5281">
      <c r="A5281" s="9"/>
      <c r="B5281" s="15"/>
      <c r="C5281" s="9">
        <f>IFERROR(__xludf.DUMMYFUNCTION("""COMPUTED_VALUE"""),44550.0840987615)</f>
        <v>44550.0841</v>
      </c>
      <c r="D5281" s="15">
        <f>IFERROR(__xludf.DUMMYFUNCTION("""COMPUTED_VALUE"""),1.017)</f>
        <v>1.017</v>
      </c>
      <c r="E5281" s="16">
        <f>IFERROR(__xludf.DUMMYFUNCTION("""COMPUTED_VALUE"""),65.0)</f>
        <v>65</v>
      </c>
      <c r="F5281" s="19" t="str">
        <f>IFERROR(__xludf.DUMMYFUNCTION("""COMPUTED_VALUE"""),"BLACK")</f>
        <v>BLACK</v>
      </c>
      <c r="G5281" s="20" t="str">
        <f>IFERROR(__xludf.DUMMYFUNCTION("""COMPUTED_VALUE"""),"Uncle Sams Cider (11/12/2021) 02")</f>
        <v>Uncle Sams Cider (11/12/2021) 02</v>
      </c>
      <c r="H5281" s="19"/>
    </row>
    <row r="5282">
      <c r="A5282" s="9"/>
      <c r="B5282" s="15"/>
      <c r="C5282" s="9">
        <f>IFERROR(__xludf.DUMMYFUNCTION("""COMPUTED_VALUE"""),44550.0736662037)</f>
        <v>44550.07367</v>
      </c>
      <c r="D5282" s="15">
        <f>IFERROR(__xludf.DUMMYFUNCTION("""COMPUTED_VALUE"""),1.017)</f>
        <v>1.017</v>
      </c>
      <c r="E5282" s="16">
        <f>IFERROR(__xludf.DUMMYFUNCTION("""COMPUTED_VALUE"""),65.0)</f>
        <v>65</v>
      </c>
      <c r="F5282" s="19" t="str">
        <f>IFERROR(__xludf.DUMMYFUNCTION("""COMPUTED_VALUE"""),"BLACK")</f>
        <v>BLACK</v>
      </c>
      <c r="G5282" s="20" t="str">
        <f>IFERROR(__xludf.DUMMYFUNCTION("""COMPUTED_VALUE"""),"Uncle Sams Cider (11/12/2021) 02")</f>
        <v>Uncle Sams Cider (11/12/2021) 02</v>
      </c>
      <c r="H5282" s="19"/>
    </row>
    <row r="5283">
      <c r="A5283" s="9"/>
      <c r="B5283" s="15"/>
      <c r="C5283" s="9">
        <f>IFERROR(__xludf.DUMMYFUNCTION("""COMPUTED_VALUE"""),44550.0632310995)</f>
        <v>44550.06323</v>
      </c>
      <c r="D5283" s="15">
        <f>IFERROR(__xludf.DUMMYFUNCTION("""COMPUTED_VALUE"""),1.017)</f>
        <v>1.017</v>
      </c>
      <c r="E5283" s="16">
        <f>IFERROR(__xludf.DUMMYFUNCTION("""COMPUTED_VALUE"""),65.0)</f>
        <v>65</v>
      </c>
      <c r="F5283" s="19" t="str">
        <f>IFERROR(__xludf.DUMMYFUNCTION("""COMPUTED_VALUE"""),"BLACK")</f>
        <v>BLACK</v>
      </c>
      <c r="G5283" s="20" t="str">
        <f>IFERROR(__xludf.DUMMYFUNCTION("""COMPUTED_VALUE"""),"Uncle Sams Cider (11/12/2021) 02")</f>
        <v>Uncle Sams Cider (11/12/2021) 02</v>
      </c>
      <c r="H5283" s="19"/>
    </row>
    <row r="5284">
      <c r="A5284" s="9"/>
      <c r="B5284" s="15"/>
      <c r="C5284" s="9">
        <f>IFERROR(__xludf.DUMMYFUNCTION("""COMPUTED_VALUE"""),44550.0527966898)</f>
        <v>44550.0528</v>
      </c>
      <c r="D5284" s="15">
        <f>IFERROR(__xludf.DUMMYFUNCTION("""COMPUTED_VALUE"""),1.017)</f>
        <v>1.017</v>
      </c>
      <c r="E5284" s="16">
        <f>IFERROR(__xludf.DUMMYFUNCTION("""COMPUTED_VALUE"""),65.0)</f>
        <v>65</v>
      </c>
      <c r="F5284" s="19" t="str">
        <f>IFERROR(__xludf.DUMMYFUNCTION("""COMPUTED_VALUE"""),"BLACK")</f>
        <v>BLACK</v>
      </c>
      <c r="G5284" s="20" t="str">
        <f>IFERROR(__xludf.DUMMYFUNCTION("""COMPUTED_VALUE"""),"Uncle Sams Cider (11/12/2021) 02")</f>
        <v>Uncle Sams Cider (11/12/2021) 02</v>
      </c>
      <c r="H5284" s="19"/>
    </row>
    <row r="5285">
      <c r="A5285" s="9"/>
      <c r="B5285" s="15"/>
      <c r="C5285" s="9">
        <f>IFERROR(__xludf.DUMMYFUNCTION("""COMPUTED_VALUE"""),44550.0423645023)</f>
        <v>44550.04236</v>
      </c>
      <c r="D5285" s="15">
        <f>IFERROR(__xludf.DUMMYFUNCTION("""COMPUTED_VALUE"""),1.017)</f>
        <v>1.017</v>
      </c>
      <c r="E5285" s="16">
        <f>IFERROR(__xludf.DUMMYFUNCTION("""COMPUTED_VALUE"""),65.0)</f>
        <v>65</v>
      </c>
      <c r="F5285" s="19" t="str">
        <f>IFERROR(__xludf.DUMMYFUNCTION("""COMPUTED_VALUE"""),"BLACK")</f>
        <v>BLACK</v>
      </c>
      <c r="G5285" s="20" t="str">
        <f>IFERROR(__xludf.DUMMYFUNCTION("""COMPUTED_VALUE"""),"Uncle Sams Cider (11/12/2021) 02")</f>
        <v>Uncle Sams Cider (11/12/2021) 02</v>
      </c>
      <c r="H5285" s="19"/>
    </row>
    <row r="5286">
      <c r="A5286" s="9"/>
      <c r="B5286" s="15"/>
      <c r="C5286" s="9">
        <f>IFERROR(__xludf.DUMMYFUNCTION("""COMPUTED_VALUE"""),44550.031931493)</f>
        <v>44550.03193</v>
      </c>
      <c r="D5286" s="15">
        <f>IFERROR(__xludf.DUMMYFUNCTION("""COMPUTED_VALUE"""),1.017)</f>
        <v>1.017</v>
      </c>
      <c r="E5286" s="16">
        <f>IFERROR(__xludf.DUMMYFUNCTION("""COMPUTED_VALUE"""),65.0)</f>
        <v>65</v>
      </c>
      <c r="F5286" s="19" t="str">
        <f>IFERROR(__xludf.DUMMYFUNCTION("""COMPUTED_VALUE"""),"BLACK")</f>
        <v>BLACK</v>
      </c>
      <c r="G5286" s="20" t="str">
        <f>IFERROR(__xludf.DUMMYFUNCTION("""COMPUTED_VALUE"""),"Uncle Sams Cider (11/12/2021) 02")</f>
        <v>Uncle Sams Cider (11/12/2021) 02</v>
      </c>
      <c r="H5286" s="19"/>
    </row>
    <row r="5287">
      <c r="A5287" s="9"/>
      <c r="B5287" s="15"/>
      <c r="C5287" s="9">
        <f>IFERROR(__xludf.DUMMYFUNCTION("""COMPUTED_VALUE"""),44550.0215103703)</f>
        <v>44550.02151</v>
      </c>
      <c r="D5287" s="15">
        <f>IFERROR(__xludf.DUMMYFUNCTION("""COMPUTED_VALUE"""),1.017)</f>
        <v>1.017</v>
      </c>
      <c r="E5287" s="16">
        <f>IFERROR(__xludf.DUMMYFUNCTION("""COMPUTED_VALUE"""),65.0)</f>
        <v>65</v>
      </c>
      <c r="F5287" s="19" t="str">
        <f>IFERROR(__xludf.DUMMYFUNCTION("""COMPUTED_VALUE"""),"BLACK")</f>
        <v>BLACK</v>
      </c>
      <c r="G5287" s="20" t="str">
        <f>IFERROR(__xludf.DUMMYFUNCTION("""COMPUTED_VALUE"""),"Uncle Sams Cider (11/12/2021) 02")</f>
        <v>Uncle Sams Cider (11/12/2021) 02</v>
      </c>
      <c r="H5287" s="19"/>
    </row>
    <row r="5288">
      <c r="A5288" s="9"/>
      <c r="B5288" s="15"/>
      <c r="C5288" s="9">
        <f>IFERROR(__xludf.DUMMYFUNCTION("""COMPUTED_VALUE"""),44550.0110546875)</f>
        <v>44550.01105</v>
      </c>
      <c r="D5288" s="15">
        <f>IFERROR(__xludf.DUMMYFUNCTION("""COMPUTED_VALUE"""),1.018)</f>
        <v>1.018</v>
      </c>
      <c r="E5288" s="16">
        <f>IFERROR(__xludf.DUMMYFUNCTION("""COMPUTED_VALUE"""),65.0)</f>
        <v>65</v>
      </c>
      <c r="F5288" s="19" t="str">
        <f>IFERROR(__xludf.DUMMYFUNCTION("""COMPUTED_VALUE"""),"BLACK")</f>
        <v>BLACK</v>
      </c>
      <c r="G5288" s="20" t="str">
        <f>IFERROR(__xludf.DUMMYFUNCTION("""COMPUTED_VALUE"""),"Uncle Sams Cider (11/12/2021) 02")</f>
        <v>Uncle Sams Cider (11/12/2021) 02</v>
      </c>
      <c r="H5288" s="19"/>
    </row>
    <row r="5289">
      <c r="A5289" s="9"/>
      <c r="B5289" s="15"/>
      <c r="C5289" s="9">
        <f>IFERROR(__xludf.DUMMYFUNCTION("""COMPUTED_VALUE"""),44550.0006329745)</f>
        <v>44550.00063</v>
      </c>
      <c r="D5289" s="15">
        <f>IFERROR(__xludf.DUMMYFUNCTION("""COMPUTED_VALUE"""),1.018)</f>
        <v>1.018</v>
      </c>
      <c r="E5289" s="16">
        <f>IFERROR(__xludf.DUMMYFUNCTION("""COMPUTED_VALUE"""),65.0)</f>
        <v>65</v>
      </c>
      <c r="F5289" s="19" t="str">
        <f>IFERROR(__xludf.DUMMYFUNCTION("""COMPUTED_VALUE"""),"BLACK")</f>
        <v>BLACK</v>
      </c>
      <c r="G5289" s="20" t="str">
        <f>IFERROR(__xludf.DUMMYFUNCTION("""COMPUTED_VALUE"""),"Uncle Sams Cider (11/12/2021) 02")</f>
        <v>Uncle Sams Cider (11/12/2021) 02</v>
      </c>
      <c r="H5289" s="19"/>
    </row>
    <row r="5290">
      <c r="A5290" s="9"/>
      <c r="B5290" s="15"/>
      <c r="C5290" s="9">
        <f>IFERROR(__xludf.DUMMYFUNCTION("""COMPUTED_VALUE"""),44549.9902009259)</f>
        <v>44549.9902</v>
      </c>
      <c r="D5290" s="15">
        <f>IFERROR(__xludf.DUMMYFUNCTION("""COMPUTED_VALUE"""),1.018)</f>
        <v>1.018</v>
      </c>
      <c r="E5290" s="16">
        <f>IFERROR(__xludf.DUMMYFUNCTION("""COMPUTED_VALUE"""),65.0)</f>
        <v>65</v>
      </c>
      <c r="F5290" s="19" t="str">
        <f>IFERROR(__xludf.DUMMYFUNCTION("""COMPUTED_VALUE"""),"BLACK")</f>
        <v>BLACK</v>
      </c>
      <c r="G5290" s="20" t="str">
        <f>IFERROR(__xludf.DUMMYFUNCTION("""COMPUTED_VALUE"""),"Uncle Sams Cider (11/12/2021) 02")</f>
        <v>Uncle Sams Cider (11/12/2021) 02</v>
      </c>
      <c r="H5290" s="19"/>
    </row>
    <row r="5291">
      <c r="A5291" s="9"/>
      <c r="B5291" s="15"/>
      <c r="C5291" s="9">
        <f>IFERROR(__xludf.DUMMYFUNCTION("""COMPUTED_VALUE"""),44549.9797678588)</f>
        <v>44549.97977</v>
      </c>
      <c r="D5291" s="15">
        <f>IFERROR(__xludf.DUMMYFUNCTION("""COMPUTED_VALUE"""),1.018)</f>
        <v>1.018</v>
      </c>
      <c r="E5291" s="16">
        <f>IFERROR(__xludf.DUMMYFUNCTION("""COMPUTED_VALUE"""),65.0)</f>
        <v>65</v>
      </c>
      <c r="F5291" s="19" t="str">
        <f>IFERROR(__xludf.DUMMYFUNCTION("""COMPUTED_VALUE"""),"BLACK")</f>
        <v>BLACK</v>
      </c>
      <c r="G5291" s="20" t="str">
        <f>IFERROR(__xludf.DUMMYFUNCTION("""COMPUTED_VALUE"""),"Uncle Sams Cider (11/12/2021) 02")</f>
        <v>Uncle Sams Cider (11/12/2021) 02</v>
      </c>
      <c r="H5291" s="19"/>
    </row>
    <row r="5292">
      <c r="A5292" s="9"/>
      <c r="B5292" s="15"/>
      <c r="C5292" s="9">
        <f>IFERROR(__xludf.DUMMYFUNCTION("""COMPUTED_VALUE"""),44549.9693479976)</f>
        <v>44549.96935</v>
      </c>
      <c r="D5292" s="15">
        <f>IFERROR(__xludf.DUMMYFUNCTION("""COMPUTED_VALUE"""),1.018)</f>
        <v>1.018</v>
      </c>
      <c r="E5292" s="16">
        <f>IFERROR(__xludf.DUMMYFUNCTION("""COMPUTED_VALUE"""),65.0)</f>
        <v>65</v>
      </c>
      <c r="F5292" s="19" t="str">
        <f>IFERROR(__xludf.DUMMYFUNCTION("""COMPUTED_VALUE"""),"BLACK")</f>
        <v>BLACK</v>
      </c>
      <c r="G5292" s="20" t="str">
        <f>IFERROR(__xludf.DUMMYFUNCTION("""COMPUTED_VALUE"""),"Uncle Sams Cider (11/12/2021) 02")</f>
        <v>Uncle Sams Cider (11/12/2021) 02</v>
      </c>
      <c r="H5292" s="19"/>
    </row>
    <row r="5293">
      <c r="A5293" s="9"/>
      <c r="B5293" s="15"/>
      <c r="C5293" s="9">
        <f>IFERROR(__xludf.DUMMYFUNCTION("""COMPUTED_VALUE"""),44549.9589143634)</f>
        <v>44549.95891</v>
      </c>
      <c r="D5293" s="15">
        <f>IFERROR(__xludf.DUMMYFUNCTION("""COMPUTED_VALUE"""),1.018)</f>
        <v>1.018</v>
      </c>
      <c r="E5293" s="16">
        <f>IFERROR(__xludf.DUMMYFUNCTION("""COMPUTED_VALUE"""),65.0)</f>
        <v>65</v>
      </c>
      <c r="F5293" s="19" t="str">
        <f>IFERROR(__xludf.DUMMYFUNCTION("""COMPUTED_VALUE"""),"BLACK")</f>
        <v>BLACK</v>
      </c>
      <c r="G5293" s="20" t="str">
        <f>IFERROR(__xludf.DUMMYFUNCTION("""COMPUTED_VALUE"""),"Uncle Sams Cider (11/12/2021) 02")</f>
        <v>Uncle Sams Cider (11/12/2021) 02</v>
      </c>
      <c r="H5293" s="19"/>
    </row>
    <row r="5294">
      <c r="A5294" s="9"/>
      <c r="B5294" s="15"/>
      <c r="C5294" s="9">
        <f>IFERROR(__xludf.DUMMYFUNCTION("""COMPUTED_VALUE"""),44549.9484677083)</f>
        <v>44549.94847</v>
      </c>
      <c r="D5294" s="15">
        <f>IFERROR(__xludf.DUMMYFUNCTION("""COMPUTED_VALUE"""),1.017)</f>
        <v>1.017</v>
      </c>
      <c r="E5294" s="16">
        <f>IFERROR(__xludf.DUMMYFUNCTION("""COMPUTED_VALUE"""),65.0)</f>
        <v>65</v>
      </c>
      <c r="F5294" s="19" t="str">
        <f>IFERROR(__xludf.DUMMYFUNCTION("""COMPUTED_VALUE"""),"BLACK")</f>
        <v>BLACK</v>
      </c>
      <c r="G5294" s="20" t="str">
        <f>IFERROR(__xludf.DUMMYFUNCTION("""COMPUTED_VALUE"""),"Uncle Sams Cider (11/12/2021) 02")</f>
        <v>Uncle Sams Cider (11/12/2021) 02</v>
      </c>
      <c r="H5294" s="19"/>
    </row>
    <row r="5295">
      <c r="A5295" s="9"/>
      <c r="B5295" s="15"/>
      <c r="C5295" s="9">
        <f>IFERROR(__xludf.DUMMYFUNCTION("""COMPUTED_VALUE"""),44549.9380467939)</f>
        <v>44549.93805</v>
      </c>
      <c r="D5295" s="15">
        <f>IFERROR(__xludf.DUMMYFUNCTION("""COMPUTED_VALUE"""),1.018)</f>
        <v>1.018</v>
      </c>
      <c r="E5295" s="16">
        <f>IFERROR(__xludf.DUMMYFUNCTION("""COMPUTED_VALUE"""),65.0)</f>
        <v>65</v>
      </c>
      <c r="F5295" s="19" t="str">
        <f>IFERROR(__xludf.DUMMYFUNCTION("""COMPUTED_VALUE"""),"BLACK")</f>
        <v>BLACK</v>
      </c>
      <c r="G5295" s="20" t="str">
        <f>IFERROR(__xludf.DUMMYFUNCTION("""COMPUTED_VALUE"""),"Uncle Sams Cider (11/12/2021) 02")</f>
        <v>Uncle Sams Cider (11/12/2021) 02</v>
      </c>
      <c r="H5295" s="19"/>
    </row>
    <row r="5296">
      <c r="A5296" s="9"/>
      <c r="B5296" s="15"/>
      <c r="C5296" s="9">
        <f>IFERROR(__xludf.DUMMYFUNCTION("""COMPUTED_VALUE"""),44549.9276248958)</f>
        <v>44549.92762</v>
      </c>
      <c r="D5296" s="15">
        <f>IFERROR(__xludf.DUMMYFUNCTION("""COMPUTED_VALUE"""),1.018)</f>
        <v>1.018</v>
      </c>
      <c r="E5296" s="16">
        <f>IFERROR(__xludf.DUMMYFUNCTION("""COMPUTED_VALUE"""),65.0)</f>
        <v>65</v>
      </c>
      <c r="F5296" s="19" t="str">
        <f>IFERROR(__xludf.DUMMYFUNCTION("""COMPUTED_VALUE"""),"BLACK")</f>
        <v>BLACK</v>
      </c>
      <c r="G5296" s="20" t="str">
        <f>IFERROR(__xludf.DUMMYFUNCTION("""COMPUTED_VALUE"""),"Uncle Sams Cider (11/12/2021) 02")</f>
        <v>Uncle Sams Cider (11/12/2021) 02</v>
      </c>
      <c r="H5296" s="19"/>
    </row>
    <row r="5297">
      <c r="A5297" s="9"/>
      <c r="B5297" s="15"/>
      <c r="C5297" s="9">
        <f>IFERROR(__xludf.DUMMYFUNCTION("""COMPUTED_VALUE"""),44549.917205405)</f>
        <v>44549.91721</v>
      </c>
      <c r="D5297" s="15">
        <f>IFERROR(__xludf.DUMMYFUNCTION("""COMPUTED_VALUE"""),1.018)</f>
        <v>1.018</v>
      </c>
      <c r="E5297" s="16">
        <f>IFERROR(__xludf.DUMMYFUNCTION("""COMPUTED_VALUE"""),65.0)</f>
        <v>65</v>
      </c>
      <c r="F5297" s="19" t="str">
        <f>IFERROR(__xludf.DUMMYFUNCTION("""COMPUTED_VALUE"""),"BLACK")</f>
        <v>BLACK</v>
      </c>
      <c r="G5297" s="20" t="str">
        <f>IFERROR(__xludf.DUMMYFUNCTION("""COMPUTED_VALUE"""),"Uncle Sams Cider (11/12/2021) 02")</f>
        <v>Uncle Sams Cider (11/12/2021) 02</v>
      </c>
      <c r="H5297" s="19"/>
    </row>
    <row r="5298">
      <c r="A5298" s="9"/>
      <c r="B5298" s="15"/>
      <c r="C5298" s="9">
        <f>IFERROR(__xludf.DUMMYFUNCTION("""COMPUTED_VALUE"""),44549.9067388773)</f>
        <v>44549.90674</v>
      </c>
      <c r="D5298" s="15">
        <f>IFERROR(__xludf.DUMMYFUNCTION("""COMPUTED_VALUE"""),1.018)</f>
        <v>1.018</v>
      </c>
      <c r="E5298" s="16">
        <f>IFERROR(__xludf.DUMMYFUNCTION("""COMPUTED_VALUE"""),65.0)</f>
        <v>65</v>
      </c>
      <c r="F5298" s="19" t="str">
        <f>IFERROR(__xludf.DUMMYFUNCTION("""COMPUTED_VALUE"""),"BLACK")</f>
        <v>BLACK</v>
      </c>
      <c r="G5298" s="20" t="str">
        <f>IFERROR(__xludf.DUMMYFUNCTION("""COMPUTED_VALUE"""),"Uncle Sams Cider (11/12/2021) 02")</f>
        <v>Uncle Sams Cider (11/12/2021) 02</v>
      </c>
      <c r="H5298" s="19"/>
    </row>
    <row r="5299">
      <c r="A5299" s="9"/>
      <c r="B5299" s="15"/>
      <c r="C5299" s="9">
        <f>IFERROR(__xludf.DUMMYFUNCTION("""COMPUTED_VALUE"""),44549.8963161342)</f>
        <v>44549.89632</v>
      </c>
      <c r="D5299" s="15">
        <f>IFERROR(__xludf.DUMMYFUNCTION("""COMPUTED_VALUE"""),1.017)</f>
        <v>1.017</v>
      </c>
      <c r="E5299" s="16">
        <f>IFERROR(__xludf.DUMMYFUNCTION("""COMPUTED_VALUE"""),65.0)</f>
        <v>65</v>
      </c>
      <c r="F5299" s="19" t="str">
        <f>IFERROR(__xludf.DUMMYFUNCTION("""COMPUTED_VALUE"""),"BLACK")</f>
        <v>BLACK</v>
      </c>
      <c r="G5299" s="20" t="str">
        <f>IFERROR(__xludf.DUMMYFUNCTION("""COMPUTED_VALUE"""),"Uncle Sams Cider (11/12/2021) 02")</f>
        <v>Uncle Sams Cider (11/12/2021) 02</v>
      </c>
      <c r="H5299" s="19"/>
    </row>
    <row r="5300">
      <c r="A5300" s="9"/>
      <c r="B5300" s="15"/>
      <c r="C5300" s="9">
        <f>IFERROR(__xludf.DUMMYFUNCTION("""COMPUTED_VALUE"""),44549.885893206)</f>
        <v>44549.88589</v>
      </c>
      <c r="D5300" s="15">
        <f>IFERROR(__xludf.DUMMYFUNCTION("""COMPUTED_VALUE"""),1.017)</f>
        <v>1.017</v>
      </c>
      <c r="E5300" s="16">
        <f>IFERROR(__xludf.DUMMYFUNCTION("""COMPUTED_VALUE"""),65.0)</f>
        <v>65</v>
      </c>
      <c r="F5300" s="19" t="str">
        <f>IFERROR(__xludf.DUMMYFUNCTION("""COMPUTED_VALUE"""),"BLACK")</f>
        <v>BLACK</v>
      </c>
      <c r="G5300" s="20" t="str">
        <f>IFERROR(__xludf.DUMMYFUNCTION("""COMPUTED_VALUE"""),"Uncle Sams Cider (11/12/2021) 02")</f>
        <v>Uncle Sams Cider (11/12/2021) 02</v>
      </c>
      <c r="H5300" s="19"/>
    </row>
    <row r="5301">
      <c r="A5301" s="9"/>
      <c r="B5301" s="15"/>
      <c r="C5301" s="9">
        <f>IFERROR(__xludf.DUMMYFUNCTION("""COMPUTED_VALUE"""),44549.8754721643)</f>
        <v>44549.87547</v>
      </c>
      <c r="D5301" s="15">
        <f>IFERROR(__xludf.DUMMYFUNCTION("""COMPUTED_VALUE"""),1.018)</f>
        <v>1.018</v>
      </c>
      <c r="E5301" s="16">
        <f>IFERROR(__xludf.DUMMYFUNCTION("""COMPUTED_VALUE"""),65.0)</f>
        <v>65</v>
      </c>
      <c r="F5301" s="19" t="str">
        <f>IFERROR(__xludf.DUMMYFUNCTION("""COMPUTED_VALUE"""),"BLACK")</f>
        <v>BLACK</v>
      </c>
      <c r="G5301" s="20" t="str">
        <f>IFERROR(__xludf.DUMMYFUNCTION("""COMPUTED_VALUE"""),"Uncle Sams Cider (11/12/2021) 02")</f>
        <v>Uncle Sams Cider (11/12/2021) 02</v>
      </c>
      <c r="H5301" s="19"/>
    </row>
    <row r="5302">
      <c r="A5302" s="9"/>
      <c r="B5302" s="15"/>
      <c r="C5302" s="9">
        <f>IFERROR(__xludf.DUMMYFUNCTION("""COMPUTED_VALUE"""),44549.8650405555)</f>
        <v>44549.86504</v>
      </c>
      <c r="D5302" s="15">
        <f>IFERROR(__xludf.DUMMYFUNCTION("""COMPUTED_VALUE"""),1.017)</f>
        <v>1.017</v>
      </c>
      <c r="E5302" s="16">
        <f>IFERROR(__xludf.DUMMYFUNCTION("""COMPUTED_VALUE"""),65.0)</f>
        <v>65</v>
      </c>
      <c r="F5302" s="19" t="str">
        <f>IFERROR(__xludf.DUMMYFUNCTION("""COMPUTED_VALUE"""),"BLACK")</f>
        <v>BLACK</v>
      </c>
      <c r="G5302" s="20" t="str">
        <f>IFERROR(__xludf.DUMMYFUNCTION("""COMPUTED_VALUE"""),"Uncle Sams Cider (11/12/2021) 02")</f>
        <v>Uncle Sams Cider (11/12/2021) 02</v>
      </c>
      <c r="H5302" s="19"/>
    </row>
    <row r="5303">
      <c r="A5303" s="9"/>
      <c r="B5303" s="15"/>
      <c r="C5303" s="9">
        <f>IFERROR(__xludf.DUMMYFUNCTION("""COMPUTED_VALUE"""),44549.8545953009)</f>
        <v>44549.8546</v>
      </c>
      <c r="D5303" s="15">
        <f>IFERROR(__xludf.DUMMYFUNCTION("""COMPUTED_VALUE"""),1.018)</f>
        <v>1.018</v>
      </c>
      <c r="E5303" s="16">
        <f>IFERROR(__xludf.DUMMYFUNCTION("""COMPUTED_VALUE"""),65.0)</f>
        <v>65</v>
      </c>
      <c r="F5303" s="19" t="str">
        <f>IFERROR(__xludf.DUMMYFUNCTION("""COMPUTED_VALUE"""),"BLACK")</f>
        <v>BLACK</v>
      </c>
      <c r="G5303" s="20" t="str">
        <f>IFERROR(__xludf.DUMMYFUNCTION("""COMPUTED_VALUE"""),"Uncle Sams Cider (11/12/2021) 02")</f>
        <v>Uncle Sams Cider (11/12/2021) 02</v>
      </c>
      <c r="H5303" s="19"/>
    </row>
    <row r="5304">
      <c r="A5304" s="9"/>
      <c r="B5304" s="15"/>
      <c r="C5304" s="9">
        <f>IFERROR(__xludf.DUMMYFUNCTION("""COMPUTED_VALUE"""),44549.8441750578)</f>
        <v>44549.84418</v>
      </c>
      <c r="D5304" s="15">
        <f>IFERROR(__xludf.DUMMYFUNCTION("""COMPUTED_VALUE"""),1.018)</f>
        <v>1.018</v>
      </c>
      <c r="E5304" s="16">
        <f>IFERROR(__xludf.DUMMYFUNCTION("""COMPUTED_VALUE"""),65.0)</f>
        <v>65</v>
      </c>
      <c r="F5304" s="19" t="str">
        <f>IFERROR(__xludf.DUMMYFUNCTION("""COMPUTED_VALUE"""),"BLACK")</f>
        <v>BLACK</v>
      </c>
      <c r="G5304" s="20" t="str">
        <f>IFERROR(__xludf.DUMMYFUNCTION("""COMPUTED_VALUE"""),"Uncle Sams Cider (11/12/2021) 02")</f>
        <v>Uncle Sams Cider (11/12/2021) 02</v>
      </c>
      <c r="H5304" s="19"/>
    </row>
    <row r="5305">
      <c r="A5305" s="9"/>
      <c r="B5305" s="15"/>
      <c r="C5305" s="9">
        <f>IFERROR(__xludf.DUMMYFUNCTION("""COMPUTED_VALUE"""),44549.833754618)</f>
        <v>44549.83375</v>
      </c>
      <c r="D5305" s="15">
        <f>IFERROR(__xludf.DUMMYFUNCTION("""COMPUTED_VALUE"""),1.018)</f>
        <v>1.018</v>
      </c>
      <c r="E5305" s="16">
        <f>IFERROR(__xludf.DUMMYFUNCTION("""COMPUTED_VALUE"""),65.0)</f>
        <v>65</v>
      </c>
      <c r="F5305" s="19" t="str">
        <f>IFERROR(__xludf.DUMMYFUNCTION("""COMPUTED_VALUE"""),"BLACK")</f>
        <v>BLACK</v>
      </c>
      <c r="G5305" s="20" t="str">
        <f>IFERROR(__xludf.DUMMYFUNCTION("""COMPUTED_VALUE"""),"Uncle Sams Cider (11/12/2021) 02")</f>
        <v>Uncle Sams Cider (11/12/2021) 02</v>
      </c>
      <c r="H5305" s="19"/>
    </row>
    <row r="5306">
      <c r="A5306" s="9"/>
      <c r="B5306" s="15"/>
      <c r="C5306" s="9">
        <f>IFERROR(__xludf.DUMMYFUNCTION("""COMPUTED_VALUE"""),44549.8233234259)</f>
        <v>44549.82332</v>
      </c>
      <c r="D5306" s="15">
        <f>IFERROR(__xludf.DUMMYFUNCTION("""COMPUTED_VALUE"""),1.018)</f>
        <v>1.018</v>
      </c>
      <c r="E5306" s="16">
        <f>IFERROR(__xludf.DUMMYFUNCTION("""COMPUTED_VALUE"""),65.0)</f>
        <v>65</v>
      </c>
      <c r="F5306" s="19" t="str">
        <f>IFERROR(__xludf.DUMMYFUNCTION("""COMPUTED_VALUE"""),"BLACK")</f>
        <v>BLACK</v>
      </c>
      <c r="G5306" s="20" t="str">
        <f>IFERROR(__xludf.DUMMYFUNCTION("""COMPUTED_VALUE"""),"Uncle Sams Cider (11/12/2021) 02")</f>
        <v>Uncle Sams Cider (11/12/2021) 02</v>
      </c>
      <c r="H5306" s="19"/>
    </row>
    <row r="5307">
      <c r="A5307" s="9"/>
      <c r="B5307" s="15"/>
      <c r="C5307" s="9">
        <f>IFERROR(__xludf.DUMMYFUNCTION("""COMPUTED_VALUE"""),44549.8128903588)</f>
        <v>44549.81289</v>
      </c>
      <c r="D5307" s="15">
        <f>IFERROR(__xludf.DUMMYFUNCTION("""COMPUTED_VALUE"""),1.018)</f>
        <v>1.018</v>
      </c>
      <c r="E5307" s="16">
        <f>IFERROR(__xludf.DUMMYFUNCTION("""COMPUTED_VALUE"""),65.0)</f>
        <v>65</v>
      </c>
      <c r="F5307" s="19" t="str">
        <f>IFERROR(__xludf.DUMMYFUNCTION("""COMPUTED_VALUE"""),"BLACK")</f>
        <v>BLACK</v>
      </c>
      <c r="G5307" s="20" t="str">
        <f>IFERROR(__xludf.DUMMYFUNCTION("""COMPUTED_VALUE"""),"Uncle Sams Cider (11/12/2021) 02")</f>
        <v>Uncle Sams Cider (11/12/2021) 02</v>
      </c>
      <c r="H5307" s="19"/>
    </row>
    <row r="5308">
      <c r="A5308" s="9"/>
      <c r="B5308" s="15"/>
      <c r="C5308" s="9">
        <f>IFERROR(__xludf.DUMMYFUNCTION("""COMPUTED_VALUE"""),44549.8024678472)</f>
        <v>44549.80247</v>
      </c>
      <c r="D5308" s="15">
        <f>IFERROR(__xludf.DUMMYFUNCTION("""COMPUTED_VALUE"""),1.018)</f>
        <v>1.018</v>
      </c>
      <c r="E5308" s="16">
        <f>IFERROR(__xludf.DUMMYFUNCTION("""COMPUTED_VALUE"""),65.0)</f>
        <v>65</v>
      </c>
      <c r="F5308" s="19" t="str">
        <f>IFERROR(__xludf.DUMMYFUNCTION("""COMPUTED_VALUE"""),"BLACK")</f>
        <v>BLACK</v>
      </c>
      <c r="G5308" s="20" t="str">
        <f>IFERROR(__xludf.DUMMYFUNCTION("""COMPUTED_VALUE"""),"Uncle Sams Cider (11/12/2021) 02")</f>
        <v>Uncle Sams Cider (11/12/2021) 02</v>
      </c>
      <c r="H5308" s="19"/>
    </row>
    <row r="5309">
      <c r="A5309" s="9"/>
      <c r="B5309" s="15"/>
      <c r="C5309" s="9">
        <f>IFERROR(__xludf.DUMMYFUNCTION("""COMPUTED_VALUE"""),44549.7920368865)</f>
        <v>44549.79204</v>
      </c>
      <c r="D5309" s="15">
        <f>IFERROR(__xludf.DUMMYFUNCTION("""COMPUTED_VALUE"""),1.018)</f>
        <v>1.018</v>
      </c>
      <c r="E5309" s="16">
        <f>IFERROR(__xludf.DUMMYFUNCTION("""COMPUTED_VALUE"""),65.0)</f>
        <v>65</v>
      </c>
      <c r="F5309" s="19" t="str">
        <f>IFERROR(__xludf.DUMMYFUNCTION("""COMPUTED_VALUE"""),"BLACK")</f>
        <v>BLACK</v>
      </c>
      <c r="G5309" s="20" t="str">
        <f>IFERROR(__xludf.DUMMYFUNCTION("""COMPUTED_VALUE"""),"Uncle Sams Cider (11/12/2021) 02")</f>
        <v>Uncle Sams Cider (11/12/2021) 02</v>
      </c>
      <c r="H5309" s="19"/>
    </row>
    <row r="5310">
      <c r="A5310" s="9"/>
      <c r="B5310" s="15"/>
      <c r="C5310" s="9">
        <f>IFERROR(__xludf.DUMMYFUNCTION("""COMPUTED_VALUE"""),44549.7816159722)</f>
        <v>44549.78162</v>
      </c>
      <c r="D5310" s="15">
        <f>IFERROR(__xludf.DUMMYFUNCTION("""COMPUTED_VALUE"""),1.018)</f>
        <v>1.018</v>
      </c>
      <c r="E5310" s="16">
        <f>IFERROR(__xludf.DUMMYFUNCTION("""COMPUTED_VALUE"""),65.0)</f>
        <v>65</v>
      </c>
      <c r="F5310" s="19" t="str">
        <f>IFERROR(__xludf.DUMMYFUNCTION("""COMPUTED_VALUE"""),"BLACK")</f>
        <v>BLACK</v>
      </c>
      <c r="G5310" s="20" t="str">
        <f>IFERROR(__xludf.DUMMYFUNCTION("""COMPUTED_VALUE"""),"Uncle Sams Cider (11/12/2021) 02")</f>
        <v>Uncle Sams Cider (11/12/2021) 02</v>
      </c>
      <c r="H5310" s="19"/>
    </row>
    <row r="5311">
      <c r="A5311" s="9"/>
      <c r="B5311" s="15"/>
      <c r="C5311" s="9">
        <f>IFERROR(__xludf.DUMMYFUNCTION("""COMPUTED_VALUE"""),44549.771182199)</f>
        <v>44549.77118</v>
      </c>
      <c r="D5311" s="15">
        <f>IFERROR(__xludf.DUMMYFUNCTION("""COMPUTED_VALUE"""),1.018)</f>
        <v>1.018</v>
      </c>
      <c r="E5311" s="16">
        <f>IFERROR(__xludf.DUMMYFUNCTION("""COMPUTED_VALUE"""),65.0)</f>
        <v>65</v>
      </c>
      <c r="F5311" s="19" t="str">
        <f>IFERROR(__xludf.DUMMYFUNCTION("""COMPUTED_VALUE"""),"BLACK")</f>
        <v>BLACK</v>
      </c>
      <c r="G5311" s="20" t="str">
        <f>IFERROR(__xludf.DUMMYFUNCTION("""COMPUTED_VALUE"""),"Uncle Sams Cider (11/12/2021) 02")</f>
        <v>Uncle Sams Cider (11/12/2021) 02</v>
      </c>
      <c r="H5311" s="19"/>
    </row>
    <row r="5312">
      <c r="A5312" s="9"/>
      <c r="B5312" s="15"/>
      <c r="C5312" s="9">
        <f>IFERROR(__xludf.DUMMYFUNCTION("""COMPUTED_VALUE"""),44549.7607494907)</f>
        <v>44549.76075</v>
      </c>
      <c r="D5312" s="15">
        <f>IFERROR(__xludf.DUMMYFUNCTION("""COMPUTED_VALUE"""),1.018)</f>
        <v>1.018</v>
      </c>
      <c r="E5312" s="16">
        <f>IFERROR(__xludf.DUMMYFUNCTION("""COMPUTED_VALUE"""),65.0)</f>
        <v>65</v>
      </c>
      <c r="F5312" s="19" t="str">
        <f>IFERROR(__xludf.DUMMYFUNCTION("""COMPUTED_VALUE"""),"BLACK")</f>
        <v>BLACK</v>
      </c>
      <c r="G5312" s="20" t="str">
        <f>IFERROR(__xludf.DUMMYFUNCTION("""COMPUTED_VALUE"""),"Uncle Sams Cider (11/12/2021) 02")</f>
        <v>Uncle Sams Cider (11/12/2021) 02</v>
      </c>
      <c r="H5312" s="19"/>
    </row>
    <row r="5313">
      <c r="A5313" s="9"/>
      <c r="B5313" s="15"/>
      <c r="C5313" s="9">
        <f>IFERROR(__xludf.DUMMYFUNCTION("""COMPUTED_VALUE"""),44549.7503050462)</f>
        <v>44549.75031</v>
      </c>
      <c r="D5313" s="15">
        <f>IFERROR(__xludf.DUMMYFUNCTION("""COMPUTED_VALUE"""),1.018)</f>
        <v>1.018</v>
      </c>
      <c r="E5313" s="16">
        <f>IFERROR(__xludf.DUMMYFUNCTION("""COMPUTED_VALUE"""),65.0)</f>
        <v>65</v>
      </c>
      <c r="F5313" s="19" t="str">
        <f>IFERROR(__xludf.DUMMYFUNCTION("""COMPUTED_VALUE"""),"BLACK")</f>
        <v>BLACK</v>
      </c>
      <c r="G5313" s="20" t="str">
        <f>IFERROR(__xludf.DUMMYFUNCTION("""COMPUTED_VALUE"""),"Uncle Sams Cider (11/12/2021) 02")</f>
        <v>Uncle Sams Cider (11/12/2021) 02</v>
      </c>
      <c r="H5313" s="19"/>
    </row>
    <row r="5314">
      <c r="A5314" s="9"/>
      <c r="B5314" s="15"/>
      <c r="C5314" s="9">
        <f>IFERROR(__xludf.DUMMYFUNCTION("""COMPUTED_VALUE"""),44549.7398843981)</f>
        <v>44549.73988</v>
      </c>
      <c r="D5314" s="15">
        <f>IFERROR(__xludf.DUMMYFUNCTION("""COMPUTED_VALUE"""),1.018)</f>
        <v>1.018</v>
      </c>
      <c r="E5314" s="16">
        <f>IFERROR(__xludf.DUMMYFUNCTION("""COMPUTED_VALUE"""),65.0)</f>
        <v>65</v>
      </c>
      <c r="F5314" s="19" t="str">
        <f>IFERROR(__xludf.DUMMYFUNCTION("""COMPUTED_VALUE"""),"BLACK")</f>
        <v>BLACK</v>
      </c>
      <c r="G5314" s="20" t="str">
        <f>IFERROR(__xludf.DUMMYFUNCTION("""COMPUTED_VALUE"""),"Uncle Sams Cider (11/12/2021) 02")</f>
        <v>Uncle Sams Cider (11/12/2021) 02</v>
      </c>
      <c r="H5314" s="19"/>
    </row>
    <row r="5315">
      <c r="A5315" s="9"/>
      <c r="B5315" s="15"/>
      <c r="C5315" s="9">
        <f>IFERROR(__xludf.DUMMYFUNCTION("""COMPUTED_VALUE"""),44549.7294519444)</f>
        <v>44549.72945</v>
      </c>
      <c r="D5315" s="15">
        <f>IFERROR(__xludf.DUMMYFUNCTION("""COMPUTED_VALUE"""),1.018)</f>
        <v>1.018</v>
      </c>
      <c r="E5315" s="16">
        <f>IFERROR(__xludf.DUMMYFUNCTION("""COMPUTED_VALUE"""),65.0)</f>
        <v>65</v>
      </c>
      <c r="F5315" s="19" t="str">
        <f>IFERROR(__xludf.DUMMYFUNCTION("""COMPUTED_VALUE"""),"BLACK")</f>
        <v>BLACK</v>
      </c>
      <c r="G5315" s="20" t="str">
        <f>IFERROR(__xludf.DUMMYFUNCTION("""COMPUTED_VALUE"""),"Uncle Sams Cider (11/12/2021) 02")</f>
        <v>Uncle Sams Cider (11/12/2021) 02</v>
      </c>
      <c r="H5315" s="19"/>
    </row>
    <row r="5316">
      <c r="A5316" s="9"/>
      <c r="B5316" s="15"/>
      <c r="C5316" s="9">
        <f>IFERROR(__xludf.DUMMYFUNCTION("""COMPUTED_VALUE"""),44549.71903)</f>
        <v>44549.71903</v>
      </c>
      <c r="D5316" s="15">
        <f>IFERROR(__xludf.DUMMYFUNCTION("""COMPUTED_VALUE"""),1.018)</f>
        <v>1.018</v>
      </c>
      <c r="E5316" s="16">
        <f>IFERROR(__xludf.DUMMYFUNCTION("""COMPUTED_VALUE"""),65.0)</f>
        <v>65</v>
      </c>
      <c r="F5316" s="19" t="str">
        <f>IFERROR(__xludf.DUMMYFUNCTION("""COMPUTED_VALUE"""),"BLACK")</f>
        <v>BLACK</v>
      </c>
      <c r="G5316" s="20" t="str">
        <f>IFERROR(__xludf.DUMMYFUNCTION("""COMPUTED_VALUE"""),"Uncle Sams Cider (11/12/2021) 02")</f>
        <v>Uncle Sams Cider (11/12/2021) 02</v>
      </c>
      <c r="H5316" s="19"/>
    </row>
    <row r="5317">
      <c r="A5317" s="9"/>
      <c r="B5317" s="15"/>
      <c r="C5317" s="9">
        <f>IFERROR(__xludf.DUMMYFUNCTION("""COMPUTED_VALUE"""),44549.708609375)</f>
        <v>44549.70861</v>
      </c>
      <c r="D5317" s="15">
        <f>IFERROR(__xludf.DUMMYFUNCTION("""COMPUTED_VALUE"""),1.018)</f>
        <v>1.018</v>
      </c>
      <c r="E5317" s="16">
        <f>IFERROR(__xludf.DUMMYFUNCTION("""COMPUTED_VALUE"""),65.0)</f>
        <v>65</v>
      </c>
      <c r="F5317" s="19" t="str">
        <f>IFERROR(__xludf.DUMMYFUNCTION("""COMPUTED_VALUE"""),"BLACK")</f>
        <v>BLACK</v>
      </c>
      <c r="G5317" s="20" t="str">
        <f>IFERROR(__xludf.DUMMYFUNCTION("""COMPUTED_VALUE"""),"Uncle Sams Cider (11/12/2021) 02")</f>
        <v>Uncle Sams Cider (11/12/2021) 02</v>
      </c>
      <c r="H5317" s="19"/>
    </row>
    <row r="5318">
      <c r="A5318" s="9"/>
      <c r="B5318" s="15"/>
      <c r="C5318" s="9">
        <f>IFERROR(__xludf.DUMMYFUNCTION("""COMPUTED_VALUE"""),44549.6981872916)</f>
        <v>44549.69819</v>
      </c>
      <c r="D5318" s="15">
        <f>IFERROR(__xludf.DUMMYFUNCTION("""COMPUTED_VALUE"""),1.018)</f>
        <v>1.018</v>
      </c>
      <c r="E5318" s="16">
        <f>IFERROR(__xludf.DUMMYFUNCTION("""COMPUTED_VALUE"""),65.0)</f>
        <v>65</v>
      </c>
      <c r="F5318" s="19" t="str">
        <f>IFERROR(__xludf.DUMMYFUNCTION("""COMPUTED_VALUE"""),"BLACK")</f>
        <v>BLACK</v>
      </c>
      <c r="G5318" s="20" t="str">
        <f>IFERROR(__xludf.DUMMYFUNCTION("""COMPUTED_VALUE"""),"Uncle Sams Cider (11/12/2021) 02")</f>
        <v>Uncle Sams Cider (11/12/2021) 02</v>
      </c>
      <c r="H5318" s="19"/>
    </row>
    <row r="5319">
      <c r="A5319" s="9"/>
      <c r="B5319" s="15"/>
      <c r="C5319" s="9">
        <f>IFERROR(__xludf.DUMMYFUNCTION("""COMPUTED_VALUE"""),44549.6877653819)</f>
        <v>44549.68777</v>
      </c>
      <c r="D5319" s="15">
        <f>IFERROR(__xludf.DUMMYFUNCTION("""COMPUTED_VALUE"""),1.018)</f>
        <v>1.018</v>
      </c>
      <c r="E5319" s="16">
        <f>IFERROR(__xludf.DUMMYFUNCTION("""COMPUTED_VALUE"""),65.0)</f>
        <v>65</v>
      </c>
      <c r="F5319" s="19" t="str">
        <f>IFERROR(__xludf.DUMMYFUNCTION("""COMPUTED_VALUE"""),"BLACK")</f>
        <v>BLACK</v>
      </c>
      <c r="G5319" s="20" t="str">
        <f>IFERROR(__xludf.DUMMYFUNCTION("""COMPUTED_VALUE"""),"Uncle Sams Cider (11/12/2021) 02")</f>
        <v>Uncle Sams Cider (11/12/2021) 02</v>
      </c>
      <c r="H5319" s="19"/>
    </row>
    <row r="5320">
      <c r="A5320" s="9"/>
      <c r="B5320" s="15"/>
      <c r="C5320" s="9">
        <f>IFERROR(__xludf.DUMMYFUNCTION("""COMPUTED_VALUE"""),44549.677344699)</f>
        <v>44549.67734</v>
      </c>
      <c r="D5320" s="15">
        <f>IFERROR(__xludf.DUMMYFUNCTION("""COMPUTED_VALUE"""),1.018)</f>
        <v>1.018</v>
      </c>
      <c r="E5320" s="16">
        <f>IFERROR(__xludf.DUMMYFUNCTION("""COMPUTED_VALUE"""),65.0)</f>
        <v>65</v>
      </c>
      <c r="F5320" s="19" t="str">
        <f>IFERROR(__xludf.DUMMYFUNCTION("""COMPUTED_VALUE"""),"BLACK")</f>
        <v>BLACK</v>
      </c>
      <c r="G5320" s="20" t="str">
        <f>IFERROR(__xludf.DUMMYFUNCTION("""COMPUTED_VALUE"""),"Uncle Sams Cider (11/12/2021) 02")</f>
        <v>Uncle Sams Cider (11/12/2021) 02</v>
      </c>
      <c r="H5320" s="19"/>
    </row>
    <row r="5321">
      <c r="A5321" s="9"/>
      <c r="B5321" s="15"/>
      <c r="C5321" s="9">
        <f>IFERROR(__xludf.DUMMYFUNCTION("""COMPUTED_VALUE"""),44549.666910625)</f>
        <v>44549.66691</v>
      </c>
      <c r="D5321" s="15">
        <f>IFERROR(__xludf.DUMMYFUNCTION("""COMPUTED_VALUE"""),1.018)</f>
        <v>1.018</v>
      </c>
      <c r="E5321" s="16">
        <f>IFERROR(__xludf.DUMMYFUNCTION("""COMPUTED_VALUE"""),65.0)</f>
        <v>65</v>
      </c>
      <c r="F5321" s="19" t="str">
        <f>IFERROR(__xludf.DUMMYFUNCTION("""COMPUTED_VALUE"""),"BLACK")</f>
        <v>BLACK</v>
      </c>
      <c r="G5321" s="20" t="str">
        <f>IFERROR(__xludf.DUMMYFUNCTION("""COMPUTED_VALUE"""),"Uncle Sams Cider (11/12/2021) 02")</f>
        <v>Uncle Sams Cider (11/12/2021) 02</v>
      </c>
      <c r="H5321" s="19"/>
    </row>
    <row r="5322">
      <c r="A5322" s="9"/>
      <c r="B5322" s="15"/>
      <c r="C5322" s="9">
        <f>IFERROR(__xludf.DUMMYFUNCTION("""COMPUTED_VALUE"""),44549.6564888425)</f>
        <v>44549.65649</v>
      </c>
      <c r="D5322" s="15">
        <f>IFERROR(__xludf.DUMMYFUNCTION("""COMPUTED_VALUE"""),1.018)</f>
        <v>1.018</v>
      </c>
      <c r="E5322" s="16">
        <f>IFERROR(__xludf.DUMMYFUNCTION("""COMPUTED_VALUE"""),65.0)</f>
        <v>65</v>
      </c>
      <c r="F5322" s="19" t="str">
        <f>IFERROR(__xludf.DUMMYFUNCTION("""COMPUTED_VALUE"""),"BLACK")</f>
        <v>BLACK</v>
      </c>
      <c r="G5322" s="20" t="str">
        <f>IFERROR(__xludf.DUMMYFUNCTION("""COMPUTED_VALUE"""),"Uncle Sams Cider (11/12/2021) 02")</f>
        <v>Uncle Sams Cider (11/12/2021) 02</v>
      </c>
      <c r="H5322" s="19"/>
    </row>
    <row r="5323">
      <c r="A5323" s="9"/>
      <c r="B5323" s="15"/>
      <c r="C5323" s="9">
        <f>IFERROR(__xludf.DUMMYFUNCTION("""COMPUTED_VALUE"""),44549.6460679282)</f>
        <v>44549.64607</v>
      </c>
      <c r="D5323" s="15">
        <f>IFERROR(__xludf.DUMMYFUNCTION("""COMPUTED_VALUE"""),1.018)</f>
        <v>1.018</v>
      </c>
      <c r="E5323" s="16">
        <f>IFERROR(__xludf.DUMMYFUNCTION("""COMPUTED_VALUE"""),65.0)</f>
        <v>65</v>
      </c>
      <c r="F5323" s="19" t="str">
        <f>IFERROR(__xludf.DUMMYFUNCTION("""COMPUTED_VALUE"""),"BLACK")</f>
        <v>BLACK</v>
      </c>
      <c r="G5323" s="20" t="str">
        <f>IFERROR(__xludf.DUMMYFUNCTION("""COMPUTED_VALUE"""),"Uncle Sams Cider (11/12/2021) 02")</f>
        <v>Uncle Sams Cider (11/12/2021) 02</v>
      </c>
      <c r="H5323" s="19"/>
    </row>
    <row r="5324">
      <c r="A5324" s="9"/>
      <c r="B5324" s="15"/>
      <c r="C5324" s="9">
        <f>IFERROR(__xludf.DUMMYFUNCTION("""COMPUTED_VALUE"""),44549.6356465856)</f>
        <v>44549.63565</v>
      </c>
      <c r="D5324" s="15">
        <f>IFERROR(__xludf.DUMMYFUNCTION("""COMPUTED_VALUE"""),1.018)</f>
        <v>1.018</v>
      </c>
      <c r="E5324" s="16">
        <f>IFERROR(__xludf.DUMMYFUNCTION("""COMPUTED_VALUE"""),65.0)</f>
        <v>65</v>
      </c>
      <c r="F5324" s="19" t="str">
        <f>IFERROR(__xludf.DUMMYFUNCTION("""COMPUTED_VALUE"""),"BLACK")</f>
        <v>BLACK</v>
      </c>
      <c r="G5324" s="20" t="str">
        <f>IFERROR(__xludf.DUMMYFUNCTION("""COMPUTED_VALUE"""),"Uncle Sams Cider (11/12/2021) 02")</f>
        <v>Uncle Sams Cider (11/12/2021) 02</v>
      </c>
      <c r="H5324" s="19"/>
    </row>
    <row r="5325">
      <c r="A5325" s="9"/>
      <c r="B5325" s="15"/>
      <c r="C5325" s="9">
        <f>IFERROR(__xludf.DUMMYFUNCTION("""COMPUTED_VALUE"""),44549.6252249305)</f>
        <v>44549.62522</v>
      </c>
      <c r="D5325" s="15">
        <f>IFERROR(__xludf.DUMMYFUNCTION("""COMPUTED_VALUE"""),1.017)</f>
        <v>1.017</v>
      </c>
      <c r="E5325" s="16">
        <f>IFERROR(__xludf.DUMMYFUNCTION("""COMPUTED_VALUE"""),65.0)</f>
        <v>65</v>
      </c>
      <c r="F5325" s="19" t="str">
        <f>IFERROR(__xludf.DUMMYFUNCTION("""COMPUTED_VALUE"""),"BLACK")</f>
        <v>BLACK</v>
      </c>
      <c r="G5325" s="20" t="str">
        <f>IFERROR(__xludf.DUMMYFUNCTION("""COMPUTED_VALUE"""),"Uncle Sams Cider (11/12/2021) 02")</f>
        <v>Uncle Sams Cider (11/12/2021) 02</v>
      </c>
      <c r="H5325" s="19"/>
    </row>
    <row r="5326">
      <c r="A5326" s="9"/>
      <c r="B5326" s="15"/>
      <c r="C5326" s="9">
        <f>IFERROR(__xludf.DUMMYFUNCTION("""COMPUTED_VALUE"""),44549.6148040393)</f>
        <v>44549.6148</v>
      </c>
      <c r="D5326" s="15">
        <f>IFERROR(__xludf.DUMMYFUNCTION("""COMPUTED_VALUE"""),1.018)</f>
        <v>1.018</v>
      </c>
      <c r="E5326" s="16">
        <f>IFERROR(__xludf.DUMMYFUNCTION("""COMPUTED_VALUE"""),65.0)</f>
        <v>65</v>
      </c>
      <c r="F5326" s="19" t="str">
        <f>IFERROR(__xludf.DUMMYFUNCTION("""COMPUTED_VALUE"""),"BLACK")</f>
        <v>BLACK</v>
      </c>
      <c r="G5326" s="20" t="str">
        <f>IFERROR(__xludf.DUMMYFUNCTION("""COMPUTED_VALUE"""),"Uncle Sams Cider (11/12/2021) 02")</f>
        <v>Uncle Sams Cider (11/12/2021) 02</v>
      </c>
      <c r="H5326" s="19"/>
    </row>
    <row r="5327">
      <c r="A5327" s="9"/>
      <c r="B5327" s="15"/>
      <c r="C5327" s="9">
        <f>IFERROR(__xludf.DUMMYFUNCTION("""COMPUTED_VALUE"""),44549.6043726736)</f>
        <v>44549.60437</v>
      </c>
      <c r="D5327" s="15">
        <f>IFERROR(__xludf.DUMMYFUNCTION("""COMPUTED_VALUE"""),1.018)</f>
        <v>1.018</v>
      </c>
      <c r="E5327" s="16">
        <f>IFERROR(__xludf.DUMMYFUNCTION("""COMPUTED_VALUE"""),65.0)</f>
        <v>65</v>
      </c>
      <c r="F5327" s="19" t="str">
        <f>IFERROR(__xludf.DUMMYFUNCTION("""COMPUTED_VALUE"""),"BLACK")</f>
        <v>BLACK</v>
      </c>
      <c r="G5327" s="20" t="str">
        <f>IFERROR(__xludf.DUMMYFUNCTION("""COMPUTED_VALUE"""),"Uncle Sams Cider (11/12/2021) 02")</f>
        <v>Uncle Sams Cider (11/12/2021) 02</v>
      </c>
      <c r="H5327" s="19"/>
    </row>
    <row r="5328">
      <c r="A5328" s="9"/>
      <c r="B5328" s="15"/>
      <c r="C5328" s="9">
        <f>IFERROR(__xludf.DUMMYFUNCTION("""COMPUTED_VALUE"""),44549.5939529861)</f>
        <v>44549.59395</v>
      </c>
      <c r="D5328" s="15">
        <f>IFERROR(__xludf.DUMMYFUNCTION("""COMPUTED_VALUE"""),1.018)</f>
        <v>1.018</v>
      </c>
      <c r="E5328" s="16">
        <f>IFERROR(__xludf.DUMMYFUNCTION("""COMPUTED_VALUE"""),65.0)</f>
        <v>65</v>
      </c>
      <c r="F5328" s="19" t="str">
        <f>IFERROR(__xludf.DUMMYFUNCTION("""COMPUTED_VALUE"""),"BLACK")</f>
        <v>BLACK</v>
      </c>
      <c r="G5328" s="20" t="str">
        <f>IFERROR(__xludf.DUMMYFUNCTION("""COMPUTED_VALUE"""),"Uncle Sams Cider (11/12/2021) 02")</f>
        <v>Uncle Sams Cider (11/12/2021) 02</v>
      </c>
      <c r="H5328" s="19"/>
    </row>
    <row r="5329">
      <c r="A5329" s="9"/>
      <c r="B5329" s="15"/>
      <c r="C5329" s="9">
        <f>IFERROR(__xludf.DUMMYFUNCTION("""COMPUTED_VALUE"""),44549.5835196527)</f>
        <v>44549.58352</v>
      </c>
      <c r="D5329" s="15">
        <f>IFERROR(__xludf.DUMMYFUNCTION("""COMPUTED_VALUE"""),1.018)</f>
        <v>1.018</v>
      </c>
      <c r="E5329" s="16">
        <f>IFERROR(__xludf.DUMMYFUNCTION("""COMPUTED_VALUE"""),65.0)</f>
        <v>65</v>
      </c>
      <c r="F5329" s="19" t="str">
        <f>IFERROR(__xludf.DUMMYFUNCTION("""COMPUTED_VALUE"""),"BLACK")</f>
        <v>BLACK</v>
      </c>
      <c r="G5329" s="20" t="str">
        <f>IFERROR(__xludf.DUMMYFUNCTION("""COMPUTED_VALUE"""),"Uncle Sams Cider (11/12/2021) 02")</f>
        <v>Uncle Sams Cider (11/12/2021) 02</v>
      </c>
      <c r="H5329" s="19"/>
    </row>
    <row r="5330">
      <c r="A5330" s="9"/>
      <c r="B5330" s="15"/>
      <c r="C5330" s="9">
        <f>IFERROR(__xludf.DUMMYFUNCTION("""COMPUTED_VALUE"""),44549.5730858101)</f>
        <v>44549.57309</v>
      </c>
      <c r="D5330" s="15">
        <f>IFERROR(__xludf.DUMMYFUNCTION("""COMPUTED_VALUE"""),1.018)</f>
        <v>1.018</v>
      </c>
      <c r="E5330" s="16">
        <f>IFERROR(__xludf.DUMMYFUNCTION("""COMPUTED_VALUE"""),65.0)</f>
        <v>65</v>
      </c>
      <c r="F5330" s="19" t="str">
        <f>IFERROR(__xludf.DUMMYFUNCTION("""COMPUTED_VALUE"""),"BLACK")</f>
        <v>BLACK</v>
      </c>
      <c r="G5330" s="20" t="str">
        <f>IFERROR(__xludf.DUMMYFUNCTION("""COMPUTED_VALUE"""),"Uncle Sams Cider (11/12/2021) 02")</f>
        <v>Uncle Sams Cider (11/12/2021) 02</v>
      </c>
      <c r="H5330" s="19"/>
    </row>
    <row r="5331">
      <c r="A5331" s="9"/>
      <c r="B5331" s="15"/>
      <c r="C5331" s="9">
        <f>IFERROR(__xludf.DUMMYFUNCTION("""COMPUTED_VALUE"""),44549.5626513078)</f>
        <v>44549.56265</v>
      </c>
      <c r="D5331" s="15">
        <f>IFERROR(__xludf.DUMMYFUNCTION("""COMPUTED_VALUE"""),1.018)</f>
        <v>1.018</v>
      </c>
      <c r="E5331" s="16">
        <f>IFERROR(__xludf.DUMMYFUNCTION("""COMPUTED_VALUE"""),65.0)</f>
        <v>65</v>
      </c>
      <c r="F5331" s="19" t="str">
        <f>IFERROR(__xludf.DUMMYFUNCTION("""COMPUTED_VALUE"""),"BLACK")</f>
        <v>BLACK</v>
      </c>
      <c r="G5331" s="20" t="str">
        <f>IFERROR(__xludf.DUMMYFUNCTION("""COMPUTED_VALUE"""),"Uncle Sams Cider (11/12/2021) 02")</f>
        <v>Uncle Sams Cider (11/12/2021) 02</v>
      </c>
      <c r="H5331" s="19"/>
    </row>
    <row r="5332">
      <c r="A5332" s="9"/>
      <c r="B5332" s="15"/>
      <c r="C5332" s="9">
        <f>IFERROR(__xludf.DUMMYFUNCTION("""COMPUTED_VALUE"""),44549.5522324652)</f>
        <v>44549.55223</v>
      </c>
      <c r="D5332" s="15">
        <f>IFERROR(__xludf.DUMMYFUNCTION("""COMPUTED_VALUE"""),1.018)</f>
        <v>1.018</v>
      </c>
      <c r="E5332" s="16">
        <f>IFERROR(__xludf.DUMMYFUNCTION("""COMPUTED_VALUE"""),65.0)</f>
        <v>65</v>
      </c>
      <c r="F5332" s="19" t="str">
        <f>IFERROR(__xludf.DUMMYFUNCTION("""COMPUTED_VALUE"""),"BLACK")</f>
        <v>BLACK</v>
      </c>
      <c r="G5332" s="20" t="str">
        <f>IFERROR(__xludf.DUMMYFUNCTION("""COMPUTED_VALUE"""),"Uncle Sams Cider (11/12/2021) 02")</f>
        <v>Uncle Sams Cider (11/12/2021) 02</v>
      </c>
      <c r="H5332" s="19"/>
    </row>
    <row r="5333">
      <c r="A5333" s="9"/>
      <c r="B5333" s="15"/>
      <c r="C5333" s="9">
        <f>IFERROR(__xludf.DUMMYFUNCTION("""COMPUTED_VALUE"""),44549.5417985416)</f>
        <v>44549.5418</v>
      </c>
      <c r="D5333" s="15">
        <f>IFERROR(__xludf.DUMMYFUNCTION("""COMPUTED_VALUE"""),1.018)</f>
        <v>1.018</v>
      </c>
      <c r="E5333" s="16">
        <f>IFERROR(__xludf.DUMMYFUNCTION("""COMPUTED_VALUE"""),65.0)</f>
        <v>65</v>
      </c>
      <c r="F5333" s="19" t="str">
        <f>IFERROR(__xludf.DUMMYFUNCTION("""COMPUTED_VALUE"""),"BLACK")</f>
        <v>BLACK</v>
      </c>
      <c r="G5333" s="20" t="str">
        <f>IFERROR(__xludf.DUMMYFUNCTION("""COMPUTED_VALUE"""),"Uncle Sams Cider (11/12/2021) 02")</f>
        <v>Uncle Sams Cider (11/12/2021) 02</v>
      </c>
      <c r="H5333" s="19"/>
    </row>
    <row r="5334">
      <c r="A5334" s="9"/>
      <c r="B5334" s="15"/>
      <c r="C5334" s="9">
        <f>IFERROR(__xludf.DUMMYFUNCTION("""COMPUTED_VALUE"""),44549.5313653356)</f>
        <v>44549.53137</v>
      </c>
      <c r="D5334" s="15">
        <f>IFERROR(__xludf.DUMMYFUNCTION("""COMPUTED_VALUE"""),1.018)</f>
        <v>1.018</v>
      </c>
      <c r="E5334" s="16">
        <f>IFERROR(__xludf.DUMMYFUNCTION("""COMPUTED_VALUE"""),65.0)</f>
        <v>65</v>
      </c>
      <c r="F5334" s="19" t="str">
        <f>IFERROR(__xludf.DUMMYFUNCTION("""COMPUTED_VALUE"""),"BLACK")</f>
        <v>BLACK</v>
      </c>
      <c r="G5334" s="20" t="str">
        <f>IFERROR(__xludf.DUMMYFUNCTION("""COMPUTED_VALUE"""),"Uncle Sams Cider (11/12/2021) 02")</f>
        <v>Uncle Sams Cider (11/12/2021) 02</v>
      </c>
      <c r="H5334" s="19"/>
    </row>
    <row r="5335">
      <c r="A5335" s="9"/>
      <c r="B5335" s="15"/>
      <c r="C5335" s="9">
        <f>IFERROR(__xludf.DUMMYFUNCTION("""COMPUTED_VALUE"""),44549.5209442013)</f>
        <v>44549.52094</v>
      </c>
      <c r="D5335" s="15">
        <f>IFERROR(__xludf.DUMMYFUNCTION("""COMPUTED_VALUE"""),1.018)</f>
        <v>1.018</v>
      </c>
      <c r="E5335" s="16">
        <f>IFERROR(__xludf.DUMMYFUNCTION("""COMPUTED_VALUE"""),65.0)</f>
        <v>65</v>
      </c>
      <c r="F5335" s="19" t="str">
        <f>IFERROR(__xludf.DUMMYFUNCTION("""COMPUTED_VALUE"""),"BLACK")</f>
        <v>BLACK</v>
      </c>
      <c r="G5335" s="20" t="str">
        <f>IFERROR(__xludf.DUMMYFUNCTION("""COMPUTED_VALUE"""),"Uncle Sams Cider (11/12/2021) 02")</f>
        <v>Uncle Sams Cider (11/12/2021) 02</v>
      </c>
      <c r="H5335" s="19"/>
    </row>
    <row r="5336">
      <c r="A5336" s="9"/>
      <c r="B5336" s="15"/>
      <c r="C5336" s="9">
        <f>IFERROR(__xludf.DUMMYFUNCTION("""COMPUTED_VALUE"""),44549.5105228124)</f>
        <v>44549.51052</v>
      </c>
      <c r="D5336" s="15">
        <f>IFERROR(__xludf.DUMMYFUNCTION("""COMPUTED_VALUE"""),1.018)</f>
        <v>1.018</v>
      </c>
      <c r="E5336" s="16">
        <f>IFERROR(__xludf.DUMMYFUNCTION("""COMPUTED_VALUE"""),65.0)</f>
        <v>65</v>
      </c>
      <c r="F5336" s="19" t="str">
        <f>IFERROR(__xludf.DUMMYFUNCTION("""COMPUTED_VALUE"""),"BLACK")</f>
        <v>BLACK</v>
      </c>
      <c r="G5336" s="20" t="str">
        <f>IFERROR(__xludf.DUMMYFUNCTION("""COMPUTED_VALUE"""),"Uncle Sams Cider (11/12/2021) 02")</f>
        <v>Uncle Sams Cider (11/12/2021) 02</v>
      </c>
      <c r="H5336" s="19"/>
    </row>
    <row r="5337">
      <c r="A5337" s="9"/>
      <c r="B5337" s="15"/>
      <c r="C5337" s="9">
        <f>IFERROR(__xludf.DUMMYFUNCTION("""COMPUTED_VALUE"""),44549.5000902546)</f>
        <v>44549.50009</v>
      </c>
      <c r="D5337" s="15">
        <f>IFERROR(__xludf.DUMMYFUNCTION("""COMPUTED_VALUE"""),1.018)</f>
        <v>1.018</v>
      </c>
      <c r="E5337" s="16">
        <f>IFERROR(__xludf.DUMMYFUNCTION("""COMPUTED_VALUE"""),65.0)</f>
        <v>65</v>
      </c>
      <c r="F5337" s="19" t="str">
        <f>IFERROR(__xludf.DUMMYFUNCTION("""COMPUTED_VALUE"""),"BLACK")</f>
        <v>BLACK</v>
      </c>
      <c r="G5337" s="20" t="str">
        <f>IFERROR(__xludf.DUMMYFUNCTION("""COMPUTED_VALUE"""),"Uncle Sams Cider (11/12/2021) 02")</f>
        <v>Uncle Sams Cider (11/12/2021) 02</v>
      </c>
      <c r="H5337" s="19"/>
    </row>
    <row r="5338">
      <c r="A5338" s="9"/>
      <c r="B5338" s="15"/>
      <c r="C5338" s="9">
        <f>IFERROR(__xludf.DUMMYFUNCTION("""COMPUTED_VALUE"""),44549.4896573032)</f>
        <v>44549.48966</v>
      </c>
      <c r="D5338" s="15">
        <f>IFERROR(__xludf.DUMMYFUNCTION("""COMPUTED_VALUE"""),1.017)</f>
        <v>1.017</v>
      </c>
      <c r="E5338" s="16">
        <f>IFERROR(__xludf.DUMMYFUNCTION("""COMPUTED_VALUE"""),65.0)</f>
        <v>65</v>
      </c>
      <c r="F5338" s="19" t="str">
        <f>IFERROR(__xludf.DUMMYFUNCTION("""COMPUTED_VALUE"""),"BLACK")</f>
        <v>BLACK</v>
      </c>
      <c r="G5338" s="20" t="str">
        <f>IFERROR(__xludf.DUMMYFUNCTION("""COMPUTED_VALUE"""),"Uncle Sams Cider (11/12/2021) 02")</f>
        <v>Uncle Sams Cider (11/12/2021) 02</v>
      </c>
      <c r="H5338" s="19"/>
    </row>
    <row r="5339">
      <c r="A5339" s="9"/>
      <c r="B5339" s="15"/>
      <c r="C5339" s="9">
        <f>IFERROR(__xludf.DUMMYFUNCTION("""COMPUTED_VALUE"""),44549.4792352546)</f>
        <v>44549.47924</v>
      </c>
      <c r="D5339" s="15">
        <f>IFERROR(__xludf.DUMMYFUNCTION("""COMPUTED_VALUE"""),1.018)</f>
        <v>1.018</v>
      </c>
      <c r="E5339" s="16">
        <f>IFERROR(__xludf.DUMMYFUNCTION("""COMPUTED_VALUE"""),65.0)</f>
        <v>65</v>
      </c>
      <c r="F5339" s="19" t="str">
        <f>IFERROR(__xludf.DUMMYFUNCTION("""COMPUTED_VALUE"""),"BLACK")</f>
        <v>BLACK</v>
      </c>
      <c r="G5339" s="20" t="str">
        <f>IFERROR(__xludf.DUMMYFUNCTION("""COMPUTED_VALUE"""),"Uncle Sams Cider (11/12/2021) 02")</f>
        <v>Uncle Sams Cider (11/12/2021) 02</v>
      </c>
      <c r="H5339" s="19"/>
    </row>
    <row r="5340">
      <c r="A5340" s="9"/>
      <c r="B5340" s="15"/>
      <c r="C5340" s="9">
        <f>IFERROR(__xludf.DUMMYFUNCTION("""COMPUTED_VALUE"""),44549.4688142361)</f>
        <v>44549.46881</v>
      </c>
      <c r="D5340" s="15">
        <f>IFERROR(__xludf.DUMMYFUNCTION("""COMPUTED_VALUE"""),1.018)</f>
        <v>1.018</v>
      </c>
      <c r="E5340" s="16">
        <f>IFERROR(__xludf.DUMMYFUNCTION("""COMPUTED_VALUE"""),65.0)</f>
        <v>65</v>
      </c>
      <c r="F5340" s="19" t="str">
        <f>IFERROR(__xludf.DUMMYFUNCTION("""COMPUTED_VALUE"""),"BLACK")</f>
        <v>BLACK</v>
      </c>
      <c r="G5340" s="20" t="str">
        <f>IFERROR(__xludf.DUMMYFUNCTION("""COMPUTED_VALUE"""),"Uncle Sams Cider (11/12/2021) 02")</f>
        <v>Uncle Sams Cider (11/12/2021) 02</v>
      </c>
      <c r="H5340" s="19"/>
    </row>
    <row r="5341">
      <c r="A5341" s="9"/>
      <c r="B5341" s="15"/>
      <c r="C5341" s="9">
        <f>IFERROR(__xludf.DUMMYFUNCTION("""COMPUTED_VALUE"""),44549.4583933449)</f>
        <v>44549.45839</v>
      </c>
      <c r="D5341" s="15">
        <f>IFERROR(__xludf.DUMMYFUNCTION("""COMPUTED_VALUE"""),1.018)</f>
        <v>1.018</v>
      </c>
      <c r="E5341" s="16">
        <f>IFERROR(__xludf.DUMMYFUNCTION("""COMPUTED_VALUE"""),65.0)</f>
        <v>65</v>
      </c>
      <c r="F5341" s="19" t="str">
        <f>IFERROR(__xludf.DUMMYFUNCTION("""COMPUTED_VALUE"""),"BLACK")</f>
        <v>BLACK</v>
      </c>
      <c r="G5341" s="20" t="str">
        <f>IFERROR(__xludf.DUMMYFUNCTION("""COMPUTED_VALUE"""),"Uncle Sams Cider (11/12/2021) 02")</f>
        <v>Uncle Sams Cider (11/12/2021) 02</v>
      </c>
      <c r="H5341" s="19"/>
    </row>
    <row r="5342">
      <c r="A5342" s="9"/>
      <c r="B5342" s="15"/>
      <c r="C5342" s="9">
        <f>IFERROR(__xludf.DUMMYFUNCTION("""COMPUTED_VALUE"""),44549.4479275925)</f>
        <v>44549.44793</v>
      </c>
      <c r="D5342" s="15">
        <f>IFERROR(__xludf.DUMMYFUNCTION("""COMPUTED_VALUE"""),1.018)</f>
        <v>1.018</v>
      </c>
      <c r="E5342" s="16">
        <f>IFERROR(__xludf.DUMMYFUNCTION("""COMPUTED_VALUE"""),65.0)</f>
        <v>65</v>
      </c>
      <c r="F5342" s="19" t="str">
        <f>IFERROR(__xludf.DUMMYFUNCTION("""COMPUTED_VALUE"""),"BLACK")</f>
        <v>BLACK</v>
      </c>
      <c r="G5342" s="20" t="str">
        <f>IFERROR(__xludf.DUMMYFUNCTION("""COMPUTED_VALUE"""),"Uncle Sams Cider (11/12/2021) 02")</f>
        <v>Uncle Sams Cider (11/12/2021) 02</v>
      </c>
      <c r="H5342" s="19"/>
    </row>
    <row r="5343">
      <c r="A5343" s="9"/>
      <c r="B5343" s="15"/>
      <c r="C5343" s="9">
        <f>IFERROR(__xludf.DUMMYFUNCTION("""COMPUTED_VALUE"""),44549.4374944675)</f>
        <v>44549.43749</v>
      </c>
      <c r="D5343" s="15">
        <f>IFERROR(__xludf.DUMMYFUNCTION("""COMPUTED_VALUE"""),1.018)</f>
        <v>1.018</v>
      </c>
      <c r="E5343" s="16">
        <f>IFERROR(__xludf.DUMMYFUNCTION("""COMPUTED_VALUE"""),65.0)</f>
        <v>65</v>
      </c>
      <c r="F5343" s="19" t="str">
        <f>IFERROR(__xludf.DUMMYFUNCTION("""COMPUTED_VALUE"""),"BLACK")</f>
        <v>BLACK</v>
      </c>
      <c r="G5343" s="20" t="str">
        <f>IFERROR(__xludf.DUMMYFUNCTION("""COMPUTED_VALUE"""),"Uncle Sams Cider (11/12/2021) 02")</f>
        <v>Uncle Sams Cider (11/12/2021) 02</v>
      </c>
      <c r="H5343" s="19"/>
    </row>
    <row r="5344">
      <c r="A5344" s="9"/>
      <c r="B5344" s="15"/>
      <c r="C5344" s="9">
        <f>IFERROR(__xludf.DUMMYFUNCTION("""COMPUTED_VALUE"""),44549.42707375)</f>
        <v>44549.42707</v>
      </c>
      <c r="D5344" s="15">
        <f>IFERROR(__xludf.DUMMYFUNCTION("""COMPUTED_VALUE"""),1.018)</f>
        <v>1.018</v>
      </c>
      <c r="E5344" s="16">
        <f>IFERROR(__xludf.DUMMYFUNCTION("""COMPUTED_VALUE"""),65.0)</f>
        <v>65</v>
      </c>
      <c r="F5344" s="19" t="str">
        <f>IFERROR(__xludf.DUMMYFUNCTION("""COMPUTED_VALUE"""),"BLACK")</f>
        <v>BLACK</v>
      </c>
      <c r="G5344" s="20" t="str">
        <f>IFERROR(__xludf.DUMMYFUNCTION("""COMPUTED_VALUE"""),"Uncle Sams Cider (11/12/2021) 02")</f>
        <v>Uncle Sams Cider (11/12/2021) 02</v>
      </c>
      <c r="H5344" s="19"/>
    </row>
    <row r="5345">
      <c r="A5345" s="9"/>
      <c r="B5345" s="15"/>
      <c r="C5345" s="9">
        <f>IFERROR(__xludf.DUMMYFUNCTION("""COMPUTED_VALUE"""),44549.4166515856)</f>
        <v>44549.41665</v>
      </c>
      <c r="D5345" s="15">
        <f>IFERROR(__xludf.DUMMYFUNCTION("""COMPUTED_VALUE"""),1.018)</f>
        <v>1.018</v>
      </c>
      <c r="E5345" s="16">
        <f>IFERROR(__xludf.DUMMYFUNCTION("""COMPUTED_VALUE"""),65.0)</f>
        <v>65</v>
      </c>
      <c r="F5345" s="19" t="str">
        <f>IFERROR(__xludf.DUMMYFUNCTION("""COMPUTED_VALUE"""),"BLACK")</f>
        <v>BLACK</v>
      </c>
      <c r="G5345" s="20" t="str">
        <f>IFERROR(__xludf.DUMMYFUNCTION("""COMPUTED_VALUE"""),"Uncle Sams Cider (11/12/2021) 02")</f>
        <v>Uncle Sams Cider (11/12/2021) 02</v>
      </c>
      <c r="H5345" s="19"/>
    </row>
    <row r="5346">
      <c r="A5346" s="9"/>
      <c r="B5346" s="15"/>
      <c r="C5346" s="9">
        <f>IFERROR(__xludf.DUMMYFUNCTION("""COMPUTED_VALUE"""),44549.4061957754)</f>
        <v>44549.4062</v>
      </c>
      <c r="D5346" s="15">
        <f>IFERROR(__xludf.DUMMYFUNCTION("""COMPUTED_VALUE"""),1.018)</f>
        <v>1.018</v>
      </c>
      <c r="E5346" s="16">
        <f>IFERROR(__xludf.DUMMYFUNCTION("""COMPUTED_VALUE"""),65.0)</f>
        <v>65</v>
      </c>
      <c r="F5346" s="19" t="str">
        <f>IFERROR(__xludf.DUMMYFUNCTION("""COMPUTED_VALUE"""),"BLACK")</f>
        <v>BLACK</v>
      </c>
      <c r="G5346" s="20" t="str">
        <f>IFERROR(__xludf.DUMMYFUNCTION("""COMPUTED_VALUE"""),"Uncle Sams Cider (11/12/2021) 02")</f>
        <v>Uncle Sams Cider (11/12/2021) 02</v>
      </c>
      <c r="H5346" s="19"/>
    </row>
    <row r="5347">
      <c r="A5347" s="9"/>
      <c r="B5347" s="15"/>
      <c r="C5347" s="9">
        <f>IFERROR(__xludf.DUMMYFUNCTION("""COMPUTED_VALUE"""),44549.3957514236)</f>
        <v>44549.39575</v>
      </c>
      <c r="D5347" s="15">
        <f>IFERROR(__xludf.DUMMYFUNCTION("""COMPUTED_VALUE"""),1.018)</f>
        <v>1.018</v>
      </c>
      <c r="E5347" s="16">
        <f>IFERROR(__xludf.DUMMYFUNCTION("""COMPUTED_VALUE"""),65.0)</f>
        <v>65</v>
      </c>
      <c r="F5347" s="19" t="str">
        <f>IFERROR(__xludf.DUMMYFUNCTION("""COMPUTED_VALUE"""),"BLACK")</f>
        <v>BLACK</v>
      </c>
      <c r="G5347" s="20" t="str">
        <f>IFERROR(__xludf.DUMMYFUNCTION("""COMPUTED_VALUE"""),"Uncle Sams Cider (11/12/2021) 02")</f>
        <v>Uncle Sams Cider (11/12/2021) 02</v>
      </c>
      <c r="H5347" s="19"/>
    </row>
    <row r="5348">
      <c r="A5348" s="9"/>
      <c r="B5348" s="15"/>
      <c r="C5348" s="9">
        <f>IFERROR(__xludf.DUMMYFUNCTION("""COMPUTED_VALUE"""),44549.385293831)</f>
        <v>44549.38529</v>
      </c>
      <c r="D5348" s="15">
        <f>IFERROR(__xludf.DUMMYFUNCTION("""COMPUTED_VALUE"""),1.018)</f>
        <v>1.018</v>
      </c>
      <c r="E5348" s="16">
        <f>IFERROR(__xludf.DUMMYFUNCTION("""COMPUTED_VALUE"""),65.0)</f>
        <v>65</v>
      </c>
      <c r="F5348" s="19" t="str">
        <f>IFERROR(__xludf.DUMMYFUNCTION("""COMPUTED_VALUE"""),"BLACK")</f>
        <v>BLACK</v>
      </c>
      <c r="G5348" s="20" t="str">
        <f>IFERROR(__xludf.DUMMYFUNCTION("""COMPUTED_VALUE"""),"Uncle Sams Cider (11/12/2021) 02")</f>
        <v>Uncle Sams Cider (11/12/2021) 02</v>
      </c>
      <c r="H5348" s="19"/>
    </row>
    <row r="5349">
      <c r="A5349" s="9"/>
      <c r="B5349" s="15"/>
      <c r="C5349" s="9">
        <f>IFERROR(__xludf.DUMMYFUNCTION("""COMPUTED_VALUE"""),44549.3748498032)</f>
        <v>44549.37485</v>
      </c>
      <c r="D5349" s="15">
        <f>IFERROR(__xludf.DUMMYFUNCTION("""COMPUTED_VALUE"""),1.018)</f>
        <v>1.018</v>
      </c>
      <c r="E5349" s="16">
        <f>IFERROR(__xludf.DUMMYFUNCTION("""COMPUTED_VALUE"""),65.0)</f>
        <v>65</v>
      </c>
      <c r="F5349" s="19" t="str">
        <f>IFERROR(__xludf.DUMMYFUNCTION("""COMPUTED_VALUE"""),"BLACK")</f>
        <v>BLACK</v>
      </c>
      <c r="G5349" s="20" t="str">
        <f>IFERROR(__xludf.DUMMYFUNCTION("""COMPUTED_VALUE"""),"Uncle Sams Cider (11/12/2021) 02")</f>
        <v>Uncle Sams Cider (11/12/2021) 02</v>
      </c>
      <c r="H5349" s="19"/>
    </row>
    <row r="5350">
      <c r="A5350" s="9"/>
      <c r="B5350" s="15"/>
      <c r="C5350" s="9">
        <f>IFERROR(__xludf.DUMMYFUNCTION("""COMPUTED_VALUE"""),44549.3644153125)</f>
        <v>44549.36442</v>
      </c>
      <c r="D5350" s="15">
        <f>IFERROR(__xludf.DUMMYFUNCTION("""COMPUTED_VALUE"""),1.018)</f>
        <v>1.018</v>
      </c>
      <c r="E5350" s="16">
        <f>IFERROR(__xludf.DUMMYFUNCTION("""COMPUTED_VALUE"""),65.0)</f>
        <v>65</v>
      </c>
      <c r="F5350" s="19" t="str">
        <f>IFERROR(__xludf.DUMMYFUNCTION("""COMPUTED_VALUE"""),"BLACK")</f>
        <v>BLACK</v>
      </c>
      <c r="G5350" s="20" t="str">
        <f>IFERROR(__xludf.DUMMYFUNCTION("""COMPUTED_VALUE"""),"Uncle Sams Cider (11/12/2021) 02")</f>
        <v>Uncle Sams Cider (11/12/2021) 02</v>
      </c>
      <c r="H5350" s="19"/>
    </row>
    <row r="5351">
      <c r="A5351" s="9"/>
      <c r="B5351" s="15"/>
      <c r="C5351" s="9">
        <f>IFERROR(__xludf.DUMMYFUNCTION("""COMPUTED_VALUE"""),44549.3539823611)</f>
        <v>44549.35398</v>
      </c>
      <c r="D5351" s="15">
        <f>IFERROR(__xludf.DUMMYFUNCTION("""COMPUTED_VALUE"""),1.018)</f>
        <v>1.018</v>
      </c>
      <c r="E5351" s="16">
        <f>IFERROR(__xludf.DUMMYFUNCTION("""COMPUTED_VALUE"""),65.0)</f>
        <v>65</v>
      </c>
      <c r="F5351" s="19" t="str">
        <f>IFERROR(__xludf.DUMMYFUNCTION("""COMPUTED_VALUE"""),"BLACK")</f>
        <v>BLACK</v>
      </c>
      <c r="G5351" s="20" t="str">
        <f>IFERROR(__xludf.DUMMYFUNCTION("""COMPUTED_VALUE"""),"Uncle Sams Cider (11/12/2021) 02")</f>
        <v>Uncle Sams Cider (11/12/2021) 02</v>
      </c>
      <c r="H5351" s="19"/>
    </row>
    <row r="5352">
      <c r="A5352" s="9"/>
      <c r="B5352" s="15"/>
      <c r="C5352" s="9">
        <f>IFERROR(__xludf.DUMMYFUNCTION("""COMPUTED_VALUE"""),44549.3435495138)</f>
        <v>44549.34355</v>
      </c>
      <c r="D5352" s="15">
        <f>IFERROR(__xludf.DUMMYFUNCTION("""COMPUTED_VALUE"""),1.018)</f>
        <v>1.018</v>
      </c>
      <c r="E5352" s="16">
        <f>IFERROR(__xludf.DUMMYFUNCTION("""COMPUTED_VALUE"""),65.0)</f>
        <v>65</v>
      </c>
      <c r="F5352" s="19" t="str">
        <f>IFERROR(__xludf.DUMMYFUNCTION("""COMPUTED_VALUE"""),"BLACK")</f>
        <v>BLACK</v>
      </c>
      <c r="G5352" s="20" t="str">
        <f>IFERROR(__xludf.DUMMYFUNCTION("""COMPUTED_VALUE"""),"Uncle Sams Cider (11/12/2021) 02")</f>
        <v>Uncle Sams Cider (11/12/2021) 02</v>
      </c>
      <c r="H5352" s="19"/>
    </row>
    <row r="5353">
      <c r="A5353" s="9"/>
      <c r="B5353" s="15"/>
      <c r="C5353" s="9">
        <f>IFERROR(__xludf.DUMMYFUNCTION("""COMPUTED_VALUE"""),44549.333115949)</f>
        <v>44549.33312</v>
      </c>
      <c r="D5353" s="15">
        <f>IFERROR(__xludf.DUMMYFUNCTION("""COMPUTED_VALUE"""),1.018)</f>
        <v>1.018</v>
      </c>
      <c r="E5353" s="16">
        <f>IFERROR(__xludf.DUMMYFUNCTION("""COMPUTED_VALUE"""),65.0)</f>
        <v>65</v>
      </c>
      <c r="F5353" s="19" t="str">
        <f>IFERROR(__xludf.DUMMYFUNCTION("""COMPUTED_VALUE"""),"BLACK")</f>
        <v>BLACK</v>
      </c>
      <c r="G5353" s="20" t="str">
        <f>IFERROR(__xludf.DUMMYFUNCTION("""COMPUTED_VALUE"""),"Uncle Sams Cider (11/12/2021) 02")</f>
        <v>Uncle Sams Cider (11/12/2021) 02</v>
      </c>
      <c r="H5353" s="19"/>
    </row>
    <row r="5354">
      <c r="A5354" s="9"/>
      <c r="B5354" s="15"/>
      <c r="C5354" s="9">
        <f>IFERROR(__xludf.DUMMYFUNCTION("""COMPUTED_VALUE"""),44549.3226943865)</f>
        <v>44549.32269</v>
      </c>
      <c r="D5354" s="15">
        <f>IFERROR(__xludf.DUMMYFUNCTION("""COMPUTED_VALUE"""),1.018)</f>
        <v>1.018</v>
      </c>
      <c r="E5354" s="16">
        <f>IFERROR(__xludf.DUMMYFUNCTION("""COMPUTED_VALUE"""),65.0)</f>
        <v>65</v>
      </c>
      <c r="F5354" s="19" t="str">
        <f>IFERROR(__xludf.DUMMYFUNCTION("""COMPUTED_VALUE"""),"BLACK")</f>
        <v>BLACK</v>
      </c>
      <c r="G5354" s="20" t="str">
        <f>IFERROR(__xludf.DUMMYFUNCTION("""COMPUTED_VALUE"""),"Uncle Sams Cider (11/12/2021) 02")</f>
        <v>Uncle Sams Cider (11/12/2021) 02</v>
      </c>
      <c r="H5354" s="19"/>
    </row>
    <row r="5355">
      <c r="A5355" s="9"/>
      <c r="B5355" s="15"/>
      <c r="C5355" s="9">
        <f>IFERROR(__xludf.DUMMYFUNCTION("""COMPUTED_VALUE"""),44549.3122725578)</f>
        <v>44549.31227</v>
      </c>
      <c r="D5355" s="15">
        <f>IFERROR(__xludf.DUMMYFUNCTION("""COMPUTED_VALUE"""),1.018)</f>
        <v>1.018</v>
      </c>
      <c r="E5355" s="16">
        <f>IFERROR(__xludf.DUMMYFUNCTION("""COMPUTED_VALUE"""),65.0)</f>
        <v>65</v>
      </c>
      <c r="F5355" s="19" t="str">
        <f>IFERROR(__xludf.DUMMYFUNCTION("""COMPUTED_VALUE"""),"BLACK")</f>
        <v>BLACK</v>
      </c>
      <c r="G5355" s="20" t="str">
        <f>IFERROR(__xludf.DUMMYFUNCTION("""COMPUTED_VALUE"""),"Uncle Sams Cider (11/12/2021) 02")</f>
        <v>Uncle Sams Cider (11/12/2021) 02</v>
      </c>
      <c r="H5355" s="19"/>
    </row>
    <row r="5356">
      <c r="A5356" s="9"/>
      <c r="B5356" s="15"/>
      <c r="C5356" s="9">
        <f>IFERROR(__xludf.DUMMYFUNCTION("""COMPUTED_VALUE"""),44549.3018514583)</f>
        <v>44549.30185</v>
      </c>
      <c r="D5356" s="15">
        <f>IFERROR(__xludf.DUMMYFUNCTION("""COMPUTED_VALUE"""),1.018)</f>
        <v>1.018</v>
      </c>
      <c r="E5356" s="16">
        <f>IFERROR(__xludf.DUMMYFUNCTION("""COMPUTED_VALUE"""),65.0)</f>
        <v>65</v>
      </c>
      <c r="F5356" s="19" t="str">
        <f>IFERROR(__xludf.DUMMYFUNCTION("""COMPUTED_VALUE"""),"BLACK")</f>
        <v>BLACK</v>
      </c>
      <c r="G5356" s="20" t="str">
        <f>IFERROR(__xludf.DUMMYFUNCTION("""COMPUTED_VALUE"""),"Uncle Sams Cider (11/12/2021) 02")</f>
        <v>Uncle Sams Cider (11/12/2021) 02</v>
      </c>
      <c r="H5356" s="19"/>
    </row>
    <row r="5357">
      <c r="A5357" s="9"/>
      <c r="B5357" s="15"/>
      <c r="C5357" s="9">
        <f>IFERROR(__xludf.DUMMYFUNCTION("""COMPUTED_VALUE"""),44549.2914308912)</f>
        <v>44549.29143</v>
      </c>
      <c r="D5357" s="15">
        <f>IFERROR(__xludf.DUMMYFUNCTION("""COMPUTED_VALUE"""),1.018)</f>
        <v>1.018</v>
      </c>
      <c r="E5357" s="16">
        <f>IFERROR(__xludf.DUMMYFUNCTION("""COMPUTED_VALUE"""),65.0)</f>
        <v>65</v>
      </c>
      <c r="F5357" s="19" t="str">
        <f>IFERROR(__xludf.DUMMYFUNCTION("""COMPUTED_VALUE"""),"BLACK")</f>
        <v>BLACK</v>
      </c>
      <c r="G5357" s="20" t="str">
        <f>IFERROR(__xludf.DUMMYFUNCTION("""COMPUTED_VALUE"""),"Uncle Sams Cider (11/12/2021) 02")</f>
        <v>Uncle Sams Cider (11/12/2021) 02</v>
      </c>
      <c r="H5357" s="19"/>
    </row>
    <row r="5358">
      <c r="A5358" s="9"/>
      <c r="B5358" s="15"/>
      <c r="C5358" s="9">
        <f>IFERROR(__xludf.DUMMYFUNCTION("""COMPUTED_VALUE"""),44549.2809992592)</f>
        <v>44549.281</v>
      </c>
      <c r="D5358" s="15">
        <f>IFERROR(__xludf.DUMMYFUNCTION("""COMPUTED_VALUE"""),1.018)</f>
        <v>1.018</v>
      </c>
      <c r="E5358" s="16">
        <f>IFERROR(__xludf.DUMMYFUNCTION("""COMPUTED_VALUE"""),65.0)</f>
        <v>65</v>
      </c>
      <c r="F5358" s="19" t="str">
        <f>IFERROR(__xludf.DUMMYFUNCTION("""COMPUTED_VALUE"""),"BLACK")</f>
        <v>BLACK</v>
      </c>
      <c r="G5358" s="20" t="str">
        <f>IFERROR(__xludf.DUMMYFUNCTION("""COMPUTED_VALUE"""),"Uncle Sams Cider (11/12/2021) 02")</f>
        <v>Uncle Sams Cider (11/12/2021) 02</v>
      </c>
      <c r="H5358" s="19"/>
    </row>
    <row r="5359">
      <c r="A5359" s="9"/>
      <c r="B5359" s="15"/>
      <c r="C5359" s="9">
        <f>IFERROR(__xludf.DUMMYFUNCTION("""COMPUTED_VALUE"""),44549.2705660879)</f>
        <v>44549.27057</v>
      </c>
      <c r="D5359" s="15">
        <f>IFERROR(__xludf.DUMMYFUNCTION("""COMPUTED_VALUE"""),1.018)</f>
        <v>1.018</v>
      </c>
      <c r="E5359" s="16">
        <f>IFERROR(__xludf.DUMMYFUNCTION("""COMPUTED_VALUE"""),65.0)</f>
        <v>65</v>
      </c>
      <c r="F5359" s="19" t="str">
        <f>IFERROR(__xludf.DUMMYFUNCTION("""COMPUTED_VALUE"""),"BLACK")</f>
        <v>BLACK</v>
      </c>
      <c r="G5359" s="20" t="str">
        <f>IFERROR(__xludf.DUMMYFUNCTION("""COMPUTED_VALUE"""),"Uncle Sams Cider (11/12/2021) 02")</f>
        <v>Uncle Sams Cider (11/12/2021) 02</v>
      </c>
      <c r="H5359" s="19"/>
    </row>
    <row r="5360">
      <c r="A5360" s="9"/>
      <c r="B5360" s="15"/>
      <c r="C5360" s="9">
        <f>IFERROR(__xludf.DUMMYFUNCTION("""COMPUTED_VALUE"""),44549.2601323148)</f>
        <v>44549.26013</v>
      </c>
      <c r="D5360" s="15">
        <f>IFERROR(__xludf.DUMMYFUNCTION("""COMPUTED_VALUE"""),1.018)</f>
        <v>1.018</v>
      </c>
      <c r="E5360" s="16">
        <f>IFERROR(__xludf.DUMMYFUNCTION("""COMPUTED_VALUE"""),65.0)</f>
        <v>65</v>
      </c>
      <c r="F5360" s="19" t="str">
        <f>IFERROR(__xludf.DUMMYFUNCTION("""COMPUTED_VALUE"""),"BLACK")</f>
        <v>BLACK</v>
      </c>
      <c r="G5360" s="20" t="str">
        <f>IFERROR(__xludf.DUMMYFUNCTION("""COMPUTED_VALUE"""),"Uncle Sams Cider (11/12/2021) 02")</f>
        <v>Uncle Sams Cider (11/12/2021) 02</v>
      </c>
      <c r="H5360" s="19"/>
    </row>
    <row r="5361">
      <c r="A5361" s="9"/>
      <c r="B5361" s="15"/>
      <c r="C5361" s="9">
        <f>IFERROR(__xludf.DUMMYFUNCTION("""COMPUTED_VALUE"""),44549.2497130439)</f>
        <v>44549.24971</v>
      </c>
      <c r="D5361" s="15">
        <f>IFERROR(__xludf.DUMMYFUNCTION("""COMPUTED_VALUE"""),1.018)</f>
        <v>1.018</v>
      </c>
      <c r="E5361" s="16">
        <f>IFERROR(__xludf.DUMMYFUNCTION("""COMPUTED_VALUE"""),65.0)</f>
        <v>65</v>
      </c>
      <c r="F5361" s="19" t="str">
        <f>IFERROR(__xludf.DUMMYFUNCTION("""COMPUTED_VALUE"""),"BLACK")</f>
        <v>BLACK</v>
      </c>
      <c r="G5361" s="20" t="str">
        <f>IFERROR(__xludf.DUMMYFUNCTION("""COMPUTED_VALUE"""),"Uncle Sams Cider (11/12/2021) 02")</f>
        <v>Uncle Sams Cider (11/12/2021) 02</v>
      </c>
      <c r="H5361" s="19"/>
    </row>
    <row r="5362">
      <c r="A5362" s="9"/>
      <c r="B5362" s="15"/>
      <c r="C5362" s="9">
        <f>IFERROR(__xludf.DUMMYFUNCTION("""COMPUTED_VALUE"""),44549.2392676967)</f>
        <v>44549.23927</v>
      </c>
      <c r="D5362" s="15">
        <f>IFERROR(__xludf.DUMMYFUNCTION("""COMPUTED_VALUE"""),1.018)</f>
        <v>1.018</v>
      </c>
      <c r="E5362" s="16">
        <f>IFERROR(__xludf.DUMMYFUNCTION("""COMPUTED_VALUE"""),65.0)</f>
        <v>65</v>
      </c>
      <c r="F5362" s="19" t="str">
        <f>IFERROR(__xludf.DUMMYFUNCTION("""COMPUTED_VALUE"""),"BLACK")</f>
        <v>BLACK</v>
      </c>
      <c r="G5362" s="20" t="str">
        <f>IFERROR(__xludf.DUMMYFUNCTION("""COMPUTED_VALUE"""),"Uncle Sams Cider (11/12/2021) 02")</f>
        <v>Uncle Sams Cider (11/12/2021) 02</v>
      </c>
      <c r="H5362" s="19"/>
    </row>
    <row r="5363">
      <c r="A5363" s="9"/>
      <c r="B5363" s="15"/>
      <c r="C5363" s="9">
        <f>IFERROR(__xludf.DUMMYFUNCTION("""COMPUTED_VALUE"""),44549.2288470138)</f>
        <v>44549.22885</v>
      </c>
      <c r="D5363" s="15">
        <f>IFERROR(__xludf.DUMMYFUNCTION("""COMPUTED_VALUE"""),1.019)</f>
        <v>1.019</v>
      </c>
      <c r="E5363" s="16">
        <f>IFERROR(__xludf.DUMMYFUNCTION("""COMPUTED_VALUE"""),65.0)</f>
        <v>65</v>
      </c>
      <c r="F5363" s="19" t="str">
        <f>IFERROR(__xludf.DUMMYFUNCTION("""COMPUTED_VALUE"""),"BLACK")</f>
        <v>BLACK</v>
      </c>
      <c r="G5363" s="20" t="str">
        <f>IFERROR(__xludf.DUMMYFUNCTION("""COMPUTED_VALUE"""),"Uncle Sams Cider (11/12/2021) 02")</f>
        <v>Uncle Sams Cider (11/12/2021) 02</v>
      </c>
      <c r="H5363" s="19"/>
    </row>
    <row r="5364">
      <c r="A5364" s="9"/>
      <c r="B5364" s="15"/>
      <c r="C5364" s="9">
        <f>IFERROR(__xludf.DUMMYFUNCTION("""COMPUTED_VALUE"""),44549.2184248032)</f>
        <v>44549.21842</v>
      </c>
      <c r="D5364" s="15">
        <f>IFERROR(__xludf.DUMMYFUNCTION("""COMPUTED_VALUE"""),1.018)</f>
        <v>1.018</v>
      </c>
      <c r="E5364" s="16">
        <f>IFERROR(__xludf.DUMMYFUNCTION("""COMPUTED_VALUE"""),65.0)</f>
        <v>65</v>
      </c>
      <c r="F5364" s="19" t="str">
        <f>IFERROR(__xludf.DUMMYFUNCTION("""COMPUTED_VALUE"""),"BLACK")</f>
        <v>BLACK</v>
      </c>
      <c r="G5364" s="20" t="str">
        <f>IFERROR(__xludf.DUMMYFUNCTION("""COMPUTED_VALUE"""),"Uncle Sams Cider (11/12/2021) 02")</f>
        <v>Uncle Sams Cider (11/12/2021) 02</v>
      </c>
      <c r="H5364" s="19"/>
    </row>
    <row r="5365">
      <c r="A5365" s="9"/>
      <c r="B5365" s="15"/>
      <c r="C5365" s="9">
        <f>IFERROR(__xludf.DUMMYFUNCTION("""COMPUTED_VALUE"""),44549.2080028587)</f>
        <v>44549.208</v>
      </c>
      <c r="D5365" s="15">
        <f>IFERROR(__xludf.DUMMYFUNCTION("""COMPUTED_VALUE"""),1.018)</f>
        <v>1.018</v>
      </c>
      <c r="E5365" s="16">
        <f>IFERROR(__xludf.DUMMYFUNCTION("""COMPUTED_VALUE"""),65.0)</f>
        <v>65</v>
      </c>
      <c r="F5365" s="19" t="str">
        <f>IFERROR(__xludf.DUMMYFUNCTION("""COMPUTED_VALUE"""),"BLACK")</f>
        <v>BLACK</v>
      </c>
      <c r="G5365" s="20" t="str">
        <f>IFERROR(__xludf.DUMMYFUNCTION("""COMPUTED_VALUE"""),"Uncle Sams Cider (11/12/2021) 02")</f>
        <v>Uncle Sams Cider (11/12/2021) 02</v>
      </c>
      <c r="H5365" s="19"/>
    </row>
    <row r="5366">
      <c r="A5366" s="9"/>
      <c r="B5366" s="15"/>
      <c r="C5366" s="9">
        <f>IFERROR(__xludf.DUMMYFUNCTION("""COMPUTED_VALUE"""),44549.197557905)</f>
        <v>44549.19756</v>
      </c>
      <c r="D5366" s="15">
        <f>IFERROR(__xludf.DUMMYFUNCTION("""COMPUTED_VALUE"""),1.018)</f>
        <v>1.018</v>
      </c>
      <c r="E5366" s="16">
        <f>IFERROR(__xludf.DUMMYFUNCTION("""COMPUTED_VALUE"""),65.0)</f>
        <v>65</v>
      </c>
      <c r="F5366" s="19" t="str">
        <f>IFERROR(__xludf.DUMMYFUNCTION("""COMPUTED_VALUE"""),"BLACK")</f>
        <v>BLACK</v>
      </c>
      <c r="G5366" s="20" t="str">
        <f>IFERROR(__xludf.DUMMYFUNCTION("""COMPUTED_VALUE"""),"Uncle Sams Cider (11/12/2021) 02")</f>
        <v>Uncle Sams Cider (11/12/2021) 02</v>
      </c>
      <c r="H5366" s="19"/>
    </row>
    <row r="5367">
      <c r="A5367" s="9"/>
      <c r="B5367" s="15"/>
      <c r="C5367" s="9">
        <f>IFERROR(__xludf.DUMMYFUNCTION("""COMPUTED_VALUE"""),44549.1871244212)</f>
        <v>44549.18712</v>
      </c>
      <c r="D5367" s="15">
        <f>IFERROR(__xludf.DUMMYFUNCTION("""COMPUTED_VALUE"""),1.019)</f>
        <v>1.019</v>
      </c>
      <c r="E5367" s="16">
        <f>IFERROR(__xludf.DUMMYFUNCTION("""COMPUTED_VALUE"""),65.0)</f>
        <v>65</v>
      </c>
      <c r="F5367" s="19" t="str">
        <f>IFERROR(__xludf.DUMMYFUNCTION("""COMPUTED_VALUE"""),"BLACK")</f>
        <v>BLACK</v>
      </c>
      <c r="G5367" s="20" t="str">
        <f>IFERROR(__xludf.DUMMYFUNCTION("""COMPUTED_VALUE"""),"Uncle Sams Cider (11/12/2021) 02")</f>
        <v>Uncle Sams Cider (11/12/2021) 02</v>
      </c>
      <c r="H5367" s="19"/>
    </row>
    <row r="5368">
      <c r="A5368" s="9"/>
      <c r="B5368" s="15"/>
      <c r="C5368" s="9">
        <f>IFERROR(__xludf.DUMMYFUNCTION("""COMPUTED_VALUE"""),44549.1767020254)</f>
        <v>44549.1767</v>
      </c>
      <c r="D5368" s="15">
        <f>IFERROR(__xludf.DUMMYFUNCTION("""COMPUTED_VALUE"""),1.019)</f>
        <v>1.019</v>
      </c>
      <c r="E5368" s="16">
        <f>IFERROR(__xludf.DUMMYFUNCTION("""COMPUTED_VALUE"""),65.0)</f>
        <v>65</v>
      </c>
      <c r="F5368" s="19" t="str">
        <f>IFERROR(__xludf.DUMMYFUNCTION("""COMPUTED_VALUE"""),"BLACK")</f>
        <v>BLACK</v>
      </c>
      <c r="G5368" s="20" t="str">
        <f>IFERROR(__xludf.DUMMYFUNCTION("""COMPUTED_VALUE"""),"Uncle Sams Cider (11/12/2021) 02")</f>
        <v>Uncle Sams Cider (11/12/2021) 02</v>
      </c>
      <c r="H5368" s="19"/>
    </row>
    <row r="5369">
      <c r="A5369" s="9"/>
      <c r="B5369" s="15"/>
      <c r="C5369" s="9">
        <f>IFERROR(__xludf.DUMMYFUNCTION("""COMPUTED_VALUE"""),44549.1662683217)</f>
        <v>44549.16627</v>
      </c>
      <c r="D5369" s="15">
        <f>IFERROR(__xludf.DUMMYFUNCTION("""COMPUTED_VALUE"""),1.019)</f>
        <v>1.019</v>
      </c>
      <c r="E5369" s="16">
        <f>IFERROR(__xludf.DUMMYFUNCTION("""COMPUTED_VALUE"""),65.0)</f>
        <v>65</v>
      </c>
      <c r="F5369" s="19" t="str">
        <f>IFERROR(__xludf.DUMMYFUNCTION("""COMPUTED_VALUE"""),"BLACK")</f>
        <v>BLACK</v>
      </c>
      <c r="G5369" s="20" t="str">
        <f>IFERROR(__xludf.DUMMYFUNCTION("""COMPUTED_VALUE"""),"Uncle Sams Cider (11/12/2021) 02")</f>
        <v>Uncle Sams Cider (11/12/2021) 02</v>
      </c>
      <c r="H5369" s="19"/>
    </row>
    <row r="5370">
      <c r="A5370" s="9"/>
      <c r="B5370" s="15"/>
      <c r="C5370" s="9">
        <f>IFERROR(__xludf.DUMMYFUNCTION("""COMPUTED_VALUE"""),44549.1558473958)</f>
        <v>44549.15585</v>
      </c>
      <c r="D5370" s="15">
        <f>IFERROR(__xludf.DUMMYFUNCTION("""COMPUTED_VALUE"""),1.019)</f>
        <v>1.019</v>
      </c>
      <c r="E5370" s="16">
        <f>IFERROR(__xludf.DUMMYFUNCTION("""COMPUTED_VALUE"""),65.0)</f>
        <v>65</v>
      </c>
      <c r="F5370" s="19" t="str">
        <f>IFERROR(__xludf.DUMMYFUNCTION("""COMPUTED_VALUE"""),"BLACK")</f>
        <v>BLACK</v>
      </c>
      <c r="G5370" s="20" t="str">
        <f>IFERROR(__xludf.DUMMYFUNCTION("""COMPUTED_VALUE"""),"Uncle Sams Cider (11/12/2021) 02")</f>
        <v>Uncle Sams Cider (11/12/2021) 02</v>
      </c>
      <c r="H5370" s="19"/>
    </row>
    <row r="5371">
      <c r="A5371" s="9"/>
      <c r="B5371" s="15"/>
      <c r="C5371" s="9">
        <f>IFERROR(__xludf.DUMMYFUNCTION("""COMPUTED_VALUE"""),44549.1453906365)</f>
        <v>44549.14539</v>
      </c>
      <c r="D5371" s="15">
        <f>IFERROR(__xludf.DUMMYFUNCTION("""COMPUTED_VALUE"""),1.019)</f>
        <v>1.019</v>
      </c>
      <c r="E5371" s="16">
        <f>IFERROR(__xludf.DUMMYFUNCTION("""COMPUTED_VALUE"""),65.0)</f>
        <v>65</v>
      </c>
      <c r="F5371" s="19" t="str">
        <f>IFERROR(__xludf.DUMMYFUNCTION("""COMPUTED_VALUE"""),"BLACK")</f>
        <v>BLACK</v>
      </c>
      <c r="G5371" s="20" t="str">
        <f>IFERROR(__xludf.DUMMYFUNCTION("""COMPUTED_VALUE"""),"Uncle Sams Cider (11/12/2021) 02")</f>
        <v>Uncle Sams Cider (11/12/2021) 02</v>
      </c>
      <c r="H5371" s="19"/>
    </row>
    <row r="5372">
      <c r="A5372" s="9"/>
      <c r="B5372" s="15"/>
      <c r="C5372" s="9">
        <f>IFERROR(__xludf.DUMMYFUNCTION("""COMPUTED_VALUE"""),44549.1349346064)</f>
        <v>44549.13493</v>
      </c>
      <c r="D5372" s="15">
        <f>IFERROR(__xludf.DUMMYFUNCTION("""COMPUTED_VALUE"""),1.018)</f>
        <v>1.018</v>
      </c>
      <c r="E5372" s="16">
        <f>IFERROR(__xludf.DUMMYFUNCTION("""COMPUTED_VALUE"""),65.0)</f>
        <v>65</v>
      </c>
      <c r="F5372" s="19" t="str">
        <f>IFERROR(__xludf.DUMMYFUNCTION("""COMPUTED_VALUE"""),"BLACK")</f>
        <v>BLACK</v>
      </c>
      <c r="G5372" s="20" t="str">
        <f>IFERROR(__xludf.DUMMYFUNCTION("""COMPUTED_VALUE"""),"Uncle Sams Cider (11/12/2021) 02")</f>
        <v>Uncle Sams Cider (11/12/2021) 02</v>
      </c>
      <c r="H5372" s="19"/>
    </row>
    <row r="5373">
      <c r="A5373" s="9"/>
      <c r="B5373" s="15"/>
      <c r="C5373" s="9">
        <f>IFERROR(__xludf.DUMMYFUNCTION("""COMPUTED_VALUE"""),44549.124512118)</f>
        <v>44549.12451</v>
      </c>
      <c r="D5373" s="15">
        <f>IFERROR(__xludf.DUMMYFUNCTION("""COMPUTED_VALUE"""),1.019)</f>
        <v>1.019</v>
      </c>
      <c r="E5373" s="16">
        <f>IFERROR(__xludf.DUMMYFUNCTION("""COMPUTED_VALUE"""),65.0)</f>
        <v>65</v>
      </c>
      <c r="F5373" s="19" t="str">
        <f>IFERROR(__xludf.DUMMYFUNCTION("""COMPUTED_VALUE"""),"BLACK")</f>
        <v>BLACK</v>
      </c>
      <c r="G5373" s="20" t="str">
        <f>IFERROR(__xludf.DUMMYFUNCTION("""COMPUTED_VALUE"""),"Uncle Sams Cider (11/12/2021) 02")</f>
        <v>Uncle Sams Cider (11/12/2021) 02</v>
      </c>
      <c r="H5373" s="19"/>
    </row>
    <row r="5374">
      <c r="A5374" s="9"/>
      <c r="B5374" s="15"/>
      <c r="C5374" s="9">
        <f>IFERROR(__xludf.DUMMYFUNCTION("""COMPUTED_VALUE"""),44549.1140801504)</f>
        <v>44549.11408</v>
      </c>
      <c r="D5374" s="15">
        <f>IFERROR(__xludf.DUMMYFUNCTION("""COMPUTED_VALUE"""),1.018)</f>
        <v>1.018</v>
      </c>
      <c r="E5374" s="16">
        <f>IFERROR(__xludf.DUMMYFUNCTION("""COMPUTED_VALUE"""),65.0)</f>
        <v>65</v>
      </c>
      <c r="F5374" s="19" t="str">
        <f>IFERROR(__xludf.DUMMYFUNCTION("""COMPUTED_VALUE"""),"BLACK")</f>
        <v>BLACK</v>
      </c>
      <c r="G5374" s="20" t="str">
        <f>IFERROR(__xludf.DUMMYFUNCTION("""COMPUTED_VALUE"""),"Uncle Sams Cider (11/12/2021) 02")</f>
        <v>Uncle Sams Cider (11/12/2021) 02</v>
      </c>
      <c r="H5374" s="19"/>
    </row>
    <row r="5375">
      <c r="A5375" s="9"/>
      <c r="B5375" s="15"/>
      <c r="C5375" s="9">
        <f>IFERROR(__xludf.DUMMYFUNCTION("""COMPUTED_VALUE"""),44549.1036480208)</f>
        <v>44549.10365</v>
      </c>
      <c r="D5375" s="15">
        <f>IFERROR(__xludf.DUMMYFUNCTION("""COMPUTED_VALUE"""),1.019)</f>
        <v>1.019</v>
      </c>
      <c r="E5375" s="16">
        <f>IFERROR(__xludf.DUMMYFUNCTION("""COMPUTED_VALUE"""),65.0)</f>
        <v>65</v>
      </c>
      <c r="F5375" s="19" t="str">
        <f>IFERROR(__xludf.DUMMYFUNCTION("""COMPUTED_VALUE"""),"BLACK")</f>
        <v>BLACK</v>
      </c>
      <c r="G5375" s="20" t="str">
        <f>IFERROR(__xludf.DUMMYFUNCTION("""COMPUTED_VALUE"""),"Uncle Sams Cider (11/12/2021) 02")</f>
        <v>Uncle Sams Cider (11/12/2021) 02</v>
      </c>
      <c r="H5375" s="19"/>
    </row>
    <row r="5376">
      <c r="A5376" s="9"/>
      <c r="B5376" s="15"/>
      <c r="C5376" s="9">
        <f>IFERROR(__xludf.DUMMYFUNCTION("""COMPUTED_VALUE"""),44549.0932269444)</f>
        <v>44549.09323</v>
      </c>
      <c r="D5376" s="15">
        <f>IFERROR(__xludf.DUMMYFUNCTION("""COMPUTED_VALUE"""),1.019)</f>
        <v>1.019</v>
      </c>
      <c r="E5376" s="16">
        <f>IFERROR(__xludf.DUMMYFUNCTION("""COMPUTED_VALUE"""),65.0)</f>
        <v>65</v>
      </c>
      <c r="F5376" s="19" t="str">
        <f>IFERROR(__xludf.DUMMYFUNCTION("""COMPUTED_VALUE"""),"BLACK")</f>
        <v>BLACK</v>
      </c>
      <c r="G5376" s="20" t="str">
        <f>IFERROR(__xludf.DUMMYFUNCTION("""COMPUTED_VALUE"""),"Uncle Sams Cider (11/12/2021) 02")</f>
        <v>Uncle Sams Cider (11/12/2021) 02</v>
      </c>
      <c r="H5376" s="19"/>
    </row>
    <row r="5377">
      <c r="A5377" s="9"/>
      <c r="B5377" s="15"/>
      <c r="C5377" s="9">
        <f>IFERROR(__xludf.DUMMYFUNCTION("""COMPUTED_VALUE"""),44549.082793449)</f>
        <v>44549.08279</v>
      </c>
      <c r="D5377" s="15">
        <f>IFERROR(__xludf.DUMMYFUNCTION("""COMPUTED_VALUE"""),1.018)</f>
        <v>1.018</v>
      </c>
      <c r="E5377" s="16">
        <f>IFERROR(__xludf.DUMMYFUNCTION("""COMPUTED_VALUE"""),65.0)</f>
        <v>65</v>
      </c>
      <c r="F5377" s="19" t="str">
        <f>IFERROR(__xludf.DUMMYFUNCTION("""COMPUTED_VALUE"""),"BLACK")</f>
        <v>BLACK</v>
      </c>
      <c r="G5377" s="20" t="str">
        <f>IFERROR(__xludf.DUMMYFUNCTION("""COMPUTED_VALUE"""),"Uncle Sams Cider (11/12/2021) 02")</f>
        <v>Uncle Sams Cider (11/12/2021) 02</v>
      </c>
      <c r="H5377" s="19"/>
    </row>
    <row r="5378">
      <c r="A5378" s="9"/>
      <c r="B5378" s="15"/>
      <c r="C5378" s="9">
        <f>IFERROR(__xludf.DUMMYFUNCTION("""COMPUTED_VALUE"""),44549.0723709374)</f>
        <v>44549.07237</v>
      </c>
      <c r="D5378" s="15">
        <f>IFERROR(__xludf.DUMMYFUNCTION("""COMPUTED_VALUE"""),1.018)</f>
        <v>1.018</v>
      </c>
      <c r="E5378" s="16">
        <f>IFERROR(__xludf.DUMMYFUNCTION("""COMPUTED_VALUE"""),65.0)</f>
        <v>65</v>
      </c>
      <c r="F5378" s="19" t="str">
        <f>IFERROR(__xludf.DUMMYFUNCTION("""COMPUTED_VALUE"""),"BLACK")</f>
        <v>BLACK</v>
      </c>
      <c r="G5378" s="20" t="str">
        <f>IFERROR(__xludf.DUMMYFUNCTION("""COMPUTED_VALUE"""),"Uncle Sams Cider (11/12/2021) 02")</f>
        <v>Uncle Sams Cider (11/12/2021) 02</v>
      </c>
      <c r="H5378" s="19"/>
    </row>
    <row r="5379">
      <c r="A5379" s="9"/>
      <c r="B5379" s="15"/>
      <c r="C5379" s="9">
        <f>IFERROR(__xludf.DUMMYFUNCTION("""COMPUTED_VALUE"""),44549.0619385069)</f>
        <v>44549.06194</v>
      </c>
      <c r="D5379" s="15">
        <f>IFERROR(__xludf.DUMMYFUNCTION("""COMPUTED_VALUE"""),1.019)</f>
        <v>1.019</v>
      </c>
      <c r="E5379" s="16">
        <f>IFERROR(__xludf.DUMMYFUNCTION("""COMPUTED_VALUE"""),65.0)</f>
        <v>65</v>
      </c>
      <c r="F5379" s="19" t="str">
        <f>IFERROR(__xludf.DUMMYFUNCTION("""COMPUTED_VALUE"""),"BLACK")</f>
        <v>BLACK</v>
      </c>
      <c r="G5379" s="20" t="str">
        <f>IFERROR(__xludf.DUMMYFUNCTION("""COMPUTED_VALUE"""),"Uncle Sams Cider (11/12/2021) 02")</f>
        <v>Uncle Sams Cider (11/12/2021) 02</v>
      </c>
      <c r="H5379" s="19"/>
    </row>
    <row r="5380">
      <c r="A5380" s="9"/>
      <c r="B5380" s="15"/>
      <c r="C5380" s="9">
        <f>IFERROR(__xludf.DUMMYFUNCTION("""COMPUTED_VALUE"""),44549.05151728)</f>
        <v>44549.05152</v>
      </c>
      <c r="D5380" s="15">
        <f>IFERROR(__xludf.DUMMYFUNCTION("""COMPUTED_VALUE"""),1.019)</f>
        <v>1.019</v>
      </c>
      <c r="E5380" s="16">
        <f>IFERROR(__xludf.DUMMYFUNCTION("""COMPUTED_VALUE"""),65.0)</f>
        <v>65</v>
      </c>
      <c r="F5380" s="19" t="str">
        <f>IFERROR(__xludf.DUMMYFUNCTION("""COMPUTED_VALUE"""),"BLACK")</f>
        <v>BLACK</v>
      </c>
      <c r="G5380" s="20" t="str">
        <f>IFERROR(__xludf.DUMMYFUNCTION("""COMPUTED_VALUE"""),"Uncle Sams Cider (11/12/2021) 02")</f>
        <v>Uncle Sams Cider (11/12/2021) 02</v>
      </c>
      <c r="H5380" s="19"/>
    </row>
    <row r="5381">
      <c r="A5381" s="9"/>
      <c r="B5381" s="15"/>
      <c r="C5381" s="9">
        <f>IFERROR(__xludf.DUMMYFUNCTION("""COMPUTED_VALUE"""),44549.0410849537)</f>
        <v>44549.04108</v>
      </c>
      <c r="D5381" s="15">
        <f>IFERROR(__xludf.DUMMYFUNCTION("""COMPUTED_VALUE"""),1.018)</f>
        <v>1.018</v>
      </c>
      <c r="E5381" s="16">
        <f>IFERROR(__xludf.DUMMYFUNCTION("""COMPUTED_VALUE"""),65.0)</f>
        <v>65</v>
      </c>
      <c r="F5381" s="19" t="str">
        <f>IFERROR(__xludf.DUMMYFUNCTION("""COMPUTED_VALUE"""),"BLACK")</f>
        <v>BLACK</v>
      </c>
      <c r="G5381" s="20" t="str">
        <f>IFERROR(__xludf.DUMMYFUNCTION("""COMPUTED_VALUE"""),"Uncle Sams Cider (11/12/2021) 02")</f>
        <v>Uncle Sams Cider (11/12/2021) 02</v>
      </c>
      <c r="H5381" s="19"/>
    </row>
    <row r="5382">
      <c r="A5382" s="9"/>
      <c r="B5382" s="15"/>
      <c r="C5382" s="9">
        <f>IFERROR(__xludf.DUMMYFUNCTION("""COMPUTED_VALUE"""),44549.0306503935)</f>
        <v>44549.03065</v>
      </c>
      <c r="D5382" s="15">
        <f>IFERROR(__xludf.DUMMYFUNCTION("""COMPUTED_VALUE"""),1.018)</f>
        <v>1.018</v>
      </c>
      <c r="E5382" s="16">
        <f>IFERROR(__xludf.DUMMYFUNCTION("""COMPUTED_VALUE"""),65.0)</f>
        <v>65</v>
      </c>
      <c r="F5382" s="19" t="str">
        <f>IFERROR(__xludf.DUMMYFUNCTION("""COMPUTED_VALUE"""),"BLACK")</f>
        <v>BLACK</v>
      </c>
      <c r="G5382" s="20" t="str">
        <f>IFERROR(__xludf.DUMMYFUNCTION("""COMPUTED_VALUE"""),"Uncle Sams Cider (11/12/2021) 02")</f>
        <v>Uncle Sams Cider (11/12/2021) 02</v>
      </c>
      <c r="H5382" s="19"/>
    </row>
    <row r="5383">
      <c r="A5383" s="9"/>
      <c r="B5383" s="15"/>
      <c r="C5383" s="9">
        <f>IFERROR(__xludf.DUMMYFUNCTION("""COMPUTED_VALUE"""),44549.0202172453)</f>
        <v>44549.02022</v>
      </c>
      <c r="D5383" s="15">
        <f>IFERROR(__xludf.DUMMYFUNCTION("""COMPUTED_VALUE"""),1.019)</f>
        <v>1.019</v>
      </c>
      <c r="E5383" s="16">
        <f>IFERROR(__xludf.DUMMYFUNCTION("""COMPUTED_VALUE"""),65.0)</f>
        <v>65</v>
      </c>
      <c r="F5383" s="19" t="str">
        <f>IFERROR(__xludf.DUMMYFUNCTION("""COMPUTED_VALUE"""),"BLACK")</f>
        <v>BLACK</v>
      </c>
      <c r="G5383" s="20" t="str">
        <f>IFERROR(__xludf.DUMMYFUNCTION("""COMPUTED_VALUE"""),"Uncle Sams Cider (11/12/2021) 02")</f>
        <v>Uncle Sams Cider (11/12/2021) 02</v>
      </c>
      <c r="H5383" s="19"/>
    </row>
    <row r="5384">
      <c r="A5384" s="9"/>
      <c r="B5384" s="15"/>
      <c r="C5384" s="9">
        <f>IFERROR(__xludf.DUMMYFUNCTION("""COMPUTED_VALUE"""),44549.0097832638)</f>
        <v>44549.00978</v>
      </c>
      <c r="D5384" s="15">
        <f>IFERROR(__xludf.DUMMYFUNCTION("""COMPUTED_VALUE"""),1.019)</f>
        <v>1.019</v>
      </c>
      <c r="E5384" s="16">
        <f>IFERROR(__xludf.DUMMYFUNCTION("""COMPUTED_VALUE"""),65.0)</f>
        <v>65</v>
      </c>
      <c r="F5384" s="19" t="str">
        <f>IFERROR(__xludf.DUMMYFUNCTION("""COMPUTED_VALUE"""),"BLACK")</f>
        <v>BLACK</v>
      </c>
      <c r="G5384" s="20" t="str">
        <f>IFERROR(__xludf.DUMMYFUNCTION("""COMPUTED_VALUE"""),"Uncle Sams Cider (11/12/2021) 02")</f>
        <v>Uncle Sams Cider (11/12/2021) 02</v>
      </c>
      <c r="H5384" s="19"/>
    </row>
    <row r="5385">
      <c r="A5385" s="9"/>
      <c r="B5385" s="15"/>
      <c r="C5385" s="9">
        <f>IFERROR(__xludf.DUMMYFUNCTION("""COMPUTED_VALUE"""),44548.9993511458)</f>
        <v>44548.99935</v>
      </c>
      <c r="D5385" s="15">
        <f>IFERROR(__xludf.DUMMYFUNCTION("""COMPUTED_VALUE"""),1.018)</f>
        <v>1.018</v>
      </c>
      <c r="E5385" s="16">
        <f>IFERROR(__xludf.DUMMYFUNCTION("""COMPUTED_VALUE"""),65.0)</f>
        <v>65</v>
      </c>
      <c r="F5385" s="19" t="str">
        <f>IFERROR(__xludf.DUMMYFUNCTION("""COMPUTED_VALUE"""),"BLACK")</f>
        <v>BLACK</v>
      </c>
      <c r="G5385" s="20" t="str">
        <f>IFERROR(__xludf.DUMMYFUNCTION("""COMPUTED_VALUE"""),"Uncle Sams Cider (11/12/2021) 02")</f>
        <v>Uncle Sams Cider (11/12/2021) 02</v>
      </c>
      <c r="H5385" s="19"/>
    </row>
    <row r="5386">
      <c r="A5386" s="9"/>
      <c r="B5386" s="15"/>
      <c r="C5386" s="9">
        <f>IFERROR(__xludf.DUMMYFUNCTION("""COMPUTED_VALUE"""),44548.9889294097)</f>
        <v>44548.98893</v>
      </c>
      <c r="D5386" s="15">
        <f>IFERROR(__xludf.DUMMYFUNCTION("""COMPUTED_VALUE"""),1.019)</f>
        <v>1.019</v>
      </c>
      <c r="E5386" s="16">
        <f>IFERROR(__xludf.DUMMYFUNCTION("""COMPUTED_VALUE"""),65.0)</f>
        <v>65</v>
      </c>
      <c r="F5386" s="19" t="str">
        <f>IFERROR(__xludf.DUMMYFUNCTION("""COMPUTED_VALUE"""),"BLACK")</f>
        <v>BLACK</v>
      </c>
      <c r="G5386" s="20" t="str">
        <f>IFERROR(__xludf.DUMMYFUNCTION("""COMPUTED_VALUE"""),"Uncle Sams Cider (11/12/2021) 02")</f>
        <v>Uncle Sams Cider (11/12/2021) 02</v>
      </c>
      <c r="H5386" s="19"/>
    </row>
    <row r="5387">
      <c r="A5387" s="9"/>
      <c r="B5387" s="15"/>
      <c r="C5387" s="9">
        <f>IFERROR(__xludf.DUMMYFUNCTION("""COMPUTED_VALUE"""),44548.9785084606)</f>
        <v>44548.97851</v>
      </c>
      <c r="D5387" s="15">
        <f>IFERROR(__xludf.DUMMYFUNCTION("""COMPUTED_VALUE"""),1.019)</f>
        <v>1.019</v>
      </c>
      <c r="E5387" s="16">
        <f>IFERROR(__xludf.DUMMYFUNCTION("""COMPUTED_VALUE"""),65.0)</f>
        <v>65</v>
      </c>
      <c r="F5387" s="19" t="str">
        <f>IFERROR(__xludf.DUMMYFUNCTION("""COMPUTED_VALUE"""),"BLACK")</f>
        <v>BLACK</v>
      </c>
      <c r="G5387" s="20" t="str">
        <f>IFERROR(__xludf.DUMMYFUNCTION("""COMPUTED_VALUE"""),"Uncle Sams Cider (11/12/2021) 02")</f>
        <v>Uncle Sams Cider (11/12/2021) 02</v>
      </c>
      <c r="H5387" s="19"/>
    </row>
    <row r="5388">
      <c r="A5388" s="9"/>
      <c r="B5388" s="15"/>
      <c r="C5388" s="9">
        <f>IFERROR(__xludf.DUMMYFUNCTION("""COMPUTED_VALUE"""),44548.9680862152)</f>
        <v>44548.96809</v>
      </c>
      <c r="D5388" s="15">
        <f>IFERROR(__xludf.DUMMYFUNCTION("""COMPUTED_VALUE"""),1.019)</f>
        <v>1.019</v>
      </c>
      <c r="E5388" s="16">
        <f>IFERROR(__xludf.DUMMYFUNCTION("""COMPUTED_VALUE"""),65.0)</f>
        <v>65</v>
      </c>
      <c r="F5388" s="19" t="str">
        <f>IFERROR(__xludf.DUMMYFUNCTION("""COMPUTED_VALUE"""),"BLACK")</f>
        <v>BLACK</v>
      </c>
      <c r="G5388" s="20" t="str">
        <f>IFERROR(__xludf.DUMMYFUNCTION("""COMPUTED_VALUE"""),"Uncle Sams Cider (11/12/2021) 02")</f>
        <v>Uncle Sams Cider (11/12/2021) 02</v>
      </c>
      <c r="H5388" s="19"/>
    </row>
    <row r="5389">
      <c r="A5389" s="9"/>
      <c r="B5389" s="15"/>
      <c r="C5389" s="9">
        <f>IFERROR(__xludf.DUMMYFUNCTION("""COMPUTED_VALUE"""),44548.9576545486)</f>
        <v>44548.95765</v>
      </c>
      <c r="D5389" s="15">
        <f>IFERROR(__xludf.DUMMYFUNCTION("""COMPUTED_VALUE"""),1.019)</f>
        <v>1.019</v>
      </c>
      <c r="E5389" s="16">
        <f>IFERROR(__xludf.DUMMYFUNCTION("""COMPUTED_VALUE"""),65.0)</f>
        <v>65</v>
      </c>
      <c r="F5389" s="19" t="str">
        <f>IFERROR(__xludf.DUMMYFUNCTION("""COMPUTED_VALUE"""),"BLACK")</f>
        <v>BLACK</v>
      </c>
      <c r="G5389" s="20" t="str">
        <f>IFERROR(__xludf.DUMMYFUNCTION("""COMPUTED_VALUE"""),"Uncle Sams Cider (11/12/2021) 02")</f>
        <v>Uncle Sams Cider (11/12/2021) 02</v>
      </c>
      <c r="H5389" s="19"/>
    </row>
    <row r="5390">
      <c r="A5390" s="9"/>
      <c r="B5390" s="15"/>
      <c r="C5390" s="9">
        <f>IFERROR(__xludf.DUMMYFUNCTION("""COMPUTED_VALUE"""),44548.947188368)</f>
        <v>44548.94719</v>
      </c>
      <c r="D5390" s="15">
        <f>IFERROR(__xludf.DUMMYFUNCTION("""COMPUTED_VALUE"""),1.019)</f>
        <v>1.019</v>
      </c>
      <c r="E5390" s="16">
        <f>IFERROR(__xludf.DUMMYFUNCTION("""COMPUTED_VALUE"""),65.0)</f>
        <v>65</v>
      </c>
      <c r="F5390" s="19" t="str">
        <f>IFERROR(__xludf.DUMMYFUNCTION("""COMPUTED_VALUE"""),"BLACK")</f>
        <v>BLACK</v>
      </c>
      <c r="G5390" s="20" t="str">
        <f>IFERROR(__xludf.DUMMYFUNCTION("""COMPUTED_VALUE"""),"Uncle Sams Cider (11/12/2021) 02")</f>
        <v>Uncle Sams Cider (11/12/2021) 02</v>
      </c>
      <c r="H5390" s="19"/>
    </row>
    <row r="5391">
      <c r="A5391" s="9"/>
      <c r="B5391" s="15"/>
      <c r="C5391" s="9">
        <f>IFERROR(__xludf.DUMMYFUNCTION("""COMPUTED_VALUE"""),44548.9367555786)</f>
        <v>44548.93676</v>
      </c>
      <c r="D5391" s="15">
        <f>IFERROR(__xludf.DUMMYFUNCTION("""COMPUTED_VALUE"""),1.019)</f>
        <v>1.019</v>
      </c>
      <c r="E5391" s="16">
        <f>IFERROR(__xludf.DUMMYFUNCTION("""COMPUTED_VALUE"""),65.0)</f>
        <v>65</v>
      </c>
      <c r="F5391" s="19" t="str">
        <f>IFERROR(__xludf.DUMMYFUNCTION("""COMPUTED_VALUE"""),"BLACK")</f>
        <v>BLACK</v>
      </c>
      <c r="G5391" s="20" t="str">
        <f>IFERROR(__xludf.DUMMYFUNCTION("""COMPUTED_VALUE"""),"Uncle Sams Cider (11/12/2021) 02")</f>
        <v>Uncle Sams Cider (11/12/2021) 02</v>
      </c>
      <c r="H5391" s="19"/>
    </row>
    <row r="5392">
      <c r="A5392" s="9"/>
      <c r="B5392" s="15"/>
      <c r="C5392" s="9">
        <f>IFERROR(__xludf.DUMMYFUNCTION("""COMPUTED_VALUE"""),44548.9263334375)</f>
        <v>44548.92633</v>
      </c>
      <c r="D5392" s="15">
        <f>IFERROR(__xludf.DUMMYFUNCTION("""COMPUTED_VALUE"""),1.019)</f>
        <v>1.019</v>
      </c>
      <c r="E5392" s="16">
        <f>IFERROR(__xludf.DUMMYFUNCTION("""COMPUTED_VALUE"""),65.0)</f>
        <v>65</v>
      </c>
      <c r="F5392" s="19" t="str">
        <f>IFERROR(__xludf.DUMMYFUNCTION("""COMPUTED_VALUE"""),"BLACK")</f>
        <v>BLACK</v>
      </c>
      <c r="G5392" s="20" t="str">
        <f>IFERROR(__xludf.DUMMYFUNCTION("""COMPUTED_VALUE"""),"Uncle Sams Cider (11/12/2021) 02")</f>
        <v>Uncle Sams Cider (11/12/2021) 02</v>
      </c>
      <c r="H5392" s="19"/>
    </row>
    <row r="5393">
      <c r="A5393" s="9"/>
      <c r="B5393" s="15"/>
      <c r="C5393" s="9">
        <f>IFERROR(__xludf.DUMMYFUNCTION("""COMPUTED_VALUE"""),44548.9158888541)</f>
        <v>44548.91589</v>
      </c>
      <c r="D5393" s="15">
        <f>IFERROR(__xludf.DUMMYFUNCTION("""COMPUTED_VALUE"""),1.019)</f>
        <v>1.019</v>
      </c>
      <c r="E5393" s="16">
        <f>IFERROR(__xludf.DUMMYFUNCTION("""COMPUTED_VALUE"""),65.0)</f>
        <v>65</v>
      </c>
      <c r="F5393" s="19" t="str">
        <f>IFERROR(__xludf.DUMMYFUNCTION("""COMPUTED_VALUE"""),"BLACK")</f>
        <v>BLACK</v>
      </c>
      <c r="G5393" s="20" t="str">
        <f>IFERROR(__xludf.DUMMYFUNCTION("""COMPUTED_VALUE"""),"Uncle Sams Cider (11/12/2021) 02")</f>
        <v>Uncle Sams Cider (11/12/2021) 02</v>
      </c>
      <c r="H5393" s="19"/>
    </row>
    <row r="5394">
      <c r="A5394" s="9"/>
      <c r="B5394" s="15"/>
      <c r="C5394" s="9">
        <f>IFERROR(__xludf.DUMMYFUNCTION("""COMPUTED_VALUE"""),44548.9054562037)</f>
        <v>44548.90546</v>
      </c>
      <c r="D5394" s="15">
        <f>IFERROR(__xludf.DUMMYFUNCTION("""COMPUTED_VALUE"""),1.019)</f>
        <v>1.019</v>
      </c>
      <c r="E5394" s="16">
        <f>IFERROR(__xludf.DUMMYFUNCTION("""COMPUTED_VALUE"""),65.0)</f>
        <v>65</v>
      </c>
      <c r="F5394" s="19" t="str">
        <f>IFERROR(__xludf.DUMMYFUNCTION("""COMPUTED_VALUE"""),"BLACK")</f>
        <v>BLACK</v>
      </c>
      <c r="G5394" s="20" t="str">
        <f>IFERROR(__xludf.DUMMYFUNCTION("""COMPUTED_VALUE"""),"Uncle Sams Cider (11/12/2021) 02")</f>
        <v>Uncle Sams Cider (11/12/2021) 02</v>
      </c>
      <c r="H5394" s="19"/>
    </row>
    <row r="5395">
      <c r="A5395" s="9"/>
      <c r="B5395" s="15"/>
      <c r="C5395" s="9">
        <f>IFERROR(__xludf.DUMMYFUNCTION("""COMPUTED_VALUE"""),44548.8950243055)</f>
        <v>44548.89502</v>
      </c>
      <c r="D5395" s="15">
        <f>IFERROR(__xludf.DUMMYFUNCTION("""COMPUTED_VALUE"""),1.019)</f>
        <v>1.019</v>
      </c>
      <c r="E5395" s="16">
        <f>IFERROR(__xludf.DUMMYFUNCTION("""COMPUTED_VALUE"""),66.0)</f>
        <v>66</v>
      </c>
      <c r="F5395" s="19" t="str">
        <f>IFERROR(__xludf.DUMMYFUNCTION("""COMPUTED_VALUE"""),"BLACK")</f>
        <v>BLACK</v>
      </c>
      <c r="G5395" s="20" t="str">
        <f>IFERROR(__xludf.DUMMYFUNCTION("""COMPUTED_VALUE"""),"Uncle Sams Cider (11/12/2021) 02")</f>
        <v>Uncle Sams Cider (11/12/2021) 02</v>
      </c>
      <c r="H5395" s="19"/>
    </row>
    <row r="5396">
      <c r="A5396" s="9"/>
      <c r="B5396" s="15"/>
      <c r="C5396" s="9">
        <f>IFERROR(__xludf.DUMMYFUNCTION("""COMPUTED_VALUE"""),44548.8845936805)</f>
        <v>44548.88459</v>
      </c>
      <c r="D5396" s="15">
        <f>IFERROR(__xludf.DUMMYFUNCTION("""COMPUTED_VALUE"""),1.018)</f>
        <v>1.018</v>
      </c>
      <c r="E5396" s="16">
        <f>IFERROR(__xludf.DUMMYFUNCTION("""COMPUTED_VALUE"""),65.0)</f>
        <v>65</v>
      </c>
      <c r="F5396" s="19" t="str">
        <f>IFERROR(__xludf.DUMMYFUNCTION("""COMPUTED_VALUE"""),"BLACK")</f>
        <v>BLACK</v>
      </c>
      <c r="G5396" s="20" t="str">
        <f>IFERROR(__xludf.DUMMYFUNCTION("""COMPUTED_VALUE"""),"Uncle Sams Cider (11/12/2021) 02")</f>
        <v>Uncle Sams Cider (11/12/2021) 02</v>
      </c>
      <c r="H5396" s="19"/>
    </row>
    <row r="5397">
      <c r="A5397" s="9"/>
      <c r="B5397" s="15"/>
      <c r="C5397" s="9">
        <f>IFERROR(__xludf.DUMMYFUNCTION("""COMPUTED_VALUE"""),44548.8741717129)</f>
        <v>44548.87417</v>
      </c>
      <c r="D5397" s="15">
        <f>IFERROR(__xludf.DUMMYFUNCTION("""COMPUTED_VALUE"""),1.019)</f>
        <v>1.019</v>
      </c>
      <c r="E5397" s="16">
        <f>IFERROR(__xludf.DUMMYFUNCTION("""COMPUTED_VALUE"""),65.0)</f>
        <v>65</v>
      </c>
      <c r="F5397" s="19" t="str">
        <f>IFERROR(__xludf.DUMMYFUNCTION("""COMPUTED_VALUE"""),"BLACK")</f>
        <v>BLACK</v>
      </c>
      <c r="G5397" s="20" t="str">
        <f>IFERROR(__xludf.DUMMYFUNCTION("""COMPUTED_VALUE"""),"Uncle Sams Cider (11/12/2021) 02")</f>
        <v>Uncle Sams Cider (11/12/2021) 02</v>
      </c>
      <c r="H5397" s="19"/>
    </row>
    <row r="5398">
      <c r="A5398" s="9"/>
      <c r="B5398" s="15"/>
      <c r="C5398" s="9">
        <f>IFERROR(__xludf.DUMMYFUNCTION("""COMPUTED_VALUE"""),44548.8637273726)</f>
        <v>44548.86373</v>
      </c>
      <c r="D5398" s="15">
        <f>IFERROR(__xludf.DUMMYFUNCTION("""COMPUTED_VALUE"""),1.019)</f>
        <v>1.019</v>
      </c>
      <c r="E5398" s="16">
        <f>IFERROR(__xludf.DUMMYFUNCTION("""COMPUTED_VALUE"""),65.0)</f>
        <v>65</v>
      </c>
      <c r="F5398" s="19" t="str">
        <f>IFERROR(__xludf.DUMMYFUNCTION("""COMPUTED_VALUE"""),"BLACK")</f>
        <v>BLACK</v>
      </c>
      <c r="G5398" s="20" t="str">
        <f>IFERROR(__xludf.DUMMYFUNCTION("""COMPUTED_VALUE"""),"Uncle Sams Cider (11/12/2021) 02")</f>
        <v>Uncle Sams Cider (11/12/2021) 02</v>
      </c>
      <c r="H5398" s="19"/>
    </row>
    <row r="5399">
      <c r="A5399" s="9"/>
      <c r="B5399" s="15"/>
      <c r="C5399" s="9">
        <f>IFERROR(__xludf.DUMMYFUNCTION("""COMPUTED_VALUE"""),44548.8533064583)</f>
        <v>44548.85331</v>
      </c>
      <c r="D5399" s="15">
        <f>IFERROR(__xludf.DUMMYFUNCTION("""COMPUTED_VALUE"""),1.019)</f>
        <v>1.019</v>
      </c>
      <c r="E5399" s="16">
        <f>IFERROR(__xludf.DUMMYFUNCTION("""COMPUTED_VALUE"""),65.0)</f>
        <v>65</v>
      </c>
      <c r="F5399" s="19" t="str">
        <f>IFERROR(__xludf.DUMMYFUNCTION("""COMPUTED_VALUE"""),"BLACK")</f>
        <v>BLACK</v>
      </c>
      <c r="G5399" s="20" t="str">
        <f>IFERROR(__xludf.DUMMYFUNCTION("""COMPUTED_VALUE"""),"Uncle Sams Cider (11/12/2021) 02")</f>
        <v>Uncle Sams Cider (11/12/2021) 02</v>
      </c>
      <c r="H5399" s="19"/>
    </row>
    <row r="5400">
      <c r="A5400" s="9"/>
      <c r="B5400" s="15"/>
      <c r="C5400" s="9">
        <f>IFERROR(__xludf.DUMMYFUNCTION("""COMPUTED_VALUE"""),44548.84288478)</f>
        <v>44548.84288</v>
      </c>
      <c r="D5400" s="15">
        <f>IFERROR(__xludf.DUMMYFUNCTION("""COMPUTED_VALUE"""),1.019)</f>
        <v>1.019</v>
      </c>
      <c r="E5400" s="16">
        <f>IFERROR(__xludf.DUMMYFUNCTION("""COMPUTED_VALUE"""),65.0)</f>
        <v>65</v>
      </c>
      <c r="F5400" s="19" t="str">
        <f>IFERROR(__xludf.DUMMYFUNCTION("""COMPUTED_VALUE"""),"BLACK")</f>
        <v>BLACK</v>
      </c>
      <c r="G5400" s="20" t="str">
        <f>IFERROR(__xludf.DUMMYFUNCTION("""COMPUTED_VALUE"""),"Uncle Sams Cider (11/12/2021) 02")</f>
        <v>Uncle Sams Cider (11/12/2021) 02</v>
      </c>
      <c r="H5400" s="19"/>
    </row>
    <row r="5401">
      <c r="A5401" s="9"/>
      <c r="B5401" s="15"/>
      <c r="C5401" s="9">
        <f>IFERROR(__xludf.DUMMYFUNCTION("""COMPUTED_VALUE"""),44548.8324497106)</f>
        <v>44548.83245</v>
      </c>
      <c r="D5401" s="15">
        <f>IFERROR(__xludf.DUMMYFUNCTION("""COMPUTED_VALUE"""),1.019)</f>
        <v>1.019</v>
      </c>
      <c r="E5401" s="16">
        <f>IFERROR(__xludf.DUMMYFUNCTION("""COMPUTED_VALUE"""),66.0)</f>
        <v>66</v>
      </c>
      <c r="F5401" s="19" t="str">
        <f>IFERROR(__xludf.DUMMYFUNCTION("""COMPUTED_VALUE"""),"BLACK")</f>
        <v>BLACK</v>
      </c>
      <c r="G5401" s="20" t="str">
        <f>IFERROR(__xludf.DUMMYFUNCTION("""COMPUTED_VALUE"""),"Uncle Sams Cider (11/12/2021) 02")</f>
        <v>Uncle Sams Cider (11/12/2021) 02</v>
      </c>
      <c r="H5401" s="19"/>
    </row>
    <row r="5402">
      <c r="A5402" s="9"/>
      <c r="B5402" s="15"/>
      <c r="C5402" s="9">
        <f>IFERROR(__xludf.DUMMYFUNCTION("""COMPUTED_VALUE"""),44548.8220144328)</f>
        <v>44548.82201</v>
      </c>
      <c r="D5402" s="15">
        <f>IFERROR(__xludf.DUMMYFUNCTION("""COMPUTED_VALUE"""),1.019)</f>
        <v>1.019</v>
      </c>
      <c r="E5402" s="16">
        <f>IFERROR(__xludf.DUMMYFUNCTION("""COMPUTED_VALUE"""),65.0)</f>
        <v>65</v>
      </c>
      <c r="F5402" s="19" t="str">
        <f>IFERROR(__xludf.DUMMYFUNCTION("""COMPUTED_VALUE"""),"BLACK")</f>
        <v>BLACK</v>
      </c>
      <c r="G5402" s="20" t="str">
        <f>IFERROR(__xludf.DUMMYFUNCTION("""COMPUTED_VALUE"""),"Uncle Sams Cider (11/12/2021) 02")</f>
        <v>Uncle Sams Cider (11/12/2021) 02</v>
      </c>
      <c r="H5402" s="19"/>
    </row>
    <row r="5403">
      <c r="A5403" s="9"/>
      <c r="B5403" s="15"/>
      <c r="C5403" s="9">
        <f>IFERROR(__xludf.DUMMYFUNCTION("""COMPUTED_VALUE"""),44548.8115813194)</f>
        <v>44548.81158</v>
      </c>
      <c r="D5403" s="15">
        <f>IFERROR(__xludf.DUMMYFUNCTION("""COMPUTED_VALUE"""),1.019)</f>
        <v>1.019</v>
      </c>
      <c r="E5403" s="16">
        <f>IFERROR(__xludf.DUMMYFUNCTION("""COMPUTED_VALUE"""),66.0)</f>
        <v>66</v>
      </c>
      <c r="F5403" s="19" t="str">
        <f>IFERROR(__xludf.DUMMYFUNCTION("""COMPUTED_VALUE"""),"BLACK")</f>
        <v>BLACK</v>
      </c>
      <c r="G5403" s="20" t="str">
        <f>IFERROR(__xludf.DUMMYFUNCTION("""COMPUTED_VALUE"""),"Uncle Sams Cider (11/12/2021) 02")</f>
        <v>Uncle Sams Cider (11/12/2021) 02</v>
      </c>
      <c r="H5403" s="19"/>
    </row>
    <row r="5404">
      <c r="A5404" s="9"/>
      <c r="B5404" s="15"/>
      <c r="C5404" s="9">
        <f>IFERROR(__xludf.DUMMYFUNCTION("""COMPUTED_VALUE"""),44548.8011584259)</f>
        <v>44548.80116</v>
      </c>
      <c r="D5404" s="15">
        <f>IFERROR(__xludf.DUMMYFUNCTION("""COMPUTED_VALUE"""),1.019)</f>
        <v>1.019</v>
      </c>
      <c r="E5404" s="16">
        <f>IFERROR(__xludf.DUMMYFUNCTION("""COMPUTED_VALUE"""),66.0)</f>
        <v>66</v>
      </c>
      <c r="F5404" s="19" t="str">
        <f>IFERROR(__xludf.DUMMYFUNCTION("""COMPUTED_VALUE"""),"BLACK")</f>
        <v>BLACK</v>
      </c>
      <c r="G5404" s="20" t="str">
        <f>IFERROR(__xludf.DUMMYFUNCTION("""COMPUTED_VALUE"""),"Uncle Sams Cider (11/12/2021) 02")</f>
        <v>Uncle Sams Cider (11/12/2021) 02</v>
      </c>
      <c r="H5404" s="19"/>
    </row>
    <row r="5405">
      <c r="A5405" s="9"/>
      <c r="B5405" s="15"/>
      <c r="C5405" s="9">
        <f>IFERROR(__xludf.DUMMYFUNCTION("""COMPUTED_VALUE"""),44548.790735949)</f>
        <v>44548.79074</v>
      </c>
      <c r="D5405" s="15">
        <f>IFERROR(__xludf.DUMMYFUNCTION("""COMPUTED_VALUE"""),1.019)</f>
        <v>1.019</v>
      </c>
      <c r="E5405" s="16">
        <f>IFERROR(__xludf.DUMMYFUNCTION("""COMPUTED_VALUE"""),66.0)</f>
        <v>66</v>
      </c>
      <c r="F5405" s="19" t="str">
        <f>IFERROR(__xludf.DUMMYFUNCTION("""COMPUTED_VALUE"""),"BLACK")</f>
        <v>BLACK</v>
      </c>
      <c r="G5405" s="20" t="str">
        <f>IFERROR(__xludf.DUMMYFUNCTION("""COMPUTED_VALUE"""),"Uncle Sams Cider (11/12/2021) 02")</f>
        <v>Uncle Sams Cider (11/12/2021) 02</v>
      </c>
      <c r="H5405" s="19"/>
    </row>
    <row r="5406">
      <c r="A5406" s="9"/>
      <c r="B5406" s="15"/>
      <c r="C5406" s="9">
        <f>IFERROR(__xludf.DUMMYFUNCTION("""COMPUTED_VALUE"""),44548.7803162731)</f>
        <v>44548.78032</v>
      </c>
      <c r="D5406" s="15">
        <f>IFERROR(__xludf.DUMMYFUNCTION("""COMPUTED_VALUE"""),1.019)</f>
        <v>1.019</v>
      </c>
      <c r="E5406" s="16">
        <f>IFERROR(__xludf.DUMMYFUNCTION("""COMPUTED_VALUE"""),66.0)</f>
        <v>66</v>
      </c>
      <c r="F5406" s="19" t="str">
        <f>IFERROR(__xludf.DUMMYFUNCTION("""COMPUTED_VALUE"""),"BLACK")</f>
        <v>BLACK</v>
      </c>
      <c r="G5406" s="20" t="str">
        <f>IFERROR(__xludf.DUMMYFUNCTION("""COMPUTED_VALUE"""),"Uncle Sams Cider (11/12/2021) 02")</f>
        <v>Uncle Sams Cider (11/12/2021) 02</v>
      </c>
      <c r="H5406" s="19"/>
    </row>
    <row r="5407">
      <c r="A5407" s="9"/>
      <c r="B5407" s="15"/>
      <c r="C5407" s="9">
        <f>IFERROR(__xludf.DUMMYFUNCTION("""COMPUTED_VALUE"""),44548.7698962731)</f>
        <v>44548.7699</v>
      </c>
      <c r="D5407" s="15">
        <f>IFERROR(__xludf.DUMMYFUNCTION("""COMPUTED_VALUE"""),1.019)</f>
        <v>1.019</v>
      </c>
      <c r="E5407" s="16">
        <f>IFERROR(__xludf.DUMMYFUNCTION("""COMPUTED_VALUE"""),66.0)</f>
        <v>66</v>
      </c>
      <c r="F5407" s="19" t="str">
        <f>IFERROR(__xludf.DUMMYFUNCTION("""COMPUTED_VALUE"""),"BLACK")</f>
        <v>BLACK</v>
      </c>
      <c r="G5407" s="20" t="str">
        <f>IFERROR(__xludf.DUMMYFUNCTION("""COMPUTED_VALUE"""),"Uncle Sams Cider (11/12/2021) 02")</f>
        <v>Uncle Sams Cider (11/12/2021) 02</v>
      </c>
      <c r="H5407" s="19"/>
    </row>
    <row r="5408">
      <c r="A5408" s="9"/>
      <c r="B5408" s="15"/>
      <c r="C5408" s="9">
        <f>IFERROR(__xludf.DUMMYFUNCTION("""COMPUTED_VALUE"""),44548.7594739236)</f>
        <v>44548.75947</v>
      </c>
      <c r="D5408" s="15">
        <f>IFERROR(__xludf.DUMMYFUNCTION("""COMPUTED_VALUE"""),1.019)</f>
        <v>1.019</v>
      </c>
      <c r="E5408" s="16">
        <f>IFERROR(__xludf.DUMMYFUNCTION("""COMPUTED_VALUE"""),66.0)</f>
        <v>66</v>
      </c>
      <c r="F5408" s="19" t="str">
        <f>IFERROR(__xludf.DUMMYFUNCTION("""COMPUTED_VALUE"""),"BLACK")</f>
        <v>BLACK</v>
      </c>
      <c r="G5408" s="20" t="str">
        <f>IFERROR(__xludf.DUMMYFUNCTION("""COMPUTED_VALUE"""),"Uncle Sams Cider (11/12/2021) 02")</f>
        <v>Uncle Sams Cider (11/12/2021) 02</v>
      </c>
      <c r="H5408" s="19"/>
    </row>
    <row r="5409">
      <c r="A5409" s="9"/>
      <c r="B5409" s="15"/>
      <c r="C5409" s="9">
        <f>IFERROR(__xludf.DUMMYFUNCTION("""COMPUTED_VALUE"""),44548.7490520254)</f>
        <v>44548.74905</v>
      </c>
      <c r="D5409" s="15">
        <f>IFERROR(__xludf.DUMMYFUNCTION("""COMPUTED_VALUE"""),1.019)</f>
        <v>1.019</v>
      </c>
      <c r="E5409" s="16">
        <f>IFERROR(__xludf.DUMMYFUNCTION("""COMPUTED_VALUE"""),66.0)</f>
        <v>66</v>
      </c>
      <c r="F5409" s="19" t="str">
        <f>IFERROR(__xludf.DUMMYFUNCTION("""COMPUTED_VALUE"""),"BLACK")</f>
        <v>BLACK</v>
      </c>
      <c r="G5409" s="20" t="str">
        <f>IFERROR(__xludf.DUMMYFUNCTION("""COMPUTED_VALUE"""),"Uncle Sams Cider (11/12/2021) 02")</f>
        <v>Uncle Sams Cider (11/12/2021) 02</v>
      </c>
      <c r="H5409" s="19"/>
    </row>
    <row r="5410">
      <c r="A5410" s="9"/>
      <c r="B5410" s="15"/>
      <c r="C5410" s="9">
        <f>IFERROR(__xludf.DUMMYFUNCTION("""COMPUTED_VALUE"""),44548.7281747569)</f>
        <v>44548.72817</v>
      </c>
      <c r="D5410" s="15">
        <f>IFERROR(__xludf.DUMMYFUNCTION("""COMPUTED_VALUE"""),1.019)</f>
        <v>1.019</v>
      </c>
      <c r="E5410" s="16">
        <f>IFERROR(__xludf.DUMMYFUNCTION("""COMPUTED_VALUE"""),65.0)</f>
        <v>65</v>
      </c>
      <c r="F5410" s="19" t="str">
        <f>IFERROR(__xludf.DUMMYFUNCTION("""COMPUTED_VALUE"""),"BLACK")</f>
        <v>BLACK</v>
      </c>
      <c r="G5410" s="20" t="str">
        <f>IFERROR(__xludf.DUMMYFUNCTION("""COMPUTED_VALUE"""),"Uncle Sams Cider (11/12/2021) 02")</f>
        <v>Uncle Sams Cider (11/12/2021) 02</v>
      </c>
      <c r="H5410" s="19"/>
    </row>
    <row r="5411">
      <c r="A5411" s="9"/>
      <c r="B5411" s="15"/>
      <c r="C5411" s="9">
        <f>IFERROR(__xludf.DUMMYFUNCTION("""COMPUTED_VALUE"""),44548.7177420486)</f>
        <v>44548.71774</v>
      </c>
      <c r="D5411" s="15">
        <f>IFERROR(__xludf.DUMMYFUNCTION("""COMPUTED_VALUE"""),1.019)</f>
        <v>1.019</v>
      </c>
      <c r="E5411" s="16">
        <f>IFERROR(__xludf.DUMMYFUNCTION("""COMPUTED_VALUE"""),66.0)</f>
        <v>66</v>
      </c>
      <c r="F5411" s="19" t="str">
        <f>IFERROR(__xludf.DUMMYFUNCTION("""COMPUTED_VALUE"""),"BLACK")</f>
        <v>BLACK</v>
      </c>
      <c r="G5411" s="20" t="str">
        <f>IFERROR(__xludf.DUMMYFUNCTION("""COMPUTED_VALUE"""),"Uncle Sams Cider (11/12/2021) 02")</f>
        <v>Uncle Sams Cider (11/12/2021) 02</v>
      </c>
      <c r="H5411" s="19"/>
    </row>
    <row r="5412">
      <c r="A5412" s="9"/>
      <c r="B5412" s="15"/>
      <c r="C5412" s="9">
        <f>IFERROR(__xludf.DUMMYFUNCTION("""COMPUTED_VALUE"""),44548.7072985532)</f>
        <v>44548.7073</v>
      </c>
      <c r="D5412" s="15">
        <f>IFERROR(__xludf.DUMMYFUNCTION("""COMPUTED_VALUE"""),1.019)</f>
        <v>1.019</v>
      </c>
      <c r="E5412" s="16">
        <f>IFERROR(__xludf.DUMMYFUNCTION("""COMPUTED_VALUE"""),66.0)</f>
        <v>66</v>
      </c>
      <c r="F5412" s="19" t="str">
        <f>IFERROR(__xludf.DUMMYFUNCTION("""COMPUTED_VALUE"""),"BLACK")</f>
        <v>BLACK</v>
      </c>
      <c r="G5412" s="20" t="str">
        <f>IFERROR(__xludf.DUMMYFUNCTION("""COMPUTED_VALUE"""),"Uncle Sams Cider (11/12/2021) 02")</f>
        <v>Uncle Sams Cider (11/12/2021) 02</v>
      </c>
      <c r="H5412" s="19"/>
    </row>
    <row r="5413">
      <c r="A5413" s="9"/>
      <c r="B5413" s="15"/>
      <c r="C5413" s="9">
        <f>IFERROR(__xludf.DUMMYFUNCTION("""COMPUTED_VALUE"""),44548.6968665277)</f>
        <v>44548.69687</v>
      </c>
      <c r="D5413" s="15">
        <f>IFERROR(__xludf.DUMMYFUNCTION("""COMPUTED_VALUE"""),1.019)</f>
        <v>1.019</v>
      </c>
      <c r="E5413" s="16">
        <f>IFERROR(__xludf.DUMMYFUNCTION("""COMPUTED_VALUE"""),66.0)</f>
        <v>66</v>
      </c>
      <c r="F5413" s="19" t="str">
        <f>IFERROR(__xludf.DUMMYFUNCTION("""COMPUTED_VALUE"""),"BLACK")</f>
        <v>BLACK</v>
      </c>
      <c r="G5413" s="20" t="str">
        <f>IFERROR(__xludf.DUMMYFUNCTION("""COMPUTED_VALUE"""),"Uncle Sams Cider (11/12/2021) 02")</f>
        <v>Uncle Sams Cider (11/12/2021) 02</v>
      </c>
      <c r="H5413" s="19"/>
    </row>
    <row r="5414">
      <c r="A5414" s="9"/>
      <c r="B5414" s="15"/>
      <c r="C5414" s="9">
        <f>IFERROR(__xludf.DUMMYFUNCTION("""COMPUTED_VALUE"""),44548.6864462731)</f>
        <v>44548.68645</v>
      </c>
      <c r="D5414" s="15">
        <f>IFERROR(__xludf.DUMMYFUNCTION("""COMPUTED_VALUE"""),1.019)</f>
        <v>1.019</v>
      </c>
      <c r="E5414" s="16">
        <f>IFERROR(__xludf.DUMMYFUNCTION("""COMPUTED_VALUE"""),66.0)</f>
        <v>66</v>
      </c>
      <c r="F5414" s="19" t="str">
        <f>IFERROR(__xludf.DUMMYFUNCTION("""COMPUTED_VALUE"""),"BLACK")</f>
        <v>BLACK</v>
      </c>
      <c r="G5414" s="20" t="str">
        <f>IFERROR(__xludf.DUMMYFUNCTION("""COMPUTED_VALUE"""),"Uncle Sams Cider (11/12/2021) 02")</f>
        <v>Uncle Sams Cider (11/12/2021) 02</v>
      </c>
      <c r="H5414" s="19"/>
    </row>
    <row r="5415">
      <c r="A5415" s="9"/>
      <c r="B5415" s="15"/>
      <c r="C5415" s="9">
        <f>IFERROR(__xludf.DUMMYFUNCTION("""COMPUTED_VALUE"""),44548.6760241435)</f>
        <v>44548.67602</v>
      </c>
      <c r="D5415" s="15">
        <f>IFERROR(__xludf.DUMMYFUNCTION("""COMPUTED_VALUE"""),1.019)</f>
        <v>1.019</v>
      </c>
      <c r="E5415" s="16">
        <f>IFERROR(__xludf.DUMMYFUNCTION("""COMPUTED_VALUE"""),66.0)</f>
        <v>66</v>
      </c>
      <c r="F5415" s="19" t="str">
        <f>IFERROR(__xludf.DUMMYFUNCTION("""COMPUTED_VALUE"""),"BLACK")</f>
        <v>BLACK</v>
      </c>
      <c r="G5415" s="20" t="str">
        <f>IFERROR(__xludf.DUMMYFUNCTION("""COMPUTED_VALUE"""),"Uncle Sams Cider (11/12/2021) 02")</f>
        <v>Uncle Sams Cider (11/12/2021) 02</v>
      </c>
      <c r="H5415" s="19"/>
    </row>
    <row r="5416">
      <c r="A5416" s="9"/>
      <c r="B5416" s="15"/>
      <c r="C5416" s="9">
        <f>IFERROR(__xludf.DUMMYFUNCTION("""COMPUTED_VALUE"""),44548.6656032986)</f>
        <v>44548.6656</v>
      </c>
      <c r="D5416" s="15">
        <f>IFERROR(__xludf.DUMMYFUNCTION("""COMPUTED_VALUE"""),1.019)</f>
        <v>1.019</v>
      </c>
      <c r="E5416" s="16">
        <f>IFERROR(__xludf.DUMMYFUNCTION("""COMPUTED_VALUE"""),66.0)</f>
        <v>66</v>
      </c>
      <c r="F5416" s="19" t="str">
        <f>IFERROR(__xludf.DUMMYFUNCTION("""COMPUTED_VALUE"""),"BLACK")</f>
        <v>BLACK</v>
      </c>
      <c r="G5416" s="20" t="str">
        <f>IFERROR(__xludf.DUMMYFUNCTION("""COMPUTED_VALUE"""),"Uncle Sams Cider (11/12/2021) 02")</f>
        <v>Uncle Sams Cider (11/12/2021) 02</v>
      </c>
      <c r="H5416" s="19"/>
    </row>
    <row r="5417">
      <c r="A5417" s="9"/>
      <c r="B5417" s="15"/>
      <c r="C5417" s="9">
        <f>IFERROR(__xludf.DUMMYFUNCTION("""COMPUTED_VALUE"""),44548.6551816319)</f>
        <v>44548.65518</v>
      </c>
      <c r="D5417" s="15">
        <f>IFERROR(__xludf.DUMMYFUNCTION("""COMPUTED_VALUE"""),1.019)</f>
        <v>1.019</v>
      </c>
      <c r="E5417" s="16">
        <f>IFERROR(__xludf.DUMMYFUNCTION("""COMPUTED_VALUE"""),66.0)</f>
        <v>66</v>
      </c>
      <c r="F5417" s="19" t="str">
        <f>IFERROR(__xludf.DUMMYFUNCTION("""COMPUTED_VALUE"""),"BLACK")</f>
        <v>BLACK</v>
      </c>
      <c r="G5417" s="20" t="str">
        <f>IFERROR(__xludf.DUMMYFUNCTION("""COMPUTED_VALUE"""),"Uncle Sams Cider (11/12/2021) 02")</f>
        <v>Uncle Sams Cider (11/12/2021) 02</v>
      </c>
      <c r="H5417" s="19"/>
    </row>
    <row r="5418">
      <c r="A5418" s="9"/>
      <c r="B5418" s="15"/>
      <c r="C5418" s="9">
        <f>IFERROR(__xludf.DUMMYFUNCTION("""COMPUTED_VALUE"""),44548.6447488425)</f>
        <v>44548.64475</v>
      </c>
      <c r="D5418" s="15">
        <f>IFERROR(__xludf.DUMMYFUNCTION("""COMPUTED_VALUE"""),1.019)</f>
        <v>1.019</v>
      </c>
      <c r="E5418" s="16">
        <f>IFERROR(__xludf.DUMMYFUNCTION("""COMPUTED_VALUE"""),66.0)</f>
        <v>66</v>
      </c>
      <c r="F5418" s="19" t="str">
        <f>IFERROR(__xludf.DUMMYFUNCTION("""COMPUTED_VALUE"""),"BLACK")</f>
        <v>BLACK</v>
      </c>
      <c r="G5418" s="20" t="str">
        <f>IFERROR(__xludf.DUMMYFUNCTION("""COMPUTED_VALUE"""),"Uncle Sams Cider (11/12/2021) 02")</f>
        <v>Uncle Sams Cider (11/12/2021) 02</v>
      </c>
      <c r="H5418" s="19"/>
    </row>
    <row r="5419">
      <c r="A5419" s="9"/>
      <c r="B5419" s="15"/>
      <c r="C5419" s="9">
        <f>IFERROR(__xludf.DUMMYFUNCTION("""COMPUTED_VALUE"""),44548.6343281018)</f>
        <v>44548.63433</v>
      </c>
      <c r="D5419" s="15">
        <f>IFERROR(__xludf.DUMMYFUNCTION("""COMPUTED_VALUE"""),1.019)</f>
        <v>1.019</v>
      </c>
      <c r="E5419" s="16">
        <f>IFERROR(__xludf.DUMMYFUNCTION("""COMPUTED_VALUE"""),66.0)</f>
        <v>66</v>
      </c>
      <c r="F5419" s="19" t="str">
        <f>IFERROR(__xludf.DUMMYFUNCTION("""COMPUTED_VALUE"""),"BLACK")</f>
        <v>BLACK</v>
      </c>
      <c r="G5419" s="20" t="str">
        <f>IFERROR(__xludf.DUMMYFUNCTION("""COMPUTED_VALUE"""),"Uncle Sams Cider (11/12/2021) 02")</f>
        <v>Uncle Sams Cider (11/12/2021) 02</v>
      </c>
      <c r="H5419" s="19"/>
    </row>
    <row r="5420">
      <c r="A5420" s="9"/>
      <c r="B5420" s="15"/>
      <c r="C5420" s="9">
        <f>IFERROR(__xludf.DUMMYFUNCTION("""COMPUTED_VALUE"""),44548.6238717708)</f>
        <v>44548.62387</v>
      </c>
      <c r="D5420" s="15">
        <f>IFERROR(__xludf.DUMMYFUNCTION("""COMPUTED_VALUE"""),1.019)</f>
        <v>1.019</v>
      </c>
      <c r="E5420" s="16">
        <f>IFERROR(__xludf.DUMMYFUNCTION("""COMPUTED_VALUE"""),66.0)</f>
        <v>66</v>
      </c>
      <c r="F5420" s="19" t="str">
        <f>IFERROR(__xludf.DUMMYFUNCTION("""COMPUTED_VALUE"""),"BLACK")</f>
        <v>BLACK</v>
      </c>
      <c r="G5420" s="20" t="str">
        <f>IFERROR(__xludf.DUMMYFUNCTION("""COMPUTED_VALUE"""),"Uncle Sams Cider (11/12/2021) 02")</f>
        <v>Uncle Sams Cider (11/12/2021) 02</v>
      </c>
      <c r="H5420" s="19"/>
    </row>
    <row r="5421">
      <c r="A5421" s="9"/>
      <c r="B5421" s="15"/>
      <c r="C5421" s="9">
        <f>IFERROR(__xludf.DUMMYFUNCTION("""COMPUTED_VALUE"""),44548.6134393402)</f>
        <v>44548.61344</v>
      </c>
      <c r="D5421" s="15">
        <f>IFERROR(__xludf.DUMMYFUNCTION("""COMPUTED_VALUE"""),1.019)</f>
        <v>1.019</v>
      </c>
      <c r="E5421" s="16">
        <f>IFERROR(__xludf.DUMMYFUNCTION("""COMPUTED_VALUE"""),66.0)</f>
        <v>66</v>
      </c>
      <c r="F5421" s="19" t="str">
        <f>IFERROR(__xludf.DUMMYFUNCTION("""COMPUTED_VALUE"""),"BLACK")</f>
        <v>BLACK</v>
      </c>
      <c r="G5421" s="20" t="str">
        <f>IFERROR(__xludf.DUMMYFUNCTION("""COMPUTED_VALUE"""),"Uncle Sams Cider (11/12/2021) 02")</f>
        <v>Uncle Sams Cider (11/12/2021) 02</v>
      </c>
      <c r="H5421" s="19"/>
    </row>
    <row r="5422">
      <c r="A5422" s="9"/>
      <c r="B5422" s="15"/>
      <c r="C5422" s="9">
        <f>IFERROR(__xludf.DUMMYFUNCTION("""COMPUTED_VALUE"""),44548.6030186689)</f>
        <v>44548.60302</v>
      </c>
      <c r="D5422" s="15">
        <f>IFERROR(__xludf.DUMMYFUNCTION("""COMPUTED_VALUE"""),1.019)</f>
        <v>1.019</v>
      </c>
      <c r="E5422" s="16">
        <f>IFERROR(__xludf.DUMMYFUNCTION("""COMPUTED_VALUE"""),66.0)</f>
        <v>66</v>
      </c>
      <c r="F5422" s="19" t="str">
        <f>IFERROR(__xludf.DUMMYFUNCTION("""COMPUTED_VALUE"""),"BLACK")</f>
        <v>BLACK</v>
      </c>
      <c r="G5422" s="20" t="str">
        <f>IFERROR(__xludf.DUMMYFUNCTION("""COMPUTED_VALUE"""),"Uncle Sams Cider (11/12/2021) 02")</f>
        <v>Uncle Sams Cider (11/12/2021) 02</v>
      </c>
      <c r="H5422" s="19"/>
    </row>
    <row r="5423">
      <c r="A5423" s="9"/>
      <c r="B5423" s="15"/>
      <c r="C5423" s="9">
        <f>IFERROR(__xludf.DUMMYFUNCTION("""COMPUTED_VALUE"""),44548.5925853587)</f>
        <v>44548.59259</v>
      </c>
      <c r="D5423" s="15">
        <f>IFERROR(__xludf.DUMMYFUNCTION("""COMPUTED_VALUE"""),1.019)</f>
        <v>1.019</v>
      </c>
      <c r="E5423" s="16">
        <f>IFERROR(__xludf.DUMMYFUNCTION("""COMPUTED_VALUE"""),66.0)</f>
        <v>66</v>
      </c>
      <c r="F5423" s="19" t="str">
        <f>IFERROR(__xludf.DUMMYFUNCTION("""COMPUTED_VALUE"""),"BLACK")</f>
        <v>BLACK</v>
      </c>
      <c r="G5423" s="20" t="str">
        <f>IFERROR(__xludf.DUMMYFUNCTION("""COMPUTED_VALUE"""),"Uncle Sams Cider (11/12/2021) 02")</f>
        <v>Uncle Sams Cider (11/12/2021) 02</v>
      </c>
      <c r="H5423" s="19"/>
    </row>
    <row r="5424">
      <c r="A5424" s="9"/>
      <c r="B5424" s="15"/>
      <c r="C5424" s="9">
        <f>IFERROR(__xludf.DUMMYFUNCTION("""COMPUTED_VALUE"""),44548.5821524768)</f>
        <v>44548.58215</v>
      </c>
      <c r="D5424" s="15">
        <f>IFERROR(__xludf.DUMMYFUNCTION("""COMPUTED_VALUE"""),1.019)</f>
        <v>1.019</v>
      </c>
      <c r="E5424" s="16">
        <f>IFERROR(__xludf.DUMMYFUNCTION("""COMPUTED_VALUE"""),66.0)</f>
        <v>66</v>
      </c>
      <c r="F5424" s="19" t="str">
        <f>IFERROR(__xludf.DUMMYFUNCTION("""COMPUTED_VALUE"""),"BLACK")</f>
        <v>BLACK</v>
      </c>
      <c r="G5424" s="20" t="str">
        <f>IFERROR(__xludf.DUMMYFUNCTION("""COMPUTED_VALUE"""),"Uncle Sams Cider (11/12/2021) 02")</f>
        <v>Uncle Sams Cider (11/12/2021) 02</v>
      </c>
      <c r="H5424" s="19"/>
    </row>
    <row r="5425">
      <c r="A5425" s="9"/>
      <c r="B5425" s="15"/>
      <c r="C5425" s="9">
        <f>IFERROR(__xludf.DUMMYFUNCTION("""COMPUTED_VALUE"""),44548.5717339236)</f>
        <v>44548.57173</v>
      </c>
      <c r="D5425" s="15">
        <f>IFERROR(__xludf.DUMMYFUNCTION("""COMPUTED_VALUE"""),1.019)</f>
        <v>1.019</v>
      </c>
      <c r="E5425" s="16">
        <f>IFERROR(__xludf.DUMMYFUNCTION("""COMPUTED_VALUE"""),66.0)</f>
        <v>66</v>
      </c>
      <c r="F5425" s="19" t="str">
        <f>IFERROR(__xludf.DUMMYFUNCTION("""COMPUTED_VALUE"""),"BLACK")</f>
        <v>BLACK</v>
      </c>
      <c r="G5425" s="20" t="str">
        <f>IFERROR(__xludf.DUMMYFUNCTION("""COMPUTED_VALUE"""),"Uncle Sams Cider (11/12/2021) 02")</f>
        <v>Uncle Sams Cider (11/12/2021) 02</v>
      </c>
      <c r="H5425" s="19"/>
    </row>
    <row r="5426">
      <c r="A5426" s="9"/>
      <c r="B5426" s="15"/>
      <c r="C5426" s="9">
        <f>IFERROR(__xludf.DUMMYFUNCTION("""COMPUTED_VALUE"""),44548.5612782407)</f>
        <v>44548.56128</v>
      </c>
      <c r="D5426" s="15">
        <f>IFERROR(__xludf.DUMMYFUNCTION("""COMPUTED_VALUE"""),1.019)</f>
        <v>1.019</v>
      </c>
      <c r="E5426" s="16">
        <f>IFERROR(__xludf.DUMMYFUNCTION("""COMPUTED_VALUE"""),66.0)</f>
        <v>66</v>
      </c>
      <c r="F5426" s="19" t="str">
        <f>IFERROR(__xludf.DUMMYFUNCTION("""COMPUTED_VALUE"""),"BLACK")</f>
        <v>BLACK</v>
      </c>
      <c r="G5426" s="20" t="str">
        <f>IFERROR(__xludf.DUMMYFUNCTION("""COMPUTED_VALUE"""),"Uncle Sams Cider (11/12/2021) 02")</f>
        <v>Uncle Sams Cider (11/12/2021) 02</v>
      </c>
      <c r="H5426" s="19"/>
    </row>
    <row r="5427">
      <c r="A5427" s="9"/>
      <c r="B5427" s="15"/>
      <c r="C5427" s="9">
        <f>IFERROR(__xludf.DUMMYFUNCTION("""COMPUTED_VALUE"""),44548.5508575347)</f>
        <v>44548.55086</v>
      </c>
      <c r="D5427" s="15">
        <f>IFERROR(__xludf.DUMMYFUNCTION("""COMPUTED_VALUE"""),1.019)</f>
        <v>1.019</v>
      </c>
      <c r="E5427" s="16">
        <f>IFERROR(__xludf.DUMMYFUNCTION("""COMPUTED_VALUE"""),66.0)</f>
        <v>66</v>
      </c>
      <c r="F5427" s="19" t="str">
        <f>IFERROR(__xludf.DUMMYFUNCTION("""COMPUTED_VALUE"""),"BLACK")</f>
        <v>BLACK</v>
      </c>
      <c r="G5427" s="20" t="str">
        <f>IFERROR(__xludf.DUMMYFUNCTION("""COMPUTED_VALUE"""),"Uncle Sams Cider (11/12/2021) 02")</f>
        <v>Uncle Sams Cider (11/12/2021) 02</v>
      </c>
      <c r="H5427" s="19"/>
    </row>
    <row r="5428">
      <c r="A5428" s="9"/>
      <c r="B5428" s="15"/>
      <c r="C5428" s="9">
        <f>IFERROR(__xludf.DUMMYFUNCTION("""COMPUTED_VALUE"""),44548.5404356481)</f>
        <v>44548.54044</v>
      </c>
      <c r="D5428" s="15">
        <f>IFERROR(__xludf.DUMMYFUNCTION("""COMPUTED_VALUE"""),1.019)</f>
        <v>1.019</v>
      </c>
      <c r="E5428" s="16">
        <f>IFERROR(__xludf.DUMMYFUNCTION("""COMPUTED_VALUE"""),66.0)</f>
        <v>66</v>
      </c>
      <c r="F5428" s="19" t="str">
        <f>IFERROR(__xludf.DUMMYFUNCTION("""COMPUTED_VALUE"""),"BLACK")</f>
        <v>BLACK</v>
      </c>
      <c r="G5428" s="20" t="str">
        <f>IFERROR(__xludf.DUMMYFUNCTION("""COMPUTED_VALUE"""),"Uncle Sams Cider (11/12/2021) 02")</f>
        <v>Uncle Sams Cider (11/12/2021) 02</v>
      </c>
      <c r="H5428" s="19"/>
    </row>
    <row r="5429">
      <c r="A5429" s="9"/>
      <c r="B5429" s="15"/>
      <c r="C5429" s="9">
        <f>IFERROR(__xludf.DUMMYFUNCTION("""COMPUTED_VALUE"""),44548.5300146527)</f>
        <v>44548.53001</v>
      </c>
      <c r="D5429" s="15">
        <f>IFERROR(__xludf.DUMMYFUNCTION("""COMPUTED_VALUE"""),1.019)</f>
        <v>1.019</v>
      </c>
      <c r="E5429" s="16">
        <f>IFERROR(__xludf.DUMMYFUNCTION("""COMPUTED_VALUE"""),66.0)</f>
        <v>66</v>
      </c>
      <c r="F5429" s="19" t="str">
        <f>IFERROR(__xludf.DUMMYFUNCTION("""COMPUTED_VALUE"""),"BLACK")</f>
        <v>BLACK</v>
      </c>
      <c r="G5429" s="20" t="str">
        <f>IFERROR(__xludf.DUMMYFUNCTION("""COMPUTED_VALUE"""),"Uncle Sams Cider (11/12/2021) 02")</f>
        <v>Uncle Sams Cider (11/12/2021) 02</v>
      </c>
      <c r="H5429" s="19"/>
    </row>
    <row r="5430">
      <c r="A5430" s="9"/>
      <c r="B5430" s="15"/>
      <c r="C5430" s="9">
        <f>IFERROR(__xludf.DUMMYFUNCTION("""COMPUTED_VALUE"""),44548.5195809838)</f>
        <v>44548.51958</v>
      </c>
      <c r="D5430" s="15">
        <f>IFERROR(__xludf.DUMMYFUNCTION("""COMPUTED_VALUE"""),1.019)</f>
        <v>1.019</v>
      </c>
      <c r="E5430" s="16">
        <f>IFERROR(__xludf.DUMMYFUNCTION("""COMPUTED_VALUE"""),66.0)</f>
        <v>66</v>
      </c>
      <c r="F5430" s="19" t="str">
        <f>IFERROR(__xludf.DUMMYFUNCTION("""COMPUTED_VALUE"""),"BLACK")</f>
        <v>BLACK</v>
      </c>
      <c r="G5430" s="20" t="str">
        <f>IFERROR(__xludf.DUMMYFUNCTION("""COMPUTED_VALUE"""),"Uncle Sams Cider (11/12/2021) 02")</f>
        <v>Uncle Sams Cider (11/12/2021) 02</v>
      </c>
      <c r="H5430" s="19"/>
    </row>
    <row r="5431">
      <c r="A5431" s="9"/>
      <c r="B5431" s="15"/>
      <c r="C5431" s="9">
        <f>IFERROR(__xludf.DUMMYFUNCTION("""COMPUTED_VALUE"""),44548.5091605555)</f>
        <v>44548.50916</v>
      </c>
      <c r="D5431" s="15">
        <f>IFERROR(__xludf.DUMMYFUNCTION("""COMPUTED_VALUE"""),1.019)</f>
        <v>1.019</v>
      </c>
      <c r="E5431" s="16">
        <f>IFERROR(__xludf.DUMMYFUNCTION("""COMPUTED_VALUE"""),66.0)</f>
        <v>66</v>
      </c>
      <c r="F5431" s="19" t="str">
        <f>IFERROR(__xludf.DUMMYFUNCTION("""COMPUTED_VALUE"""),"BLACK")</f>
        <v>BLACK</v>
      </c>
      <c r="G5431" s="20" t="str">
        <f>IFERROR(__xludf.DUMMYFUNCTION("""COMPUTED_VALUE"""),"Uncle Sams Cider (11/12/2021) 02")</f>
        <v>Uncle Sams Cider (11/12/2021) 02</v>
      </c>
      <c r="H5431" s="19"/>
    </row>
    <row r="5432">
      <c r="A5432" s="9"/>
      <c r="B5432" s="15"/>
      <c r="C5432" s="9">
        <f>IFERROR(__xludf.DUMMYFUNCTION("""COMPUTED_VALUE"""),44548.4987397453)</f>
        <v>44548.49874</v>
      </c>
      <c r="D5432" s="15">
        <f>IFERROR(__xludf.DUMMYFUNCTION("""COMPUTED_VALUE"""),1.019)</f>
        <v>1.019</v>
      </c>
      <c r="E5432" s="16">
        <f>IFERROR(__xludf.DUMMYFUNCTION("""COMPUTED_VALUE"""),66.0)</f>
        <v>66</v>
      </c>
      <c r="F5432" s="19" t="str">
        <f>IFERROR(__xludf.DUMMYFUNCTION("""COMPUTED_VALUE"""),"BLACK")</f>
        <v>BLACK</v>
      </c>
      <c r="G5432" s="20" t="str">
        <f>IFERROR(__xludf.DUMMYFUNCTION("""COMPUTED_VALUE"""),"Uncle Sams Cider (11/12/2021) 02")</f>
        <v>Uncle Sams Cider (11/12/2021) 02</v>
      </c>
      <c r="H5432" s="19"/>
    </row>
    <row r="5433">
      <c r="A5433" s="9"/>
      <c r="B5433" s="15"/>
      <c r="C5433" s="9">
        <f>IFERROR(__xludf.DUMMYFUNCTION("""COMPUTED_VALUE"""),44548.4883072106)</f>
        <v>44548.48831</v>
      </c>
      <c r="D5433" s="15">
        <f>IFERROR(__xludf.DUMMYFUNCTION("""COMPUTED_VALUE"""),1.019)</f>
        <v>1.019</v>
      </c>
      <c r="E5433" s="16">
        <f>IFERROR(__xludf.DUMMYFUNCTION("""COMPUTED_VALUE"""),66.0)</f>
        <v>66</v>
      </c>
      <c r="F5433" s="19" t="str">
        <f>IFERROR(__xludf.DUMMYFUNCTION("""COMPUTED_VALUE"""),"BLACK")</f>
        <v>BLACK</v>
      </c>
      <c r="G5433" s="20" t="str">
        <f>IFERROR(__xludf.DUMMYFUNCTION("""COMPUTED_VALUE"""),"Uncle Sams Cider (11/12/2021) 02")</f>
        <v>Uncle Sams Cider (11/12/2021) 02</v>
      </c>
      <c r="H5433" s="19"/>
    </row>
    <row r="5434">
      <c r="A5434" s="9"/>
      <c r="B5434" s="15"/>
      <c r="C5434" s="9">
        <f>IFERROR(__xludf.DUMMYFUNCTION("""COMPUTED_VALUE"""),44548.4778736226)</f>
        <v>44548.47787</v>
      </c>
      <c r="D5434" s="15">
        <f>IFERROR(__xludf.DUMMYFUNCTION("""COMPUTED_VALUE"""),1.019)</f>
        <v>1.019</v>
      </c>
      <c r="E5434" s="16">
        <f>IFERROR(__xludf.DUMMYFUNCTION("""COMPUTED_VALUE"""),66.0)</f>
        <v>66</v>
      </c>
      <c r="F5434" s="19" t="str">
        <f>IFERROR(__xludf.DUMMYFUNCTION("""COMPUTED_VALUE"""),"BLACK")</f>
        <v>BLACK</v>
      </c>
      <c r="G5434" s="20" t="str">
        <f>IFERROR(__xludf.DUMMYFUNCTION("""COMPUTED_VALUE"""),"Uncle Sams Cider (11/12/2021) 02")</f>
        <v>Uncle Sams Cider (11/12/2021) 02</v>
      </c>
      <c r="H5434" s="19"/>
    </row>
    <row r="5435">
      <c r="A5435" s="9"/>
      <c r="B5435" s="15"/>
      <c r="C5435" s="9">
        <f>IFERROR(__xludf.DUMMYFUNCTION("""COMPUTED_VALUE"""),44548.4674509143)</f>
        <v>44548.46745</v>
      </c>
      <c r="D5435" s="15">
        <f>IFERROR(__xludf.DUMMYFUNCTION("""COMPUTED_VALUE"""),1.019)</f>
        <v>1.019</v>
      </c>
      <c r="E5435" s="16">
        <f>IFERROR(__xludf.DUMMYFUNCTION("""COMPUTED_VALUE"""),66.0)</f>
        <v>66</v>
      </c>
      <c r="F5435" s="19" t="str">
        <f>IFERROR(__xludf.DUMMYFUNCTION("""COMPUTED_VALUE"""),"BLACK")</f>
        <v>BLACK</v>
      </c>
      <c r="G5435" s="20" t="str">
        <f>IFERROR(__xludf.DUMMYFUNCTION("""COMPUTED_VALUE"""),"Uncle Sams Cider (11/12/2021) 02")</f>
        <v>Uncle Sams Cider (11/12/2021) 02</v>
      </c>
      <c r="H5435" s="19"/>
    </row>
    <row r="5436">
      <c r="A5436" s="9"/>
      <c r="B5436" s="15"/>
      <c r="C5436" s="9">
        <f>IFERROR(__xludf.DUMMYFUNCTION("""COMPUTED_VALUE"""),44548.4570187268)</f>
        <v>44548.45702</v>
      </c>
      <c r="D5436" s="15">
        <f>IFERROR(__xludf.DUMMYFUNCTION("""COMPUTED_VALUE"""),1.019)</f>
        <v>1.019</v>
      </c>
      <c r="E5436" s="16">
        <f>IFERROR(__xludf.DUMMYFUNCTION("""COMPUTED_VALUE"""),66.0)</f>
        <v>66</v>
      </c>
      <c r="F5436" s="19" t="str">
        <f>IFERROR(__xludf.DUMMYFUNCTION("""COMPUTED_VALUE"""),"BLACK")</f>
        <v>BLACK</v>
      </c>
      <c r="G5436" s="20" t="str">
        <f>IFERROR(__xludf.DUMMYFUNCTION("""COMPUTED_VALUE"""),"Uncle Sams Cider (11/12/2021) 02")</f>
        <v>Uncle Sams Cider (11/12/2021) 02</v>
      </c>
      <c r="H5436" s="19"/>
    </row>
    <row r="5437">
      <c r="A5437" s="9"/>
      <c r="B5437" s="15"/>
      <c r="C5437" s="9">
        <f>IFERROR(__xludf.DUMMYFUNCTION("""COMPUTED_VALUE"""),44548.4465740856)</f>
        <v>44548.44657</v>
      </c>
      <c r="D5437" s="15">
        <f>IFERROR(__xludf.DUMMYFUNCTION("""COMPUTED_VALUE"""),1.019)</f>
        <v>1.019</v>
      </c>
      <c r="E5437" s="16">
        <f>IFERROR(__xludf.DUMMYFUNCTION("""COMPUTED_VALUE"""),66.0)</f>
        <v>66</v>
      </c>
      <c r="F5437" s="19" t="str">
        <f>IFERROR(__xludf.DUMMYFUNCTION("""COMPUTED_VALUE"""),"BLACK")</f>
        <v>BLACK</v>
      </c>
      <c r="G5437" s="20" t="str">
        <f>IFERROR(__xludf.DUMMYFUNCTION("""COMPUTED_VALUE"""),"Uncle Sams Cider (11/12/2021) 02")</f>
        <v>Uncle Sams Cider (11/12/2021) 02</v>
      </c>
      <c r="H5437" s="19"/>
    </row>
    <row r="5438">
      <c r="A5438" s="9"/>
      <c r="B5438" s="15"/>
      <c r="C5438" s="9">
        <f>IFERROR(__xludf.DUMMYFUNCTION("""COMPUTED_VALUE"""),44548.4361055324)</f>
        <v>44548.43611</v>
      </c>
      <c r="D5438" s="15">
        <f>IFERROR(__xludf.DUMMYFUNCTION("""COMPUTED_VALUE"""),1.019)</f>
        <v>1.019</v>
      </c>
      <c r="E5438" s="16">
        <f>IFERROR(__xludf.DUMMYFUNCTION("""COMPUTED_VALUE"""),66.0)</f>
        <v>66</v>
      </c>
      <c r="F5438" s="19" t="str">
        <f>IFERROR(__xludf.DUMMYFUNCTION("""COMPUTED_VALUE"""),"BLACK")</f>
        <v>BLACK</v>
      </c>
      <c r="G5438" s="20" t="str">
        <f>IFERROR(__xludf.DUMMYFUNCTION("""COMPUTED_VALUE"""),"Uncle Sams Cider (11/12/2021) 02")</f>
        <v>Uncle Sams Cider (11/12/2021) 02</v>
      </c>
      <c r="H5438" s="19"/>
    </row>
    <row r="5439">
      <c r="A5439" s="9"/>
      <c r="B5439" s="15"/>
      <c r="C5439" s="9">
        <f>IFERROR(__xludf.DUMMYFUNCTION("""COMPUTED_VALUE"""),44548.425672037)</f>
        <v>44548.42567</v>
      </c>
      <c r="D5439" s="15">
        <f>IFERROR(__xludf.DUMMYFUNCTION("""COMPUTED_VALUE"""),1.019)</f>
        <v>1.019</v>
      </c>
      <c r="E5439" s="16">
        <f>IFERROR(__xludf.DUMMYFUNCTION("""COMPUTED_VALUE"""),66.0)</f>
        <v>66</v>
      </c>
      <c r="F5439" s="19" t="str">
        <f>IFERROR(__xludf.DUMMYFUNCTION("""COMPUTED_VALUE"""),"BLACK")</f>
        <v>BLACK</v>
      </c>
      <c r="G5439" s="20" t="str">
        <f>IFERROR(__xludf.DUMMYFUNCTION("""COMPUTED_VALUE"""),"Uncle Sams Cider (11/12/2021) 02")</f>
        <v>Uncle Sams Cider (11/12/2021) 02</v>
      </c>
      <c r="H5439" s="19"/>
    </row>
    <row r="5440">
      <c r="A5440" s="9"/>
      <c r="B5440" s="15"/>
      <c r="C5440" s="9">
        <f>IFERROR(__xludf.DUMMYFUNCTION("""COMPUTED_VALUE"""),44548.4152136805)</f>
        <v>44548.41521</v>
      </c>
      <c r="D5440" s="15">
        <f>IFERROR(__xludf.DUMMYFUNCTION("""COMPUTED_VALUE"""),1.019)</f>
        <v>1.019</v>
      </c>
      <c r="E5440" s="16">
        <f>IFERROR(__xludf.DUMMYFUNCTION("""COMPUTED_VALUE"""),66.0)</f>
        <v>66</v>
      </c>
      <c r="F5440" s="19" t="str">
        <f>IFERROR(__xludf.DUMMYFUNCTION("""COMPUTED_VALUE"""),"BLACK")</f>
        <v>BLACK</v>
      </c>
      <c r="G5440" s="20" t="str">
        <f>IFERROR(__xludf.DUMMYFUNCTION("""COMPUTED_VALUE"""),"Uncle Sams Cider (11/12/2021) 02")</f>
        <v>Uncle Sams Cider (11/12/2021) 02</v>
      </c>
      <c r="H5440" s="19"/>
    </row>
    <row r="5441">
      <c r="A5441" s="9"/>
      <c r="B5441" s="15"/>
      <c r="C5441" s="9">
        <f>IFERROR(__xludf.DUMMYFUNCTION("""COMPUTED_VALUE"""),44548.4047933912)</f>
        <v>44548.40479</v>
      </c>
      <c r="D5441" s="15">
        <f>IFERROR(__xludf.DUMMYFUNCTION("""COMPUTED_VALUE"""),1.019)</f>
        <v>1.019</v>
      </c>
      <c r="E5441" s="16">
        <f>IFERROR(__xludf.DUMMYFUNCTION("""COMPUTED_VALUE"""),66.0)</f>
        <v>66</v>
      </c>
      <c r="F5441" s="19" t="str">
        <f>IFERROR(__xludf.DUMMYFUNCTION("""COMPUTED_VALUE"""),"BLACK")</f>
        <v>BLACK</v>
      </c>
      <c r="G5441" s="20" t="str">
        <f>IFERROR(__xludf.DUMMYFUNCTION("""COMPUTED_VALUE"""),"Uncle Sams Cider (11/12/2021) 02")</f>
        <v>Uncle Sams Cider (11/12/2021) 02</v>
      </c>
      <c r="H5441" s="19"/>
    </row>
    <row r="5442">
      <c r="A5442" s="9"/>
      <c r="B5442" s="15"/>
      <c r="C5442" s="9">
        <f>IFERROR(__xludf.DUMMYFUNCTION("""COMPUTED_VALUE"""),44548.3943593402)</f>
        <v>44548.39436</v>
      </c>
      <c r="D5442" s="15">
        <f>IFERROR(__xludf.DUMMYFUNCTION("""COMPUTED_VALUE"""),1.019)</f>
        <v>1.019</v>
      </c>
      <c r="E5442" s="16">
        <f>IFERROR(__xludf.DUMMYFUNCTION("""COMPUTED_VALUE"""),66.0)</f>
        <v>66</v>
      </c>
      <c r="F5442" s="19" t="str">
        <f>IFERROR(__xludf.DUMMYFUNCTION("""COMPUTED_VALUE"""),"BLACK")</f>
        <v>BLACK</v>
      </c>
      <c r="G5442" s="20" t="str">
        <f>IFERROR(__xludf.DUMMYFUNCTION("""COMPUTED_VALUE"""),"Uncle Sams Cider (11/12/2021) 02")</f>
        <v>Uncle Sams Cider (11/12/2021) 02</v>
      </c>
      <c r="H5442" s="19"/>
    </row>
    <row r="5443">
      <c r="A5443" s="9"/>
      <c r="B5443" s="15"/>
      <c r="C5443" s="9">
        <f>IFERROR(__xludf.DUMMYFUNCTION("""COMPUTED_VALUE"""),44548.3839375578)</f>
        <v>44548.38394</v>
      </c>
      <c r="D5443" s="15">
        <f>IFERROR(__xludf.DUMMYFUNCTION("""COMPUTED_VALUE"""),1.019)</f>
        <v>1.019</v>
      </c>
      <c r="E5443" s="16">
        <f>IFERROR(__xludf.DUMMYFUNCTION("""COMPUTED_VALUE"""),66.0)</f>
        <v>66</v>
      </c>
      <c r="F5443" s="19" t="str">
        <f>IFERROR(__xludf.DUMMYFUNCTION("""COMPUTED_VALUE"""),"BLACK")</f>
        <v>BLACK</v>
      </c>
      <c r="G5443" s="20" t="str">
        <f>IFERROR(__xludf.DUMMYFUNCTION("""COMPUTED_VALUE"""),"Uncle Sams Cider (11/12/2021) 02")</f>
        <v>Uncle Sams Cider (11/12/2021) 02</v>
      </c>
      <c r="H5443" s="19"/>
    </row>
    <row r="5444">
      <c r="A5444" s="9"/>
      <c r="B5444" s="15"/>
      <c r="C5444" s="9">
        <f>IFERROR(__xludf.DUMMYFUNCTION("""COMPUTED_VALUE"""),44548.3735047685)</f>
        <v>44548.3735</v>
      </c>
      <c r="D5444" s="15">
        <f>IFERROR(__xludf.DUMMYFUNCTION("""COMPUTED_VALUE"""),1.019)</f>
        <v>1.019</v>
      </c>
      <c r="E5444" s="16">
        <f>IFERROR(__xludf.DUMMYFUNCTION("""COMPUTED_VALUE"""),66.0)</f>
        <v>66</v>
      </c>
      <c r="F5444" s="19" t="str">
        <f>IFERROR(__xludf.DUMMYFUNCTION("""COMPUTED_VALUE"""),"BLACK")</f>
        <v>BLACK</v>
      </c>
      <c r="G5444" s="20" t="str">
        <f>IFERROR(__xludf.DUMMYFUNCTION("""COMPUTED_VALUE"""),"Uncle Sams Cider (11/12/2021) 02")</f>
        <v>Uncle Sams Cider (11/12/2021) 02</v>
      </c>
      <c r="H5444" s="19"/>
    </row>
    <row r="5445">
      <c r="A5445" s="9"/>
      <c r="B5445" s="15"/>
      <c r="C5445" s="9">
        <f>IFERROR(__xludf.DUMMYFUNCTION("""COMPUTED_VALUE"""),44548.3630844444)</f>
        <v>44548.36308</v>
      </c>
      <c r="D5445" s="15">
        <f>IFERROR(__xludf.DUMMYFUNCTION("""COMPUTED_VALUE"""),1.019)</f>
        <v>1.019</v>
      </c>
      <c r="E5445" s="16">
        <f>IFERROR(__xludf.DUMMYFUNCTION("""COMPUTED_VALUE"""),66.0)</f>
        <v>66</v>
      </c>
      <c r="F5445" s="19" t="str">
        <f>IFERROR(__xludf.DUMMYFUNCTION("""COMPUTED_VALUE"""),"BLACK")</f>
        <v>BLACK</v>
      </c>
      <c r="G5445" s="20" t="str">
        <f>IFERROR(__xludf.DUMMYFUNCTION("""COMPUTED_VALUE"""),"Uncle Sams Cider (11/12/2021) 02")</f>
        <v>Uncle Sams Cider (11/12/2021) 02</v>
      </c>
      <c r="H5445" s="19"/>
    </row>
    <row r="5446">
      <c r="A5446" s="9"/>
      <c r="B5446" s="15"/>
      <c r="C5446" s="9">
        <f>IFERROR(__xludf.DUMMYFUNCTION("""COMPUTED_VALUE"""),44548.3526523611)</f>
        <v>44548.35265</v>
      </c>
      <c r="D5446" s="15">
        <f>IFERROR(__xludf.DUMMYFUNCTION("""COMPUTED_VALUE"""),1.019)</f>
        <v>1.019</v>
      </c>
      <c r="E5446" s="16">
        <f>IFERROR(__xludf.DUMMYFUNCTION("""COMPUTED_VALUE"""),66.0)</f>
        <v>66</v>
      </c>
      <c r="F5446" s="19" t="str">
        <f>IFERROR(__xludf.DUMMYFUNCTION("""COMPUTED_VALUE"""),"BLACK")</f>
        <v>BLACK</v>
      </c>
      <c r="G5446" s="20" t="str">
        <f>IFERROR(__xludf.DUMMYFUNCTION("""COMPUTED_VALUE"""),"Uncle Sams Cider (11/12/2021) 02")</f>
        <v>Uncle Sams Cider (11/12/2021) 02</v>
      </c>
      <c r="H5446" s="19"/>
    </row>
    <row r="5447">
      <c r="A5447" s="9"/>
      <c r="B5447" s="15"/>
      <c r="C5447" s="9">
        <f>IFERROR(__xludf.DUMMYFUNCTION("""COMPUTED_VALUE"""),44548.3422317245)</f>
        <v>44548.34223</v>
      </c>
      <c r="D5447" s="15">
        <f>IFERROR(__xludf.DUMMYFUNCTION("""COMPUTED_VALUE"""),1.019)</f>
        <v>1.019</v>
      </c>
      <c r="E5447" s="16">
        <f>IFERROR(__xludf.DUMMYFUNCTION("""COMPUTED_VALUE"""),66.0)</f>
        <v>66</v>
      </c>
      <c r="F5447" s="19" t="str">
        <f>IFERROR(__xludf.DUMMYFUNCTION("""COMPUTED_VALUE"""),"BLACK")</f>
        <v>BLACK</v>
      </c>
      <c r="G5447" s="20" t="str">
        <f>IFERROR(__xludf.DUMMYFUNCTION("""COMPUTED_VALUE"""),"Uncle Sams Cider (11/12/2021) 02")</f>
        <v>Uncle Sams Cider (11/12/2021) 02</v>
      </c>
      <c r="H5447" s="19"/>
    </row>
    <row r="5448">
      <c r="A5448" s="9"/>
      <c r="B5448" s="15"/>
      <c r="C5448" s="9">
        <f>IFERROR(__xludf.DUMMYFUNCTION("""COMPUTED_VALUE"""),44548.3317874421)</f>
        <v>44548.33179</v>
      </c>
      <c r="D5448" s="15">
        <f>IFERROR(__xludf.DUMMYFUNCTION("""COMPUTED_VALUE"""),1.019)</f>
        <v>1.019</v>
      </c>
      <c r="E5448" s="16">
        <f>IFERROR(__xludf.DUMMYFUNCTION("""COMPUTED_VALUE"""),66.0)</f>
        <v>66</v>
      </c>
      <c r="F5448" s="19" t="str">
        <f>IFERROR(__xludf.DUMMYFUNCTION("""COMPUTED_VALUE"""),"BLACK")</f>
        <v>BLACK</v>
      </c>
      <c r="G5448" s="20" t="str">
        <f>IFERROR(__xludf.DUMMYFUNCTION("""COMPUTED_VALUE"""),"Uncle Sams Cider (11/12/2021) 02")</f>
        <v>Uncle Sams Cider (11/12/2021) 02</v>
      </c>
      <c r="H5448" s="19"/>
    </row>
    <row r="5449">
      <c r="A5449" s="9"/>
      <c r="B5449" s="15"/>
      <c r="C5449" s="9">
        <f>IFERROR(__xludf.DUMMYFUNCTION("""COMPUTED_VALUE"""),44548.3213672569)</f>
        <v>44548.32137</v>
      </c>
      <c r="D5449" s="15">
        <f>IFERROR(__xludf.DUMMYFUNCTION("""COMPUTED_VALUE"""),1.019)</f>
        <v>1.019</v>
      </c>
      <c r="E5449" s="16">
        <f>IFERROR(__xludf.DUMMYFUNCTION("""COMPUTED_VALUE"""),66.0)</f>
        <v>66</v>
      </c>
      <c r="F5449" s="19" t="str">
        <f>IFERROR(__xludf.DUMMYFUNCTION("""COMPUTED_VALUE"""),"BLACK")</f>
        <v>BLACK</v>
      </c>
      <c r="G5449" s="20" t="str">
        <f>IFERROR(__xludf.DUMMYFUNCTION("""COMPUTED_VALUE"""),"Uncle Sams Cider (11/12/2021) 02")</f>
        <v>Uncle Sams Cider (11/12/2021) 02</v>
      </c>
      <c r="H5449" s="19"/>
    </row>
    <row r="5450">
      <c r="A5450" s="9"/>
      <c r="B5450" s="15"/>
      <c r="C5450" s="9">
        <f>IFERROR(__xludf.DUMMYFUNCTION("""COMPUTED_VALUE"""),44548.3109455787)</f>
        <v>44548.31095</v>
      </c>
      <c r="D5450" s="15">
        <f>IFERROR(__xludf.DUMMYFUNCTION("""COMPUTED_VALUE"""),1.019)</f>
        <v>1.019</v>
      </c>
      <c r="E5450" s="16">
        <f>IFERROR(__xludf.DUMMYFUNCTION("""COMPUTED_VALUE"""),66.0)</f>
        <v>66</v>
      </c>
      <c r="F5450" s="19" t="str">
        <f>IFERROR(__xludf.DUMMYFUNCTION("""COMPUTED_VALUE"""),"BLACK")</f>
        <v>BLACK</v>
      </c>
      <c r="G5450" s="20" t="str">
        <f>IFERROR(__xludf.DUMMYFUNCTION("""COMPUTED_VALUE"""),"Uncle Sams Cider (11/12/2021) 02")</f>
        <v>Uncle Sams Cider (11/12/2021) 02</v>
      </c>
      <c r="H5450" s="19"/>
    </row>
    <row r="5451">
      <c r="A5451" s="9"/>
      <c r="B5451" s="15"/>
      <c r="C5451" s="9">
        <f>IFERROR(__xludf.DUMMYFUNCTION("""COMPUTED_VALUE"""),44548.3005120833)</f>
        <v>44548.30051</v>
      </c>
      <c r="D5451" s="15">
        <f>IFERROR(__xludf.DUMMYFUNCTION("""COMPUTED_VALUE"""),1.019)</f>
        <v>1.019</v>
      </c>
      <c r="E5451" s="16">
        <f>IFERROR(__xludf.DUMMYFUNCTION("""COMPUTED_VALUE"""),66.0)</f>
        <v>66</v>
      </c>
      <c r="F5451" s="19" t="str">
        <f>IFERROR(__xludf.DUMMYFUNCTION("""COMPUTED_VALUE"""),"BLACK")</f>
        <v>BLACK</v>
      </c>
      <c r="G5451" s="20" t="str">
        <f>IFERROR(__xludf.DUMMYFUNCTION("""COMPUTED_VALUE"""),"Uncle Sams Cider (11/12/2021) 02")</f>
        <v>Uncle Sams Cider (11/12/2021) 02</v>
      </c>
      <c r="H5451" s="19"/>
    </row>
    <row r="5452">
      <c r="A5452" s="9"/>
      <c r="B5452" s="15"/>
      <c r="C5452" s="9">
        <f>IFERROR(__xludf.DUMMYFUNCTION("""COMPUTED_VALUE"""),44548.2900928819)</f>
        <v>44548.29009</v>
      </c>
      <c r="D5452" s="15">
        <f>IFERROR(__xludf.DUMMYFUNCTION("""COMPUTED_VALUE"""),1.019)</f>
        <v>1.019</v>
      </c>
      <c r="E5452" s="16">
        <f>IFERROR(__xludf.DUMMYFUNCTION("""COMPUTED_VALUE"""),66.0)</f>
        <v>66</v>
      </c>
      <c r="F5452" s="19" t="str">
        <f>IFERROR(__xludf.DUMMYFUNCTION("""COMPUTED_VALUE"""),"BLACK")</f>
        <v>BLACK</v>
      </c>
      <c r="G5452" s="20" t="str">
        <f>IFERROR(__xludf.DUMMYFUNCTION("""COMPUTED_VALUE"""),"Uncle Sams Cider (11/12/2021) 02")</f>
        <v>Uncle Sams Cider (11/12/2021) 02</v>
      </c>
      <c r="H5452" s="19"/>
    </row>
    <row r="5453">
      <c r="A5453" s="9"/>
      <c r="B5453" s="15"/>
      <c r="C5453" s="9">
        <f>IFERROR(__xludf.DUMMYFUNCTION("""COMPUTED_VALUE"""),44548.279638206)</f>
        <v>44548.27964</v>
      </c>
      <c r="D5453" s="15">
        <f>IFERROR(__xludf.DUMMYFUNCTION("""COMPUTED_VALUE"""),1.019)</f>
        <v>1.019</v>
      </c>
      <c r="E5453" s="16">
        <f>IFERROR(__xludf.DUMMYFUNCTION("""COMPUTED_VALUE"""),66.0)</f>
        <v>66</v>
      </c>
      <c r="F5453" s="19" t="str">
        <f>IFERROR(__xludf.DUMMYFUNCTION("""COMPUTED_VALUE"""),"BLACK")</f>
        <v>BLACK</v>
      </c>
      <c r="G5453" s="20" t="str">
        <f>IFERROR(__xludf.DUMMYFUNCTION("""COMPUTED_VALUE"""),"Uncle Sams Cider (11/12/2021) 02")</f>
        <v>Uncle Sams Cider (11/12/2021) 02</v>
      </c>
      <c r="H5453" s="19"/>
    </row>
    <row r="5454">
      <c r="A5454" s="9"/>
      <c r="B5454" s="15"/>
      <c r="C5454" s="9">
        <f>IFERROR(__xludf.DUMMYFUNCTION("""COMPUTED_VALUE"""),44548.2692054976)</f>
        <v>44548.26921</v>
      </c>
      <c r="D5454" s="15">
        <f>IFERROR(__xludf.DUMMYFUNCTION("""COMPUTED_VALUE"""),1.019)</f>
        <v>1.019</v>
      </c>
      <c r="E5454" s="16">
        <f>IFERROR(__xludf.DUMMYFUNCTION("""COMPUTED_VALUE"""),66.0)</f>
        <v>66</v>
      </c>
      <c r="F5454" s="19" t="str">
        <f>IFERROR(__xludf.DUMMYFUNCTION("""COMPUTED_VALUE"""),"BLACK")</f>
        <v>BLACK</v>
      </c>
      <c r="G5454" s="20" t="str">
        <f>IFERROR(__xludf.DUMMYFUNCTION("""COMPUTED_VALUE"""),"Uncle Sams Cider (11/12/2021) 02")</f>
        <v>Uncle Sams Cider (11/12/2021) 02</v>
      </c>
      <c r="H5454" s="19"/>
    </row>
    <row r="5455">
      <c r="A5455" s="9"/>
      <c r="B5455" s="15"/>
      <c r="C5455" s="9">
        <f>IFERROR(__xludf.DUMMYFUNCTION("""COMPUTED_VALUE"""),44548.2587610416)</f>
        <v>44548.25876</v>
      </c>
      <c r="D5455" s="15">
        <f>IFERROR(__xludf.DUMMYFUNCTION("""COMPUTED_VALUE"""),1.019)</f>
        <v>1.019</v>
      </c>
      <c r="E5455" s="16">
        <f>IFERROR(__xludf.DUMMYFUNCTION("""COMPUTED_VALUE"""),66.0)</f>
        <v>66</v>
      </c>
      <c r="F5455" s="19" t="str">
        <f>IFERROR(__xludf.DUMMYFUNCTION("""COMPUTED_VALUE"""),"BLACK")</f>
        <v>BLACK</v>
      </c>
      <c r="G5455" s="20" t="str">
        <f>IFERROR(__xludf.DUMMYFUNCTION("""COMPUTED_VALUE"""),"Uncle Sams Cider (11/12/2021) 02")</f>
        <v>Uncle Sams Cider (11/12/2021) 02</v>
      </c>
      <c r="H5455" s="19"/>
    </row>
    <row r="5456">
      <c r="A5456" s="9"/>
      <c r="B5456" s="15"/>
      <c r="C5456" s="9">
        <f>IFERROR(__xludf.DUMMYFUNCTION("""COMPUTED_VALUE"""),44548.248341331)</f>
        <v>44548.24834</v>
      </c>
      <c r="D5456" s="15">
        <f>IFERROR(__xludf.DUMMYFUNCTION("""COMPUTED_VALUE"""),1.019)</f>
        <v>1.019</v>
      </c>
      <c r="E5456" s="16">
        <f>IFERROR(__xludf.DUMMYFUNCTION("""COMPUTED_VALUE"""),66.0)</f>
        <v>66</v>
      </c>
      <c r="F5456" s="19" t="str">
        <f>IFERROR(__xludf.DUMMYFUNCTION("""COMPUTED_VALUE"""),"BLACK")</f>
        <v>BLACK</v>
      </c>
      <c r="G5456" s="20" t="str">
        <f>IFERROR(__xludf.DUMMYFUNCTION("""COMPUTED_VALUE"""),"Uncle Sams Cider (11/12/2021) 02")</f>
        <v>Uncle Sams Cider (11/12/2021) 02</v>
      </c>
      <c r="H5456" s="19"/>
    </row>
    <row r="5457">
      <c r="A5457" s="9"/>
      <c r="B5457" s="15"/>
      <c r="C5457" s="9">
        <f>IFERROR(__xludf.DUMMYFUNCTION("""COMPUTED_VALUE"""),44548.2378966435)</f>
        <v>44548.2379</v>
      </c>
      <c r="D5457" s="15">
        <f>IFERROR(__xludf.DUMMYFUNCTION("""COMPUTED_VALUE"""),1.019)</f>
        <v>1.019</v>
      </c>
      <c r="E5457" s="16">
        <f>IFERROR(__xludf.DUMMYFUNCTION("""COMPUTED_VALUE"""),66.0)</f>
        <v>66</v>
      </c>
      <c r="F5457" s="19" t="str">
        <f>IFERROR(__xludf.DUMMYFUNCTION("""COMPUTED_VALUE"""),"BLACK")</f>
        <v>BLACK</v>
      </c>
      <c r="G5457" s="20" t="str">
        <f>IFERROR(__xludf.DUMMYFUNCTION("""COMPUTED_VALUE"""),"Uncle Sams Cider (11/12/2021) 02")</f>
        <v>Uncle Sams Cider (11/12/2021) 02</v>
      </c>
      <c r="H5457" s="19"/>
    </row>
    <row r="5458">
      <c r="A5458" s="9"/>
      <c r="B5458" s="15"/>
      <c r="C5458" s="9">
        <f>IFERROR(__xludf.DUMMYFUNCTION("""COMPUTED_VALUE"""),44548.2274641087)</f>
        <v>44548.22746</v>
      </c>
      <c r="D5458" s="15">
        <f>IFERROR(__xludf.DUMMYFUNCTION("""COMPUTED_VALUE"""),1.019)</f>
        <v>1.019</v>
      </c>
      <c r="E5458" s="16">
        <f>IFERROR(__xludf.DUMMYFUNCTION("""COMPUTED_VALUE"""),66.0)</f>
        <v>66</v>
      </c>
      <c r="F5458" s="19" t="str">
        <f>IFERROR(__xludf.DUMMYFUNCTION("""COMPUTED_VALUE"""),"BLACK")</f>
        <v>BLACK</v>
      </c>
      <c r="G5458" s="20" t="str">
        <f>IFERROR(__xludf.DUMMYFUNCTION("""COMPUTED_VALUE"""),"Uncle Sams Cider (11/12/2021) 02")</f>
        <v>Uncle Sams Cider (11/12/2021) 02</v>
      </c>
      <c r="H5458" s="19"/>
    </row>
    <row r="5459">
      <c r="A5459" s="9"/>
      <c r="B5459" s="15"/>
      <c r="C5459" s="9">
        <f>IFERROR(__xludf.DUMMYFUNCTION("""COMPUTED_VALUE"""),44548.2170425)</f>
        <v>44548.21704</v>
      </c>
      <c r="D5459" s="15">
        <f>IFERROR(__xludf.DUMMYFUNCTION("""COMPUTED_VALUE"""),1.02)</f>
        <v>1.02</v>
      </c>
      <c r="E5459" s="16">
        <f>IFERROR(__xludf.DUMMYFUNCTION("""COMPUTED_VALUE"""),66.0)</f>
        <v>66</v>
      </c>
      <c r="F5459" s="19" t="str">
        <f>IFERROR(__xludf.DUMMYFUNCTION("""COMPUTED_VALUE"""),"BLACK")</f>
        <v>BLACK</v>
      </c>
      <c r="G5459" s="20" t="str">
        <f>IFERROR(__xludf.DUMMYFUNCTION("""COMPUTED_VALUE"""),"Uncle Sams Cider (11/12/2021) 02")</f>
        <v>Uncle Sams Cider (11/12/2021) 02</v>
      </c>
      <c r="H5459" s="19"/>
    </row>
    <row r="5460">
      <c r="A5460" s="9"/>
      <c r="B5460" s="15"/>
      <c r="C5460" s="9">
        <f>IFERROR(__xludf.DUMMYFUNCTION("""COMPUTED_VALUE"""),44548.2066200694)</f>
        <v>44548.20662</v>
      </c>
      <c r="D5460" s="15">
        <f>IFERROR(__xludf.DUMMYFUNCTION("""COMPUTED_VALUE"""),1.019)</f>
        <v>1.019</v>
      </c>
      <c r="E5460" s="16">
        <f>IFERROR(__xludf.DUMMYFUNCTION("""COMPUTED_VALUE"""),66.0)</f>
        <v>66</v>
      </c>
      <c r="F5460" s="19" t="str">
        <f>IFERROR(__xludf.DUMMYFUNCTION("""COMPUTED_VALUE"""),"BLACK")</f>
        <v>BLACK</v>
      </c>
      <c r="G5460" s="20" t="str">
        <f>IFERROR(__xludf.DUMMYFUNCTION("""COMPUTED_VALUE"""),"Uncle Sams Cider (11/12/2021) 02")</f>
        <v>Uncle Sams Cider (11/12/2021) 02</v>
      </c>
      <c r="H5460" s="19"/>
    </row>
    <row r="5461">
      <c r="A5461" s="9"/>
      <c r="B5461" s="15"/>
      <c r="C5461" s="9">
        <f>IFERROR(__xludf.DUMMYFUNCTION("""COMPUTED_VALUE"""),44548.1961416087)</f>
        <v>44548.19614</v>
      </c>
      <c r="D5461" s="15">
        <f>IFERROR(__xludf.DUMMYFUNCTION("""COMPUTED_VALUE"""),1.019)</f>
        <v>1.019</v>
      </c>
      <c r="E5461" s="16">
        <f>IFERROR(__xludf.DUMMYFUNCTION("""COMPUTED_VALUE"""),66.0)</f>
        <v>66</v>
      </c>
      <c r="F5461" s="19" t="str">
        <f>IFERROR(__xludf.DUMMYFUNCTION("""COMPUTED_VALUE"""),"BLACK")</f>
        <v>BLACK</v>
      </c>
      <c r="G5461" s="20" t="str">
        <f>IFERROR(__xludf.DUMMYFUNCTION("""COMPUTED_VALUE"""),"Uncle Sams Cider (11/12/2021) 02")</f>
        <v>Uncle Sams Cider (11/12/2021) 02</v>
      </c>
      <c r="H5461" s="19"/>
    </row>
    <row r="5462">
      <c r="A5462" s="9"/>
      <c r="B5462" s="15"/>
      <c r="C5462" s="9">
        <f>IFERROR(__xludf.DUMMYFUNCTION("""COMPUTED_VALUE"""),44548.185710162)</f>
        <v>44548.18571</v>
      </c>
      <c r="D5462" s="15">
        <f>IFERROR(__xludf.DUMMYFUNCTION("""COMPUTED_VALUE"""),1.019)</f>
        <v>1.019</v>
      </c>
      <c r="E5462" s="16">
        <f>IFERROR(__xludf.DUMMYFUNCTION("""COMPUTED_VALUE"""),66.0)</f>
        <v>66</v>
      </c>
      <c r="F5462" s="19" t="str">
        <f>IFERROR(__xludf.DUMMYFUNCTION("""COMPUTED_VALUE"""),"BLACK")</f>
        <v>BLACK</v>
      </c>
      <c r="G5462" s="20" t="str">
        <f>IFERROR(__xludf.DUMMYFUNCTION("""COMPUTED_VALUE"""),"Uncle Sams Cider (11/12/2021) 02")</f>
        <v>Uncle Sams Cider (11/12/2021) 02</v>
      </c>
      <c r="H5462" s="19"/>
    </row>
    <row r="5463">
      <c r="A5463" s="9"/>
      <c r="B5463" s="15"/>
      <c r="C5463" s="9">
        <f>IFERROR(__xludf.DUMMYFUNCTION("""COMPUTED_VALUE"""),44548.1752764583)</f>
        <v>44548.17528</v>
      </c>
      <c r="D5463" s="15">
        <f>IFERROR(__xludf.DUMMYFUNCTION("""COMPUTED_VALUE"""),1.019)</f>
        <v>1.019</v>
      </c>
      <c r="E5463" s="16">
        <f>IFERROR(__xludf.DUMMYFUNCTION("""COMPUTED_VALUE"""),66.0)</f>
        <v>66</v>
      </c>
      <c r="F5463" s="19" t="str">
        <f>IFERROR(__xludf.DUMMYFUNCTION("""COMPUTED_VALUE"""),"BLACK")</f>
        <v>BLACK</v>
      </c>
      <c r="G5463" s="20" t="str">
        <f>IFERROR(__xludf.DUMMYFUNCTION("""COMPUTED_VALUE"""),"Uncle Sams Cider (11/12/2021) 02")</f>
        <v>Uncle Sams Cider (11/12/2021) 02</v>
      </c>
      <c r="H5463" s="19"/>
    </row>
    <row r="5464">
      <c r="A5464" s="9"/>
      <c r="B5464" s="15"/>
      <c r="C5464" s="9">
        <f>IFERROR(__xludf.DUMMYFUNCTION("""COMPUTED_VALUE"""),44548.1648561458)</f>
        <v>44548.16486</v>
      </c>
      <c r="D5464" s="15">
        <f>IFERROR(__xludf.DUMMYFUNCTION("""COMPUTED_VALUE"""),1.019)</f>
        <v>1.019</v>
      </c>
      <c r="E5464" s="16">
        <f>IFERROR(__xludf.DUMMYFUNCTION("""COMPUTED_VALUE"""),66.0)</f>
        <v>66</v>
      </c>
      <c r="F5464" s="19" t="str">
        <f>IFERROR(__xludf.DUMMYFUNCTION("""COMPUTED_VALUE"""),"BLACK")</f>
        <v>BLACK</v>
      </c>
      <c r="G5464" s="20" t="str">
        <f>IFERROR(__xludf.DUMMYFUNCTION("""COMPUTED_VALUE"""),"Uncle Sams Cider (11/12/2021) 02")</f>
        <v>Uncle Sams Cider (11/12/2021) 02</v>
      </c>
      <c r="H5464" s="19"/>
    </row>
    <row r="5465">
      <c r="A5465" s="9"/>
      <c r="B5465" s="15"/>
      <c r="C5465" s="9">
        <f>IFERROR(__xludf.DUMMYFUNCTION("""COMPUTED_VALUE"""),44548.1544344907)</f>
        <v>44548.15443</v>
      </c>
      <c r="D5465" s="15">
        <f>IFERROR(__xludf.DUMMYFUNCTION("""COMPUTED_VALUE"""),1.019)</f>
        <v>1.019</v>
      </c>
      <c r="E5465" s="16">
        <f>IFERROR(__xludf.DUMMYFUNCTION("""COMPUTED_VALUE"""),66.0)</f>
        <v>66</v>
      </c>
      <c r="F5465" s="19" t="str">
        <f>IFERROR(__xludf.DUMMYFUNCTION("""COMPUTED_VALUE"""),"BLACK")</f>
        <v>BLACK</v>
      </c>
      <c r="G5465" s="20" t="str">
        <f>IFERROR(__xludf.DUMMYFUNCTION("""COMPUTED_VALUE"""),"Uncle Sams Cider (11/12/2021) 02")</f>
        <v>Uncle Sams Cider (11/12/2021) 02</v>
      </c>
      <c r="H5465" s="19"/>
    </row>
    <row r="5466">
      <c r="A5466" s="9"/>
      <c r="B5466" s="15"/>
      <c r="C5466" s="9">
        <f>IFERROR(__xludf.DUMMYFUNCTION("""COMPUTED_VALUE"""),44548.1439893518)</f>
        <v>44548.14399</v>
      </c>
      <c r="D5466" s="15">
        <f>IFERROR(__xludf.DUMMYFUNCTION("""COMPUTED_VALUE"""),1.019)</f>
        <v>1.019</v>
      </c>
      <c r="E5466" s="16">
        <f>IFERROR(__xludf.DUMMYFUNCTION("""COMPUTED_VALUE"""),66.0)</f>
        <v>66</v>
      </c>
      <c r="F5466" s="19" t="str">
        <f>IFERROR(__xludf.DUMMYFUNCTION("""COMPUTED_VALUE"""),"BLACK")</f>
        <v>BLACK</v>
      </c>
      <c r="G5466" s="20" t="str">
        <f>IFERROR(__xludf.DUMMYFUNCTION("""COMPUTED_VALUE"""),"Uncle Sams Cider (11/12/2021) 02")</f>
        <v>Uncle Sams Cider (11/12/2021) 02</v>
      </c>
      <c r="H5466" s="19"/>
    </row>
    <row r="5467">
      <c r="A5467" s="9"/>
      <c r="B5467" s="15"/>
      <c r="C5467" s="9">
        <f>IFERROR(__xludf.DUMMYFUNCTION("""COMPUTED_VALUE"""),44548.1335688078)</f>
        <v>44548.13357</v>
      </c>
      <c r="D5467" s="15">
        <f>IFERROR(__xludf.DUMMYFUNCTION("""COMPUTED_VALUE"""),1.019)</f>
        <v>1.019</v>
      </c>
      <c r="E5467" s="16">
        <f>IFERROR(__xludf.DUMMYFUNCTION("""COMPUTED_VALUE"""),66.0)</f>
        <v>66</v>
      </c>
      <c r="F5467" s="19" t="str">
        <f>IFERROR(__xludf.DUMMYFUNCTION("""COMPUTED_VALUE"""),"BLACK")</f>
        <v>BLACK</v>
      </c>
      <c r="G5467" s="20" t="str">
        <f>IFERROR(__xludf.DUMMYFUNCTION("""COMPUTED_VALUE"""),"Uncle Sams Cider (11/12/2021) 02")</f>
        <v>Uncle Sams Cider (11/12/2021) 02</v>
      </c>
      <c r="H5467" s="19"/>
    </row>
    <row r="5468">
      <c r="A5468" s="9"/>
      <c r="B5468" s="15"/>
      <c r="C5468" s="9">
        <f>IFERROR(__xludf.DUMMYFUNCTION("""COMPUTED_VALUE"""),44548.1231490856)</f>
        <v>44548.12315</v>
      </c>
      <c r="D5468" s="15">
        <f>IFERROR(__xludf.DUMMYFUNCTION("""COMPUTED_VALUE"""),1.02)</f>
        <v>1.02</v>
      </c>
      <c r="E5468" s="16">
        <f>IFERROR(__xludf.DUMMYFUNCTION("""COMPUTED_VALUE"""),66.0)</f>
        <v>66</v>
      </c>
      <c r="F5468" s="19" t="str">
        <f>IFERROR(__xludf.DUMMYFUNCTION("""COMPUTED_VALUE"""),"BLACK")</f>
        <v>BLACK</v>
      </c>
      <c r="G5468" s="20" t="str">
        <f>IFERROR(__xludf.DUMMYFUNCTION("""COMPUTED_VALUE"""),"Uncle Sams Cider (11/12/2021) 02")</f>
        <v>Uncle Sams Cider (11/12/2021) 02</v>
      </c>
      <c r="H5468" s="19"/>
    </row>
    <row r="5469">
      <c r="A5469" s="9"/>
      <c r="B5469" s="15"/>
      <c r="C5469" s="9">
        <f>IFERROR(__xludf.DUMMYFUNCTION("""COMPUTED_VALUE"""),44548.1127271643)</f>
        <v>44548.11273</v>
      </c>
      <c r="D5469" s="15">
        <f>IFERROR(__xludf.DUMMYFUNCTION("""COMPUTED_VALUE"""),1.019)</f>
        <v>1.019</v>
      </c>
      <c r="E5469" s="16">
        <f>IFERROR(__xludf.DUMMYFUNCTION("""COMPUTED_VALUE"""),66.0)</f>
        <v>66</v>
      </c>
      <c r="F5469" s="19" t="str">
        <f>IFERROR(__xludf.DUMMYFUNCTION("""COMPUTED_VALUE"""),"BLACK")</f>
        <v>BLACK</v>
      </c>
      <c r="G5469" s="20" t="str">
        <f>IFERROR(__xludf.DUMMYFUNCTION("""COMPUTED_VALUE"""),"Uncle Sams Cider (11/12/2021) 02")</f>
        <v>Uncle Sams Cider (11/12/2021) 02</v>
      </c>
      <c r="H5469" s="19"/>
    </row>
    <row r="5470">
      <c r="A5470" s="9"/>
      <c r="B5470" s="15"/>
      <c r="C5470" s="9">
        <f>IFERROR(__xludf.DUMMYFUNCTION("""COMPUTED_VALUE"""),44548.1023078356)</f>
        <v>44548.10231</v>
      </c>
      <c r="D5470" s="15">
        <f>IFERROR(__xludf.DUMMYFUNCTION("""COMPUTED_VALUE"""),1.019)</f>
        <v>1.019</v>
      </c>
      <c r="E5470" s="16">
        <f>IFERROR(__xludf.DUMMYFUNCTION("""COMPUTED_VALUE"""),66.0)</f>
        <v>66</v>
      </c>
      <c r="F5470" s="19" t="str">
        <f>IFERROR(__xludf.DUMMYFUNCTION("""COMPUTED_VALUE"""),"BLACK")</f>
        <v>BLACK</v>
      </c>
      <c r="G5470" s="20" t="str">
        <f>IFERROR(__xludf.DUMMYFUNCTION("""COMPUTED_VALUE"""),"Uncle Sams Cider (11/12/2021) 02")</f>
        <v>Uncle Sams Cider (11/12/2021) 02</v>
      </c>
      <c r="H5470" s="19"/>
    </row>
    <row r="5471">
      <c r="A5471" s="9"/>
      <c r="B5471" s="15"/>
      <c r="C5471" s="9">
        <f>IFERROR(__xludf.DUMMYFUNCTION("""COMPUTED_VALUE"""),44548.0918539699)</f>
        <v>44548.09185</v>
      </c>
      <c r="D5471" s="15">
        <f>IFERROR(__xludf.DUMMYFUNCTION("""COMPUTED_VALUE"""),1.019)</f>
        <v>1.019</v>
      </c>
      <c r="E5471" s="16">
        <f>IFERROR(__xludf.DUMMYFUNCTION("""COMPUTED_VALUE"""),66.0)</f>
        <v>66</v>
      </c>
      <c r="F5471" s="19" t="str">
        <f>IFERROR(__xludf.DUMMYFUNCTION("""COMPUTED_VALUE"""),"BLACK")</f>
        <v>BLACK</v>
      </c>
      <c r="G5471" s="20" t="str">
        <f>IFERROR(__xludf.DUMMYFUNCTION("""COMPUTED_VALUE"""),"Uncle Sams Cider (11/12/2021) 02")</f>
        <v>Uncle Sams Cider (11/12/2021) 02</v>
      </c>
      <c r="H5471" s="19"/>
    </row>
    <row r="5472">
      <c r="A5472" s="9"/>
      <c r="B5472" s="15"/>
      <c r="C5472" s="9">
        <f>IFERROR(__xludf.DUMMYFUNCTION("""COMPUTED_VALUE"""),44548.0814097916)</f>
        <v>44548.08141</v>
      </c>
      <c r="D5472" s="15">
        <f>IFERROR(__xludf.DUMMYFUNCTION("""COMPUTED_VALUE"""),1.02)</f>
        <v>1.02</v>
      </c>
      <c r="E5472" s="16">
        <f>IFERROR(__xludf.DUMMYFUNCTION("""COMPUTED_VALUE"""),66.0)</f>
        <v>66</v>
      </c>
      <c r="F5472" s="19" t="str">
        <f>IFERROR(__xludf.DUMMYFUNCTION("""COMPUTED_VALUE"""),"BLACK")</f>
        <v>BLACK</v>
      </c>
      <c r="G5472" s="20" t="str">
        <f>IFERROR(__xludf.DUMMYFUNCTION("""COMPUTED_VALUE"""),"Uncle Sams Cider (11/12/2021) 02")</f>
        <v>Uncle Sams Cider (11/12/2021) 02</v>
      </c>
      <c r="H5472" s="19"/>
    </row>
    <row r="5473">
      <c r="A5473" s="9"/>
      <c r="B5473" s="15"/>
      <c r="C5473" s="9">
        <f>IFERROR(__xludf.DUMMYFUNCTION("""COMPUTED_VALUE"""),44548.070978206)</f>
        <v>44548.07098</v>
      </c>
      <c r="D5473" s="15">
        <f>IFERROR(__xludf.DUMMYFUNCTION("""COMPUTED_VALUE"""),1.02)</f>
        <v>1.02</v>
      </c>
      <c r="E5473" s="16">
        <f>IFERROR(__xludf.DUMMYFUNCTION("""COMPUTED_VALUE"""),66.0)</f>
        <v>66</v>
      </c>
      <c r="F5473" s="19" t="str">
        <f>IFERROR(__xludf.DUMMYFUNCTION("""COMPUTED_VALUE"""),"BLACK")</f>
        <v>BLACK</v>
      </c>
      <c r="G5473" s="20" t="str">
        <f>IFERROR(__xludf.DUMMYFUNCTION("""COMPUTED_VALUE"""),"Uncle Sams Cider (11/12/2021) 02")</f>
        <v>Uncle Sams Cider (11/12/2021) 02</v>
      </c>
      <c r="H5473" s="19"/>
    </row>
    <row r="5474">
      <c r="A5474" s="9"/>
      <c r="B5474" s="15"/>
      <c r="C5474" s="9">
        <f>IFERROR(__xludf.DUMMYFUNCTION("""COMPUTED_VALUE"""),44548.0605457291)</f>
        <v>44548.06055</v>
      </c>
      <c r="D5474" s="15">
        <f>IFERROR(__xludf.DUMMYFUNCTION("""COMPUTED_VALUE"""),1.019)</f>
        <v>1.019</v>
      </c>
      <c r="E5474" s="16">
        <f>IFERROR(__xludf.DUMMYFUNCTION("""COMPUTED_VALUE"""),66.0)</f>
        <v>66</v>
      </c>
      <c r="F5474" s="19" t="str">
        <f>IFERROR(__xludf.DUMMYFUNCTION("""COMPUTED_VALUE"""),"BLACK")</f>
        <v>BLACK</v>
      </c>
      <c r="G5474" s="20" t="str">
        <f>IFERROR(__xludf.DUMMYFUNCTION("""COMPUTED_VALUE"""),"Uncle Sams Cider (11/12/2021) 02")</f>
        <v>Uncle Sams Cider (11/12/2021) 02</v>
      </c>
      <c r="H5474" s="19"/>
    </row>
    <row r="5475">
      <c r="A5475" s="9"/>
      <c r="B5475" s="15"/>
      <c r="C5475" s="9">
        <f>IFERROR(__xludf.DUMMYFUNCTION("""COMPUTED_VALUE"""),44548.0501250578)</f>
        <v>44548.05013</v>
      </c>
      <c r="D5475" s="15">
        <f>IFERROR(__xludf.DUMMYFUNCTION("""COMPUTED_VALUE"""),1.02)</f>
        <v>1.02</v>
      </c>
      <c r="E5475" s="16">
        <f>IFERROR(__xludf.DUMMYFUNCTION("""COMPUTED_VALUE"""),66.0)</f>
        <v>66</v>
      </c>
      <c r="F5475" s="19" t="str">
        <f>IFERROR(__xludf.DUMMYFUNCTION("""COMPUTED_VALUE"""),"BLACK")</f>
        <v>BLACK</v>
      </c>
      <c r="G5475" s="20" t="str">
        <f>IFERROR(__xludf.DUMMYFUNCTION("""COMPUTED_VALUE"""),"Uncle Sams Cider (11/12/2021) 02")</f>
        <v>Uncle Sams Cider (11/12/2021) 02</v>
      </c>
      <c r="H5475" s="19"/>
    </row>
    <row r="5476">
      <c r="A5476" s="9"/>
      <c r="B5476" s="15"/>
      <c r="C5476" s="9">
        <f>IFERROR(__xludf.DUMMYFUNCTION("""COMPUTED_VALUE"""),44548.0396675925)</f>
        <v>44548.03967</v>
      </c>
      <c r="D5476" s="15">
        <f>IFERROR(__xludf.DUMMYFUNCTION("""COMPUTED_VALUE"""),1.02)</f>
        <v>1.02</v>
      </c>
      <c r="E5476" s="16">
        <f>IFERROR(__xludf.DUMMYFUNCTION("""COMPUTED_VALUE"""),66.0)</f>
        <v>66</v>
      </c>
      <c r="F5476" s="19" t="str">
        <f>IFERROR(__xludf.DUMMYFUNCTION("""COMPUTED_VALUE"""),"BLACK")</f>
        <v>BLACK</v>
      </c>
      <c r="G5476" s="20" t="str">
        <f>IFERROR(__xludf.DUMMYFUNCTION("""COMPUTED_VALUE"""),"Uncle Sams Cider (11/12/2021) 02")</f>
        <v>Uncle Sams Cider (11/12/2021) 02</v>
      </c>
      <c r="H5476" s="19"/>
    </row>
    <row r="5477">
      <c r="A5477" s="9"/>
      <c r="B5477" s="15"/>
      <c r="C5477" s="9">
        <f>IFERROR(__xludf.DUMMYFUNCTION("""COMPUTED_VALUE"""),44548.0292124768)</f>
        <v>44548.02921</v>
      </c>
      <c r="D5477" s="15">
        <f>IFERROR(__xludf.DUMMYFUNCTION("""COMPUTED_VALUE"""),1.019)</f>
        <v>1.019</v>
      </c>
      <c r="E5477" s="16">
        <f>IFERROR(__xludf.DUMMYFUNCTION("""COMPUTED_VALUE"""),66.0)</f>
        <v>66</v>
      </c>
      <c r="F5477" s="19" t="str">
        <f>IFERROR(__xludf.DUMMYFUNCTION("""COMPUTED_VALUE"""),"BLACK")</f>
        <v>BLACK</v>
      </c>
      <c r="G5477" s="20" t="str">
        <f>IFERROR(__xludf.DUMMYFUNCTION("""COMPUTED_VALUE"""),"Uncle Sams Cider (11/12/2021) 02")</f>
        <v>Uncle Sams Cider (11/12/2021) 02</v>
      </c>
      <c r="H5477" s="19"/>
    </row>
    <row r="5478">
      <c r="A5478" s="9"/>
      <c r="B5478" s="15"/>
      <c r="C5478" s="9">
        <f>IFERROR(__xludf.DUMMYFUNCTION("""COMPUTED_VALUE"""),44548.0187899768)</f>
        <v>44548.01879</v>
      </c>
      <c r="D5478" s="15">
        <f>IFERROR(__xludf.DUMMYFUNCTION("""COMPUTED_VALUE"""),1.02)</f>
        <v>1.02</v>
      </c>
      <c r="E5478" s="16">
        <f>IFERROR(__xludf.DUMMYFUNCTION("""COMPUTED_VALUE"""),66.0)</f>
        <v>66</v>
      </c>
      <c r="F5478" s="19" t="str">
        <f>IFERROR(__xludf.DUMMYFUNCTION("""COMPUTED_VALUE"""),"BLACK")</f>
        <v>BLACK</v>
      </c>
      <c r="G5478" s="20" t="str">
        <f>IFERROR(__xludf.DUMMYFUNCTION("""COMPUTED_VALUE"""),"Uncle Sams Cider (11/12/2021) 02")</f>
        <v>Uncle Sams Cider (11/12/2021) 02</v>
      </c>
      <c r="H5478" s="19"/>
    </row>
    <row r="5479">
      <c r="A5479" s="9"/>
      <c r="B5479" s="15"/>
      <c r="C5479" s="9">
        <f>IFERROR(__xludf.DUMMYFUNCTION("""COMPUTED_VALUE"""),44548.0083561805)</f>
        <v>44548.00836</v>
      </c>
      <c r="D5479" s="15">
        <f>IFERROR(__xludf.DUMMYFUNCTION("""COMPUTED_VALUE"""),1.02)</f>
        <v>1.02</v>
      </c>
      <c r="E5479" s="16">
        <f>IFERROR(__xludf.DUMMYFUNCTION("""COMPUTED_VALUE"""),66.0)</f>
        <v>66</v>
      </c>
      <c r="F5479" s="19" t="str">
        <f>IFERROR(__xludf.DUMMYFUNCTION("""COMPUTED_VALUE"""),"BLACK")</f>
        <v>BLACK</v>
      </c>
      <c r="G5479" s="20" t="str">
        <f>IFERROR(__xludf.DUMMYFUNCTION("""COMPUTED_VALUE"""),"Uncle Sams Cider (11/12/2021) 02")</f>
        <v>Uncle Sams Cider (11/12/2021) 02</v>
      </c>
      <c r="H5479" s="19"/>
    </row>
    <row r="5480">
      <c r="A5480" s="9"/>
      <c r="B5480" s="15"/>
      <c r="C5480" s="9">
        <f>IFERROR(__xludf.DUMMYFUNCTION("""COMPUTED_VALUE"""),44547.9979234027)</f>
        <v>44547.99792</v>
      </c>
      <c r="D5480" s="15">
        <f>IFERROR(__xludf.DUMMYFUNCTION("""COMPUTED_VALUE"""),1.02)</f>
        <v>1.02</v>
      </c>
      <c r="E5480" s="16">
        <f>IFERROR(__xludf.DUMMYFUNCTION("""COMPUTED_VALUE"""),66.0)</f>
        <v>66</v>
      </c>
      <c r="F5480" s="19" t="str">
        <f>IFERROR(__xludf.DUMMYFUNCTION("""COMPUTED_VALUE"""),"BLACK")</f>
        <v>BLACK</v>
      </c>
      <c r="G5480" s="20" t="str">
        <f>IFERROR(__xludf.DUMMYFUNCTION("""COMPUTED_VALUE"""),"Uncle Sams Cider (11/12/2021) 02")</f>
        <v>Uncle Sams Cider (11/12/2021) 02</v>
      </c>
      <c r="H5480" s="19"/>
    </row>
    <row r="5481">
      <c r="A5481" s="9"/>
      <c r="B5481" s="15"/>
      <c r="C5481" s="9">
        <f>IFERROR(__xludf.DUMMYFUNCTION("""COMPUTED_VALUE"""),44547.9875007754)</f>
        <v>44547.9875</v>
      </c>
      <c r="D5481" s="15">
        <f>IFERROR(__xludf.DUMMYFUNCTION("""COMPUTED_VALUE"""),1.02)</f>
        <v>1.02</v>
      </c>
      <c r="E5481" s="16">
        <f>IFERROR(__xludf.DUMMYFUNCTION("""COMPUTED_VALUE"""),66.0)</f>
        <v>66</v>
      </c>
      <c r="F5481" s="19" t="str">
        <f>IFERROR(__xludf.DUMMYFUNCTION("""COMPUTED_VALUE"""),"BLACK")</f>
        <v>BLACK</v>
      </c>
      <c r="G5481" s="20" t="str">
        <f>IFERROR(__xludf.DUMMYFUNCTION("""COMPUTED_VALUE"""),"Uncle Sams Cider (11/12/2021) 02")</f>
        <v>Uncle Sams Cider (11/12/2021) 02</v>
      </c>
      <c r="H5481" s="19"/>
    </row>
    <row r="5482">
      <c r="A5482" s="9"/>
      <c r="B5482" s="15"/>
      <c r="C5482" s="9">
        <f>IFERROR(__xludf.DUMMYFUNCTION("""COMPUTED_VALUE"""),44547.9770803125)</f>
        <v>44547.97708</v>
      </c>
      <c r="D5482" s="15">
        <f>IFERROR(__xludf.DUMMYFUNCTION("""COMPUTED_VALUE"""),1.02)</f>
        <v>1.02</v>
      </c>
      <c r="E5482" s="16">
        <f>IFERROR(__xludf.DUMMYFUNCTION("""COMPUTED_VALUE"""),66.0)</f>
        <v>66</v>
      </c>
      <c r="F5482" s="19" t="str">
        <f>IFERROR(__xludf.DUMMYFUNCTION("""COMPUTED_VALUE"""),"BLACK")</f>
        <v>BLACK</v>
      </c>
      <c r="G5482" s="20" t="str">
        <f>IFERROR(__xludf.DUMMYFUNCTION("""COMPUTED_VALUE"""),"Uncle Sams Cider (11/12/2021) 02")</f>
        <v>Uncle Sams Cider (11/12/2021) 02</v>
      </c>
      <c r="H5482" s="19"/>
    </row>
    <row r="5483">
      <c r="A5483" s="9"/>
      <c r="B5483" s="15"/>
      <c r="C5483" s="9">
        <f>IFERROR(__xludf.DUMMYFUNCTION("""COMPUTED_VALUE"""),44547.9666459143)</f>
        <v>44547.96665</v>
      </c>
      <c r="D5483" s="15">
        <f>IFERROR(__xludf.DUMMYFUNCTION("""COMPUTED_VALUE"""),1.019)</f>
        <v>1.019</v>
      </c>
      <c r="E5483" s="16">
        <f>IFERROR(__xludf.DUMMYFUNCTION("""COMPUTED_VALUE"""),66.0)</f>
        <v>66</v>
      </c>
      <c r="F5483" s="19" t="str">
        <f>IFERROR(__xludf.DUMMYFUNCTION("""COMPUTED_VALUE"""),"BLACK")</f>
        <v>BLACK</v>
      </c>
      <c r="G5483" s="20" t="str">
        <f>IFERROR(__xludf.DUMMYFUNCTION("""COMPUTED_VALUE"""),"Uncle Sams Cider (11/12/2021) 02")</f>
        <v>Uncle Sams Cider (11/12/2021) 02</v>
      </c>
      <c r="H5483" s="19"/>
    </row>
    <row r="5484">
      <c r="A5484" s="9"/>
      <c r="B5484" s="15"/>
      <c r="C5484" s="9">
        <f>IFERROR(__xludf.DUMMYFUNCTION("""COMPUTED_VALUE"""),44547.9562118865)</f>
        <v>44547.95621</v>
      </c>
      <c r="D5484" s="15">
        <f>IFERROR(__xludf.DUMMYFUNCTION("""COMPUTED_VALUE"""),1.02)</f>
        <v>1.02</v>
      </c>
      <c r="E5484" s="16">
        <f>IFERROR(__xludf.DUMMYFUNCTION("""COMPUTED_VALUE"""),66.0)</f>
        <v>66</v>
      </c>
      <c r="F5484" s="19" t="str">
        <f>IFERROR(__xludf.DUMMYFUNCTION("""COMPUTED_VALUE"""),"BLACK")</f>
        <v>BLACK</v>
      </c>
      <c r="G5484" s="20" t="str">
        <f>IFERROR(__xludf.DUMMYFUNCTION("""COMPUTED_VALUE"""),"Uncle Sams Cider (11/12/2021) 02")</f>
        <v>Uncle Sams Cider (11/12/2021) 02</v>
      </c>
      <c r="H5484" s="19"/>
    </row>
    <row r="5485">
      <c r="A5485" s="9"/>
      <c r="B5485" s="15"/>
      <c r="C5485" s="9">
        <f>IFERROR(__xludf.DUMMYFUNCTION("""COMPUTED_VALUE"""),44547.9457669907)</f>
        <v>44547.94577</v>
      </c>
      <c r="D5485" s="15">
        <f>IFERROR(__xludf.DUMMYFUNCTION("""COMPUTED_VALUE"""),1.019)</f>
        <v>1.019</v>
      </c>
      <c r="E5485" s="16">
        <f>IFERROR(__xludf.DUMMYFUNCTION("""COMPUTED_VALUE"""),66.0)</f>
        <v>66</v>
      </c>
      <c r="F5485" s="19" t="str">
        <f>IFERROR(__xludf.DUMMYFUNCTION("""COMPUTED_VALUE"""),"BLACK")</f>
        <v>BLACK</v>
      </c>
      <c r="G5485" s="20" t="str">
        <f>IFERROR(__xludf.DUMMYFUNCTION("""COMPUTED_VALUE"""),"Uncle Sams Cider (11/12/2021) 02")</f>
        <v>Uncle Sams Cider (11/12/2021) 02</v>
      </c>
      <c r="H5485" s="19"/>
    </row>
    <row r="5486">
      <c r="A5486" s="9"/>
      <c r="B5486" s="15"/>
      <c r="C5486" s="9">
        <f>IFERROR(__xludf.DUMMYFUNCTION("""COMPUTED_VALUE"""),44547.9353333796)</f>
        <v>44547.93533</v>
      </c>
      <c r="D5486" s="15">
        <f>IFERROR(__xludf.DUMMYFUNCTION("""COMPUTED_VALUE"""),1.02)</f>
        <v>1.02</v>
      </c>
      <c r="E5486" s="16">
        <f>IFERROR(__xludf.DUMMYFUNCTION("""COMPUTED_VALUE"""),66.0)</f>
        <v>66</v>
      </c>
      <c r="F5486" s="19" t="str">
        <f>IFERROR(__xludf.DUMMYFUNCTION("""COMPUTED_VALUE"""),"BLACK")</f>
        <v>BLACK</v>
      </c>
      <c r="G5486" s="20" t="str">
        <f>IFERROR(__xludf.DUMMYFUNCTION("""COMPUTED_VALUE"""),"Uncle Sams Cider (11/12/2021) 02")</f>
        <v>Uncle Sams Cider (11/12/2021) 02</v>
      </c>
      <c r="H5486" s="19"/>
    </row>
    <row r="5487">
      <c r="A5487" s="9"/>
      <c r="B5487" s="15"/>
      <c r="C5487" s="9">
        <f>IFERROR(__xludf.DUMMYFUNCTION("""COMPUTED_VALUE"""),44547.9249135879)</f>
        <v>44547.92491</v>
      </c>
      <c r="D5487" s="15">
        <f>IFERROR(__xludf.DUMMYFUNCTION("""COMPUTED_VALUE"""),1.02)</f>
        <v>1.02</v>
      </c>
      <c r="E5487" s="16">
        <f>IFERROR(__xludf.DUMMYFUNCTION("""COMPUTED_VALUE"""),66.0)</f>
        <v>66</v>
      </c>
      <c r="F5487" s="19" t="str">
        <f>IFERROR(__xludf.DUMMYFUNCTION("""COMPUTED_VALUE"""),"BLACK")</f>
        <v>BLACK</v>
      </c>
      <c r="G5487" s="20" t="str">
        <f>IFERROR(__xludf.DUMMYFUNCTION("""COMPUTED_VALUE"""),"Uncle Sams Cider (11/12/2021) 02")</f>
        <v>Uncle Sams Cider (11/12/2021) 02</v>
      </c>
      <c r="H5487" s="19"/>
    </row>
    <row r="5488">
      <c r="A5488" s="9"/>
      <c r="B5488" s="15"/>
      <c r="C5488" s="9">
        <f>IFERROR(__xludf.DUMMYFUNCTION("""COMPUTED_VALUE"""),44547.9144805902)</f>
        <v>44547.91448</v>
      </c>
      <c r="D5488" s="15">
        <f>IFERROR(__xludf.DUMMYFUNCTION("""COMPUTED_VALUE"""),1.02)</f>
        <v>1.02</v>
      </c>
      <c r="E5488" s="16">
        <f>IFERROR(__xludf.DUMMYFUNCTION("""COMPUTED_VALUE"""),66.0)</f>
        <v>66</v>
      </c>
      <c r="F5488" s="19" t="str">
        <f>IFERROR(__xludf.DUMMYFUNCTION("""COMPUTED_VALUE"""),"BLACK")</f>
        <v>BLACK</v>
      </c>
      <c r="G5488" s="20" t="str">
        <f>IFERROR(__xludf.DUMMYFUNCTION("""COMPUTED_VALUE"""),"Uncle Sams Cider (11/12/2021) 02")</f>
        <v>Uncle Sams Cider (11/12/2021) 02</v>
      </c>
      <c r="H5488" s="19"/>
    </row>
    <row r="5489">
      <c r="A5489" s="9"/>
      <c r="B5489" s="15"/>
      <c r="C5489" s="9">
        <f>IFERROR(__xludf.DUMMYFUNCTION("""COMPUTED_VALUE"""),44547.9040348958)</f>
        <v>44547.90403</v>
      </c>
      <c r="D5489" s="15">
        <f>IFERROR(__xludf.DUMMYFUNCTION("""COMPUTED_VALUE"""),1.02)</f>
        <v>1.02</v>
      </c>
      <c r="E5489" s="16">
        <f>IFERROR(__xludf.DUMMYFUNCTION("""COMPUTED_VALUE"""),66.0)</f>
        <v>66</v>
      </c>
      <c r="F5489" s="19" t="str">
        <f>IFERROR(__xludf.DUMMYFUNCTION("""COMPUTED_VALUE"""),"BLACK")</f>
        <v>BLACK</v>
      </c>
      <c r="G5489" s="20" t="str">
        <f>IFERROR(__xludf.DUMMYFUNCTION("""COMPUTED_VALUE"""),"Uncle Sams Cider (11/12/2021) 02")</f>
        <v>Uncle Sams Cider (11/12/2021) 02</v>
      </c>
      <c r="H5489" s="19"/>
    </row>
    <row r="5490">
      <c r="A5490" s="9"/>
      <c r="B5490" s="15"/>
      <c r="C5490" s="9">
        <f>IFERROR(__xludf.DUMMYFUNCTION("""COMPUTED_VALUE"""),44547.8936031944)</f>
        <v>44547.8936</v>
      </c>
      <c r="D5490" s="15">
        <f>IFERROR(__xludf.DUMMYFUNCTION("""COMPUTED_VALUE"""),1.02)</f>
        <v>1.02</v>
      </c>
      <c r="E5490" s="16">
        <f>IFERROR(__xludf.DUMMYFUNCTION("""COMPUTED_VALUE"""),66.0)</f>
        <v>66</v>
      </c>
      <c r="F5490" s="19" t="str">
        <f>IFERROR(__xludf.DUMMYFUNCTION("""COMPUTED_VALUE"""),"BLACK")</f>
        <v>BLACK</v>
      </c>
      <c r="G5490" s="20" t="str">
        <f>IFERROR(__xludf.DUMMYFUNCTION("""COMPUTED_VALUE"""),"Uncle Sams Cider (11/12/2021) 02")</f>
        <v>Uncle Sams Cider (11/12/2021) 02</v>
      </c>
      <c r="H5490" s="19"/>
    </row>
    <row r="5491">
      <c r="A5491" s="9"/>
      <c r="B5491" s="15"/>
      <c r="C5491" s="9">
        <f>IFERROR(__xludf.DUMMYFUNCTION("""COMPUTED_VALUE"""),44547.8831832986)</f>
        <v>44547.88318</v>
      </c>
      <c r="D5491" s="15">
        <f>IFERROR(__xludf.DUMMYFUNCTION("""COMPUTED_VALUE"""),1.02)</f>
        <v>1.02</v>
      </c>
      <c r="E5491" s="16">
        <f>IFERROR(__xludf.DUMMYFUNCTION("""COMPUTED_VALUE"""),66.0)</f>
        <v>66</v>
      </c>
      <c r="F5491" s="19" t="str">
        <f>IFERROR(__xludf.DUMMYFUNCTION("""COMPUTED_VALUE"""),"BLACK")</f>
        <v>BLACK</v>
      </c>
      <c r="G5491" s="20" t="str">
        <f>IFERROR(__xludf.DUMMYFUNCTION("""COMPUTED_VALUE"""),"Uncle Sams Cider (11/12/2021) 02")</f>
        <v>Uncle Sams Cider (11/12/2021) 02</v>
      </c>
      <c r="H5491" s="19"/>
    </row>
    <row r="5492">
      <c r="A5492" s="9"/>
      <c r="B5492" s="15"/>
      <c r="C5492" s="9">
        <f>IFERROR(__xludf.DUMMYFUNCTION("""COMPUTED_VALUE"""),44547.872760706)</f>
        <v>44547.87276</v>
      </c>
      <c r="D5492" s="15">
        <f>IFERROR(__xludf.DUMMYFUNCTION("""COMPUTED_VALUE"""),1.02)</f>
        <v>1.02</v>
      </c>
      <c r="E5492" s="16">
        <f>IFERROR(__xludf.DUMMYFUNCTION("""COMPUTED_VALUE"""),66.0)</f>
        <v>66</v>
      </c>
      <c r="F5492" s="19" t="str">
        <f>IFERROR(__xludf.DUMMYFUNCTION("""COMPUTED_VALUE"""),"BLACK")</f>
        <v>BLACK</v>
      </c>
      <c r="G5492" s="20" t="str">
        <f>IFERROR(__xludf.DUMMYFUNCTION("""COMPUTED_VALUE"""),"Uncle Sams Cider (11/12/2021) 02")</f>
        <v>Uncle Sams Cider (11/12/2021) 02</v>
      </c>
      <c r="H5492" s="19"/>
    </row>
    <row r="5493">
      <c r="A5493" s="9"/>
      <c r="B5493" s="15"/>
      <c r="C5493" s="9">
        <f>IFERROR(__xludf.DUMMYFUNCTION("""COMPUTED_VALUE"""),44547.8623400347)</f>
        <v>44547.86234</v>
      </c>
      <c r="D5493" s="15">
        <f>IFERROR(__xludf.DUMMYFUNCTION("""COMPUTED_VALUE"""),1.02)</f>
        <v>1.02</v>
      </c>
      <c r="E5493" s="16">
        <f>IFERROR(__xludf.DUMMYFUNCTION("""COMPUTED_VALUE"""),66.0)</f>
        <v>66</v>
      </c>
      <c r="F5493" s="19" t="str">
        <f>IFERROR(__xludf.DUMMYFUNCTION("""COMPUTED_VALUE"""),"BLACK")</f>
        <v>BLACK</v>
      </c>
      <c r="G5493" s="20" t="str">
        <f>IFERROR(__xludf.DUMMYFUNCTION("""COMPUTED_VALUE"""),"Uncle Sams Cider (11/12/2021) 02")</f>
        <v>Uncle Sams Cider (11/12/2021) 02</v>
      </c>
      <c r="H5493" s="19"/>
    </row>
    <row r="5494">
      <c r="A5494" s="9"/>
      <c r="B5494" s="15"/>
      <c r="C5494" s="9">
        <f>IFERROR(__xludf.DUMMYFUNCTION("""COMPUTED_VALUE"""),44547.8519182986)</f>
        <v>44547.85192</v>
      </c>
      <c r="D5494" s="15">
        <f>IFERROR(__xludf.DUMMYFUNCTION("""COMPUTED_VALUE"""),1.02)</f>
        <v>1.02</v>
      </c>
      <c r="E5494" s="16">
        <f>IFERROR(__xludf.DUMMYFUNCTION("""COMPUTED_VALUE"""),66.0)</f>
        <v>66</v>
      </c>
      <c r="F5494" s="19" t="str">
        <f>IFERROR(__xludf.DUMMYFUNCTION("""COMPUTED_VALUE"""),"BLACK")</f>
        <v>BLACK</v>
      </c>
      <c r="G5494" s="20" t="str">
        <f>IFERROR(__xludf.DUMMYFUNCTION("""COMPUTED_VALUE"""),"Uncle Sams Cider (11/12/2021) 02")</f>
        <v>Uncle Sams Cider (11/12/2021) 02</v>
      </c>
      <c r="H5494" s="19"/>
    </row>
    <row r="5495">
      <c r="A5495" s="9"/>
      <c r="B5495" s="15"/>
      <c r="C5495" s="9">
        <f>IFERROR(__xludf.DUMMYFUNCTION("""COMPUTED_VALUE"""),44547.8414977546)</f>
        <v>44547.8415</v>
      </c>
      <c r="D5495" s="15">
        <f>IFERROR(__xludf.DUMMYFUNCTION("""COMPUTED_VALUE"""),1.02)</f>
        <v>1.02</v>
      </c>
      <c r="E5495" s="16">
        <f>IFERROR(__xludf.DUMMYFUNCTION("""COMPUTED_VALUE"""),66.0)</f>
        <v>66</v>
      </c>
      <c r="F5495" s="19" t="str">
        <f>IFERROR(__xludf.DUMMYFUNCTION("""COMPUTED_VALUE"""),"BLACK")</f>
        <v>BLACK</v>
      </c>
      <c r="G5495" s="20" t="str">
        <f>IFERROR(__xludf.DUMMYFUNCTION("""COMPUTED_VALUE"""),"Uncle Sams Cider (11/12/2021) 02")</f>
        <v>Uncle Sams Cider (11/12/2021) 02</v>
      </c>
      <c r="H5495" s="19"/>
    </row>
    <row r="5496">
      <c r="A5496" s="9"/>
      <c r="B5496" s="15"/>
      <c r="C5496" s="9">
        <f>IFERROR(__xludf.DUMMYFUNCTION("""COMPUTED_VALUE"""),44547.8310424189)</f>
        <v>44547.83104</v>
      </c>
      <c r="D5496" s="15">
        <f>IFERROR(__xludf.DUMMYFUNCTION("""COMPUTED_VALUE"""),1.02)</f>
        <v>1.02</v>
      </c>
      <c r="E5496" s="16">
        <f>IFERROR(__xludf.DUMMYFUNCTION("""COMPUTED_VALUE"""),66.0)</f>
        <v>66</v>
      </c>
      <c r="F5496" s="19" t="str">
        <f>IFERROR(__xludf.DUMMYFUNCTION("""COMPUTED_VALUE"""),"BLACK")</f>
        <v>BLACK</v>
      </c>
      <c r="G5496" s="20" t="str">
        <f>IFERROR(__xludf.DUMMYFUNCTION("""COMPUTED_VALUE"""),"Uncle Sams Cider (11/12/2021) 02")</f>
        <v>Uncle Sams Cider (11/12/2021) 02</v>
      </c>
      <c r="H5496" s="19"/>
    </row>
    <row r="5497">
      <c r="A5497" s="9"/>
      <c r="B5497" s="15"/>
      <c r="C5497" s="9">
        <f>IFERROR(__xludf.DUMMYFUNCTION("""COMPUTED_VALUE"""),44547.8205970254)</f>
        <v>44547.8206</v>
      </c>
      <c r="D5497" s="15">
        <f>IFERROR(__xludf.DUMMYFUNCTION("""COMPUTED_VALUE"""),1.02)</f>
        <v>1.02</v>
      </c>
      <c r="E5497" s="16">
        <f>IFERROR(__xludf.DUMMYFUNCTION("""COMPUTED_VALUE"""),66.0)</f>
        <v>66</v>
      </c>
      <c r="F5497" s="19" t="str">
        <f>IFERROR(__xludf.DUMMYFUNCTION("""COMPUTED_VALUE"""),"BLACK")</f>
        <v>BLACK</v>
      </c>
      <c r="G5497" s="20" t="str">
        <f>IFERROR(__xludf.DUMMYFUNCTION("""COMPUTED_VALUE"""),"Uncle Sams Cider (11/12/2021) 02")</f>
        <v>Uncle Sams Cider (11/12/2021) 02</v>
      </c>
      <c r="H5497" s="19"/>
    </row>
    <row r="5498">
      <c r="A5498" s="9"/>
      <c r="B5498" s="15"/>
      <c r="C5498" s="9">
        <f>IFERROR(__xludf.DUMMYFUNCTION("""COMPUTED_VALUE"""),44547.8101401504)</f>
        <v>44547.81014</v>
      </c>
      <c r="D5498" s="15">
        <f>IFERROR(__xludf.DUMMYFUNCTION("""COMPUTED_VALUE"""),1.02)</f>
        <v>1.02</v>
      </c>
      <c r="E5498" s="16">
        <f>IFERROR(__xludf.DUMMYFUNCTION("""COMPUTED_VALUE"""),66.0)</f>
        <v>66</v>
      </c>
      <c r="F5498" s="19" t="str">
        <f>IFERROR(__xludf.DUMMYFUNCTION("""COMPUTED_VALUE"""),"BLACK")</f>
        <v>BLACK</v>
      </c>
      <c r="G5498" s="20" t="str">
        <f>IFERROR(__xludf.DUMMYFUNCTION("""COMPUTED_VALUE"""),"Uncle Sams Cider (11/12/2021) 02")</f>
        <v>Uncle Sams Cider (11/12/2021) 02</v>
      </c>
      <c r="H5498" s="19"/>
    </row>
    <row r="5499">
      <c r="A5499" s="9"/>
      <c r="B5499" s="15"/>
      <c r="C5499" s="9">
        <f>IFERROR(__xludf.DUMMYFUNCTION("""COMPUTED_VALUE"""),44547.7997089004)</f>
        <v>44547.79971</v>
      </c>
      <c r="D5499" s="15">
        <f>IFERROR(__xludf.DUMMYFUNCTION("""COMPUTED_VALUE"""),1.02)</f>
        <v>1.02</v>
      </c>
      <c r="E5499" s="16">
        <f>IFERROR(__xludf.DUMMYFUNCTION("""COMPUTED_VALUE"""),66.0)</f>
        <v>66</v>
      </c>
      <c r="F5499" s="19" t="str">
        <f>IFERROR(__xludf.DUMMYFUNCTION("""COMPUTED_VALUE"""),"BLACK")</f>
        <v>BLACK</v>
      </c>
      <c r="G5499" s="20" t="str">
        <f>IFERROR(__xludf.DUMMYFUNCTION("""COMPUTED_VALUE"""),"Uncle Sams Cider (11/12/2021) 02")</f>
        <v>Uncle Sams Cider (11/12/2021) 02</v>
      </c>
      <c r="H5499" s="19"/>
    </row>
    <row r="5500">
      <c r="A5500" s="9"/>
      <c r="B5500" s="15"/>
      <c r="C5500" s="9">
        <f>IFERROR(__xludf.DUMMYFUNCTION("""COMPUTED_VALUE"""),44547.7892875925)</f>
        <v>44547.78929</v>
      </c>
      <c r="D5500" s="15">
        <f>IFERROR(__xludf.DUMMYFUNCTION("""COMPUTED_VALUE"""),1.02)</f>
        <v>1.02</v>
      </c>
      <c r="E5500" s="16">
        <f>IFERROR(__xludf.DUMMYFUNCTION("""COMPUTED_VALUE"""),66.0)</f>
        <v>66</v>
      </c>
      <c r="F5500" s="19" t="str">
        <f>IFERROR(__xludf.DUMMYFUNCTION("""COMPUTED_VALUE"""),"BLACK")</f>
        <v>BLACK</v>
      </c>
      <c r="G5500" s="20" t="str">
        <f>IFERROR(__xludf.DUMMYFUNCTION("""COMPUTED_VALUE"""),"Uncle Sams Cider (11/12/2021) 02")</f>
        <v>Uncle Sams Cider (11/12/2021) 02</v>
      </c>
      <c r="H5500" s="19"/>
    </row>
    <row r="5501">
      <c r="A5501" s="9"/>
      <c r="B5501" s="15"/>
      <c r="C5501" s="9">
        <f>IFERROR(__xludf.DUMMYFUNCTION("""COMPUTED_VALUE"""),44547.7788680324)</f>
        <v>44547.77887</v>
      </c>
      <c r="D5501" s="15">
        <f>IFERROR(__xludf.DUMMYFUNCTION("""COMPUTED_VALUE"""),1.02)</f>
        <v>1.02</v>
      </c>
      <c r="E5501" s="16">
        <f>IFERROR(__xludf.DUMMYFUNCTION("""COMPUTED_VALUE"""),66.0)</f>
        <v>66</v>
      </c>
      <c r="F5501" s="19" t="str">
        <f>IFERROR(__xludf.DUMMYFUNCTION("""COMPUTED_VALUE"""),"BLACK")</f>
        <v>BLACK</v>
      </c>
      <c r="G5501" s="20" t="str">
        <f>IFERROR(__xludf.DUMMYFUNCTION("""COMPUTED_VALUE"""),"Uncle Sams Cider (11/12/2021) 02")</f>
        <v>Uncle Sams Cider (11/12/2021) 02</v>
      </c>
      <c r="H5501" s="19"/>
    </row>
    <row r="5502">
      <c r="A5502" s="9"/>
      <c r="B5502" s="15"/>
      <c r="C5502" s="9">
        <f>IFERROR(__xludf.DUMMYFUNCTION("""COMPUTED_VALUE"""),44547.7684452314)</f>
        <v>44547.76845</v>
      </c>
      <c r="D5502" s="15">
        <f>IFERROR(__xludf.DUMMYFUNCTION("""COMPUTED_VALUE"""),1.02)</f>
        <v>1.02</v>
      </c>
      <c r="E5502" s="16">
        <f>IFERROR(__xludf.DUMMYFUNCTION("""COMPUTED_VALUE"""),66.0)</f>
        <v>66</v>
      </c>
      <c r="F5502" s="19" t="str">
        <f>IFERROR(__xludf.DUMMYFUNCTION("""COMPUTED_VALUE"""),"BLACK")</f>
        <v>BLACK</v>
      </c>
      <c r="G5502" s="20" t="str">
        <f>IFERROR(__xludf.DUMMYFUNCTION("""COMPUTED_VALUE"""),"Uncle Sams Cider (11/12/2021) 02")</f>
        <v>Uncle Sams Cider (11/12/2021) 02</v>
      </c>
      <c r="H5502" s="19"/>
    </row>
    <row r="5503">
      <c r="A5503" s="9"/>
      <c r="B5503" s="15"/>
      <c r="C5503" s="9">
        <f>IFERROR(__xludf.DUMMYFUNCTION("""COMPUTED_VALUE"""),44547.7580235532)</f>
        <v>44547.75802</v>
      </c>
      <c r="D5503" s="15">
        <f>IFERROR(__xludf.DUMMYFUNCTION("""COMPUTED_VALUE"""),1.02)</f>
        <v>1.02</v>
      </c>
      <c r="E5503" s="16">
        <f>IFERROR(__xludf.DUMMYFUNCTION("""COMPUTED_VALUE"""),66.0)</f>
        <v>66</v>
      </c>
      <c r="F5503" s="19" t="str">
        <f>IFERROR(__xludf.DUMMYFUNCTION("""COMPUTED_VALUE"""),"BLACK")</f>
        <v>BLACK</v>
      </c>
      <c r="G5503" s="20" t="str">
        <f>IFERROR(__xludf.DUMMYFUNCTION("""COMPUTED_VALUE"""),"Uncle Sams Cider (11/12/2021) 02")</f>
        <v>Uncle Sams Cider (11/12/2021) 02</v>
      </c>
      <c r="H5503" s="19"/>
    </row>
    <row r="5504">
      <c r="A5504" s="9"/>
      <c r="B5504" s="15"/>
      <c r="C5504" s="9">
        <f>IFERROR(__xludf.DUMMYFUNCTION("""COMPUTED_VALUE"""),44547.7476013078)</f>
        <v>44547.7476</v>
      </c>
      <c r="D5504" s="15">
        <f>IFERROR(__xludf.DUMMYFUNCTION("""COMPUTED_VALUE"""),1.02)</f>
        <v>1.02</v>
      </c>
      <c r="E5504" s="16">
        <f>IFERROR(__xludf.DUMMYFUNCTION("""COMPUTED_VALUE"""),66.0)</f>
        <v>66</v>
      </c>
      <c r="F5504" s="19" t="str">
        <f>IFERROR(__xludf.DUMMYFUNCTION("""COMPUTED_VALUE"""),"BLACK")</f>
        <v>BLACK</v>
      </c>
      <c r="G5504" s="20" t="str">
        <f>IFERROR(__xludf.DUMMYFUNCTION("""COMPUTED_VALUE"""),"Uncle Sams Cider (11/12/2021) 02")</f>
        <v>Uncle Sams Cider (11/12/2021) 02</v>
      </c>
      <c r="H5504" s="19"/>
    </row>
    <row r="5505">
      <c r="A5505" s="9"/>
      <c r="B5505" s="15"/>
      <c r="C5505" s="9">
        <f>IFERROR(__xludf.DUMMYFUNCTION("""COMPUTED_VALUE"""),44547.7371800925)</f>
        <v>44547.73718</v>
      </c>
      <c r="D5505" s="15">
        <f>IFERROR(__xludf.DUMMYFUNCTION("""COMPUTED_VALUE"""),1.02)</f>
        <v>1.02</v>
      </c>
      <c r="E5505" s="16">
        <f>IFERROR(__xludf.DUMMYFUNCTION("""COMPUTED_VALUE"""),66.0)</f>
        <v>66</v>
      </c>
      <c r="F5505" s="19" t="str">
        <f>IFERROR(__xludf.DUMMYFUNCTION("""COMPUTED_VALUE"""),"BLACK")</f>
        <v>BLACK</v>
      </c>
      <c r="G5505" s="20" t="str">
        <f>IFERROR(__xludf.DUMMYFUNCTION("""COMPUTED_VALUE"""),"Uncle Sams Cider (11/12/2021) 02")</f>
        <v>Uncle Sams Cider (11/12/2021) 02</v>
      </c>
      <c r="H5505" s="19"/>
    </row>
    <row r="5506">
      <c r="A5506" s="9"/>
      <c r="B5506" s="15"/>
      <c r="C5506" s="9">
        <f>IFERROR(__xludf.DUMMYFUNCTION("""COMPUTED_VALUE"""),44547.7267576157)</f>
        <v>44547.72676</v>
      </c>
      <c r="D5506" s="15">
        <f>IFERROR(__xludf.DUMMYFUNCTION("""COMPUTED_VALUE"""),1.02)</f>
        <v>1.02</v>
      </c>
      <c r="E5506" s="16">
        <f>IFERROR(__xludf.DUMMYFUNCTION("""COMPUTED_VALUE"""),66.0)</f>
        <v>66</v>
      </c>
      <c r="F5506" s="19" t="str">
        <f>IFERROR(__xludf.DUMMYFUNCTION("""COMPUTED_VALUE"""),"BLACK")</f>
        <v>BLACK</v>
      </c>
      <c r="G5506" s="20" t="str">
        <f>IFERROR(__xludf.DUMMYFUNCTION("""COMPUTED_VALUE"""),"Uncle Sams Cider (11/12/2021) 02")</f>
        <v>Uncle Sams Cider (11/12/2021) 02</v>
      </c>
      <c r="H5506" s="19"/>
    </row>
    <row r="5507">
      <c r="A5507" s="9"/>
      <c r="B5507" s="15"/>
      <c r="C5507" s="9">
        <f>IFERROR(__xludf.DUMMYFUNCTION("""COMPUTED_VALUE"""),44547.7163258796)</f>
        <v>44547.71633</v>
      </c>
      <c r="D5507" s="15">
        <f>IFERROR(__xludf.DUMMYFUNCTION("""COMPUTED_VALUE"""),1.02)</f>
        <v>1.02</v>
      </c>
      <c r="E5507" s="16">
        <f>IFERROR(__xludf.DUMMYFUNCTION("""COMPUTED_VALUE"""),66.0)</f>
        <v>66</v>
      </c>
      <c r="F5507" s="19" t="str">
        <f>IFERROR(__xludf.DUMMYFUNCTION("""COMPUTED_VALUE"""),"BLACK")</f>
        <v>BLACK</v>
      </c>
      <c r="G5507" s="20" t="str">
        <f>IFERROR(__xludf.DUMMYFUNCTION("""COMPUTED_VALUE"""),"Uncle Sams Cider (11/12/2021) 02")</f>
        <v>Uncle Sams Cider (11/12/2021) 02</v>
      </c>
      <c r="H5507" s="19"/>
    </row>
    <row r="5508">
      <c r="A5508" s="9"/>
      <c r="B5508" s="15"/>
      <c r="C5508" s="9">
        <f>IFERROR(__xludf.DUMMYFUNCTION("""COMPUTED_VALUE"""),44547.7058934606)</f>
        <v>44547.70589</v>
      </c>
      <c r="D5508" s="15">
        <f>IFERROR(__xludf.DUMMYFUNCTION("""COMPUTED_VALUE"""),1.02)</f>
        <v>1.02</v>
      </c>
      <c r="E5508" s="16">
        <f>IFERROR(__xludf.DUMMYFUNCTION("""COMPUTED_VALUE"""),66.0)</f>
        <v>66</v>
      </c>
      <c r="F5508" s="19" t="str">
        <f>IFERROR(__xludf.DUMMYFUNCTION("""COMPUTED_VALUE"""),"BLACK")</f>
        <v>BLACK</v>
      </c>
      <c r="G5508" s="20" t="str">
        <f>IFERROR(__xludf.DUMMYFUNCTION("""COMPUTED_VALUE"""),"Uncle Sams Cider (11/12/2021) 02")</f>
        <v>Uncle Sams Cider (11/12/2021) 02</v>
      </c>
      <c r="H5508" s="19"/>
    </row>
    <row r="5509">
      <c r="A5509" s="9"/>
      <c r="B5509" s="15"/>
      <c r="C5509" s="9">
        <f>IFERROR(__xludf.DUMMYFUNCTION("""COMPUTED_VALUE"""),44547.6954586689)</f>
        <v>44547.69546</v>
      </c>
      <c r="D5509" s="15">
        <f>IFERROR(__xludf.DUMMYFUNCTION("""COMPUTED_VALUE"""),1.02)</f>
        <v>1.02</v>
      </c>
      <c r="E5509" s="16">
        <f>IFERROR(__xludf.DUMMYFUNCTION("""COMPUTED_VALUE"""),67.0)</f>
        <v>67</v>
      </c>
      <c r="F5509" s="19" t="str">
        <f>IFERROR(__xludf.DUMMYFUNCTION("""COMPUTED_VALUE"""),"BLACK")</f>
        <v>BLACK</v>
      </c>
      <c r="G5509" s="20" t="str">
        <f>IFERROR(__xludf.DUMMYFUNCTION("""COMPUTED_VALUE"""),"Uncle Sams Cider (11/12/2021) 02")</f>
        <v>Uncle Sams Cider (11/12/2021) 02</v>
      </c>
      <c r="H5509" s="19"/>
    </row>
    <row r="5510">
      <c r="A5510" s="9"/>
      <c r="B5510" s="15"/>
      <c r="C5510" s="9">
        <f>IFERROR(__xludf.DUMMYFUNCTION("""COMPUTED_VALUE"""),44547.6850355092)</f>
        <v>44547.68504</v>
      </c>
      <c r="D5510" s="15">
        <f>IFERROR(__xludf.DUMMYFUNCTION("""COMPUTED_VALUE"""),1.02)</f>
        <v>1.02</v>
      </c>
      <c r="E5510" s="16">
        <f>IFERROR(__xludf.DUMMYFUNCTION("""COMPUTED_VALUE"""),67.0)</f>
        <v>67</v>
      </c>
      <c r="F5510" s="19" t="str">
        <f>IFERROR(__xludf.DUMMYFUNCTION("""COMPUTED_VALUE"""),"BLACK")</f>
        <v>BLACK</v>
      </c>
      <c r="G5510" s="20" t="str">
        <f>IFERROR(__xludf.DUMMYFUNCTION("""COMPUTED_VALUE"""),"Uncle Sams Cider (11/12/2021) 02")</f>
        <v>Uncle Sams Cider (11/12/2021) 02</v>
      </c>
      <c r="H5510" s="19"/>
    </row>
    <row r="5511">
      <c r="A5511" s="9"/>
      <c r="B5511" s="15"/>
      <c r="C5511" s="9">
        <f>IFERROR(__xludf.DUMMYFUNCTION("""COMPUTED_VALUE"""),44547.674614699)</f>
        <v>44547.67461</v>
      </c>
      <c r="D5511" s="15">
        <f>IFERROR(__xludf.DUMMYFUNCTION("""COMPUTED_VALUE"""),1.02)</f>
        <v>1.02</v>
      </c>
      <c r="E5511" s="16">
        <f>IFERROR(__xludf.DUMMYFUNCTION("""COMPUTED_VALUE"""),66.0)</f>
        <v>66</v>
      </c>
      <c r="F5511" s="19" t="str">
        <f>IFERROR(__xludf.DUMMYFUNCTION("""COMPUTED_VALUE"""),"BLACK")</f>
        <v>BLACK</v>
      </c>
      <c r="G5511" s="20" t="str">
        <f>IFERROR(__xludf.DUMMYFUNCTION("""COMPUTED_VALUE"""),"Uncle Sams Cider (11/12/2021) 02")</f>
        <v>Uncle Sams Cider (11/12/2021) 02</v>
      </c>
      <c r="H5511" s="19"/>
    </row>
    <row r="5512">
      <c r="A5512" s="9"/>
      <c r="B5512" s="15"/>
      <c r="C5512" s="9">
        <f>IFERROR(__xludf.DUMMYFUNCTION("""COMPUTED_VALUE"""),44547.6641812152)</f>
        <v>44547.66418</v>
      </c>
      <c r="D5512" s="15">
        <f>IFERROR(__xludf.DUMMYFUNCTION("""COMPUTED_VALUE"""),1.02)</f>
        <v>1.02</v>
      </c>
      <c r="E5512" s="16">
        <f>IFERROR(__xludf.DUMMYFUNCTION("""COMPUTED_VALUE"""),67.0)</f>
        <v>67</v>
      </c>
      <c r="F5512" s="19" t="str">
        <f>IFERROR(__xludf.DUMMYFUNCTION("""COMPUTED_VALUE"""),"BLACK")</f>
        <v>BLACK</v>
      </c>
      <c r="G5512" s="20" t="str">
        <f>IFERROR(__xludf.DUMMYFUNCTION("""COMPUTED_VALUE"""),"Uncle Sams Cider (11/12/2021) 02")</f>
        <v>Uncle Sams Cider (11/12/2021) 02</v>
      </c>
      <c r="H5512" s="19"/>
    </row>
    <row r="5513">
      <c r="A5513" s="9"/>
      <c r="B5513" s="15"/>
      <c r="C5513" s="9">
        <f>IFERROR(__xludf.DUMMYFUNCTION("""COMPUTED_VALUE"""),44547.6537367592)</f>
        <v>44547.65374</v>
      </c>
      <c r="D5513" s="15">
        <f>IFERROR(__xludf.DUMMYFUNCTION("""COMPUTED_VALUE"""),1.02)</f>
        <v>1.02</v>
      </c>
      <c r="E5513" s="16">
        <f>IFERROR(__xludf.DUMMYFUNCTION("""COMPUTED_VALUE"""),67.0)</f>
        <v>67</v>
      </c>
      <c r="F5513" s="19" t="str">
        <f>IFERROR(__xludf.DUMMYFUNCTION("""COMPUTED_VALUE"""),"BLACK")</f>
        <v>BLACK</v>
      </c>
      <c r="G5513" s="20" t="str">
        <f>IFERROR(__xludf.DUMMYFUNCTION("""COMPUTED_VALUE"""),"Uncle Sams Cider (11/12/2021) 02")</f>
        <v>Uncle Sams Cider (11/12/2021) 02</v>
      </c>
      <c r="H5513" s="19"/>
    </row>
    <row r="5514">
      <c r="A5514" s="9"/>
      <c r="B5514" s="15"/>
      <c r="C5514" s="9">
        <f>IFERROR(__xludf.DUMMYFUNCTION("""COMPUTED_VALUE"""),44547.6433060416)</f>
        <v>44547.64331</v>
      </c>
      <c r="D5514" s="15">
        <f>IFERROR(__xludf.DUMMYFUNCTION("""COMPUTED_VALUE"""),1.02)</f>
        <v>1.02</v>
      </c>
      <c r="E5514" s="16">
        <f>IFERROR(__xludf.DUMMYFUNCTION("""COMPUTED_VALUE"""),67.0)</f>
        <v>67</v>
      </c>
      <c r="F5514" s="19" t="str">
        <f>IFERROR(__xludf.DUMMYFUNCTION("""COMPUTED_VALUE"""),"BLACK")</f>
        <v>BLACK</v>
      </c>
      <c r="G5514" s="20" t="str">
        <f>IFERROR(__xludf.DUMMYFUNCTION("""COMPUTED_VALUE"""),"Uncle Sams Cider (11/12/2021) 02")</f>
        <v>Uncle Sams Cider (11/12/2021) 02</v>
      </c>
      <c r="H5514" s="19"/>
    </row>
    <row r="5515">
      <c r="A5515" s="9"/>
      <c r="B5515" s="15"/>
      <c r="C5515" s="9">
        <f>IFERROR(__xludf.DUMMYFUNCTION("""COMPUTED_VALUE"""),44547.6328846643)</f>
        <v>44547.63288</v>
      </c>
      <c r="D5515" s="15">
        <f>IFERROR(__xludf.DUMMYFUNCTION("""COMPUTED_VALUE"""),1.02)</f>
        <v>1.02</v>
      </c>
      <c r="E5515" s="16">
        <f>IFERROR(__xludf.DUMMYFUNCTION("""COMPUTED_VALUE"""),67.0)</f>
        <v>67</v>
      </c>
      <c r="F5515" s="19" t="str">
        <f>IFERROR(__xludf.DUMMYFUNCTION("""COMPUTED_VALUE"""),"BLACK")</f>
        <v>BLACK</v>
      </c>
      <c r="G5515" s="20" t="str">
        <f>IFERROR(__xludf.DUMMYFUNCTION("""COMPUTED_VALUE"""),"Uncle Sams Cider (11/12/2021) 02")</f>
        <v>Uncle Sams Cider (11/12/2021) 02</v>
      </c>
      <c r="H5515" s="19"/>
    </row>
    <row r="5516">
      <c r="A5516" s="9"/>
      <c r="B5516" s="15"/>
      <c r="C5516" s="9">
        <f>IFERROR(__xludf.DUMMYFUNCTION("""COMPUTED_VALUE"""),44547.6224160995)</f>
        <v>44547.62242</v>
      </c>
      <c r="D5516" s="15">
        <f>IFERROR(__xludf.DUMMYFUNCTION("""COMPUTED_VALUE"""),1.02)</f>
        <v>1.02</v>
      </c>
      <c r="E5516" s="16">
        <f>IFERROR(__xludf.DUMMYFUNCTION("""COMPUTED_VALUE"""),67.0)</f>
        <v>67</v>
      </c>
      <c r="F5516" s="19" t="str">
        <f>IFERROR(__xludf.DUMMYFUNCTION("""COMPUTED_VALUE"""),"BLACK")</f>
        <v>BLACK</v>
      </c>
      <c r="G5516" s="20" t="str">
        <f>IFERROR(__xludf.DUMMYFUNCTION("""COMPUTED_VALUE"""),"Uncle Sams Cider (11/12/2021) 02")</f>
        <v>Uncle Sams Cider (11/12/2021) 02</v>
      </c>
      <c r="H5516" s="19"/>
    </row>
    <row r="5517">
      <c r="A5517" s="9"/>
      <c r="B5517" s="15"/>
      <c r="C5517" s="9">
        <f>IFERROR(__xludf.DUMMYFUNCTION("""COMPUTED_VALUE"""),44547.6119936574)</f>
        <v>44547.61199</v>
      </c>
      <c r="D5517" s="15">
        <f>IFERROR(__xludf.DUMMYFUNCTION("""COMPUTED_VALUE"""),1.02)</f>
        <v>1.02</v>
      </c>
      <c r="E5517" s="16">
        <f>IFERROR(__xludf.DUMMYFUNCTION("""COMPUTED_VALUE"""),67.0)</f>
        <v>67</v>
      </c>
      <c r="F5517" s="19" t="str">
        <f>IFERROR(__xludf.DUMMYFUNCTION("""COMPUTED_VALUE"""),"BLACK")</f>
        <v>BLACK</v>
      </c>
      <c r="G5517" s="20" t="str">
        <f>IFERROR(__xludf.DUMMYFUNCTION("""COMPUTED_VALUE"""),"Uncle Sams Cider (11/12/2021) 02")</f>
        <v>Uncle Sams Cider (11/12/2021) 02</v>
      </c>
      <c r="H5517" s="19"/>
    </row>
    <row r="5518">
      <c r="A5518" s="9"/>
      <c r="B5518" s="15"/>
      <c r="C5518" s="9">
        <f>IFERROR(__xludf.DUMMYFUNCTION("""COMPUTED_VALUE"""),44547.6015605208)</f>
        <v>44547.60156</v>
      </c>
      <c r="D5518" s="15">
        <f>IFERROR(__xludf.DUMMYFUNCTION("""COMPUTED_VALUE"""),1.02)</f>
        <v>1.02</v>
      </c>
      <c r="E5518" s="16">
        <f>IFERROR(__xludf.DUMMYFUNCTION("""COMPUTED_VALUE"""),67.0)</f>
        <v>67</v>
      </c>
      <c r="F5518" s="19" t="str">
        <f>IFERROR(__xludf.DUMMYFUNCTION("""COMPUTED_VALUE"""),"BLACK")</f>
        <v>BLACK</v>
      </c>
      <c r="G5518" s="20" t="str">
        <f>IFERROR(__xludf.DUMMYFUNCTION("""COMPUTED_VALUE"""),"Uncle Sams Cider (11/12/2021) 02")</f>
        <v>Uncle Sams Cider (11/12/2021) 02</v>
      </c>
      <c r="H5518" s="19"/>
    </row>
    <row r="5519">
      <c r="A5519" s="9"/>
      <c r="B5519" s="15"/>
      <c r="C5519" s="9">
        <f>IFERROR(__xludf.DUMMYFUNCTION("""COMPUTED_VALUE"""),44547.5911381597)</f>
        <v>44547.59114</v>
      </c>
      <c r="D5519" s="15">
        <f>IFERROR(__xludf.DUMMYFUNCTION("""COMPUTED_VALUE"""),1.02)</f>
        <v>1.02</v>
      </c>
      <c r="E5519" s="16">
        <f>IFERROR(__xludf.DUMMYFUNCTION("""COMPUTED_VALUE"""),67.0)</f>
        <v>67</v>
      </c>
      <c r="F5519" s="19" t="str">
        <f>IFERROR(__xludf.DUMMYFUNCTION("""COMPUTED_VALUE"""),"BLACK")</f>
        <v>BLACK</v>
      </c>
      <c r="G5519" s="20" t="str">
        <f>IFERROR(__xludf.DUMMYFUNCTION("""COMPUTED_VALUE"""),"Uncle Sams Cider (11/12/2021) 02")</f>
        <v>Uncle Sams Cider (11/12/2021) 02</v>
      </c>
      <c r="H5519" s="19"/>
    </row>
    <row r="5520">
      <c r="A5520" s="9"/>
      <c r="B5520" s="15"/>
      <c r="C5520" s="9">
        <f>IFERROR(__xludf.DUMMYFUNCTION("""COMPUTED_VALUE"""),44547.5807197569)</f>
        <v>44547.58072</v>
      </c>
      <c r="D5520" s="15">
        <f>IFERROR(__xludf.DUMMYFUNCTION("""COMPUTED_VALUE"""),1.02)</f>
        <v>1.02</v>
      </c>
      <c r="E5520" s="16">
        <f>IFERROR(__xludf.DUMMYFUNCTION("""COMPUTED_VALUE"""),67.0)</f>
        <v>67</v>
      </c>
      <c r="F5520" s="19" t="str">
        <f>IFERROR(__xludf.DUMMYFUNCTION("""COMPUTED_VALUE"""),"BLACK")</f>
        <v>BLACK</v>
      </c>
      <c r="G5520" s="20" t="str">
        <f>IFERROR(__xludf.DUMMYFUNCTION("""COMPUTED_VALUE"""),"Uncle Sams Cider (11/12/2021) 02")</f>
        <v>Uncle Sams Cider (11/12/2021) 02</v>
      </c>
      <c r="H5520" s="19"/>
    </row>
    <row r="5521">
      <c r="A5521" s="9"/>
      <c r="B5521" s="15"/>
      <c r="C5521" s="9">
        <f>IFERROR(__xludf.DUMMYFUNCTION("""COMPUTED_VALUE"""),44547.5702883333)</f>
        <v>44547.57029</v>
      </c>
      <c r="D5521" s="15">
        <f>IFERROR(__xludf.DUMMYFUNCTION("""COMPUTED_VALUE"""),1.02)</f>
        <v>1.02</v>
      </c>
      <c r="E5521" s="16">
        <f>IFERROR(__xludf.DUMMYFUNCTION("""COMPUTED_VALUE"""),67.0)</f>
        <v>67</v>
      </c>
      <c r="F5521" s="19" t="str">
        <f>IFERROR(__xludf.DUMMYFUNCTION("""COMPUTED_VALUE"""),"BLACK")</f>
        <v>BLACK</v>
      </c>
      <c r="G5521" s="20" t="str">
        <f>IFERROR(__xludf.DUMMYFUNCTION("""COMPUTED_VALUE"""),"Uncle Sams Cider (11/12/2021) 02")</f>
        <v>Uncle Sams Cider (11/12/2021) 02</v>
      </c>
      <c r="H5521" s="19"/>
    </row>
    <row r="5522">
      <c r="A5522" s="9"/>
      <c r="B5522" s="15"/>
      <c r="C5522" s="9">
        <f>IFERROR(__xludf.DUMMYFUNCTION("""COMPUTED_VALUE"""),44547.5598551967)</f>
        <v>44547.55986</v>
      </c>
      <c r="D5522" s="15">
        <f>IFERROR(__xludf.DUMMYFUNCTION("""COMPUTED_VALUE"""),1.02)</f>
        <v>1.02</v>
      </c>
      <c r="E5522" s="16">
        <f>IFERROR(__xludf.DUMMYFUNCTION("""COMPUTED_VALUE"""),67.0)</f>
        <v>67</v>
      </c>
      <c r="F5522" s="19" t="str">
        <f>IFERROR(__xludf.DUMMYFUNCTION("""COMPUTED_VALUE"""),"BLACK")</f>
        <v>BLACK</v>
      </c>
      <c r="G5522" s="20" t="str">
        <f>IFERROR(__xludf.DUMMYFUNCTION("""COMPUTED_VALUE"""),"Uncle Sams Cider (11/12/2021) 02")</f>
        <v>Uncle Sams Cider (11/12/2021) 02</v>
      </c>
      <c r="H5522" s="19"/>
    </row>
    <row r="5523">
      <c r="A5523" s="9"/>
      <c r="B5523" s="15"/>
      <c r="C5523" s="9">
        <f>IFERROR(__xludf.DUMMYFUNCTION("""COMPUTED_VALUE"""),44547.5494348148)</f>
        <v>44547.54943</v>
      </c>
      <c r="D5523" s="15">
        <f>IFERROR(__xludf.DUMMYFUNCTION("""COMPUTED_VALUE"""),1.02)</f>
        <v>1.02</v>
      </c>
      <c r="E5523" s="16">
        <f>IFERROR(__xludf.DUMMYFUNCTION("""COMPUTED_VALUE"""),67.0)</f>
        <v>67</v>
      </c>
      <c r="F5523" s="19" t="str">
        <f>IFERROR(__xludf.DUMMYFUNCTION("""COMPUTED_VALUE"""),"BLACK")</f>
        <v>BLACK</v>
      </c>
      <c r="G5523" s="20" t="str">
        <f>IFERROR(__xludf.DUMMYFUNCTION("""COMPUTED_VALUE"""),"Uncle Sams Cider (11/12/2021) 02")</f>
        <v>Uncle Sams Cider (11/12/2021) 02</v>
      </c>
      <c r="H5523" s="19"/>
    </row>
    <row r="5524">
      <c r="A5524" s="9"/>
      <c r="B5524" s="15"/>
      <c r="C5524" s="9">
        <f>IFERROR(__xludf.DUMMYFUNCTION("""COMPUTED_VALUE"""),44547.5389919328)</f>
        <v>44547.53899</v>
      </c>
      <c r="D5524" s="15">
        <f>IFERROR(__xludf.DUMMYFUNCTION("""COMPUTED_VALUE"""),1.02)</f>
        <v>1.02</v>
      </c>
      <c r="E5524" s="16">
        <f>IFERROR(__xludf.DUMMYFUNCTION("""COMPUTED_VALUE"""),67.0)</f>
        <v>67</v>
      </c>
      <c r="F5524" s="19" t="str">
        <f>IFERROR(__xludf.DUMMYFUNCTION("""COMPUTED_VALUE"""),"BLACK")</f>
        <v>BLACK</v>
      </c>
      <c r="G5524" s="20" t="str">
        <f>IFERROR(__xludf.DUMMYFUNCTION("""COMPUTED_VALUE"""),"Uncle Sams Cider (11/12/2021) 02")</f>
        <v>Uncle Sams Cider (11/12/2021) 02</v>
      </c>
      <c r="H5524" s="19"/>
    </row>
    <row r="5525">
      <c r="A5525" s="9"/>
      <c r="B5525" s="15"/>
      <c r="C5525" s="9">
        <f>IFERROR(__xludf.DUMMYFUNCTION("""COMPUTED_VALUE"""),44547.5285698379)</f>
        <v>44547.52857</v>
      </c>
      <c r="D5525" s="15">
        <f>IFERROR(__xludf.DUMMYFUNCTION("""COMPUTED_VALUE"""),1.02)</f>
        <v>1.02</v>
      </c>
      <c r="E5525" s="16">
        <f>IFERROR(__xludf.DUMMYFUNCTION("""COMPUTED_VALUE"""),67.0)</f>
        <v>67</v>
      </c>
      <c r="F5525" s="19" t="str">
        <f>IFERROR(__xludf.DUMMYFUNCTION("""COMPUTED_VALUE"""),"BLACK")</f>
        <v>BLACK</v>
      </c>
      <c r="G5525" s="20" t="str">
        <f>IFERROR(__xludf.DUMMYFUNCTION("""COMPUTED_VALUE"""),"Uncle Sams Cider (11/12/2021) 02")</f>
        <v>Uncle Sams Cider (11/12/2021) 02</v>
      </c>
      <c r="H5525" s="19"/>
    </row>
    <row r="5526">
      <c r="A5526" s="9"/>
      <c r="B5526" s="15"/>
      <c r="C5526" s="9">
        <f>IFERROR(__xludf.DUMMYFUNCTION("""COMPUTED_VALUE"""),44547.5181367592)</f>
        <v>44547.51814</v>
      </c>
      <c r="D5526" s="15">
        <f>IFERROR(__xludf.DUMMYFUNCTION("""COMPUTED_VALUE"""),1.02)</f>
        <v>1.02</v>
      </c>
      <c r="E5526" s="16">
        <f>IFERROR(__xludf.DUMMYFUNCTION("""COMPUTED_VALUE"""),67.0)</f>
        <v>67</v>
      </c>
      <c r="F5526" s="19" t="str">
        <f>IFERROR(__xludf.DUMMYFUNCTION("""COMPUTED_VALUE"""),"BLACK")</f>
        <v>BLACK</v>
      </c>
      <c r="G5526" s="20" t="str">
        <f>IFERROR(__xludf.DUMMYFUNCTION("""COMPUTED_VALUE"""),"Uncle Sams Cider (11/12/2021) 02")</f>
        <v>Uncle Sams Cider (11/12/2021) 02</v>
      </c>
      <c r="H5526" s="19"/>
    </row>
    <row r="5527">
      <c r="A5527" s="9"/>
      <c r="B5527" s="15"/>
      <c r="C5527" s="9">
        <f>IFERROR(__xludf.DUMMYFUNCTION("""COMPUTED_VALUE"""),44547.5076566666)</f>
        <v>44547.50766</v>
      </c>
      <c r="D5527" s="15">
        <f>IFERROR(__xludf.DUMMYFUNCTION("""COMPUTED_VALUE"""),1.02)</f>
        <v>1.02</v>
      </c>
      <c r="E5527" s="16">
        <f>IFERROR(__xludf.DUMMYFUNCTION("""COMPUTED_VALUE"""),67.0)</f>
        <v>67</v>
      </c>
      <c r="F5527" s="19" t="str">
        <f>IFERROR(__xludf.DUMMYFUNCTION("""COMPUTED_VALUE"""),"BLACK")</f>
        <v>BLACK</v>
      </c>
      <c r="G5527" s="20" t="str">
        <f>IFERROR(__xludf.DUMMYFUNCTION("""COMPUTED_VALUE"""),"Uncle Sams Cider (11/12/2021) 02")</f>
        <v>Uncle Sams Cider (11/12/2021) 02</v>
      </c>
      <c r="H5527" s="19"/>
    </row>
    <row r="5528">
      <c r="A5528" s="9"/>
      <c r="B5528" s="15"/>
      <c r="C5528" s="9">
        <f>IFERROR(__xludf.DUMMYFUNCTION("""COMPUTED_VALUE"""),44547.4972228125)</f>
        <v>44547.49722</v>
      </c>
      <c r="D5528" s="15">
        <f>IFERROR(__xludf.DUMMYFUNCTION("""COMPUTED_VALUE"""),1.02)</f>
        <v>1.02</v>
      </c>
      <c r="E5528" s="16">
        <f>IFERROR(__xludf.DUMMYFUNCTION("""COMPUTED_VALUE"""),67.0)</f>
        <v>67</v>
      </c>
      <c r="F5528" s="19" t="str">
        <f>IFERROR(__xludf.DUMMYFUNCTION("""COMPUTED_VALUE"""),"BLACK")</f>
        <v>BLACK</v>
      </c>
      <c r="G5528" s="20" t="str">
        <f>IFERROR(__xludf.DUMMYFUNCTION("""COMPUTED_VALUE"""),"Uncle Sams Cider (11/12/2021) 02")</f>
        <v>Uncle Sams Cider (11/12/2021) 02</v>
      </c>
      <c r="H5528" s="19"/>
    </row>
    <row r="5529">
      <c r="A5529" s="9"/>
      <c r="B5529" s="15"/>
      <c r="C5529" s="9">
        <f>IFERROR(__xludf.DUMMYFUNCTION("""COMPUTED_VALUE"""),44547.4867897453)</f>
        <v>44547.48679</v>
      </c>
      <c r="D5529" s="15">
        <f>IFERROR(__xludf.DUMMYFUNCTION("""COMPUTED_VALUE"""),1.02)</f>
        <v>1.02</v>
      </c>
      <c r="E5529" s="16">
        <f>IFERROR(__xludf.DUMMYFUNCTION("""COMPUTED_VALUE"""),67.0)</f>
        <v>67</v>
      </c>
      <c r="F5529" s="19" t="str">
        <f>IFERROR(__xludf.DUMMYFUNCTION("""COMPUTED_VALUE"""),"BLACK")</f>
        <v>BLACK</v>
      </c>
      <c r="G5529" s="20" t="str">
        <f>IFERROR(__xludf.DUMMYFUNCTION("""COMPUTED_VALUE"""),"Uncle Sams Cider (11/12/2021) 02")</f>
        <v>Uncle Sams Cider (11/12/2021) 02</v>
      </c>
      <c r="H5529" s="19"/>
    </row>
    <row r="5530">
      <c r="A5530" s="9"/>
      <c r="B5530" s="15"/>
      <c r="C5530" s="9">
        <f>IFERROR(__xludf.DUMMYFUNCTION("""COMPUTED_VALUE"""),44547.4763678009)</f>
        <v>44547.47637</v>
      </c>
      <c r="D5530" s="15">
        <f>IFERROR(__xludf.DUMMYFUNCTION("""COMPUTED_VALUE"""),1.02)</f>
        <v>1.02</v>
      </c>
      <c r="E5530" s="16">
        <f>IFERROR(__xludf.DUMMYFUNCTION("""COMPUTED_VALUE"""),67.0)</f>
        <v>67</v>
      </c>
      <c r="F5530" s="19" t="str">
        <f>IFERROR(__xludf.DUMMYFUNCTION("""COMPUTED_VALUE"""),"BLACK")</f>
        <v>BLACK</v>
      </c>
      <c r="G5530" s="20" t="str">
        <f>IFERROR(__xludf.DUMMYFUNCTION("""COMPUTED_VALUE"""),"Uncle Sams Cider (11/12/2021) 02")</f>
        <v>Uncle Sams Cider (11/12/2021) 02</v>
      </c>
      <c r="H5530" s="19"/>
    </row>
    <row r="5531">
      <c r="A5531" s="9"/>
      <c r="B5531" s="15"/>
      <c r="C5531" s="9">
        <f>IFERROR(__xludf.DUMMYFUNCTION("""COMPUTED_VALUE"""),44547.4659087731)</f>
        <v>44547.46591</v>
      </c>
      <c r="D5531" s="15">
        <f>IFERROR(__xludf.DUMMYFUNCTION("""COMPUTED_VALUE"""),1.02)</f>
        <v>1.02</v>
      </c>
      <c r="E5531" s="16">
        <f>IFERROR(__xludf.DUMMYFUNCTION("""COMPUTED_VALUE"""),67.0)</f>
        <v>67</v>
      </c>
      <c r="F5531" s="19" t="str">
        <f>IFERROR(__xludf.DUMMYFUNCTION("""COMPUTED_VALUE"""),"BLACK")</f>
        <v>BLACK</v>
      </c>
      <c r="G5531" s="20" t="str">
        <f>IFERROR(__xludf.DUMMYFUNCTION("""COMPUTED_VALUE"""),"Uncle Sams Cider (11/12/2021) 02")</f>
        <v>Uncle Sams Cider (11/12/2021) 02</v>
      </c>
      <c r="H5531" s="19"/>
    </row>
    <row r="5532">
      <c r="A5532" s="9"/>
      <c r="B5532" s="15"/>
      <c r="C5532" s="9">
        <f>IFERROR(__xludf.DUMMYFUNCTION("""COMPUTED_VALUE"""),44547.455451956)</f>
        <v>44547.45545</v>
      </c>
      <c r="D5532" s="15">
        <f>IFERROR(__xludf.DUMMYFUNCTION("""COMPUTED_VALUE"""),1.02)</f>
        <v>1.02</v>
      </c>
      <c r="E5532" s="16">
        <f>IFERROR(__xludf.DUMMYFUNCTION("""COMPUTED_VALUE"""),67.0)</f>
        <v>67</v>
      </c>
      <c r="F5532" s="19" t="str">
        <f>IFERROR(__xludf.DUMMYFUNCTION("""COMPUTED_VALUE"""),"BLACK")</f>
        <v>BLACK</v>
      </c>
      <c r="G5532" s="20" t="str">
        <f>IFERROR(__xludf.DUMMYFUNCTION("""COMPUTED_VALUE"""),"Uncle Sams Cider (11/12/2021) 02")</f>
        <v>Uncle Sams Cider (11/12/2021) 02</v>
      </c>
      <c r="H5532" s="19"/>
    </row>
    <row r="5533">
      <c r="A5533" s="9"/>
      <c r="B5533" s="15"/>
      <c r="C5533" s="9">
        <f>IFERROR(__xludf.DUMMYFUNCTION("""COMPUTED_VALUE"""),44547.4450072453)</f>
        <v>44547.44501</v>
      </c>
      <c r="D5533" s="15">
        <f>IFERROR(__xludf.DUMMYFUNCTION("""COMPUTED_VALUE"""),1.02)</f>
        <v>1.02</v>
      </c>
      <c r="E5533" s="16">
        <f>IFERROR(__xludf.DUMMYFUNCTION("""COMPUTED_VALUE"""),67.0)</f>
        <v>67</v>
      </c>
      <c r="F5533" s="19" t="str">
        <f>IFERROR(__xludf.DUMMYFUNCTION("""COMPUTED_VALUE"""),"BLACK")</f>
        <v>BLACK</v>
      </c>
      <c r="G5533" s="20" t="str">
        <f>IFERROR(__xludf.DUMMYFUNCTION("""COMPUTED_VALUE"""),"Uncle Sams Cider (11/12/2021) 02")</f>
        <v>Uncle Sams Cider (11/12/2021) 02</v>
      </c>
      <c r="H5533" s="19"/>
    </row>
    <row r="5534">
      <c r="A5534" s="9"/>
      <c r="B5534" s="15"/>
      <c r="C5534" s="9">
        <f>IFERROR(__xludf.DUMMYFUNCTION("""COMPUTED_VALUE"""),44547.4345751388)</f>
        <v>44547.43458</v>
      </c>
      <c r="D5534" s="15">
        <f>IFERROR(__xludf.DUMMYFUNCTION("""COMPUTED_VALUE"""),1.02)</f>
        <v>1.02</v>
      </c>
      <c r="E5534" s="16">
        <f>IFERROR(__xludf.DUMMYFUNCTION("""COMPUTED_VALUE"""),67.0)</f>
        <v>67</v>
      </c>
      <c r="F5534" s="19" t="str">
        <f>IFERROR(__xludf.DUMMYFUNCTION("""COMPUTED_VALUE"""),"BLACK")</f>
        <v>BLACK</v>
      </c>
      <c r="G5534" s="20" t="str">
        <f>IFERROR(__xludf.DUMMYFUNCTION("""COMPUTED_VALUE"""),"Uncle Sams Cider (11/12/2021) 02")</f>
        <v>Uncle Sams Cider (11/12/2021) 02</v>
      </c>
      <c r="H5534" s="19"/>
    </row>
    <row r="5535">
      <c r="A5535" s="9"/>
      <c r="B5535" s="15"/>
      <c r="C5535" s="9">
        <f>IFERROR(__xludf.DUMMYFUNCTION("""COMPUTED_VALUE"""),44547.4241540277)</f>
        <v>44547.42415</v>
      </c>
      <c r="D5535" s="15">
        <f>IFERROR(__xludf.DUMMYFUNCTION("""COMPUTED_VALUE"""),1.02)</f>
        <v>1.02</v>
      </c>
      <c r="E5535" s="16">
        <f>IFERROR(__xludf.DUMMYFUNCTION("""COMPUTED_VALUE"""),67.0)</f>
        <v>67</v>
      </c>
      <c r="F5535" s="19" t="str">
        <f>IFERROR(__xludf.DUMMYFUNCTION("""COMPUTED_VALUE"""),"BLACK")</f>
        <v>BLACK</v>
      </c>
      <c r="G5535" s="20" t="str">
        <f>IFERROR(__xludf.DUMMYFUNCTION("""COMPUTED_VALUE"""),"Uncle Sams Cider (11/12/2021) 02")</f>
        <v>Uncle Sams Cider (11/12/2021) 02</v>
      </c>
      <c r="H5535" s="19"/>
    </row>
    <row r="5536">
      <c r="A5536" s="9"/>
      <c r="B5536" s="15"/>
      <c r="C5536" s="9">
        <f>IFERROR(__xludf.DUMMYFUNCTION("""COMPUTED_VALUE"""),44547.4137326736)</f>
        <v>44547.41373</v>
      </c>
      <c r="D5536" s="15">
        <f>IFERROR(__xludf.DUMMYFUNCTION("""COMPUTED_VALUE"""),1.02)</f>
        <v>1.02</v>
      </c>
      <c r="E5536" s="16">
        <f>IFERROR(__xludf.DUMMYFUNCTION("""COMPUTED_VALUE"""),67.0)</f>
        <v>67</v>
      </c>
      <c r="F5536" s="19" t="str">
        <f>IFERROR(__xludf.DUMMYFUNCTION("""COMPUTED_VALUE"""),"BLACK")</f>
        <v>BLACK</v>
      </c>
      <c r="G5536" s="20" t="str">
        <f>IFERROR(__xludf.DUMMYFUNCTION("""COMPUTED_VALUE"""),"Uncle Sams Cider (11/12/2021) 02")</f>
        <v>Uncle Sams Cider (11/12/2021) 02</v>
      </c>
      <c r="H5536" s="19"/>
    </row>
    <row r="5537">
      <c r="A5537" s="9"/>
      <c r="B5537" s="15"/>
      <c r="C5537" s="9">
        <f>IFERROR(__xludf.DUMMYFUNCTION("""COMPUTED_VALUE"""),44547.4033010532)</f>
        <v>44547.4033</v>
      </c>
      <c r="D5537" s="15">
        <f>IFERROR(__xludf.DUMMYFUNCTION("""COMPUTED_VALUE"""),1.02)</f>
        <v>1.02</v>
      </c>
      <c r="E5537" s="16">
        <f>IFERROR(__xludf.DUMMYFUNCTION("""COMPUTED_VALUE"""),67.0)</f>
        <v>67</v>
      </c>
      <c r="F5537" s="19" t="str">
        <f>IFERROR(__xludf.DUMMYFUNCTION("""COMPUTED_VALUE"""),"BLACK")</f>
        <v>BLACK</v>
      </c>
      <c r="G5537" s="20" t="str">
        <f>IFERROR(__xludf.DUMMYFUNCTION("""COMPUTED_VALUE"""),"Uncle Sams Cider (11/12/2021) 02")</f>
        <v>Uncle Sams Cider (11/12/2021) 02</v>
      </c>
      <c r="H5537" s="19"/>
    </row>
    <row r="5538">
      <c r="A5538" s="9"/>
      <c r="B5538" s="15"/>
      <c r="C5538" s="9">
        <f>IFERROR(__xludf.DUMMYFUNCTION("""COMPUTED_VALUE"""),44547.3928810648)</f>
        <v>44547.39288</v>
      </c>
      <c r="D5538" s="15">
        <f>IFERROR(__xludf.DUMMYFUNCTION("""COMPUTED_VALUE"""),1.02)</f>
        <v>1.02</v>
      </c>
      <c r="E5538" s="16">
        <f>IFERROR(__xludf.DUMMYFUNCTION("""COMPUTED_VALUE"""),67.0)</f>
        <v>67</v>
      </c>
      <c r="F5538" s="19" t="str">
        <f>IFERROR(__xludf.DUMMYFUNCTION("""COMPUTED_VALUE"""),"BLACK")</f>
        <v>BLACK</v>
      </c>
      <c r="G5538" s="20" t="str">
        <f>IFERROR(__xludf.DUMMYFUNCTION("""COMPUTED_VALUE"""),"Uncle Sams Cider (11/12/2021) 02")</f>
        <v>Uncle Sams Cider (11/12/2021) 02</v>
      </c>
      <c r="H5538" s="19"/>
    </row>
    <row r="5539">
      <c r="A5539" s="9"/>
      <c r="B5539" s="15"/>
      <c r="C5539" s="9">
        <f>IFERROR(__xludf.DUMMYFUNCTION("""COMPUTED_VALUE"""),44547.3824501851)</f>
        <v>44547.38245</v>
      </c>
      <c r="D5539" s="15">
        <f>IFERROR(__xludf.DUMMYFUNCTION("""COMPUTED_VALUE"""),1.02)</f>
        <v>1.02</v>
      </c>
      <c r="E5539" s="16">
        <f>IFERROR(__xludf.DUMMYFUNCTION("""COMPUTED_VALUE"""),67.0)</f>
        <v>67</v>
      </c>
      <c r="F5539" s="19" t="str">
        <f>IFERROR(__xludf.DUMMYFUNCTION("""COMPUTED_VALUE"""),"BLACK")</f>
        <v>BLACK</v>
      </c>
      <c r="G5539" s="20" t="str">
        <f>IFERROR(__xludf.DUMMYFUNCTION("""COMPUTED_VALUE"""),"Uncle Sams Cider (11/12/2021) 02")</f>
        <v>Uncle Sams Cider (11/12/2021) 02</v>
      </c>
      <c r="H5539" s="19"/>
    </row>
    <row r="5540">
      <c r="A5540" s="9"/>
      <c r="B5540" s="15"/>
      <c r="C5540" s="9">
        <f>IFERROR(__xludf.DUMMYFUNCTION("""COMPUTED_VALUE"""),44547.3720305902)</f>
        <v>44547.37203</v>
      </c>
      <c r="D5540" s="15">
        <f>IFERROR(__xludf.DUMMYFUNCTION("""COMPUTED_VALUE"""),1.02)</f>
        <v>1.02</v>
      </c>
      <c r="E5540" s="16">
        <f>IFERROR(__xludf.DUMMYFUNCTION("""COMPUTED_VALUE"""),67.0)</f>
        <v>67</v>
      </c>
      <c r="F5540" s="19" t="str">
        <f>IFERROR(__xludf.DUMMYFUNCTION("""COMPUTED_VALUE"""),"BLACK")</f>
        <v>BLACK</v>
      </c>
      <c r="G5540" s="20" t="str">
        <f>IFERROR(__xludf.DUMMYFUNCTION("""COMPUTED_VALUE"""),"Uncle Sams Cider (11/12/2021) 02")</f>
        <v>Uncle Sams Cider (11/12/2021) 02</v>
      </c>
      <c r="H5540" s="19"/>
    </row>
    <row r="5541">
      <c r="A5541" s="9"/>
      <c r="B5541" s="15"/>
      <c r="C5541" s="9">
        <f>IFERROR(__xludf.DUMMYFUNCTION("""COMPUTED_VALUE"""),44547.3616101041)</f>
        <v>44547.36161</v>
      </c>
      <c r="D5541" s="15">
        <f>IFERROR(__xludf.DUMMYFUNCTION("""COMPUTED_VALUE"""),1.02)</f>
        <v>1.02</v>
      </c>
      <c r="E5541" s="16">
        <f>IFERROR(__xludf.DUMMYFUNCTION("""COMPUTED_VALUE"""),67.0)</f>
        <v>67</v>
      </c>
      <c r="F5541" s="19" t="str">
        <f>IFERROR(__xludf.DUMMYFUNCTION("""COMPUTED_VALUE"""),"BLACK")</f>
        <v>BLACK</v>
      </c>
      <c r="G5541" s="20" t="str">
        <f>IFERROR(__xludf.DUMMYFUNCTION("""COMPUTED_VALUE"""),"Uncle Sams Cider (11/12/2021) 02")</f>
        <v>Uncle Sams Cider (11/12/2021) 02</v>
      </c>
      <c r="H5541" s="19"/>
    </row>
    <row r="5542">
      <c r="A5542" s="9"/>
      <c r="B5542" s="15"/>
      <c r="C5542" s="9">
        <f>IFERROR(__xludf.DUMMYFUNCTION("""COMPUTED_VALUE"""),44547.3511896643)</f>
        <v>44547.35119</v>
      </c>
      <c r="D5542" s="15">
        <f>IFERROR(__xludf.DUMMYFUNCTION("""COMPUTED_VALUE"""),1.02)</f>
        <v>1.02</v>
      </c>
      <c r="E5542" s="16">
        <f>IFERROR(__xludf.DUMMYFUNCTION("""COMPUTED_VALUE"""),67.0)</f>
        <v>67</v>
      </c>
      <c r="F5542" s="19" t="str">
        <f>IFERROR(__xludf.DUMMYFUNCTION("""COMPUTED_VALUE"""),"BLACK")</f>
        <v>BLACK</v>
      </c>
      <c r="G5542" s="20" t="str">
        <f>IFERROR(__xludf.DUMMYFUNCTION("""COMPUTED_VALUE"""),"Uncle Sams Cider (11/12/2021) 02")</f>
        <v>Uncle Sams Cider (11/12/2021) 02</v>
      </c>
      <c r="H5542" s="19"/>
    </row>
    <row r="5543">
      <c r="A5543" s="9"/>
      <c r="B5543" s="15"/>
      <c r="C5543" s="9">
        <f>IFERROR(__xludf.DUMMYFUNCTION("""COMPUTED_VALUE"""),44547.3407690277)</f>
        <v>44547.34077</v>
      </c>
      <c r="D5543" s="15">
        <f>IFERROR(__xludf.DUMMYFUNCTION("""COMPUTED_VALUE"""),1.02)</f>
        <v>1.02</v>
      </c>
      <c r="E5543" s="16">
        <f>IFERROR(__xludf.DUMMYFUNCTION("""COMPUTED_VALUE"""),67.0)</f>
        <v>67</v>
      </c>
      <c r="F5543" s="19" t="str">
        <f>IFERROR(__xludf.DUMMYFUNCTION("""COMPUTED_VALUE"""),"BLACK")</f>
        <v>BLACK</v>
      </c>
      <c r="G5543" s="20" t="str">
        <f>IFERROR(__xludf.DUMMYFUNCTION("""COMPUTED_VALUE"""),"Uncle Sams Cider (11/12/2021) 02")</f>
        <v>Uncle Sams Cider (11/12/2021) 02</v>
      </c>
      <c r="H5543" s="19"/>
    </row>
    <row r="5544">
      <c r="A5544" s="9"/>
      <c r="B5544" s="15"/>
      <c r="C5544" s="9">
        <f>IFERROR(__xludf.DUMMYFUNCTION("""COMPUTED_VALUE"""),44547.3303142013)</f>
        <v>44547.33031</v>
      </c>
      <c r="D5544" s="15">
        <f>IFERROR(__xludf.DUMMYFUNCTION("""COMPUTED_VALUE"""),1.02)</f>
        <v>1.02</v>
      </c>
      <c r="E5544" s="16">
        <f>IFERROR(__xludf.DUMMYFUNCTION("""COMPUTED_VALUE"""),67.0)</f>
        <v>67</v>
      </c>
      <c r="F5544" s="19" t="str">
        <f>IFERROR(__xludf.DUMMYFUNCTION("""COMPUTED_VALUE"""),"BLACK")</f>
        <v>BLACK</v>
      </c>
      <c r="G5544" s="20" t="str">
        <f>IFERROR(__xludf.DUMMYFUNCTION("""COMPUTED_VALUE"""),"Uncle Sams Cider (11/12/2021) 02")</f>
        <v>Uncle Sams Cider (11/12/2021) 02</v>
      </c>
      <c r="H5544" s="19"/>
    </row>
    <row r="5545">
      <c r="A5545" s="9"/>
      <c r="B5545" s="15"/>
      <c r="C5545" s="9">
        <f>IFERROR(__xludf.DUMMYFUNCTION("""COMPUTED_VALUE"""),44547.3198815046)</f>
        <v>44547.31988</v>
      </c>
      <c r="D5545" s="15">
        <f>IFERROR(__xludf.DUMMYFUNCTION("""COMPUTED_VALUE"""),1.02)</f>
        <v>1.02</v>
      </c>
      <c r="E5545" s="16">
        <f>IFERROR(__xludf.DUMMYFUNCTION("""COMPUTED_VALUE"""),67.0)</f>
        <v>67</v>
      </c>
      <c r="F5545" s="19" t="str">
        <f>IFERROR(__xludf.DUMMYFUNCTION("""COMPUTED_VALUE"""),"BLACK")</f>
        <v>BLACK</v>
      </c>
      <c r="G5545" s="20" t="str">
        <f>IFERROR(__xludf.DUMMYFUNCTION("""COMPUTED_VALUE"""),"Uncle Sams Cider (11/12/2021) 02")</f>
        <v>Uncle Sams Cider (11/12/2021) 02</v>
      </c>
      <c r="H5545" s="19"/>
    </row>
    <row r="5546">
      <c r="A5546" s="9"/>
      <c r="B5546" s="15"/>
      <c r="C5546" s="9">
        <f>IFERROR(__xludf.DUMMYFUNCTION("""COMPUTED_VALUE"""),44547.3094372685)</f>
        <v>44547.30944</v>
      </c>
      <c r="D5546" s="15">
        <f>IFERROR(__xludf.DUMMYFUNCTION("""COMPUTED_VALUE"""),1.02)</f>
        <v>1.02</v>
      </c>
      <c r="E5546" s="16">
        <f>IFERROR(__xludf.DUMMYFUNCTION("""COMPUTED_VALUE"""),67.0)</f>
        <v>67</v>
      </c>
      <c r="F5546" s="19" t="str">
        <f>IFERROR(__xludf.DUMMYFUNCTION("""COMPUTED_VALUE"""),"BLACK")</f>
        <v>BLACK</v>
      </c>
      <c r="G5546" s="20" t="str">
        <f>IFERROR(__xludf.DUMMYFUNCTION("""COMPUTED_VALUE"""),"Uncle Sams Cider (11/12/2021) 02")</f>
        <v>Uncle Sams Cider (11/12/2021) 02</v>
      </c>
      <c r="H5546" s="19"/>
    </row>
    <row r="5547">
      <c r="A5547" s="9"/>
      <c r="B5547" s="15"/>
      <c r="C5547" s="9">
        <f>IFERROR(__xludf.DUMMYFUNCTION("""COMPUTED_VALUE"""),44547.2990171875)</f>
        <v>44547.29902</v>
      </c>
      <c r="D5547" s="15">
        <f>IFERROR(__xludf.DUMMYFUNCTION("""COMPUTED_VALUE"""),1.02)</f>
        <v>1.02</v>
      </c>
      <c r="E5547" s="16">
        <f>IFERROR(__xludf.DUMMYFUNCTION("""COMPUTED_VALUE"""),67.0)</f>
        <v>67</v>
      </c>
      <c r="F5547" s="19" t="str">
        <f>IFERROR(__xludf.DUMMYFUNCTION("""COMPUTED_VALUE"""),"BLACK")</f>
        <v>BLACK</v>
      </c>
      <c r="G5547" s="20" t="str">
        <f>IFERROR(__xludf.DUMMYFUNCTION("""COMPUTED_VALUE"""),"Uncle Sams Cider (11/12/2021) 02")</f>
        <v>Uncle Sams Cider (11/12/2021) 02</v>
      </c>
      <c r="H5547" s="19"/>
    </row>
    <row r="5548">
      <c r="A5548" s="9"/>
      <c r="B5548" s="15"/>
      <c r="C5548" s="9">
        <f>IFERROR(__xludf.DUMMYFUNCTION("""COMPUTED_VALUE"""),44547.28849228)</f>
        <v>44547.28849</v>
      </c>
      <c r="D5548" s="15">
        <f>IFERROR(__xludf.DUMMYFUNCTION("""COMPUTED_VALUE"""),1.02)</f>
        <v>1.02</v>
      </c>
      <c r="E5548" s="16">
        <f>IFERROR(__xludf.DUMMYFUNCTION("""COMPUTED_VALUE"""),67.0)</f>
        <v>67</v>
      </c>
      <c r="F5548" s="19" t="str">
        <f>IFERROR(__xludf.DUMMYFUNCTION("""COMPUTED_VALUE"""),"BLACK")</f>
        <v>BLACK</v>
      </c>
      <c r="G5548" s="20" t="str">
        <f>IFERROR(__xludf.DUMMYFUNCTION("""COMPUTED_VALUE"""),"Uncle Sams Cider (11/12/2021) 02")</f>
        <v>Uncle Sams Cider (11/12/2021) 02</v>
      </c>
      <c r="H5548" s="19"/>
    </row>
    <row r="5549">
      <c r="A5549" s="9"/>
      <c r="B5549" s="15"/>
      <c r="C5549" s="9">
        <f>IFERROR(__xludf.DUMMYFUNCTION("""COMPUTED_VALUE"""),44547.2780586342)</f>
        <v>44547.27806</v>
      </c>
      <c r="D5549" s="15">
        <f>IFERROR(__xludf.DUMMYFUNCTION("""COMPUTED_VALUE"""),1.02)</f>
        <v>1.02</v>
      </c>
      <c r="E5549" s="16">
        <f>IFERROR(__xludf.DUMMYFUNCTION("""COMPUTED_VALUE"""),67.0)</f>
        <v>67</v>
      </c>
      <c r="F5549" s="19" t="str">
        <f>IFERROR(__xludf.DUMMYFUNCTION("""COMPUTED_VALUE"""),"BLACK")</f>
        <v>BLACK</v>
      </c>
      <c r="G5549" s="20" t="str">
        <f>IFERROR(__xludf.DUMMYFUNCTION("""COMPUTED_VALUE"""),"Uncle Sams Cider (11/12/2021) 02")</f>
        <v>Uncle Sams Cider (11/12/2021) 02</v>
      </c>
      <c r="H5549" s="19"/>
    </row>
    <row r="5550">
      <c r="A5550" s="9"/>
      <c r="B5550" s="15"/>
      <c r="C5550" s="9">
        <f>IFERROR(__xludf.DUMMYFUNCTION("""COMPUTED_VALUE"""),44547.2676245949)</f>
        <v>44547.26762</v>
      </c>
      <c r="D5550" s="15">
        <f>IFERROR(__xludf.DUMMYFUNCTION("""COMPUTED_VALUE"""),1.02)</f>
        <v>1.02</v>
      </c>
      <c r="E5550" s="16">
        <f>IFERROR(__xludf.DUMMYFUNCTION("""COMPUTED_VALUE"""),67.0)</f>
        <v>67</v>
      </c>
      <c r="F5550" s="19" t="str">
        <f>IFERROR(__xludf.DUMMYFUNCTION("""COMPUTED_VALUE"""),"BLACK")</f>
        <v>BLACK</v>
      </c>
      <c r="G5550" s="20" t="str">
        <f>IFERROR(__xludf.DUMMYFUNCTION("""COMPUTED_VALUE"""),"Uncle Sams Cider (11/12/2021) 02")</f>
        <v>Uncle Sams Cider (11/12/2021) 02</v>
      </c>
      <c r="H5550" s="19"/>
    </row>
    <row r="5551">
      <c r="A5551" s="9"/>
      <c r="B5551" s="15"/>
      <c r="C5551" s="9">
        <f>IFERROR(__xludf.DUMMYFUNCTION("""COMPUTED_VALUE"""),44547.2572029629)</f>
        <v>44547.2572</v>
      </c>
      <c r="D5551" s="15">
        <f>IFERROR(__xludf.DUMMYFUNCTION("""COMPUTED_VALUE"""),1.02)</f>
        <v>1.02</v>
      </c>
      <c r="E5551" s="16">
        <f>IFERROR(__xludf.DUMMYFUNCTION("""COMPUTED_VALUE"""),67.0)</f>
        <v>67</v>
      </c>
      <c r="F5551" s="19" t="str">
        <f>IFERROR(__xludf.DUMMYFUNCTION("""COMPUTED_VALUE"""),"BLACK")</f>
        <v>BLACK</v>
      </c>
      <c r="G5551" s="20" t="str">
        <f>IFERROR(__xludf.DUMMYFUNCTION("""COMPUTED_VALUE"""),"Uncle Sams Cider (11/12/2021) 02")</f>
        <v>Uncle Sams Cider (11/12/2021) 02</v>
      </c>
      <c r="H5551" s="19"/>
    </row>
    <row r="5552">
      <c r="A5552" s="9"/>
      <c r="B5552" s="15"/>
      <c r="C5552" s="9">
        <f>IFERROR(__xludf.DUMMYFUNCTION("""COMPUTED_VALUE"""),44547.2467709375)</f>
        <v>44547.24677</v>
      </c>
      <c r="D5552" s="15">
        <f>IFERROR(__xludf.DUMMYFUNCTION("""COMPUTED_VALUE"""),1.02)</f>
        <v>1.02</v>
      </c>
      <c r="E5552" s="16">
        <f>IFERROR(__xludf.DUMMYFUNCTION("""COMPUTED_VALUE"""),67.0)</f>
        <v>67</v>
      </c>
      <c r="F5552" s="19" t="str">
        <f>IFERROR(__xludf.DUMMYFUNCTION("""COMPUTED_VALUE"""),"BLACK")</f>
        <v>BLACK</v>
      </c>
      <c r="G5552" s="20" t="str">
        <f>IFERROR(__xludf.DUMMYFUNCTION("""COMPUTED_VALUE"""),"Uncle Sams Cider (11/12/2021) 02")</f>
        <v>Uncle Sams Cider (11/12/2021) 02</v>
      </c>
      <c r="H5552" s="19"/>
    </row>
    <row r="5553">
      <c r="A5553" s="9"/>
      <c r="B5553" s="15"/>
      <c r="C5553" s="9">
        <f>IFERROR(__xludf.DUMMYFUNCTION("""COMPUTED_VALUE"""),44547.236350706)</f>
        <v>44547.23635</v>
      </c>
      <c r="D5553" s="15">
        <f>IFERROR(__xludf.DUMMYFUNCTION("""COMPUTED_VALUE"""),1.02)</f>
        <v>1.02</v>
      </c>
      <c r="E5553" s="16">
        <f>IFERROR(__xludf.DUMMYFUNCTION("""COMPUTED_VALUE"""),67.0)</f>
        <v>67</v>
      </c>
      <c r="F5553" s="19" t="str">
        <f>IFERROR(__xludf.DUMMYFUNCTION("""COMPUTED_VALUE"""),"BLACK")</f>
        <v>BLACK</v>
      </c>
      <c r="G5553" s="20" t="str">
        <f>IFERROR(__xludf.DUMMYFUNCTION("""COMPUTED_VALUE"""),"Uncle Sams Cider (11/12/2021) 02")</f>
        <v>Uncle Sams Cider (11/12/2021) 02</v>
      </c>
      <c r="H5553" s="19"/>
    </row>
    <row r="5554">
      <c r="A5554" s="9"/>
      <c r="B5554" s="15"/>
      <c r="C5554" s="9">
        <f>IFERROR(__xludf.DUMMYFUNCTION("""COMPUTED_VALUE"""),44547.2259303009)</f>
        <v>44547.22593</v>
      </c>
      <c r="D5554" s="15">
        <f>IFERROR(__xludf.DUMMYFUNCTION("""COMPUTED_VALUE"""),1.02)</f>
        <v>1.02</v>
      </c>
      <c r="E5554" s="16">
        <f>IFERROR(__xludf.DUMMYFUNCTION("""COMPUTED_VALUE"""),67.0)</f>
        <v>67</v>
      </c>
      <c r="F5554" s="19" t="str">
        <f>IFERROR(__xludf.DUMMYFUNCTION("""COMPUTED_VALUE"""),"BLACK")</f>
        <v>BLACK</v>
      </c>
      <c r="G5554" s="20" t="str">
        <f>IFERROR(__xludf.DUMMYFUNCTION("""COMPUTED_VALUE"""),"Uncle Sams Cider (11/12/2021) 02")</f>
        <v>Uncle Sams Cider (11/12/2021) 02</v>
      </c>
      <c r="H5554" s="19"/>
    </row>
    <row r="5555">
      <c r="A5555" s="9"/>
      <c r="B5555" s="15"/>
      <c r="C5555" s="9">
        <f>IFERROR(__xludf.DUMMYFUNCTION("""COMPUTED_VALUE"""),44547.2154971412)</f>
        <v>44547.2155</v>
      </c>
      <c r="D5555" s="15">
        <f>IFERROR(__xludf.DUMMYFUNCTION("""COMPUTED_VALUE"""),1.02)</f>
        <v>1.02</v>
      </c>
      <c r="E5555" s="16">
        <f>IFERROR(__xludf.DUMMYFUNCTION("""COMPUTED_VALUE"""),67.0)</f>
        <v>67</v>
      </c>
      <c r="F5555" s="19" t="str">
        <f>IFERROR(__xludf.DUMMYFUNCTION("""COMPUTED_VALUE"""),"BLACK")</f>
        <v>BLACK</v>
      </c>
      <c r="G5555" s="20" t="str">
        <f>IFERROR(__xludf.DUMMYFUNCTION("""COMPUTED_VALUE"""),"Uncle Sams Cider (11/12/2021) 02")</f>
        <v>Uncle Sams Cider (11/12/2021) 02</v>
      </c>
      <c r="H5555" s="19"/>
    </row>
    <row r="5556">
      <c r="A5556" s="9"/>
      <c r="B5556" s="15"/>
      <c r="C5556" s="9">
        <f>IFERROR(__xludf.DUMMYFUNCTION("""COMPUTED_VALUE"""),44547.2050636574)</f>
        <v>44547.20506</v>
      </c>
      <c r="D5556" s="15">
        <f>IFERROR(__xludf.DUMMYFUNCTION("""COMPUTED_VALUE"""),1.02)</f>
        <v>1.02</v>
      </c>
      <c r="E5556" s="16">
        <f>IFERROR(__xludf.DUMMYFUNCTION("""COMPUTED_VALUE"""),67.0)</f>
        <v>67</v>
      </c>
      <c r="F5556" s="19" t="str">
        <f>IFERROR(__xludf.DUMMYFUNCTION("""COMPUTED_VALUE"""),"BLACK")</f>
        <v>BLACK</v>
      </c>
      <c r="G5556" s="20" t="str">
        <f>IFERROR(__xludf.DUMMYFUNCTION("""COMPUTED_VALUE"""),"Uncle Sams Cider (11/12/2021) 02")</f>
        <v>Uncle Sams Cider (11/12/2021) 02</v>
      </c>
      <c r="H5556" s="19"/>
    </row>
    <row r="5557">
      <c r="A5557" s="9"/>
      <c r="B5557" s="15"/>
      <c r="C5557" s="9">
        <f>IFERROR(__xludf.DUMMYFUNCTION("""COMPUTED_VALUE"""),44547.1945958449)</f>
        <v>44547.1946</v>
      </c>
      <c r="D5557" s="15">
        <f>IFERROR(__xludf.DUMMYFUNCTION("""COMPUTED_VALUE"""),1.02)</f>
        <v>1.02</v>
      </c>
      <c r="E5557" s="16">
        <f>IFERROR(__xludf.DUMMYFUNCTION("""COMPUTED_VALUE"""),67.0)</f>
        <v>67</v>
      </c>
      <c r="F5557" s="19" t="str">
        <f>IFERROR(__xludf.DUMMYFUNCTION("""COMPUTED_VALUE"""),"BLACK")</f>
        <v>BLACK</v>
      </c>
      <c r="G5557" s="20" t="str">
        <f>IFERROR(__xludf.DUMMYFUNCTION("""COMPUTED_VALUE"""),"Uncle Sams Cider (11/12/2021) 02")</f>
        <v>Uncle Sams Cider (11/12/2021) 02</v>
      </c>
      <c r="H5557" s="19"/>
    </row>
    <row r="5558">
      <c r="A5558" s="9"/>
      <c r="B5558" s="15"/>
      <c r="C5558" s="9">
        <f>IFERROR(__xludf.DUMMYFUNCTION("""COMPUTED_VALUE"""),44547.1841612152)</f>
        <v>44547.18416</v>
      </c>
      <c r="D5558" s="15">
        <f>IFERROR(__xludf.DUMMYFUNCTION("""COMPUTED_VALUE"""),1.02)</f>
        <v>1.02</v>
      </c>
      <c r="E5558" s="16">
        <f>IFERROR(__xludf.DUMMYFUNCTION("""COMPUTED_VALUE"""),67.0)</f>
        <v>67</v>
      </c>
      <c r="F5558" s="19" t="str">
        <f>IFERROR(__xludf.DUMMYFUNCTION("""COMPUTED_VALUE"""),"BLACK")</f>
        <v>BLACK</v>
      </c>
      <c r="G5558" s="20" t="str">
        <f>IFERROR(__xludf.DUMMYFUNCTION("""COMPUTED_VALUE"""),"Uncle Sams Cider (11/12/2021) 02")</f>
        <v>Uncle Sams Cider (11/12/2021) 02</v>
      </c>
      <c r="H5558" s="19"/>
    </row>
    <row r="5559">
      <c r="A5559" s="9"/>
      <c r="B5559" s="15"/>
      <c r="C5559" s="9">
        <f>IFERROR(__xludf.DUMMYFUNCTION("""COMPUTED_VALUE"""),44547.173728831)</f>
        <v>44547.17373</v>
      </c>
      <c r="D5559" s="15">
        <f>IFERROR(__xludf.DUMMYFUNCTION("""COMPUTED_VALUE"""),1.02)</f>
        <v>1.02</v>
      </c>
      <c r="E5559" s="16">
        <f>IFERROR(__xludf.DUMMYFUNCTION("""COMPUTED_VALUE"""),67.0)</f>
        <v>67</v>
      </c>
      <c r="F5559" s="19" t="str">
        <f>IFERROR(__xludf.DUMMYFUNCTION("""COMPUTED_VALUE"""),"BLACK")</f>
        <v>BLACK</v>
      </c>
      <c r="G5559" s="20" t="str">
        <f>IFERROR(__xludf.DUMMYFUNCTION("""COMPUTED_VALUE"""),"Uncle Sams Cider (11/12/2021) 02")</f>
        <v>Uncle Sams Cider (11/12/2021) 02</v>
      </c>
      <c r="H5559" s="19"/>
    </row>
    <row r="5560">
      <c r="A5560" s="9"/>
      <c r="B5560" s="15"/>
      <c r="C5560" s="9">
        <f>IFERROR(__xludf.DUMMYFUNCTION("""COMPUTED_VALUE"""),44547.1633069675)</f>
        <v>44547.16331</v>
      </c>
      <c r="D5560" s="15">
        <f>IFERROR(__xludf.DUMMYFUNCTION("""COMPUTED_VALUE"""),1.02)</f>
        <v>1.02</v>
      </c>
      <c r="E5560" s="16">
        <f>IFERROR(__xludf.DUMMYFUNCTION("""COMPUTED_VALUE"""),67.0)</f>
        <v>67</v>
      </c>
      <c r="F5560" s="19" t="str">
        <f>IFERROR(__xludf.DUMMYFUNCTION("""COMPUTED_VALUE"""),"BLACK")</f>
        <v>BLACK</v>
      </c>
      <c r="G5560" s="20" t="str">
        <f>IFERROR(__xludf.DUMMYFUNCTION("""COMPUTED_VALUE"""),"Uncle Sams Cider (11/12/2021) 02")</f>
        <v>Uncle Sams Cider (11/12/2021) 02</v>
      </c>
      <c r="H5560" s="19"/>
    </row>
    <row r="5561">
      <c r="A5561" s="9"/>
      <c r="B5561" s="15"/>
      <c r="C5561" s="9">
        <f>IFERROR(__xludf.DUMMYFUNCTION("""COMPUTED_VALUE"""),44547.1528860995)</f>
        <v>44547.15289</v>
      </c>
      <c r="D5561" s="15">
        <f>IFERROR(__xludf.DUMMYFUNCTION("""COMPUTED_VALUE"""),1.02)</f>
        <v>1.02</v>
      </c>
      <c r="E5561" s="16">
        <f>IFERROR(__xludf.DUMMYFUNCTION("""COMPUTED_VALUE"""),67.0)</f>
        <v>67</v>
      </c>
      <c r="F5561" s="19" t="str">
        <f>IFERROR(__xludf.DUMMYFUNCTION("""COMPUTED_VALUE"""),"BLACK")</f>
        <v>BLACK</v>
      </c>
      <c r="G5561" s="20" t="str">
        <f>IFERROR(__xludf.DUMMYFUNCTION("""COMPUTED_VALUE"""),"Uncle Sams Cider (11/12/2021) 02")</f>
        <v>Uncle Sams Cider (11/12/2021) 02</v>
      </c>
      <c r="H5561" s="19"/>
    </row>
    <row r="5562">
      <c r="A5562" s="9"/>
      <c r="B5562" s="15"/>
      <c r="C5562" s="9">
        <f>IFERROR(__xludf.DUMMYFUNCTION("""COMPUTED_VALUE"""),44547.1424653472)</f>
        <v>44547.14247</v>
      </c>
      <c r="D5562" s="15">
        <f>IFERROR(__xludf.DUMMYFUNCTION("""COMPUTED_VALUE"""),1.021)</f>
        <v>1.021</v>
      </c>
      <c r="E5562" s="16">
        <f>IFERROR(__xludf.DUMMYFUNCTION("""COMPUTED_VALUE"""),67.0)</f>
        <v>67</v>
      </c>
      <c r="F5562" s="19" t="str">
        <f>IFERROR(__xludf.DUMMYFUNCTION("""COMPUTED_VALUE"""),"BLACK")</f>
        <v>BLACK</v>
      </c>
      <c r="G5562" s="20" t="str">
        <f>IFERROR(__xludf.DUMMYFUNCTION("""COMPUTED_VALUE"""),"Uncle Sams Cider (11/12/2021) 02")</f>
        <v>Uncle Sams Cider (11/12/2021) 02</v>
      </c>
      <c r="H5562" s="19"/>
    </row>
    <row r="5563">
      <c r="A5563" s="9"/>
      <c r="B5563" s="15"/>
      <c r="C5563" s="9">
        <f>IFERROR(__xludf.DUMMYFUNCTION("""COMPUTED_VALUE"""),44547.1320440393)</f>
        <v>44547.13204</v>
      </c>
      <c r="D5563" s="15">
        <f>IFERROR(__xludf.DUMMYFUNCTION("""COMPUTED_VALUE"""),1.021)</f>
        <v>1.021</v>
      </c>
      <c r="E5563" s="16">
        <f>IFERROR(__xludf.DUMMYFUNCTION("""COMPUTED_VALUE"""),67.0)</f>
        <v>67</v>
      </c>
      <c r="F5563" s="19" t="str">
        <f>IFERROR(__xludf.DUMMYFUNCTION("""COMPUTED_VALUE"""),"BLACK")</f>
        <v>BLACK</v>
      </c>
      <c r="G5563" s="20" t="str">
        <f>IFERROR(__xludf.DUMMYFUNCTION("""COMPUTED_VALUE"""),"Uncle Sams Cider (11/12/2021) 02")</f>
        <v>Uncle Sams Cider (11/12/2021) 02</v>
      </c>
      <c r="H5563" s="19"/>
    </row>
    <row r="5564">
      <c r="A5564" s="9"/>
      <c r="B5564" s="15"/>
      <c r="C5564" s="9">
        <f>IFERROR(__xludf.DUMMYFUNCTION("""COMPUTED_VALUE"""),44547.1111900462)</f>
        <v>44547.11119</v>
      </c>
      <c r="D5564" s="15">
        <f>IFERROR(__xludf.DUMMYFUNCTION("""COMPUTED_VALUE"""),1.021)</f>
        <v>1.021</v>
      </c>
      <c r="E5564" s="16">
        <f>IFERROR(__xludf.DUMMYFUNCTION("""COMPUTED_VALUE"""),67.0)</f>
        <v>67</v>
      </c>
      <c r="F5564" s="19" t="str">
        <f>IFERROR(__xludf.DUMMYFUNCTION("""COMPUTED_VALUE"""),"BLACK")</f>
        <v>BLACK</v>
      </c>
      <c r="G5564" s="20" t="str">
        <f>IFERROR(__xludf.DUMMYFUNCTION("""COMPUTED_VALUE"""),"Uncle Sams Cider (11/12/2021) 02")</f>
        <v>Uncle Sams Cider (11/12/2021) 02</v>
      </c>
      <c r="H5564" s="19"/>
    </row>
    <row r="5565">
      <c r="A5565" s="9"/>
      <c r="B5565" s="15"/>
      <c r="C5565" s="9">
        <f>IFERROR(__xludf.DUMMYFUNCTION("""COMPUTED_VALUE"""),44547.1007218518)</f>
        <v>44547.10072</v>
      </c>
      <c r="D5565" s="15">
        <f>IFERROR(__xludf.DUMMYFUNCTION("""COMPUTED_VALUE"""),1.021)</f>
        <v>1.021</v>
      </c>
      <c r="E5565" s="16">
        <f>IFERROR(__xludf.DUMMYFUNCTION("""COMPUTED_VALUE"""),67.0)</f>
        <v>67</v>
      </c>
      <c r="F5565" s="19" t="str">
        <f>IFERROR(__xludf.DUMMYFUNCTION("""COMPUTED_VALUE"""),"BLACK")</f>
        <v>BLACK</v>
      </c>
      <c r="G5565" s="20" t="str">
        <f>IFERROR(__xludf.DUMMYFUNCTION("""COMPUTED_VALUE"""),"Uncle Sams Cider (11/12/2021) 02")</f>
        <v>Uncle Sams Cider (11/12/2021) 02</v>
      </c>
      <c r="H5565" s="19"/>
    </row>
    <row r="5566">
      <c r="A5566" s="9"/>
      <c r="B5566" s="15"/>
      <c r="C5566" s="9">
        <f>IFERROR(__xludf.DUMMYFUNCTION("""COMPUTED_VALUE"""),44547.0903009606)</f>
        <v>44547.0903</v>
      </c>
      <c r="D5566" s="15">
        <f>IFERROR(__xludf.DUMMYFUNCTION("""COMPUTED_VALUE"""),1.021)</f>
        <v>1.021</v>
      </c>
      <c r="E5566" s="16">
        <f>IFERROR(__xludf.DUMMYFUNCTION("""COMPUTED_VALUE"""),67.0)</f>
        <v>67</v>
      </c>
      <c r="F5566" s="19" t="str">
        <f>IFERROR(__xludf.DUMMYFUNCTION("""COMPUTED_VALUE"""),"BLACK")</f>
        <v>BLACK</v>
      </c>
      <c r="G5566" s="20" t="str">
        <f>IFERROR(__xludf.DUMMYFUNCTION("""COMPUTED_VALUE"""),"Uncle Sams Cider (11/12/2021) 02")</f>
        <v>Uncle Sams Cider (11/12/2021) 02</v>
      </c>
      <c r="H5566" s="19"/>
    </row>
    <row r="5567">
      <c r="A5567" s="9"/>
      <c r="B5567" s="15"/>
      <c r="C5567" s="9">
        <f>IFERROR(__xludf.DUMMYFUNCTION("""COMPUTED_VALUE"""),44547.0798798842)</f>
        <v>44547.07988</v>
      </c>
      <c r="D5567" s="15">
        <f>IFERROR(__xludf.DUMMYFUNCTION("""COMPUTED_VALUE"""),1.021)</f>
        <v>1.021</v>
      </c>
      <c r="E5567" s="16">
        <f>IFERROR(__xludf.DUMMYFUNCTION("""COMPUTED_VALUE"""),67.0)</f>
        <v>67</v>
      </c>
      <c r="F5567" s="19" t="str">
        <f>IFERROR(__xludf.DUMMYFUNCTION("""COMPUTED_VALUE"""),"BLACK")</f>
        <v>BLACK</v>
      </c>
      <c r="G5567" s="20" t="str">
        <f>IFERROR(__xludf.DUMMYFUNCTION("""COMPUTED_VALUE"""),"Uncle Sams Cider (11/12/2021) 02")</f>
        <v>Uncle Sams Cider (11/12/2021) 02</v>
      </c>
      <c r="H5567" s="19"/>
    </row>
    <row r="5568">
      <c r="A5568" s="9"/>
      <c r="B5568" s="15"/>
      <c r="C5568" s="9">
        <f>IFERROR(__xludf.DUMMYFUNCTION("""COMPUTED_VALUE"""),44547.0694473958)</f>
        <v>44547.06945</v>
      </c>
      <c r="D5568" s="15">
        <f>IFERROR(__xludf.DUMMYFUNCTION("""COMPUTED_VALUE"""),1.021)</f>
        <v>1.021</v>
      </c>
      <c r="E5568" s="16">
        <f>IFERROR(__xludf.DUMMYFUNCTION("""COMPUTED_VALUE"""),67.0)</f>
        <v>67</v>
      </c>
      <c r="F5568" s="19" t="str">
        <f>IFERROR(__xludf.DUMMYFUNCTION("""COMPUTED_VALUE"""),"BLACK")</f>
        <v>BLACK</v>
      </c>
      <c r="G5568" s="20" t="str">
        <f>IFERROR(__xludf.DUMMYFUNCTION("""COMPUTED_VALUE"""),"Uncle Sams Cider (11/12/2021) 02")</f>
        <v>Uncle Sams Cider (11/12/2021) 02</v>
      </c>
      <c r="H5568" s="19"/>
    </row>
    <row r="5569">
      <c r="A5569" s="9"/>
      <c r="B5569" s="15"/>
      <c r="C5569" s="9">
        <f>IFERROR(__xludf.DUMMYFUNCTION("""COMPUTED_VALUE"""),44547.0590271643)</f>
        <v>44547.05903</v>
      </c>
      <c r="D5569" s="15">
        <f>IFERROR(__xludf.DUMMYFUNCTION("""COMPUTED_VALUE"""),1.021)</f>
        <v>1.021</v>
      </c>
      <c r="E5569" s="16">
        <f>IFERROR(__xludf.DUMMYFUNCTION("""COMPUTED_VALUE"""),67.0)</f>
        <v>67</v>
      </c>
      <c r="F5569" s="19" t="str">
        <f>IFERROR(__xludf.DUMMYFUNCTION("""COMPUTED_VALUE"""),"BLACK")</f>
        <v>BLACK</v>
      </c>
      <c r="G5569" s="20" t="str">
        <f>IFERROR(__xludf.DUMMYFUNCTION("""COMPUTED_VALUE"""),"Uncle Sams Cider (11/12/2021) 02")</f>
        <v>Uncle Sams Cider (11/12/2021) 02</v>
      </c>
      <c r="H5569" s="19"/>
    </row>
    <row r="5570">
      <c r="A5570" s="9"/>
      <c r="B5570" s="15"/>
      <c r="C5570" s="9">
        <f>IFERROR(__xludf.DUMMYFUNCTION("""COMPUTED_VALUE"""),44547.0485934374)</f>
        <v>44547.04859</v>
      </c>
      <c r="D5570" s="15">
        <f>IFERROR(__xludf.DUMMYFUNCTION("""COMPUTED_VALUE"""),1.021)</f>
        <v>1.021</v>
      </c>
      <c r="E5570" s="16">
        <f>IFERROR(__xludf.DUMMYFUNCTION("""COMPUTED_VALUE"""),67.0)</f>
        <v>67</v>
      </c>
      <c r="F5570" s="19" t="str">
        <f>IFERROR(__xludf.DUMMYFUNCTION("""COMPUTED_VALUE"""),"BLACK")</f>
        <v>BLACK</v>
      </c>
      <c r="G5570" s="20" t="str">
        <f>IFERROR(__xludf.DUMMYFUNCTION("""COMPUTED_VALUE"""),"Uncle Sams Cider (11/12/2021) 02")</f>
        <v>Uncle Sams Cider (11/12/2021) 02</v>
      </c>
      <c r="H5570" s="19"/>
    </row>
    <row r="5571">
      <c r="A5571" s="9"/>
      <c r="B5571" s="15"/>
      <c r="C5571" s="9">
        <f>IFERROR(__xludf.DUMMYFUNCTION("""COMPUTED_VALUE"""),44547.0381606134)</f>
        <v>44547.03816</v>
      </c>
      <c r="D5571" s="15">
        <f>IFERROR(__xludf.DUMMYFUNCTION("""COMPUTED_VALUE"""),1.021)</f>
        <v>1.021</v>
      </c>
      <c r="E5571" s="16">
        <f>IFERROR(__xludf.DUMMYFUNCTION("""COMPUTED_VALUE"""),67.0)</f>
        <v>67</v>
      </c>
      <c r="F5571" s="19" t="str">
        <f>IFERROR(__xludf.DUMMYFUNCTION("""COMPUTED_VALUE"""),"BLACK")</f>
        <v>BLACK</v>
      </c>
      <c r="G5571" s="20" t="str">
        <f>IFERROR(__xludf.DUMMYFUNCTION("""COMPUTED_VALUE"""),"Uncle Sams Cider (11/12/2021) 02")</f>
        <v>Uncle Sams Cider (11/12/2021) 02</v>
      </c>
      <c r="H5571" s="19"/>
    </row>
    <row r="5572">
      <c r="A5572" s="9"/>
      <c r="B5572" s="15"/>
      <c r="C5572" s="9">
        <f>IFERROR(__xludf.DUMMYFUNCTION("""COMPUTED_VALUE"""),44547.0277049537)</f>
        <v>44547.0277</v>
      </c>
      <c r="D5572" s="15">
        <f>IFERROR(__xludf.DUMMYFUNCTION("""COMPUTED_VALUE"""),1.021)</f>
        <v>1.021</v>
      </c>
      <c r="E5572" s="16">
        <f>IFERROR(__xludf.DUMMYFUNCTION("""COMPUTED_VALUE"""),67.0)</f>
        <v>67</v>
      </c>
      <c r="F5572" s="19" t="str">
        <f>IFERROR(__xludf.DUMMYFUNCTION("""COMPUTED_VALUE"""),"BLACK")</f>
        <v>BLACK</v>
      </c>
      <c r="G5572" s="20" t="str">
        <f>IFERROR(__xludf.DUMMYFUNCTION("""COMPUTED_VALUE"""),"Uncle Sams Cider (11/12/2021) 02")</f>
        <v>Uncle Sams Cider (11/12/2021) 02</v>
      </c>
      <c r="H5572" s="19"/>
    </row>
    <row r="5573">
      <c r="A5573" s="9"/>
      <c r="B5573" s="15"/>
      <c r="C5573" s="9">
        <f>IFERROR(__xludf.DUMMYFUNCTION("""COMPUTED_VALUE"""),44547.0172713078)</f>
        <v>44547.01727</v>
      </c>
      <c r="D5573" s="15">
        <f>IFERROR(__xludf.DUMMYFUNCTION("""COMPUTED_VALUE"""),1.021)</f>
        <v>1.021</v>
      </c>
      <c r="E5573" s="16">
        <f>IFERROR(__xludf.DUMMYFUNCTION("""COMPUTED_VALUE"""),68.0)</f>
        <v>68</v>
      </c>
      <c r="F5573" s="19" t="str">
        <f>IFERROR(__xludf.DUMMYFUNCTION("""COMPUTED_VALUE"""),"BLACK")</f>
        <v>BLACK</v>
      </c>
      <c r="G5573" s="20" t="str">
        <f>IFERROR(__xludf.DUMMYFUNCTION("""COMPUTED_VALUE"""),"Uncle Sams Cider (11/12/2021) 02")</f>
        <v>Uncle Sams Cider (11/12/2021) 02</v>
      </c>
      <c r="H5573" s="19"/>
    </row>
    <row r="5574">
      <c r="A5574" s="9"/>
      <c r="B5574" s="15"/>
      <c r="C5574" s="9">
        <f>IFERROR(__xludf.DUMMYFUNCTION("""COMPUTED_VALUE"""),44546.9964160069)</f>
        <v>44546.99642</v>
      </c>
      <c r="D5574" s="15">
        <f>IFERROR(__xludf.DUMMYFUNCTION("""COMPUTED_VALUE"""),1.021)</f>
        <v>1.021</v>
      </c>
      <c r="E5574" s="16">
        <f>IFERROR(__xludf.DUMMYFUNCTION("""COMPUTED_VALUE"""),68.0)</f>
        <v>68</v>
      </c>
      <c r="F5574" s="19" t="str">
        <f>IFERROR(__xludf.DUMMYFUNCTION("""COMPUTED_VALUE"""),"BLACK")</f>
        <v>BLACK</v>
      </c>
      <c r="G5574" s="20" t="str">
        <f>IFERROR(__xludf.DUMMYFUNCTION("""COMPUTED_VALUE"""),"Uncle Sams Cider (11/12/2021) 02")</f>
        <v>Uncle Sams Cider (11/12/2021) 02</v>
      </c>
      <c r="H5574" s="19"/>
    </row>
    <row r="5575">
      <c r="A5575" s="9"/>
      <c r="B5575" s="15"/>
      <c r="C5575" s="9">
        <f>IFERROR(__xludf.DUMMYFUNCTION("""COMPUTED_VALUE"""),44546.9859818402)</f>
        <v>44546.98598</v>
      </c>
      <c r="D5575" s="15">
        <f>IFERROR(__xludf.DUMMYFUNCTION("""COMPUTED_VALUE"""),1.021)</f>
        <v>1.021</v>
      </c>
      <c r="E5575" s="16">
        <f>IFERROR(__xludf.DUMMYFUNCTION("""COMPUTED_VALUE"""),68.0)</f>
        <v>68</v>
      </c>
      <c r="F5575" s="19" t="str">
        <f>IFERROR(__xludf.DUMMYFUNCTION("""COMPUTED_VALUE"""),"BLACK")</f>
        <v>BLACK</v>
      </c>
      <c r="G5575" s="20" t="str">
        <f>IFERROR(__xludf.DUMMYFUNCTION("""COMPUTED_VALUE"""),"Uncle Sams Cider (11/12/2021) 02")</f>
        <v>Uncle Sams Cider (11/12/2021) 02</v>
      </c>
      <c r="H5575" s="19"/>
    </row>
    <row r="5576">
      <c r="A5576" s="9"/>
      <c r="B5576" s="15"/>
      <c r="C5576" s="9">
        <f>IFERROR(__xludf.DUMMYFUNCTION("""COMPUTED_VALUE"""),44546.9755474768)</f>
        <v>44546.97555</v>
      </c>
      <c r="D5576" s="15">
        <f>IFERROR(__xludf.DUMMYFUNCTION("""COMPUTED_VALUE"""),1.021)</f>
        <v>1.021</v>
      </c>
      <c r="E5576" s="16">
        <f>IFERROR(__xludf.DUMMYFUNCTION("""COMPUTED_VALUE"""),68.0)</f>
        <v>68</v>
      </c>
      <c r="F5576" s="19" t="str">
        <f>IFERROR(__xludf.DUMMYFUNCTION("""COMPUTED_VALUE"""),"BLACK")</f>
        <v>BLACK</v>
      </c>
      <c r="G5576" s="20" t="str">
        <f>IFERROR(__xludf.DUMMYFUNCTION("""COMPUTED_VALUE"""),"Uncle Sams Cider (11/12/2021) 02")</f>
        <v>Uncle Sams Cider (11/12/2021) 02</v>
      </c>
      <c r="H5576" s="19"/>
    </row>
    <row r="5577">
      <c r="A5577" s="9"/>
      <c r="B5577" s="15"/>
      <c r="C5577" s="9">
        <f>IFERROR(__xludf.DUMMYFUNCTION("""COMPUTED_VALUE"""),44546.9651155324)</f>
        <v>44546.96512</v>
      </c>
      <c r="D5577" s="15">
        <f>IFERROR(__xludf.DUMMYFUNCTION("""COMPUTED_VALUE"""),1.021)</f>
        <v>1.021</v>
      </c>
      <c r="E5577" s="16">
        <f>IFERROR(__xludf.DUMMYFUNCTION("""COMPUTED_VALUE"""),68.0)</f>
        <v>68</v>
      </c>
      <c r="F5577" s="19" t="str">
        <f>IFERROR(__xludf.DUMMYFUNCTION("""COMPUTED_VALUE"""),"BLACK")</f>
        <v>BLACK</v>
      </c>
      <c r="G5577" s="20" t="str">
        <f>IFERROR(__xludf.DUMMYFUNCTION("""COMPUTED_VALUE"""),"Uncle Sams Cider (11/12/2021) 02")</f>
        <v>Uncle Sams Cider (11/12/2021) 02</v>
      </c>
      <c r="H5577" s="19"/>
    </row>
    <row r="5578">
      <c r="A5578" s="9"/>
      <c r="B5578" s="15"/>
      <c r="C5578" s="9">
        <f>IFERROR(__xludf.DUMMYFUNCTION("""COMPUTED_VALUE"""),44546.9546842592)</f>
        <v>44546.95468</v>
      </c>
      <c r="D5578" s="15">
        <f>IFERROR(__xludf.DUMMYFUNCTION("""COMPUTED_VALUE"""),1.021)</f>
        <v>1.021</v>
      </c>
      <c r="E5578" s="16">
        <f>IFERROR(__xludf.DUMMYFUNCTION("""COMPUTED_VALUE"""),68.0)</f>
        <v>68</v>
      </c>
      <c r="F5578" s="19" t="str">
        <f>IFERROR(__xludf.DUMMYFUNCTION("""COMPUTED_VALUE"""),"BLACK")</f>
        <v>BLACK</v>
      </c>
      <c r="G5578" s="20" t="str">
        <f>IFERROR(__xludf.DUMMYFUNCTION("""COMPUTED_VALUE"""),"Uncle Sams Cider (11/12/2021) 02")</f>
        <v>Uncle Sams Cider (11/12/2021) 02</v>
      </c>
      <c r="H5578" s="19"/>
    </row>
    <row r="5579">
      <c r="A5579" s="9"/>
      <c r="B5579" s="15"/>
      <c r="C5579" s="9">
        <f>IFERROR(__xludf.DUMMYFUNCTION("""COMPUTED_VALUE"""),44546.94421728)</f>
        <v>44546.94422</v>
      </c>
      <c r="D5579" s="15">
        <f>IFERROR(__xludf.DUMMYFUNCTION("""COMPUTED_VALUE"""),1.021)</f>
        <v>1.021</v>
      </c>
      <c r="E5579" s="16">
        <f>IFERROR(__xludf.DUMMYFUNCTION("""COMPUTED_VALUE"""),68.0)</f>
        <v>68</v>
      </c>
      <c r="F5579" s="19" t="str">
        <f>IFERROR(__xludf.DUMMYFUNCTION("""COMPUTED_VALUE"""),"BLACK")</f>
        <v>BLACK</v>
      </c>
      <c r="G5579" s="20" t="str">
        <f>IFERROR(__xludf.DUMMYFUNCTION("""COMPUTED_VALUE"""),"Uncle Sams Cider (11/12/2021) 02")</f>
        <v>Uncle Sams Cider (11/12/2021) 02</v>
      </c>
      <c r="H5579" s="19"/>
    </row>
    <row r="5580">
      <c r="A5580" s="9"/>
      <c r="B5580" s="15"/>
      <c r="C5580" s="9">
        <f>IFERROR(__xludf.DUMMYFUNCTION("""COMPUTED_VALUE"""),44546.9337841666)</f>
        <v>44546.93378</v>
      </c>
      <c r="D5580" s="15">
        <f>IFERROR(__xludf.DUMMYFUNCTION("""COMPUTED_VALUE"""),1.021)</f>
        <v>1.021</v>
      </c>
      <c r="E5580" s="16">
        <f>IFERROR(__xludf.DUMMYFUNCTION("""COMPUTED_VALUE"""),68.0)</f>
        <v>68</v>
      </c>
      <c r="F5580" s="19" t="str">
        <f>IFERROR(__xludf.DUMMYFUNCTION("""COMPUTED_VALUE"""),"BLACK")</f>
        <v>BLACK</v>
      </c>
      <c r="G5580" s="20" t="str">
        <f>IFERROR(__xludf.DUMMYFUNCTION("""COMPUTED_VALUE"""),"Uncle Sams Cider (11/12/2021) 02")</f>
        <v>Uncle Sams Cider (11/12/2021) 02</v>
      </c>
      <c r="H5580" s="19"/>
    </row>
    <row r="5581">
      <c r="A5581" s="9"/>
      <c r="B5581" s="15"/>
      <c r="C5581" s="9">
        <f>IFERROR(__xludf.DUMMYFUNCTION("""COMPUTED_VALUE"""),44546.9233608101)</f>
        <v>44546.92336</v>
      </c>
      <c r="D5581" s="15">
        <f>IFERROR(__xludf.DUMMYFUNCTION("""COMPUTED_VALUE"""),1.021)</f>
        <v>1.021</v>
      </c>
      <c r="E5581" s="16">
        <f>IFERROR(__xludf.DUMMYFUNCTION("""COMPUTED_VALUE"""),68.0)</f>
        <v>68</v>
      </c>
      <c r="F5581" s="19" t="str">
        <f>IFERROR(__xludf.DUMMYFUNCTION("""COMPUTED_VALUE"""),"BLACK")</f>
        <v>BLACK</v>
      </c>
      <c r="G5581" s="20" t="str">
        <f>IFERROR(__xludf.DUMMYFUNCTION("""COMPUTED_VALUE"""),"Uncle Sams Cider (11/12/2021) 02")</f>
        <v>Uncle Sams Cider (11/12/2021) 02</v>
      </c>
      <c r="H5581" s="19"/>
    </row>
    <row r="5582">
      <c r="A5582" s="9"/>
      <c r="B5582" s="15"/>
      <c r="C5582" s="9">
        <f>IFERROR(__xludf.DUMMYFUNCTION("""COMPUTED_VALUE"""),44546.912904456)</f>
        <v>44546.9129</v>
      </c>
      <c r="D5582" s="15">
        <f>IFERROR(__xludf.DUMMYFUNCTION("""COMPUTED_VALUE"""),1.021)</f>
        <v>1.021</v>
      </c>
      <c r="E5582" s="16">
        <f>IFERROR(__xludf.DUMMYFUNCTION("""COMPUTED_VALUE"""),68.0)</f>
        <v>68</v>
      </c>
      <c r="F5582" s="19" t="str">
        <f>IFERROR(__xludf.DUMMYFUNCTION("""COMPUTED_VALUE"""),"BLACK")</f>
        <v>BLACK</v>
      </c>
      <c r="G5582" s="20" t="str">
        <f>IFERROR(__xludf.DUMMYFUNCTION("""COMPUTED_VALUE"""),"Uncle Sams Cider (11/12/2021) 02")</f>
        <v>Uncle Sams Cider (11/12/2021) 02</v>
      </c>
      <c r="H5582" s="19"/>
    </row>
    <row r="5583">
      <c r="A5583" s="9"/>
      <c r="B5583" s="15"/>
      <c r="C5583" s="9">
        <f>IFERROR(__xludf.DUMMYFUNCTION("""COMPUTED_VALUE"""),44546.9024722222)</f>
        <v>44546.90247</v>
      </c>
      <c r="D5583" s="15">
        <f>IFERROR(__xludf.DUMMYFUNCTION("""COMPUTED_VALUE"""),1.021)</f>
        <v>1.021</v>
      </c>
      <c r="E5583" s="16">
        <f>IFERROR(__xludf.DUMMYFUNCTION("""COMPUTED_VALUE"""),68.0)</f>
        <v>68</v>
      </c>
      <c r="F5583" s="19" t="str">
        <f>IFERROR(__xludf.DUMMYFUNCTION("""COMPUTED_VALUE"""),"BLACK")</f>
        <v>BLACK</v>
      </c>
      <c r="G5583" s="20" t="str">
        <f>IFERROR(__xludf.DUMMYFUNCTION("""COMPUTED_VALUE"""),"Uncle Sams Cider (11/12/2021) 02")</f>
        <v>Uncle Sams Cider (11/12/2021) 02</v>
      </c>
      <c r="H5583" s="19"/>
    </row>
    <row r="5584">
      <c r="A5584" s="9"/>
      <c r="B5584" s="15"/>
      <c r="C5584" s="9">
        <f>IFERROR(__xludf.DUMMYFUNCTION("""COMPUTED_VALUE"""),44546.8920521064)</f>
        <v>44546.89205</v>
      </c>
      <c r="D5584" s="15">
        <f>IFERROR(__xludf.DUMMYFUNCTION("""COMPUTED_VALUE"""),1.021)</f>
        <v>1.021</v>
      </c>
      <c r="E5584" s="16">
        <f>IFERROR(__xludf.DUMMYFUNCTION("""COMPUTED_VALUE"""),68.0)</f>
        <v>68</v>
      </c>
      <c r="F5584" s="19" t="str">
        <f>IFERROR(__xludf.DUMMYFUNCTION("""COMPUTED_VALUE"""),"BLACK")</f>
        <v>BLACK</v>
      </c>
      <c r="G5584" s="20" t="str">
        <f>IFERROR(__xludf.DUMMYFUNCTION("""COMPUTED_VALUE"""),"Uncle Sams Cider (11/12/2021) 02")</f>
        <v>Uncle Sams Cider (11/12/2021) 02</v>
      </c>
      <c r="H5584" s="19"/>
    </row>
    <row r="5585">
      <c r="A5585" s="9"/>
      <c r="B5585" s="15"/>
      <c r="C5585" s="9">
        <f>IFERROR(__xludf.DUMMYFUNCTION("""COMPUTED_VALUE"""),44546.8816182407)</f>
        <v>44546.88162</v>
      </c>
      <c r="D5585" s="15">
        <f>IFERROR(__xludf.DUMMYFUNCTION("""COMPUTED_VALUE"""),1.021)</f>
        <v>1.021</v>
      </c>
      <c r="E5585" s="16">
        <f>IFERROR(__xludf.DUMMYFUNCTION("""COMPUTED_VALUE"""),68.0)</f>
        <v>68</v>
      </c>
      <c r="F5585" s="19" t="str">
        <f>IFERROR(__xludf.DUMMYFUNCTION("""COMPUTED_VALUE"""),"BLACK")</f>
        <v>BLACK</v>
      </c>
      <c r="G5585" s="20" t="str">
        <f>IFERROR(__xludf.DUMMYFUNCTION("""COMPUTED_VALUE"""),"Uncle Sams Cider (11/12/2021) 02")</f>
        <v>Uncle Sams Cider (11/12/2021) 02</v>
      </c>
      <c r="H5585" s="19"/>
    </row>
    <row r="5586">
      <c r="A5586" s="9"/>
      <c r="B5586" s="15"/>
      <c r="C5586" s="9">
        <f>IFERROR(__xludf.DUMMYFUNCTION("""COMPUTED_VALUE"""),44546.8711846064)</f>
        <v>44546.87118</v>
      </c>
      <c r="D5586" s="15">
        <f>IFERROR(__xludf.DUMMYFUNCTION("""COMPUTED_VALUE"""),1.021)</f>
        <v>1.021</v>
      </c>
      <c r="E5586" s="16">
        <f>IFERROR(__xludf.DUMMYFUNCTION("""COMPUTED_VALUE"""),68.0)</f>
        <v>68</v>
      </c>
      <c r="F5586" s="19" t="str">
        <f>IFERROR(__xludf.DUMMYFUNCTION("""COMPUTED_VALUE"""),"BLACK")</f>
        <v>BLACK</v>
      </c>
      <c r="G5586" s="20" t="str">
        <f>IFERROR(__xludf.DUMMYFUNCTION("""COMPUTED_VALUE"""),"Uncle Sams Cider (11/12/2021) 02")</f>
        <v>Uncle Sams Cider (11/12/2021) 02</v>
      </c>
      <c r="H5586" s="19"/>
    </row>
    <row r="5587">
      <c r="A5587" s="9"/>
      <c r="B5587" s="15"/>
      <c r="C5587" s="9">
        <f>IFERROR(__xludf.DUMMYFUNCTION("""COMPUTED_VALUE"""),44546.8607524768)</f>
        <v>44546.86075</v>
      </c>
      <c r="D5587" s="15">
        <f>IFERROR(__xludf.DUMMYFUNCTION("""COMPUTED_VALUE"""),1.021)</f>
        <v>1.021</v>
      </c>
      <c r="E5587" s="16">
        <f>IFERROR(__xludf.DUMMYFUNCTION("""COMPUTED_VALUE"""),68.0)</f>
        <v>68</v>
      </c>
      <c r="F5587" s="19" t="str">
        <f>IFERROR(__xludf.DUMMYFUNCTION("""COMPUTED_VALUE"""),"BLACK")</f>
        <v>BLACK</v>
      </c>
      <c r="G5587" s="20" t="str">
        <f>IFERROR(__xludf.DUMMYFUNCTION("""COMPUTED_VALUE"""),"Uncle Sams Cider (11/12/2021) 02")</f>
        <v>Uncle Sams Cider (11/12/2021) 02</v>
      </c>
      <c r="H5587" s="19"/>
    </row>
    <row r="5588">
      <c r="A5588" s="9"/>
      <c r="B5588" s="15"/>
      <c r="C5588" s="9">
        <f>IFERROR(__xludf.DUMMYFUNCTION("""COMPUTED_VALUE"""),44546.8503189351)</f>
        <v>44546.85032</v>
      </c>
      <c r="D5588" s="15">
        <f>IFERROR(__xludf.DUMMYFUNCTION("""COMPUTED_VALUE"""),1.021)</f>
        <v>1.021</v>
      </c>
      <c r="E5588" s="16">
        <f>IFERROR(__xludf.DUMMYFUNCTION("""COMPUTED_VALUE"""),68.0)</f>
        <v>68</v>
      </c>
      <c r="F5588" s="19" t="str">
        <f>IFERROR(__xludf.DUMMYFUNCTION("""COMPUTED_VALUE"""),"BLACK")</f>
        <v>BLACK</v>
      </c>
      <c r="G5588" s="20" t="str">
        <f>IFERROR(__xludf.DUMMYFUNCTION("""COMPUTED_VALUE"""),"Uncle Sams Cider (11/12/2021) 02")</f>
        <v>Uncle Sams Cider (11/12/2021) 02</v>
      </c>
      <c r="H5588" s="19"/>
    </row>
    <row r="5589">
      <c r="A5589" s="9"/>
      <c r="B5589" s="15"/>
      <c r="C5589" s="9">
        <f>IFERROR(__xludf.DUMMYFUNCTION("""COMPUTED_VALUE"""),44546.8398864351)</f>
        <v>44546.83989</v>
      </c>
      <c r="D5589" s="15">
        <f>IFERROR(__xludf.DUMMYFUNCTION("""COMPUTED_VALUE"""),1.02)</f>
        <v>1.02</v>
      </c>
      <c r="E5589" s="16">
        <f>IFERROR(__xludf.DUMMYFUNCTION("""COMPUTED_VALUE"""),68.0)</f>
        <v>68</v>
      </c>
      <c r="F5589" s="19" t="str">
        <f>IFERROR(__xludf.DUMMYFUNCTION("""COMPUTED_VALUE"""),"BLACK")</f>
        <v>BLACK</v>
      </c>
      <c r="G5589" s="20" t="str">
        <f>IFERROR(__xludf.DUMMYFUNCTION("""COMPUTED_VALUE"""),"Uncle Sams Cider (11/12/2021) 02")</f>
        <v>Uncle Sams Cider (11/12/2021) 02</v>
      </c>
      <c r="H5589" s="19"/>
    </row>
    <row r="5590">
      <c r="A5590" s="9"/>
      <c r="B5590" s="15"/>
      <c r="C5590" s="9">
        <f>IFERROR(__xludf.DUMMYFUNCTION("""COMPUTED_VALUE"""),44546.8294543981)</f>
        <v>44546.82945</v>
      </c>
      <c r="D5590" s="15">
        <f>IFERROR(__xludf.DUMMYFUNCTION("""COMPUTED_VALUE"""),1.021)</f>
        <v>1.021</v>
      </c>
      <c r="E5590" s="16">
        <f>IFERROR(__xludf.DUMMYFUNCTION("""COMPUTED_VALUE"""),68.0)</f>
        <v>68</v>
      </c>
      <c r="F5590" s="19" t="str">
        <f>IFERROR(__xludf.DUMMYFUNCTION("""COMPUTED_VALUE"""),"BLACK")</f>
        <v>BLACK</v>
      </c>
      <c r="G5590" s="20" t="str">
        <f>IFERROR(__xludf.DUMMYFUNCTION("""COMPUTED_VALUE"""),"Uncle Sams Cider (11/12/2021) 02")</f>
        <v>Uncle Sams Cider (11/12/2021) 02</v>
      </c>
      <c r="H5590" s="19"/>
    </row>
    <row r="5591">
      <c r="A5591" s="9"/>
      <c r="B5591" s="15"/>
      <c r="C5591" s="9">
        <f>IFERROR(__xludf.DUMMYFUNCTION("""COMPUTED_VALUE"""),44546.8190342245)</f>
        <v>44546.81903</v>
      </c>
      <c r="D5591" s="15">
        <f>IFERROR(__xludf.DUMMYFUNCTION("""COMPUTED_VALUE"""),1.021)</f>
        <v>1.021</v>
      </c>
      <c r="E5591" s="16">
        <f>IFERROR(__xludf.DUMMYFUNCTION("""COMPUTED_VALUE"""),68.0)</f>
        <v>68</v>
      </c>
      <c r="F5591" s="19" t="str">
        <f>IFERROR(__xludf.DUMMYFUNCTION("""COMPUTED_VALUE"""),"BLACK")</f>
        <v>BLACK</v>
      </c>
      <c r="G5591" s="20" t="str">
        <f>IFERROR(__xludf.DUMMYFUNCTION("""COMPUTED_VALUE"""),"Uncle Sams Cider (11/12/2021) 02")</f>
        <v>Uncle Sams Cider (11/12/2021) 02</v>
      </c>
      <c r="H5591" s="19"/>
    </row>
    <row r="5592">
      <c r="A5592" s="9"/>
      <c r="B5592" s="15"/>
      <c r="C5592" s="9">
        <f>IFERROR(__xludf.DUMMYFUNCTION("""COMPUTED_VALUE"""),44546.8086014236)</f>
        <v>44546.8086</v>
      </c>
      <c r="D5592" s="15">
        <f>IFERROR(__xludf.DUMMYFUNCTION("""COMPUTED_VALUE"""),1.021)</f>
        <v>1.021</v>
      </c>
      <c r="E5592" s="16">
        <f>IFERROR(__xludf.DUMMYFUNCTION("""COMPUTED_VALUE"""),67.0)</f>
        <v>67</v>
      </c>
      <c r="F5592" s="19" t="str">
        <f>IFERROR(__xludf.DUMMYFUNCTION("""COMPUTED_VALUE"""),"BLACK")</f>
        <v>BLACK</v>
      </c>
      <c r="G5592" s="20" t="str">
        <f>IFERROR(__xludf.DUMMYFUNCTION("""COMPUTED_VALUE"""),"Uncle Sams Cider (11/12/2021) 02")</f>
        <v>Uncle Sams Cider (11/12/2021) 02</v>
      </c>
      <c r="H5592" s="19"/>
    </row>
    <row r="5593">
      <c r="A5593" s="9"/>
      <c r="B5593" s="15"/>
      <c r="C5593" s="9">
        <f>IFERROR(__xludf.DUMMYFUNCTION("""COMPUTED_VALUE"""),44546.7981677314)</f>
        <v>44546.79817</v>
      </c>
      <c r="D5593" s="15">
        <f>IFERROR(__xludf.DUMMYFUNCTION("""COMPUTED_VALUE"""),1.021)</f>
        <v>1.021</v>
      </c>
      <c r="E5593" s="16">
        <f>IFERROR(__xludf.DUMMYFUNCTION("""COMPUTED_VALUE"""),67.0)</f>
        <v>67</v>
      </c>
      <c r="F5593" s="19" t="str">
        <f>IFERROR(__xludf.DUMMYFUNCTION("""COMPUTED_VALUE"""),"BLACK")</f>
        <v>BLACK</v>
      </c>
      <c r="G5593" s="20" t="str">
        <f>IFERROR(__xludf.DUMMYFUNCTION("""COMPUTED_VALUE"""),"Uncle Sams Cider (11/12/2021) 02")</f>
        <v>Uncle Sams Cider (11/12/2021) 02</v>
      </c>
      <c r="H5593" s="19"/>
    </row>
    <row r="5594">
      <c r="A5594" s="9"/>
      <c r="B5594" s="15"/>
      <c r="C5594" s="9">
        <f>IFERROR(__xludf.DUMMYFUNCTION("""COMPUTED_VALUE"""),44546.7876998032)</f>
        <v>44546.7877</v>
      </c>
      <c r="D5594" s="15">
        <f>IFERROR(__xludf.DUMMYFUNCTION("""COMPUTED_VALUE"""),1.021)</f>
        <v>1.021</v>
      </c>
      <c r="E5594" s="16">
        <f>IFERROR(__xludf.DUMMYFUNCTION("""COMPUTED_VALUE"""),67.0)</f>
        <v>67</v>
      </c>
      <c r="F5594" s="19" t="str">
        <f>IFERROR(__xludf.DUMMYFUNCTION("""COMPUTED_VALUE"""),"BLACK")</f>
        <v>BLACK</v>
      </c>
      <c r="G5594" s="20" t="str">
        <f>IFERROR(__xludf.DUMMYFUNCTION("""COMPUTED_VALUE"""),"Uncle Sams Cider (11/12/2021) 02")</f>
        <v>Uncle Sams Cider (11/12/2021) 02</v>
      </c>
      <c r="H5594" s="19"/>
    </row>
    <row r="5595">
      <c r="A5595" s="9"/>
      <c r="B5595" s="15"/>
      <c r="C5595" s="9">
        <f>IFERROR(__xludf.DUMMYFUNCTION("""COMPUTED_VALUE"""),44546.777278449)</f>
        <v>44546.77728</v>
      </c>
      <c r="D5595" s="15">
        <f>IFERROR(__xludf.DUMMYFUNCTION("""COMPUTED_VALUE"""),1.021)</f>
        <v>1.021</v>
      </c>
      <c r="E5595" s="16">
        <f>IFERROR(__xludf.DUMMYFUNCTION("""COMPUTED_VALUE"""),66.0)</f>
        <v>66</v>
      </c>
      <c r="F5595" s="19" t="str">
        <f>IFERROR(__xludf.DUMMYFUNCTION("""COMPUTED_VALUE"""),"BLACK")</f>
        <v>BLACK</v>
      </c>
      <c r="G5595" s="20" t="str">
        <f>IFERROR(__xludf.DUMMYFUNCTION("""COMPUTED_VALUE"""),"Uncle Sams Cider (11/12/2021) 02")</f>
        <v>Uncle Sams Cider (11/12/2021) 02</v>
      </c>
      <c r="H5595" s="19"/>
    </row>
    <row r="5596">
      <c r="A5596" s="9"/>
      <c r="B5596" s="15"/>
      <c r="C5596" s="9">
        <f>IFERROR(__xludf.DUMMYFUNCTION("""COMPUTED_VALUE"""),44546.7668564814)</f>
        <v>44546.76686</v>
      </c>
      <c r="D5596" s="15">
        <f>IFERROR(__xludf.DUMMYFUNCTION("""COMPUTED_VALUE"""),1.021)</f>
        <v>1.021</v>
      </c>
      <c r="E5596" s="16">
        <f>IFERROR(__xludf.DUMMYFUNCTION("""COMPUTED_VALUE"""),66.0)</f>
        <v>66</v>
      </c>
      <c r="F5596" s="19" t="str">
        <f>IFERROR(__xludf.DUMMYFUNCTION("""COMPUTED_VALUE"""),"BLACK")</f>
        <v>BLACK</v>
      </c>
      <c r="G5596" s="20" t="str">
        <f>IFERROR(__xludf.DUMMYFUNCTION("""COMPUTED_VALUE"""),"Uncle Sams Cider (11/12/2021) 02")</f>
        <v>Uncle Sams Cider (11/12/2021) 02</v>
      </c>
      <c r="H5596" s="19"/>
    </row>
    <row r="5597">
      <c r="A5597" s="9"/>
      <c r="B5597" s="15"/>
      <c r="C5597" s="9">
        <f>IFERROR(__xludf.DUMMYFUNCTION("""COMPUTED_VALUE"""),44546.7564229745)</f>
        <v>44546.75642</v>
      </c>
      <c r="D5597" s="15">
        <f>IFERROR(__xludf.DUMMYFUNCTION("""COMPUTED_VALUE"""),1.021)</f>
        <v>1.021</v>
      </c>
      <c r="E5597" s="16">
        <f>IFERROR(__xludf.DUMMYFUNCTION("""COMPUTED_VALUE"""),65.0)</f>
        <v>65</v>
      </c>
      <c r="F5597" s="19" t="str">
        <f>IFERROR(__xludf.DUMMYFUNCTION("""COMPUTED_VALUE"""),"BLACK")</f>
        <v>BLACK</v>
      </c>
      <c r="G5597" s="20" t="str">
        <f>IFERROR(__xludf.DUMMYFUNCTION("""COMPUTED_VALUE"""),"Uncle Sams Cider (11/12/2021) 02")</f>
        <v>Uncle Sams Cider (11/12/2021) 02</v>
      </c>
      <c r="H5597" s="19"/>
    </row>
    <row r="5598">
      <c r="A5598" s="9"/>
      <c r="B5598" s="15"/>
      <c r="C5598" s="9">
        <f>IFERROR(__xludf.DUMMYFUNCTION("""COMPUTED_VALUE"""),44546.745990706)</f>
        <v>44546.74599</v>
      </c>
      <c r="D5598" s="15">
        <f>IFERROR(__xludf.DUMMYFUNCTION("""COMPUTED_VALUE"""),1.021)</f>
        <v>1.021</v>
      </c>
      <c r="E5598" s="16">
        <f>IFERROR(__xludf.DUMMYFUNCTION("""COMPUTED_VALUE"""),65.0)</f>
        <v>65</v>
      </c>
      <c r="F5598" s="19" t="str">
        <f>IFERROR(__xludf.DUMMYFUNCTION("""COMPUTED_VALUE"""),"BLACK")</f>
        <v>BLACK</v>
      </c>
      <c r="G5598" s="20" t="str">
        <f>IFERROR(__xludf.DUMMYFUNCTION("""COMPUTED_VALUE"""),"Uncle Sams Cider (11/12/2021) 02")</f>
        <v>Uncle Sams Cider (11/12/2021) 02</v>
      </c>
      <c r="H5598" s="19"/>
    </row>
    <row r="5599">
      <c r="A5599" s="9"/>
      <c r="B5599" s="15"/>
      <c r="C5599" s="9">
        <f>IFERROR(__xludf.DUMMYFUNCTION("""COMPUTED_VALUE"""),44546.7355332523)</f>
        <v>44546.73553</v>
      </c>
      <c r="D5599" s="15">
        <f>IFERROR(__xludf.DUMMYFUNCTION("""COMPUTED_VALUE"""),1.021)</f>
        <v>1.021</v>
      </c>
      <c r="E5599" s="16">
        <f>IFERROR(__xludf.DUMMYFUNCTION("""COMPUTED_VALUE"""),64.0)</f>
        <v>64</v>
      </c>
      <c r="F5599" s="19" t="str">
        <f>IFERROR(__xludf.DUMMYFUNCTION("""COMPUTED_VALUE"""),"BLACK")</f>
        <v>BLACK</v>
      </c>
      <c r="G5599" s="20" t="str">
        <f>IFERROR(__xludf.DUMMYFUNCTION("""COMPUTED_VALUE"""),"Uncle Sams Cider (11/12/2021) 02")</f>
        <v>Uncle Sams Cider (11/12/2021) 02</v>
      </c>
      <c r="H5599" s="19"/>
    </row>
    <row r="5600">
      <c r="A5600" s="9"/>
      <c r="B5600" s="15"/>
      <c r="C5600" s="9">
        <f>IFERROR(__xludf.DUMMYFUNCTION("""COMPUTED_VALUE"""),44546.7251121296)</f>
        <v>44546.72511</v>
      </c>
      <c r="D5600" s="15">
        <f>IFERROR(__xludf.DUMMYFUNCTION("""COMPUTED_VALUE"""),1.021)</f>
        <v>1.021</v>
      </c>
      <c r="E5600" s="16">
        <f>IFERROR(__xludf.DUMMYFUNCTION("""COMPUTED_VALUE"""),64.0)</f>
        <v>64</v>
      </c>
      <c r="F5600" s="19" t="str">
        <f>IFERROR(__xludf.DUMMYFUNCTION("""COMPUTED_VALUE"""),"BLACK")</f>
        <v>BLACK</v>
      </c>
      <c r="G5600" s="20" t="str">
        <f>IFERROR(__xludf.DUMMYFUNCTION("""COMPUTED_VALUE"""),"Uncle Sams Cider (11/12/2021) 02")</f>
        <v>Uncle Sams Cider (11/12/2021) 02</v>
      </c>
      <c r="H5600" s="19"/>
    </row>
    <row r="5601">
      <c r="A5601" s="9"/>
      <c r="B5601" s="15"/>
      <c r="C5601" s="9">
        <f>IFERROR(__xludf.DUMMYFUNCTION("""COMPUTED_VALUE"""),44546.7146788425)</f>
        <v>44546.71468</v>
      </c>
      <c r="D5601" s="15">
        <f>IFERROR(__xludf.DUMMYFUNCTION("""COMPUTED_VALUE"""),1.021)</f>
        <v>1.021</v>
      </c>
      <c r="E5601" s="16">
        <f>IFERROR(__xludf.DUMMYFUNCTION("""COMPUTED_VALUE"""),63.0)</f>
        <v>63</v>
      </c>
      <c r="F5601" s="19" t="str">
        <f>IFERROR(__xludf.DUMMYFUNCTION("""COMPUTED_VALUE"""),"BLACK")</f>
        <v>BLACK</v>
      </c>
      <c r="G5601" s="20" t="str">
        <f>IFERROR(__xludf.DUMMYFUNCTION("""COMPUTED_VALUE"""),"Uncle Sams Cider (11/12/2021) 02")</f>
        <v>Uncle Sams Cider (11/12/2021) 02</v>
      </c>
      <c r="H5601" s="19"/>
    </row>
    <row r="5602">
      <c r="A5602" s="9"/>
      <c r="B5602" s="15"/>
      <c r="C5602" s="9">
        <f>IFERROR(__xludf.DUMMYFUNCTION("""COMPUTED_VALUE"""),44546.7042467824)</f>
        <v>44546.70425</v>
      </c>
      <c r="D5602" s="15">
        <f>IFERROR(__xludf.DUMMYFUNCTION("""COMPUTED_VALUE"""),1.021)</f>
        <v>1.021</v>
      </c>
      <c r="E5602" s="16">
        <f>IFERROR(__xludf.DUMMYFUNCTION("""COMPUTED_VALUE"""),63.0)</f>
        <v>63</v>
      </c>
      <c r="F5602" s="19" t="str">
        <f>IFERROR(__xludf.DUMMYFUNCTION("""COMPUTED_VALUE"""),"BLACK")</f>
        <v>BLACK</v>
      </c>
      <c r="G5602" s="20" t="str">
        <f>IFERROR(__xludf.DUMMYFUNCTION("""COMPUTED_VALUE"""),"Uncle Sams Cider (11/12/2021) 02")</f>
        <v>Uncle Sams Cider (11/12/2021) 02</v>
      </c>
      <c r="H5602" s="19"/>
    </row>
    <row r="5603">
      <c r="A5603" s="9"/>
      <c r="B5603" s="15"/>
      <c r="C5603" s="9">
        <f>IFERROR(__xludf.DUMMYFUNCTION("""COMPUTED_VALUE"""),44546.6938265046)</f>
        <v>44546.69383</v>
      </c>
      <c r="D5603" s="15">
        <f>IFERROR(__xludf.DUMMYFUNCTION("""COMPUTED_VALUE"""),1.021)</f>
        <v>1.021</v>
      </c>
      <c r="E5603" s="16">
        <f>IFERROR(__xludf.DUMMYFUNCTION("""COMPUTED_VALUE"""),63.0)</f>
        <v>63</v>
      </c>
      <c r="F5603" s="19" t="str">
        <f>IFERROR(__xludf.DUMMYFUNCTION("""COMPUTED_VALUE"""),"BLACK")</f>
        <v>BLACK</v>
      </c>
      <c r="G5603" s="20" t="str">
        <f>IFERROR(__xludf.DUMMYFUNCTION("""COMPUTED_VALUE"""),"Uncle Sams Cider (11/12/2021) 02")</f>
        <v>Uncle Sams Cider (11/12/2021) 02</v>
      </c>
      <c r="H5603" s="19"/>
    </row>
    <row r="5604">
      <c r="A5604" s="9"/>
      <c r="B5604" s="15"/>
      <c r="C5604" s="9">
        <f>IFERROR(__xludf.DUMMYFUNCTION("""COMPUTED_VALUE"""),44546.6833932523)</f>
        <v>44546.68339</v>
      </c>
      <c r="D5604" s="15">
        <f>IFERROR(__xludf.DUMMYFUNCTION("""COMPUTED_VALUE"""),1.021)</f>
        <v>1.021</v>
      </c>
      <c r="E5604" s="16">
        <f>IFERROR(__xludf.DUMMYFUNCTION("""COMPUTED_VALUE"""),63.0)</f>
        <v>63</v>
      </c>
      <c r="F5604" s="19" t="str">
        <f>IFERROR(__xludf.DUMMYFUNCTION("""COMPUTED_VALUE"""),"BLACK")</f>
        <v>BLACK</v>
      </c>
      <c r="G5604" s="20" t="str">
        <f>IFERROR(__xludf.DUMMYFUNCTION("""COMPUTED_VALUE"""),"Uncle Sams Cider (11/12/2021) 02")</f>
        <v>Uncle Sams Cider (11/12/2021) 02</v>
      </c>
      <c r="H5604" s="19"/>
    </row>
    <row r="5605">
      <c r="A5605" s="9"/>
      <c r="B5605" s="15"/>
      <c r="C5605" s="9">
        <f>IFERROR(__xludf.DUMMYFUNCTION("""COMPUTED_VALUE"""),44546.672973449)</f>
        <v>44546.67297</v>
      </c>
      <c r="D5605" s="15">
        <f>IFERROR(__xludf.DUMMYFUNCTION("""COMPUTED_VALUE"""),1.021)</f>
        <v>1.021</v>
      </c>
      <c r="E5605" s="16">
        <f>IFERROR(__xludf.DUMMYFUNCTION("""COMPUTED_VALUE"""),63.0)</f>
        <v>63</v>
      </c>
      <c r="F5605" s="19" t="str">
        <f>IFERROR(__xludf.DUMMYFUNCTION("""COMPUTED_VALUE"""),"BLACK")</f>
        <v>BLACK</v>
      </c>
      <c r="G5605" s="20" t="str">
        <f>IFERROR(__xludf.DUMMYFUNCTION("""COMPUTED_VALUE"""),"Uncle Sams Cider (11/12/2021) 02")</f>
        <v>Uncle Sams Cider (11/12/2021) 02</v>
      </c>
      <c r="H5605" s="19"/>
    </row>
    <row r="5606">
      <c r="A5606" s="9"/>
      <c r="B5606" s="15"/>
      <c r="C5606" s="9">
        <f>IFERROR(__xludf.DUMMYFUNCTION("""COMPUTED_VALUE"""),44546.6625402893)</f>
        <v>44546.66254</v>
      </c>
      <c r="D5606" s="15">
        <f>IFERROR(__xludf.DUMMYFUNCTION("""COMPUTED_VALUE"""),1.021)</f>
        <v>1.021</v>
      </c>
      <c r="E5606" s="16">
        <f>IFERROR(__xludf.DUMMYFUNCTION("""COMPUTED_VALUE"""),63.0)</f>
        <v>63</v>
      </c>
      <c r="F5606" s="19" t="str">
        <f>IFERROR(__xludf.DUMMYFUNCTION("""COMPUTED_VALUE"""),"BLACK")</f>
        <v>BLACK</v>
      </c>
      <c r="G5606" s="20" t="str">
        <f>IFERROR(__xludf.DUMMYFUNCTION("""COMPUTED_VALUE"""),"Uncle Sams Cider (11/12/2021) 02")</f>
        <v>Uncle Sams Cider (11/12/2021) 02</v>
      </c>
      <c r="H5606" s="19"/>
    </row>
    <row r="5607">
      <c r="A5607" s="9"/>
      <c r="B5607" s="15"/>
      <c r="C5607" s="9">
        <f>IFERROR(__xludf.DUMMYFUNCTION("""COMPUTED_VALUE"""),44546.6521168981)</f>
        <v>44546.65212</v>
      </c>
      <c r="D5607" s="15">
        <f>IFERROR(__xludf.DUMMYFUNCTION("""COMPUTED_VALUE"""),1.021)</f>
        <v>1.021</v>
      </c>
      <c r="E5607" s="16">
        <f>IFERROR(__xludf.DUMMYFUNCTION("""COMPUTED_VALUE"""),63.0)</f>
        <v>63</v>
      </c>
      <c r="F5607" s="19" t="str">
        <f>IFERROR(__xludf.DUMMYFUNCTION("""COMPUTED_VALUE"""),"BLACK")</f>
        <v>BLACK</v>
      </c>
      <c r="G5607" s="20" t="str">
        <f>IFERROR(__xludf.DUMMYFUNCTION("""COMPUTED_VALUE"""),"Uncle Sams Cider (11/12/2021) 02")</f>
        <v>Uncle Sams Cider (11/12/2021) 02</v>
      </c>
      <c r="H5607" s="19"/>
    </row>
    <row r="5608">
      <c r="A5608" s="9"/>
      <c r="B5608" s="15"/>
      <c r="C5608" s="9">
        <f>IFERROR(__xludf.DUMMYFUNCTION("""COMPUTED_VALUE"""),44546.6416944444)</f>
        <v>44546.64169</v>
      </c>
      <c r="D5608" s="15">
        <f>IFERROR(__xludf.DUMMYFUNCTION("""COMPUTED_VALUE"""),1.022)</f>
        <v>1.022</v>
      </c>
      <c r="E5608" s="16">
        <f>IFERROR(__xludf.DUMMYFUNCTION("""COMPUTED_VALUE"""),63.0)</f>
        <v>63</v>
      </c>
      <c r="F5608" s="19" t="str">
        <f>IFERROR(__xludf.DUMMYFUNCTION("""COMPUTED_VALUE"""),"BLACK")</f>
        <v>BLACK</v>
      </c>
      <c r="G5608" s="20" t="str">
        <f>IFERROR(__xludf.DUMMYFUNCTION("""COMPUTED_VALUE"""),"Uncle Sams Cider (11/12/2021) 02")</f>
        <v>Uncle Sams Cider (11/12/2021) 02</v>
      </c>
      <c r="H5608" s="19"/>
    </row>
    <row r="5609">
      <c r="A5609" s="9"/>
      <c r="B5609" s="15"/>
      <c r="C5609" s="9">
        <f>IFERROR(__xludf.DUMMYFUNCTION("""COMPUTED_VALUE"""),44546.63126125)</f>
        <v>44546.63126</v>
      </c>
      <c r="D5609" s="15">
        <f>IFERROR(__xludf.DUMMYFUNCTION("""COMPUTED_VALUE"""),1.021)</f>
        <v>1.021</v>
      </c>
      <c r="E5609" s="16">
        <f>IFERROR(__xludf.DUMMYFUNCTION("""COMPUTED_VALUE"""),63.0)</f>
        <v>63</v>
      </c>
      <c r="F5609" s="19" t="str">
        <f>IFERROR(__xludf.DUMMYFUNCTION("""COMPUTED_VALUE"""),"BLACK")</f>
        <v>BLACK</v>
      </c>
      <c r="G5609" s="20" t="str">
        <f>IFERROR(__xludf.DUMMYFUNCTION("""COMPUTED_VALUE"""),"Uncle Sams Cider (11/12/2021) 02")</f>
        <v>Uncle Sams Cider (11/12/2021) 02</v>
      </c>
      <c r="H5609" s="19"/>
    </row>
    <row r="5610">
      <c r="A5610" s="9"/>
      <c r="B5610" s="15"/>
      <c r="C5610" s="9">
        <f>IFERROR(__xludf.DUMMYFUNCTION("""COMPUTED_VALUE"""),44546.6207918402)</f>
        <v>44546.62079</v>
      </c>
      <c r="D5610" s="15">
        <f>IFERROR(__xludf.DUMMYFUNCTION("""COMPUTED_VALUE"""),1.021)</f>
        <v>1.021</v>
      </c>
      <c r="E5610" s="16">
        <f>IFERROR(__xludf.DUMMYFUNCTION("""COMPUTED_VALUE"""),63.0)</f>
        <v>63</v>
      </c>
      <c r="F5610" s="19" t="str">
        <f>IFERROR(__xludf.DUMMYFUNCTION("""COMPUTED_VALUE"""),"BLACK")</f>
        <v>BLACK</v>
      </c>
      <c r="G5610" s="20" t="str">
        <f>IFERROR(__xludf.DUMMYFUNCTION("""COMPUTED_VALUE"""),"Uncle Sams Cider (11/12/2021) 02")</f>
        <v>Uncle Sams Cider (11/12/2021) 02</v>
      </c>
      <c r="H5610" s="19"/>
    </row>
    <row r="5611">
      <c r="A5611" s="9"/>
      <c r="B5611" s="15"/>
      <c r="C5611" s="9">
        <f>IFERROR(__xludf.DUMMYFUNCTION("""COMPUTED_VALUE"""),44546.6103701851)</f>
        <v>44546.61037</v>
      </c>
      <c r="D5611" s="15">
        <f>IFERROR(__xludf.DUMMYFUNCTION("""COMPUTED_VALUE"""),1.021)</f>
        <v>1.021</v>
      </c>
      <c r="E5611" s="16">
        <f>IFERROR(__xludf.DUMMYFUNCTION("""COMPUTED_VALUE"""),63.0)</f>
        <v>63</v>
      </c>
      <c r="F5611" s="19" t="str">
        <f>IFERROR(__xludf.DUMMYFUNCTION("""COMPUTED_VALUE"""),"BLACK")</f>
        <v>BLACK</v>
      </c>
      <c r="G5611" s="20" t="str">
        <f>IFERROR(__xludf.DUMMYFUNCTION("""COMPUTED_VALUE"""),"Uncle Sams Cider (11/12/2021) 02")</f>
        <v>Uncle Sams Cider (11/12/2021) 02</v>
      </c>
      <c r="H5611" s="19"/>
    </row>
    <row r="5612">
      <c r="A5612" s="9"/>
      <c r="B5612" s="15"/>
      <c r="C5612" s="9">
        <f>IFERROR(__xludf.DUMMYFUNCTION("""COMPUTED_VALUE"""),44546.5999487615)</f>
        <v>44546.59995</v>
      </c>
      <c r="D5612" s="15">
        <f>IFERROR(__xludf.DUMMYFUNCTION("""COMPUTED_VALUE"""),1.021)</f>
        <v>1.021</v>
      </c>
      <c r="E5612" s="16">
        <f>IFERROR(__xludf.DUMMYFUNCTION("""COMPUTED_VALUE"""),63.0)</f>
        <v>63</v>
      </c>
      <c r="F5612" s="19" t="str">
        <f>IFERROR(__xludf.DUMMYFUNCTION("""COMPUTED_VALUE"""),"BLACK")</f>
        <v>BLACK</v>
      </c>
      <c r="G5612" s="20" t="str">
        <f>IFERROR(__xludf.DUMMYFUNCTION("""COMPUTED_VALUE"""),"Uncle Sams Cider (11/12/2021) 02")</f>
        <v>Uncle Sams Cider (11/12/2021) 02</v>
      </c>
      <c r="H5612" s="19"/>
    </row>
    <row r="5613">
      <c r="A5613" s="9"/>
      <c r="B5613" s="15"/>
      <c r="C5613" s="9">
        <f>IFERROR(__xludf.DUMMYFUNCTION("""COMPUTED_VALUE"""),44546.5895259374)</f>
        <v>44546.58953</v>
      </c>
      <c r="D5613" s="15">
        <f>IFERROR(__xludf.DUMMYFUNCTION("""COMPUTED_VALUE"""),1.021)</f>
        <v>1.021</v>
      </c>
      <c r="E5613" s="16">
        <f>IFERROR(__xludf.DUMMYFUNCTION("""COMPUTED_VALUE"""),63.0)</f>
        <v>63</v>
      </c>
      <c r="F5613" s="19" t="str">
        <f>IFERROR(__xludf.DUMMYFUNCTION("""COMPUTED_VALUE"""),"BLACK")</f>
        <v>BLACK</v>
      </c>
      <c r="G5613" s="20" t="str">
        <f>IFERROR(__xludf.DUMMYFUNCTION("""COMPUTED_VALUE"""),"Uncle Sams Cider (11/12/2021) 02")</f>
        <v>Uncle Sams Cider (11/12/2021) 02</v>
      </c>
      <c r="H5613" s="19"/>
    </row>
    <row r="5614">
      <c r="A5614" s="9"/>
      <c r="B5614" s="15"/>
      <c r="C5614" s="9">
        <f>IFERROR(__xludf.DUMMYFUNCTION("""COMPUTED_VALUE"""),44546.579082662)</f>
        <v>44546.57908</v>
      </c>
      <c r="D5614" s="15">
        <f>IFERROR(__xludf.DUMMYFUNCTION("""COMPUTED_VALUE"""),1.022)</f>
        <v>1.022</v>
      </c>
      <c r="E5614" s="16">
        <f>IFERROR(__xludf.DUMMYFUNCTION("""COMPUTED_VALUE"""),63.0)</f>
        <v>63</v>
      </c>
      <c r="F5614" s="19" t="str">
        <f>IFERROR(__xludf.DUMMYFUNCTION("""COMPUTED_VALUE"""),"BLACK")</f>
        <v>BLACK</v>
      </c>
      <c r="G5614" s="20" t="str">
        <f>IFERROR(__xludf.DUMMYFUNCTION("""COMPUTED_VALUE"""),"Uncle Sams Cider (11/12/2021) 02")</f>
        <v>Uncle Sams Cider (11/12/2021) 02</v>
      </c>
      <c r="H5614" s="19"/>
    </row>
    <row r="5615">
      <c r="A5615" s="9"/>
      <c r="B5615" s="15"/>
      <c r="C5615" s="9">
        <f>IFERROR(__xludf.DUMMYFUNCTION("""COMPUTED_VALUE"""),44546.5686382407)</f>
        <v>44546.56864</v>
      </c>
      <c r="D5615" s="15">
        <f>IFERROR(__xludf.DUMMYFUNCTION("""COMPUTED_VALUE"""),1.021)</f>
        <v>1.021</v>
      </c>
      <c r="E5615" s="16">
        <f>IFERROR(__xludf.DUMMYFUNCTION("""COMPUTED_VALUE"""),63.0)</f>
        <v>63</v>
      </c>
      <c r="F5615" s="19" t="str">
        <f>IFERROR(__xludf.DUMMYFUNCTION("""COMPUTED_VALUE"""),"BLACK")</f>
        <v>BLACK</v>
      </c>
      <c r="G5615" s="20" t="str">
        <f>IFERROR(__xludf.DUMMYFUNCTION("""COMPUTED_VALUE"""),"Uncle Sams Cider (11/12/2021) 02")</f>
        <v>Uncle Sams Cider (11/12/2021) 02</v>
      </c>
      <c r="H5615" s="19"/>
    </row>
    <row r="5616">
      <c r="A5616" s="9"/>
      <c r="B5616" s="15"/>
      <c r="C5616" s="9">
        <f>IFERROR(__xludf.DUMMYFUNCTION("""COMPUTED_VALUE"""),44546.5581942476)</f>
        <v>44546.55819</v>
      </c>
      <c r="D5616" s="15">
        <f>IFERROR(__xludf.DUMMYFUNCTION("""COMPUTED_VALUE"""),1.022)</f>
        <v>1.022</v>
      </c>
      <c r="E5616" s="16">
        <f>IFERROR(__xludf.DUMMYFUNCTION("""COMPUTED_VALUE"""),63.0)</f>
        <v>63</v>
      </c>
      <c r="F5616" s="19" t="str">
        <f>IFERROR(__xludf.DUMMYFUNCTION("""COMPUTED_VALUE"""),"BLACK")</f>
        <v>BLACK</v>
      </c>
      <c r="G5616" s="20" t="str">
        <f>IFERROR(__xludf.DUMMYFUNCTION("""COMPUTED_VALUE"""),"Uncle Sams Cider (11/12/2021) 02")</f>
        <v>Uncle Sams Cider (11/12/2021) 02</v>
      </c>
      <c r="H5616" s="19"/>
    </row>
    <row r="5617">
      <c r="A5617" s="9"/>
      <c r="B5617" s="15"/>
      <c r="C5617" s="9">
        <f>IFERROR(__xludf.DUMMYFUNCTION("""COMPUTED_VALUE"""),44546.5477276504)</f>
        <v>44546.54773</v>
      </c>
      <c r="D5617" s="15">
        <f>IFERROR(__xludf.DUMMYFUNCTION("""COMPUTED_VALUE"""),1.021)</f>
        <v>1.021</v>
      </c>
      <c r="E5617" s="16">
        <f>IFERROR(__xludf.DUMMYFUNCTION("""COMPUTED_VALUE"""),63.0)</f>
        <v>63</v>
      </c>
      <c r="F5617" s="19" t="str">
        <f>IFERROR(__xludf.DUMMYFUNCTION("""COMPUTED_VALUE"""),"BLACK")</f>
        <v>BLACK</v>
      </c>
      <c r="G5617" s="20" t="str">
        <f>IFERROR(__xludf.DUMMYFUNCTION("""COMPUTED_VALUE"""),"Uncle Sams Cider (11/12/2021) 02")</f>
        <v>Uncle Sams Cider (11/12/2021) 02</v>
      </c>
      <c r="H5617" s="19"/>
    </row>
    <row r="5618">
      <c r="A5618" s="9"/>
      <c r="B5618" s="15"/>
      <c r="C5618" s="9">
        <f>IFERROR(__xludf.DUMMYFUNCTION("""COMPUTED_VALUE"""),44546.5372822106)</f>
        <v>44546.53728</v>
      </c>
      <c r="D5618" s="15">
        <f>IFERROR(__xludf.DUMMYFUNCTION("""COMPUTED_VALUE"""),1.021)</f>
        <v>1.021</v>
      </c>
      <c r="E5618" s="16">
        <f>IFERROR(__xludf.DUMMYFUNCTION("""COMPUTED_VALUE"""),63.0)</f>
        <v>63</v>
      </c>
      <c r="F5618" s="19" t="str">
        <f>IFERROR(__xludf.DUMMYFUNCTION("""COMPUTED_VALUE"""),"BLACK")</f>
        <v>BLACK</v>
      </c>
      <c r="G5618" s="20" t="str">
        <f>IFERROR(__xludf.DUMMYFUNCTION("""COMPUTED_VALUE"""),"Uncle Sams Cider (11/12/2021) 02")</f>
        <v>Uncle Sams Cider (11/12/2021) 02</v>
      </c>
      <c r="H5618" s="19"/>
    </row>
    <row r="5619">
      <c r="A5619" s="9"/>
      <c r="B5619" s="15"/>
      <c r="C5619" s="9">
        <f>IFERROR(__xludf.DUMMYFUNCTION("""COMPUTED_VALUE"""),44546.5268603819)</f>
        <v>44546.52686</v>
      </c>
      <c r="D5619" s="15">
        <f>IFERROR(__xludf.DUMMYFUNCTION("""COMPUTED_VALUE"""),1.021)</f>
        <v>1.021</v>
      </c>
      <c r="E5619" s="16">
        <f>IFERROR(__xludf.DUMMYFUNCTION("""COMPUTED_VALUE"""),63.0)</f>
        <v>63</v>
      </c>
      <c r="F5619" s="19" t="str">
        <f>IFERROR(__xludf.DUMMYFUNCTION("""COMPUTED_VALUE"""),"BLACK")</f>
        <v>BLACK</v>
      </c>
      <c r="G5619" s="20" t="str">
        <f>IFERROR(__xludf.DUMMYFUNCTION("""COMPUTED_VALUE"""),"Uncle Sams Cider (11/12/2021) 02")</f>
        <v>Uncle Sams Cider (11/12/2021) 02</v>
      </c>
      <c r="H5619" s="19"/>
    </row>
    <row r="5620">
      <c r="A5620" s="9"/>
      <c r="B5620" s="15"/>
      <c r="C5620" s="9">
        <f>IFERROR(__xludf.DUMMYFUNCTION("""COMPUTED_VALUE"""),44546.5164171759)</f>
        <v>44546.51642</v>
      </c>
      <c r="D5620" s="15">
        <f>IFERROR(__xludf.DUMMYFUNCTION("""COMPUTED_VALUE"""),1.021)</f>
        <v>1.021</v>
      </c>
      <c r="E5620" s="16">
        <f>IFERROR(__xludf.DUMMYFUNCTION("""COMPUTED_VALUE"""),63.0)</f>
        <v>63</v>
      </c>
      <c r="F5620" s="19" t="str">
        <f>IFERROR(__xludf.DUMMYFUNCTION("""COMPUTED_VALUE"""),"BLACK")</f>
        <v>BLACK</v>
      </c>
      <c r="G5620" s="20" t="str">
        <f>IFERROR(__xludf.DUMMYFUNCTION("""COMPUTED_VALUE"""),"Uncle Sams Cider (11/12/2021) 02")</f>
        <v>Uncle Sams Cider (11/12/2021) 02</v>
      </c>
      <c r="H5620" s="19"/>
    </row>
    <row r="5621">
      <c r="A5621" s="9"/>
      <c r="B5621" s="15"/>
      <c r="C5621" s="9">
        <f>IFERROR(__xludf.DUMMYFUNCTION("""COMPUTED_VALUE"""),44546.5059837384)</f>
        <v>44546.50598</v>
      </c>
      <c r="D5621" s="15">
        <f>IFERROR(__xludf.DUMMYFUNCTION("""COMPUTED_VALUE"""),1.021)</f>
        <v>1.021</v>
      </c>
      <c r="E5621" s="16">
        <f>IFERROR(__xludf.DUMMYFUNCTION("""COMPUTED_VALUE"""),63.0)</f>
        <v>63</v>
      </c>
      <c r="F5621" s="19" t="str">
        <f>IFERROR(__xludf.DUMMYFUNCTION("""COMPUTED_VALUE"""),"BLACK")</f>
        <v>BLACK</v>
      </c>
      <c r="G5621" s="20" t="str">
        <f>IFERROR(__xludf.DUMMYFUNCTION("""COMPUTED_VALUE"""),"Uncle Sams Cider (11/12/2021) 02")</f>
        <v>Uncle Sams Cider (11/12/2021) 02</v>
      </c>
      <c r="H5621" s="19"/>
    </row>
    <row r="5622">
      <c r="A5622" s="9"/>
      <c r="B5622" s="15"/>
      <c r="C5622" s="9">
        <f>IFERROR(__xludf.DUMMYFUNCTION("""COMPUTED_VALUE"""),44546.4955270023)</f>
        <v>44546.49553</v>
      </c>
      <c r="D5622" s="15">
        <f>IFERROR(__xludf.DUMMYFUNCTION("""COMPUTED_VALUE"""),1.021)</f>
        <v>1.021</v>
      </c>
      <c r="E5622" s="16">
        <f>IFERROR(__xludf.DUMMYFUNCTION("""COMPUTED_VALUE"""),63.0)</f>
        <v>63</v>
      </c>
      <c r="F5622" s="19" t="str">
        <f>IFERROR(__xludf.DUMMYFUNCTION("""COMPUTED_VALUE"""),"BLACK")</f>
        <v>BLACK</v>
      </c>
      <c r="G5622" s="20" t="str">
        <f>IFERROR(__xludf.DUMMYFUNCTION("""COMPUTED_VALUE"""),"Uncle Sams Cider (11/12/2021) 02")</f>
        <v>Uncle Sams Cider (11/12/2021) 02</v>
      </c>
      <c r="H5622" s="19"/>
    </row>
    <row r="5623">
      <c r="A5623" s="9"/>
      <c r="B5623" s="15"/>
      <c r="C5623" s="9">
        <f>IFERROR(__xludf.DUMMYFUNCTION("""COMPUTED_VALUE"""),44546.4851064004)</f>
        <v>44546.48511</v>
      </c>
      <c r="D5623" s="15">
        <f>IFERROR(__xludf.DUMMYFUNCTION("""COMPUTED_VALUE"""),1.021)</f>
        <v>1.021</v>
      </c>
      <c r="E5623" s="16">
        <f>IFERROR(__xludf.DUMMYFUNCTION("""COMPUTED_VALUE"""),63.0)</f>
        <v>63</v>
      </c>
      <c r="F5623" s="19" t="str">
        <f>IFERROR(__xludf.DUMMYFUNCTION("""COMPUTED_VALUE"""),"BLACK")</f>
        <v>BLACK</v>
      </c>
      <c r="G5623" s="20" t="str">
        <f>IFERROR(__xludf.DUMMYFUNCTION("""COMPUTED_VALUE"""),"Uncle Sams Cider (11/12/2021) 02")</f>
        <v>Uncle Sams Cider (11/12/2021) 02</v>
      </c>
      <c r="H5623" s="19"/>
    </row>
    <row r="5624">
      <c r="A5624" s="9"/>
      <c r="B5624" s="15"/>
      <c r="C5624" s="9">
        <f>IFERROR(__xludf.DUMMYFUNCTION("""COMPUTED_VALUE"""),44546.4746745833)</f>
        <v>44546.47467</v>
      </c>
      <c r="D5624" s="15">
        <f>IFERROR(__xludf.DUMMYFUNCTION("""COMPUTED_VALUE"""),1.022)</f>
        <v>1.022</v>
      </c>
      <c r="E5624" s="16">
        <f>IFERROR(__xludf.DUMMYFUNCTION("""COMPUTED_VALUE"""),63.0)</f>
        <v>63</v>
      </c>
      <c r="F5624" s="19" t="str">
        <f>IFERROR(__xludf.DUMMYFUNCTION("""COMPUTED_VALUE"""),"BLACK")</f>
        <v>BLACK</v>
      </c>
      <c r="G5624" s="20" t="str">
        <f>IFERROR(__xludf.DUMMYFUNCTION("""COMPUTED_VALUE"""),"Uncle Sams Cider (11/12/2021) 02")</f>
        <v>Uncle Sams Cider (11/12/2021) 02</v>
      </c>
      <c r="H5624" s="19"/>
    </row>
    <row r="5625">
      <c r="A5625" s="9"/>
      <c r="B5625" s="15"/>
      <c r="C5625" s="9">
        <f>IFERROR(__xludf.DUMMYFUNCTION("""COMPUTED_VALUE"""),44546.4642538425)</f>
        <v>44546.46425</v>
      </c>
      <c r="D5625" s="15">
        <f>IFERROR(__xludf.DUMMYFUNCTION("""COMPUTED_VALUE"""),1.022)</f>
        <v>1.022</v>
      </c>
      <c r="E5625" s="16">
        <f>IFERROR(__xludf.DUMMYFUNCTION("""COMPUTED_VALUE"""),63.0)</f>
        <v>63</v>
      </c>
      <c r="F5625" s="19" t="str">
        <f>IFERROR(__xludf.DUMMYFUNCTION("""COMPUTED_VALUE"""),"BLACK")</f>
        <v>BLACK</v>
      </c>
      <c r="G5625" s="20" t="str">
        <f>IFERROR(__xludf.DUMMYFUNCTION("""COMPUTED_VALUE"""),"Uncle Sams Cider (11/12/2021) 02")</f>
        <v>Uncle Sams Cider (11/12/2021) 02</v>
      </c>
      <c r="H5625" s="19"/>
    </row>
    <row r="5626">
      <c r="A5626" s="9"/>
      <c r="B5626" s="15"/>
      <c r="C5626" s="9">
        <f>IFERROR(__xludf.DUMMYFUNCTION("""COMPUTED_VALUE"""),44546.4538325694)</f>
        <v>44546.45383</v>
      </c>
      <c r="D5626" s="15">
        <f>IFERROR(__xludf.DUMMYFUNCTION("""COMPUTED_VALUE"""),1.021)</f>
        <v>1.021</v>
      </c>
      <c r="E5626" s="16">
        <f>IFERROR(__xludf.DUMMYFUNCTION("""COMPUTED_VALUE"""),63.0)</f>
        <v>63</v>
      </c>
      <c r="F5626" s="19" t="str">
        <f>IFERROR(__xludf.DUMMYFUNCTION("""COMPUTED_VALUE"""),"BLACK")</f>
        <v>BLACK</v>
      </c>
      <c r="G5626" s="20" t="str">
        <f>IFERROR(__xludf.DUMMYFUNCTION("""COMPUTED_VALUE"""),"Uncle Sams Cider (11/12/2021) 02")</f>
        <v>Uncle Sams Cider (11/12/2021) 02</v>
      </c>
      <c r="H5626" s="19"/>
    </row>
    <row r="5627">
      <c r="A5627" s="9"/>
      <c r="B5627" s="15"/>
      <c r="C5627" s="9">
        <f>IFERROR(__xludf.DUMMYFUNCTION("""COMPUTED_VALUE"""),44546.443400706)</f>
        <v>44546.4434</v>
      </c>
      <c r="D5627" s="15">
        <f>IFERROR(__xludf.DUMMYFUNCTION("""COMPUTED_VALUE"""),1.021)</f>
        <v>1.021</v>
      </c>
      <c r="E5627" s="16">
        <f>IFERROR(__xludf.DUMMYFUNCTION("""COMPUTED_VALUE"""),63.0)</f>
        <v>63</v>
      </c>
      <c r="F5627" s="19" t="str">
        <f>IFERROR(__xludf.DUMMYFUNCTION("""COMPUTED_VALUE"""),"BLACK")</f>
        <v>BLACK</v>
      </c>
      <c r="G5627" s="20" t="str">
        <f>IFERROR(__xludf.DUMMYFUNCTION("""COMPUTED_VALUE"""),"Uncle Sams Cider (11/12/2021) 02")</f>
        <v>Uncle Sams Cider (11/12/2021) 02</v>
      </c>
      <c r="H5627" s="19"/>
    </row>
    <row r="5628">
      <c r="A5628" s="9"/>
      <c r="B5628" s="15"/>
      <c r="C5628" s="9">
        <f>IFERROR(__xludf.DUMMYFUNCTION("""COMPUTED_VALUE"""),44546.4329788773)</f>
        <v>44546.43298</v>
      </c>
      <c r="D5628" s="15">
        <f>IFERROR(__xludf.DUMMYFUNCTION("""COMPUTED_VALUE"""),1.021)</f>
        <v>1.021</v>
      </c>
      <c r="E5628" s="16">
        <f>IFERROR(__xludf.DUMMYFUNCTION("""COMPUTED_VALUE"""),63.0)</f>
        <v>63</v>
      </c>
      <c r="F5628" s="19" t="str">
        <f>IFERROR(__xludf.DUMMYFUNCTION("""COMPUTED_VALUE"""),"BLACK")</f>
        <v>BLACK</v>
      </c>
      <c r="G5628" s="20" t="str">
        <f>IFERROR(__xludf.DUMMYFUNCTION("""COMPUTED_VALUE"""),"Uncle Sams Cider (11/12/2021) 02")</f>
        <v>Uncle Sams Cider (11/12/2021) 02</v>
      </c>
      <c r="H5628" s="19"/>
    </row>
    <row r="5629">
      <c r="A5629" s="9"/>
      <c r="B5629" s="15"/>
      <c r="C5629" s="9">
        <f>IFERROR(__xludf.DUMMYFUNCTION("""COMPUTED_VALUE"""),44546.4224992361)</f>
        <v>44546.4225</v>
      </c>
      <c r="D5629" s="15">
        <f>IFERROR(__xludf.DUMMYFUNCTION("""COMPUTED_VALUE"""),1.021)</f>
        <v>1.021</v>
      </c>
      <c r="E5629" s="16">
        <f>IFERROR(__xludf.DUMMYFUNCTION("""COMPUTED_VALUE"""),63.0)</f>
        <v>63</v>
      </c>
      <c r="F5629" s="19" t="str">
        <f>IFERROR(__xludf.DUMMYFUNCTION("""COMPUTED_VALUE"""),"BLACK")</f>
        <v>BLACK</v>
      </c>
      <c r="G5629" s="20" t="str">
        <f>IFERROR(__xludf.DUMMYFUNCTION("""COMPUTED_VALUE"""),"Uncle Sams Cider (11/12/2021) 02")</f>
        <v>Uncle Sams Cider (11/12/2021) 02</v>
      </c>
      <c r="H5629" s="19"/>
    </row>
    <row r="5630">
      <c r="A5630" s="9"/>
      <c r="B5630" s="15"/>
      <c r="C5630" s="9">
        <f>IFERROR(__xludf.DUMMYFUNCTION("""COMPUTED_VALUE"""),44546.412056574)</f>
        <v>44546.41206</v>
      </c>
      <c r="D5630" s="15">
        <f>IFERROR(__xludf.DUMMYFUNCTION("""COMPUTED_VALUE"""),1.021)</f>
        <v>1.021</v>
      </c>
      <c r="E5630" s="16">
        <f>IFERROR(__xludf.DUMMYFUNCTION("""COMPUTED_VALUE"""),63.0)</f>
        <v>63</v>
      </c>
      <c r="F5630" s="19" t="str">
        <f>IFERROR(__xludf.DUMMYFUNCTION("""COMPUTED_VALUE"""),"BLACK")</f>
        <v>BLACK</v>
      </c>
      <c r="G5630" s="20" t="str">
        <f>IFERROR(__xludf.DUMMYFUNCTION("""COMPUTED_VALUE"""),"Uncle Sams Cider (11/12/2021) 02")</f>
        <v>Uncle Sams Cider (11/12/2021) 02</v>
      </c>
      <c r="H5630" s="19"/>
    </row>
    <row r="5631">
      <c r="A5631" s="9"/>
      <c r="B5631" s="15"/>
      <c r="C5631" s="9">
        <f>IFERROR(__xludf.DUMMYFUNCTION("""COMPUTED_VALUE"""),44546.4016339467)</f>
        <v>44546.40163</v>
      </c>
      <c r="D5631" s="15">
        <f>IFERROR(__xludf.DUMMYFUNCTION("""COMPUTED_VALUE"""),1.021)</f>
        <v>1.021</v>
      </c>
      <c r="E5631" s="16">
        <f>IFERROR(__xludf.DUMMYFUNCTION("""COMPUTED_VALUE"""),63.0)</f>
        <v>63</v>
      </c>
      <c r="F5631" s="19" t="str">
        <f>IFERROR(__xludf.DUMMYFUNCTION("""COMPUTED_VALUE"""),"BLACK")</f>
        <v>BLACK</v>
      </c>
      <c r="G5631" s="20" t="str">
        <f>IFERROR(__xludf.DUMMYFUNCTION("""COMPUTED_VALUE"""),"Uncle Sams Cider (11/12/2021) 02")</f>
        <v>Uncle Sams Cider (11/12/2021) 02</v>
      </c>
      <c r="H5631" s="19"/>
    </row>
    <row r="5632">
      <c r="A5632" s="9"/>
      <c r="B5632" s="15"/>
      <c r="C5632" s="9">
        <f>IFERROR(__xludf.DUMMYFUNCTION("""COMPUTED_VALUE"""),44546.3912017592)</f>
        <v>44546.3912</v>
      </c>
      <c r="D5632" s="15">
        <f>IFERROR(__xludf.DUMMYFUNCTION("""COMPUTED_VALUE"""),1.021)</f>
        <v>1.021</v>
      </c>
      <c r="E5632" s="16">
        <f>IFERROR(__xludf.DUMMYFUNCTION("""COMPUTED_VALUE"""),63.0)</f>
        <v>63</v>
      </c>
      <c r="F5632" s="19" t="str">
        <f>IFERROR(__xludf.DUMMYFUNCTION("""COMPUTED_VALUE"""),"BLACK")</f>
        <v>BLACK</v>
      </c>
      <c r="G5632" s="20" t="str">
        <f>IFERROR(__xludf.DUMMYFUNCTION("""COMPUTED_VALUE"""),"Uncle Sams Cider (11/12/2021) 02")</f>
        <v>Uncle Sams Cider (11/12/2021) 02</v>
      </c>
      <c r="H5632" s="19"/>
    </row>
    <row r="5633">
      <c r="A5633" s="9"/>
      <c r="B5633" s="15"/>
      <c r="C5633" s="9">
        <f>IFERROR(__xludf.DUMMYFUNCTION("""COMPUTED_VALUE"""),44546.3807563657)</f>
        <v>44546.38076</v>
      </c>
      <c r="D5633" s="15">
        <f>IFERROR(__xludf.DUMMYFUNCTION("""COMPUTED_VALUE"""),1.021)</f>
        <v>1.021</v>
      </c>
      <c r="E5633" s="16">
        <f>IFERROR(__xludf.DUMMYFUNCTION("""COMPUTED_VALUE"""),63.0)</f>
        <v>63</v>
      </c>
      <c r="F5633" s="19" t="str">
        <f>IFERROR(__xludf.DUMMYFUNCTION("""COMPUTED_VALUE"""),"BLACK")</f>
        <v>BLACK</v>
      </c>
      <c r="G5633" s="20" t="str">
        <f>IFERROR(__xludf.DUMMYFUNCTION("""COMPUTED_VALUE"""),"Uncle Sams Cider (11/12/2021) 02")</f>
        <v>Uncle Sams Cider (11/12/2021) 02</v>
      </c>
      <c r="H5633" s="19"/>
    </row>
    <row r="5634">
      <c r="A5634" s="9"/>
      <c r="B5634" s="15"/>
      <c r="C5634" s="9">
        <f>IFERROR(__xludf.DUMMYFUNCTION("""COMPUTED_VALUE"""),44546.3703361805)</f>
        <v>44546.37034</v>
      </c>
      <c r="D5634" s="15">
        <f>IFERROR(__xludf.DUMMYFUNCTION("""COMPUTED_VALUE"""),1.021)</f>
        <v>1.021</v>
      </c>
      <c r="E5634" s="16">
        <f>IFERROR(__xludf.DUMMYFUNCTION("""COMPUTED_VALUE"""),63.0)</f>
        <v>63</v>
      </c>
      <c r="F5634" s="19" t="str">
        <f>IFERROR(__xludf.DUMMYFUNCTION("""COMPUTED_VALUE"""),"BLACK")</f>
        <v>BLACK</v>
      </c>
      <c r="G5634" s="20" t="str">
        <f>IFERROR(__xludf.DUMMYFUNCTION("""COMPUTED_VALUE"""),"Uncle Sams Cider (11/12/2021) 02")</f>
        <v>Uncle Sams Cider (11/12/2021) 02</v>
      </c>
      <c r="H5634" s="19"/>
    </row>
    <row r="5635">
      <c r="A5635" s="9"/>
      <c r="B5635" s="15"/>
      <c r="C5635" s="9">
        <f>IFERROR(__xludf.DUMMYFUNCTION("""COMPUTED_VALUE"""),44546.3599023032)</f>
        <v>44546.3599</v>
      </c>
      <c r="D5635" s="15">
        <f>IFERROR(__xludf.DUMMYFUNCTION("""COMPUTED_VALUE"""),1.022)</f>
        <v>1.022</v>
      </c>
      <c r="E5635" s="16">
        <f>IFERROR(__xludf.DUMMYFUNCTION("""COMPUTED_VALUE"""),63.0)</f>
        <v>63</v>
      </c>
      <c r="F5635" s="19" t="str">
        <f>IFERROR(__xludf.DUMMYFUNCTION("""COMPUTED_VALUE"""),"BLACK")</f>
        <v>BLACK</v>
      </c>
      <c r="G5635" s="20" t="str">
        <f>IFERROR(__xludf.DUMMYFUNCTION("""COMPUTED_VALUE"""),"Uncle Sams Cider (11/12/2021) 02")</f>
        <v>Uncle Sams Cider (11/12/2021) 02</v>
      </c>
      <c r="H5635" s="19"/>
    </row>
    <row r="5636">
      <c r="A5636" s="9"/>
      <c r="B5636" s="15"/>
      <c r="C5636" s="9">
        <f>IFERROR(__xludf.DUMMYFUNCTION("""COMPUTED_VALUE"""),44546.349467743)</f>
        <v>44546.34947</v>
      </c>
      <c r="D5636" s="15">
        <f>IFERROR(__xludf.DUMMYFUNCTION("""COMPUTED_VALUE"""),1.021)</f>
        <v>1.021</v>
      </c>
      <c r="E5636" s="16">
        <f>IFERROR(__xludf.DUMMYFUNCTION("""COMPUTED_VALUE"""),63.0)</f>
        <v>63</v>
      </c>
      <c r="F5636" s="19" t="str">
        <f>IFERROR(__xludf.DUMMYFUNCTION("""COMPUTED_VALUE"""),"BLACK")</f>
        <v>BLACK</v>
      </c>
      <c r="G5636" s="20" t="str">
        <f>IFERROR(__xludf.DUMMYFUNCTION("""COMPUTED_VALUE"""),"Uncle Sams Cider (11/12/2021) 02")</f>
        <v>Uncle Sams Cider (11/12/2021) 02</v>
      </c>
      <c r="H5636" s="19"/>
    </row>
    <row r="5637">
      <c r="A5637" s="9"/>
      <c r="B5637" s="15"/>
      <c r="C5637" s="9">
        <f>IFERROR(__xludf.DUMMYFUNCTION("""COMPUTED_VALUE"""),44546.3390451504)</f>
        <v>44546.33905</v>
      </c>
      <c r="D5637" s="15">
        <f>IFERROR(__xludf.DUMMYFUNCTION("""COMPUTED_VALUE"""),1.021)</f>
        <v>1.021</v>
      </c>
      <c r="E5637" s="16">
        <f>IFERROR(__xludf.DUMMYFUNCTION("""COMPUTED_VALUE"""),63.0)</f>
        <v>63</v>
      </c>
      <c r="F5637" s="19" t="str">
        <f>IFERROR(__xludf.DUMMYFUNCTION("""COMPUTED_VALUE"""),"BLACK")</f>
        <v>BLACK</v>
      </c>
      <c r="G5637" s="20" t="str">
        <f>IFERROR(__xludf.DUMMYFUNCTION("""COMPUTED_VALUE"""),"Uncle Sams Cider (11/12/2021) 02")</f>
        <v>Uncle Sams Cider (11/12/2021) 02</v>
      </c>
      <c r="H5637" s="19"/>
    </row>
    <row r="5638">
      <c r="A5638" s="9"/>
      <c r="B5638" s="15"/>
      <c r="C5638" s="9">
        <f>IFERROR(__xludf.DUMMYFUNCTION("""COMPUTED_VALUE"""),44546.328613368)</f>
        <v>44546.32861</v>
      </c>
      <c r="D5638" s="15">
        <f>IFERROR(__xludf.DUMMYFUNCTION("""COMPUTED_VALUE"""),1.021)</f>
        <v>1.021</v>
      </c>
      <c r="E5638" s="16">
        <f>IFERROR(__xludf.DUMMYFUNCTION("""COMPUTED_VALUE"""),63.0)</f>
        <v>63</v>
      </c>
      <c r="F5638" s="19" t="str">
        <f>IFERROR(__xludf.DUMMYFUNCTION("""COMPUTED_VALUE"""),"BLACK")</f>
        <v>BLACK</v>
      </c>
      <c r="G5638" s="20" t="str">
        <f>IFERROR(__xludf.DUMMYFUNCTION("""COMPUTED_VALUE"""),"Uncle Sams Cider (11/12/2021) 02")</f>
        <v>Uncle Sams Cider (11/12/2021) 02</v>
      </c>
      <c r="H5638" s="19"/>
    </row>
    <row r="5639">
      <c r="A5639" s="9"/>
      <c r="B5639" s="15"/>
      <c r="C5639" s="9">
        <f>IFERROR(__xludf.DUMMYFUNCTION("""COMPUTED_VALUE"""),44546.3181915856)</f>
        <v>44546.31819</v>
      </c>
      <c r="D5639" s="15">
        <f>IFERROR(__xludf.DUMMYFUNCTION("""COMPUTED_VALUE"""),1.022)</f>
        <v>1.022</v>
      </c>
      <c r="E5639" s="16">
        <f>IFERROR(__xludf.DUMMYFUNCTION("""COMPUTED_VALUE"""),63.0)</f>
        <v>63</v>
      </c>
      <c r="F5639" s="19" t="str">
        <f>IFERROR(__xludf.DUMMYFUNCTION("""COMPUTED_VALUE"""),"BLACK")</f>
        <v>BLACK</v>
      </c>
      <c r="G5639" s="20" t="str">
        <f>IFERROR(__xludf.DUMMYFUNCTION("""COMPUTED_VALUE"""),"Uncle Sams Cider (11/12/2021) 02")</f>
        <v>Uncle Sams Cider (11/12/2021) 02</v>
      </c>
      <c r="H5639" s="19"/>
    </row>
    <row r="5640">
      <c r="A5640" s="9"/>
      <c r="B5640" s="15"/>
      <c r="C5640" s="9">
        <f>IFERROR(__xludf.DUMMYFUNCTION("""COMPUTED_VALUE"""),44546.307770868)</f>
        <v>44546.30777</v>
      </c>
      <c r="D5640" s="15">
        <f>IFERROR(__xludf.DUMMYFUNCTION("""COMPUTED_VALUE"""),1.021)</f>
        <v>1.021</v>
      </c>
      <c r="E5640" s="16">
        <f>IFERROR(__xludf.DUMMYFUNCTION("""COMPUTED_VALUE"""),63.0)</f>
        <v>63</v>
      </c>
      <c r="F5640" s="19" t="str">
        <f>IFERROR(__xludf.DUMMYFUNCTION("""COMPUTED_VALUE"""),"BLACK")</f>
        <v>BLACK</v>
      </c>
      <c r="G5640" s="20" t="str">
        <f>IFERROR(__xludf.DUMMYFUNCTION("""COMPUTED_VALUE"""),"Uncle Sams Cider (11/12/2021) 02")</f>
        <v>Uncle Sams Cider (11/12/2021) 02</v>
      </c>
      <c r="H5640" s="19"/>
    </row>
    <row r="5641">
      <c r="A5641" s="9"/>
      <c r="B5641" s="15"/>
      <c r="C5641" s="9">
        <f>IFERROR(__xludf.DUMMYFUNCTION("""COMPUTED_VALUE"""),44546.2973489583)</f>
        <v>44546.29735</v>
      </c>
      <c r="D5641" s="15">
        <f>IFERROR(__xludf.DUMMYFUNCTION("""COMPUTED_VALUE"""),1.022)</f>
        <v>1.022</v>
      </c>
      <c r="E5641" s="16">
        <f>IFERROR(__xludf.DUMMYFUNCTION("""COMPUTED_VALUE"""),63.0)</f>
        <v>63</v>
      </c>
      <c r="F5641" s="19" t="str">
        <f>IFERROR(__xludf.DUMMYFUNCTION("""COMPUTED_VALUE"""),"BLACK")</f>
        <v>BLACK</v>
      </c>
      <c r="G5641" s="20" t="str">
        <f>IFERROR(__xludf.DUMMYFUNCTION("""COMPUTED_VALUE"""),"Uncle Sams Cider (11/12/2021) 02")</f>
        <v>Uncle Sams Cider (11/12/2021) 02</v>
      </c>
      <c r="H5641" s="19"/>
    </row>
    <row r="5642">
      <c r="A5642" s="9"/>
      <c r="B5642" s="15"/>
      <c r="C5642" s="9">
        <f>IFERROR(__xludf.DUMMYFUNCTION("""COMPUTED_VALUE"""),44546.2869275231)</f>
        <v>44546.28693</v>
      </c>
      <c r="D5642" s="15">
        <f>IFERROR(__xludf.DUMMYFUNCTION("""COMPUTED_VALUE"""),1.022)</f>
        <v>1.022</v>
      </c>
      <c r="E5642" s="16">
        <f>IFERROR(__xludf.DUMMYFUNCTION("""COMPUTED_VALUE"""),63.0)</f>
        <v>63</v>
      </c>
      <c r="F5642" s="19" t="str">
        <f>IFERROR(__xludf.DUMMYFUNCTION("""COMPUTED_VALUE"""),"BLACK")</f>
        <v>BLACK</v>
      </c>
      <c r="G5642" s="20" t="str">
        <f>IFERROR(__xludf.DUMMYFUNCTION("""COMPUTED_VALUE"""),"Uncle Sams Cider (11/12/2021) 02")</f>
        <v>Uncle Sams Cider (11/12/2021) 02</v>
      </c>
      <c r="H5642" s="19"/>
    </row>
    <row r="5643">
      <c r="A5643" s="9"/>
      <c r="B5643" s="15"/>
      <c r="C5643" s="9">
        <f>IFERROR(__xludf.DUMMYFUNCTION("""COMPUTED_VALUE"""),44546.2765056134)</f>
        <v>44546.27651</v>
      </c>
      <c r="D5643" s="15">
        <f>IFERROR(__xludf.DUMMYFUNCTION("""COMPUTED_VALUE"""),1.021)</f>
        <v>1.021</v>
      </c>
      <c r="E5643" s="16">
        <f>IFERROR(__xludf.DUMMYFUNCTION("""COMPUTED_VALUE"""),63.0)</f>
        <v>63</v>
      </c>
      <c r="F5643" s="19" t="str">
        <f>IFERROR(__xludf.DUMMYFUNCTION("""COMPUTED_VALUE"""),"BLACK")</f>
        <v>BLACK</v>
      </c>
      <c r="G5643" s="20" t="str">
        <f>IFERROR(__xludf.DUMMYFUNCTION("""COMPUTED_VALUE"""),"Uncle Sams Cider (11/12/2021) 02")</f>
        <v>Uncle Sams Cider (11/12/2021) 02</v>
      </c>
      <c r="H5643" s="19"/>
    </row>
    <row r="5644">
      <c r="A5644" s="9"/>
      <c r="B5644" s="15"/>
      <c r="C5644" s="9">
        <f>IFERROR(__xludf.DUMMYFUNCTION("""COMPUTED_VALUE"""),44546.2660848379)</f>
        <v>44546.26608</v>
      </c>
      <c r="D5644" s="15">
        <f>IFERROR(__xludf.DUMMYFUNCTION("""COMPUTED_VALUE"""),1.021)</f>
        <v>1.021</v>
      </c>
      <c r="E5644" s="16">
        <f>IFERROR(__xludf.DUMMYFUNCTION("""COMPUTED_VALUE"""),63.0)</f>
        <v>63</v>
      </c>
      <c r="F5644" s="19" t="str">
        <f>IFERROR(__xludf.DUMMYFUNCTION("""COMPUTED_VALUE"""),"BLACK")</f>
        <v>BLACK</v>
      </c>
      <c r="G5644" s="20" t="str">
        <f>IFERROR(__xludf.DUMMYFUNCTION("""COMPUTED_VALUE"""),"Uncle Sams Cider (11/12/2021) 02")</f>
        <v>Uncle Sams Cider (11/12/2021) 02</v>
      </c>
      <c r="H5644" s="19"/>
    </row>
    <row r="5645">
      <c r="A5645" s="9"/>
      <c r="B5645" s="15"/>
      <c r="C5645" s="9">
        <f>IFERROR(__xludf.DUMMYFUNCTION("""COMPUTED_VALUE"""),44546.2556533912)</f>
        <v>44546.25565</v>
      </c>
      <c r="D5645" s="15">
        <f>IFERROR(__xludf.DUMMYFUNCTION("""COMPUTED_VALUE"""),1.021)</f>
        <v>1.021</v>
      </c>
      <c r="E5645" s="16">
        <f>IFERROR(__xludf.DUMMYFUNCTION("""COMPUTED_VALUE"""),63.0)</f>
        <v>63</v>
      </c>
      <c r="F5645" s="19" t="str">
        <f>IFERROR(__xludf.DUMMYFUNCTION("""COMPUTED_VALUE"""),"BLACK")</f>
        <v>BLACK</v>
      </c>
      <c r="G5645" s="20" t="str">
        <f>IFERROR(__xludf.DUMMYFUNCTION("""COMPUTED_VALUE"""),"Uncle Sams Cider (11/12/2021) 02")</f>
        <v>Uncle Sams Cider (11/12/2021) 02</v>
      </c>
      <c r="H5645" s="19"/>
    </row>
    <row r="5646">
      <c r="A5646" s="9"/>
      <c r="B5646" s="15"/>
      <c r="C5646" s="9">
        <f>IFERROR(__xludf.DUMMYFUNCTION("""COMPUTED_VALUE"""),44546.2452219097)</f>
        <v>44546.24522</v>
      </c>
      <c r="D5646" s="15">
        <f>IFERROR(__xludf.DUMMYFUNCTION("""COMPUTED_VALUE"""),1.022)</f>
        <v>1.022</v>
      </c>
      <c r="E5646" s="16">
        <f>IFERROR(__xludf.DUMMYFUNCTION("""COMPUTED_VALUE"""),63.0)</f>
        <v>63</v>
      </c>
      <c r="F5646" s="19" t="str">
        <f>IFERROR(__xludf.DUMMYFUNCTION("""COMPUTED_VALUE"""),"BLACK")</f>
        <v>BLACK</v>
      </c>
      <c r="G5646" s="20" t="str">
        <f>IFERROR(__xludf.DUMMYFUNCTION("""COMPUTED_VALUE"""),"Uncle Sams Cider (11/12/2021) 02")</f>
        <v>Uncle Sams Cider (11/12/2021) 02</v>
      </c>
      <c r="H5646" s="19"/>
    </row>
    <row r="5647">
      <c r="A5647" s="9"/>
      <c r="B5647" s="15"/>
      <c r="C5647" s="9">
        <f>IFERROR(__xludf.DUMMYFUNCTION("""COMPUTED_VALUE"""),44546.2347885069)</f>
        <v>44546.23479</v>
      </c>
      <c r="D5647" s="15">
        <f>IFERROR(__xludf.DUMMYFUNCTION("""COMPUTED_VALUE"""),1.022)</f>
        <v>1.022</v>
      </c>
      <c r="E5647" s="16">
        <f>IFERROR(__xludf.DUMMYFUNCTION("""COMPUTED_VALUE"""),63.0)</f>
        <v>63</v>
      </c>
      <c r="F5647" s="19" t="str">
        <f>IFERROR(__xludf.DUMMYFUNCTION("""COMPUTED_VALUE"""),"BLACK")</f>
        <v>BLACK</v>
      </c>
      <c r="G5647" s="20" t="str">
        <f>IFERROR(__xludf.DUMMYFUNCTION("""COMPUTED_VALUE"""),"Uncle Sams Cider (11/12/2021) 02")</f>
        <v>Uncle Sams Cider (11/12/2021) 02</v>
      </c>
      <c r="H5647" s="19"/>
    </row>
    <row r="5648">
      <c r="A5648" s="9"/>
      <c r="B5648" s="15"/>
      <c r="C5648" s="9">
        <f>IFERROR(__xludf.DUMMYFUNCTION("""COMPUTED_VALUE"""),44546.2243680208)</f>
        <v>44546.22437</v>
      </c>
      <c r="D5648" s="15">
        <f>IFERROR(__xludf.DUMMYFUNCTION("""COMPUTED_VALUE"""),1.022)</f>
        <v>1.022</v>
      </c>
      <c r="E5648" s="16">
        <f>IFERROR(__xludf.DUMMYFUNCTION("""COMPUTED_VALUE"""),63.0)</f>
        <v>63</v>
      </c>
      <c r="F5648" s="19" t="str">
        <f>IFERROR(__xludf.DUMMYFUNCTION("""COMPUTED_VALUE"""),"BLACK")</f>
        <v>BLACK</v>
      </c>
      <c r="G5648" s="20" t="str">
        <f>IFERROR(__xludf.DUMMYFUNCTION("""COMPUTED_VALUE"""),"Uncle Sams Cider (11/12/2021) 02")</f>
        <v>Uncle Sams Cider (11/12/2021) 02</v>
      </c>
      <c r="H5648" s="19"/>
    </row>
    <row r="5649">
      <c r="A5649" s="9"/>
      <c r="B5649" s="15"/>
      <c r="C5649" s="9">
        <f>IFERROR(__xludf.DUMMYFUNCTION("""COMPUTED_VALUE"""),44546.2139468518)</f>
        <v>44546.21395</v>
      </c>
      <c r="D5649" s="15">
        <f>IFERROR(__xludf.DUMMYFUNCTION("""COMPUTED_VALUE"""),1.022)</f>
        <v>1.022</v>
      </c>
      <c r="E5649" s="16">
        <f>IFERROR(__xludf.DUMMYFUNCTION("""COMPUTED_VALUE"""),63.0)</f>
        <v>63</v>
      </c>
      <c r="F5649" s="19" t="str">
        <f>IFERROR(__xludf.DUMMYFUNCTION("""COMPUTED_VALUE"""),"BLACK")</f>
        <v>BLACK</v>
      </c>
      <c r="G5649" s="20" t="str">
        <f>IFERROR(__xludf.DUMMYFUNCTION("""COMPUTED_VALUE"""),"Uncle Sams Cider (11/12/2021) 02")</f>
        <v>Uncle Sams Cider (11/12/2021) 02</v>
      </c>
      <c r="H5649" s="19"/>
    </row>
    <row r="5650">
      <c r="A5650" s="9"/>
      <c r="B5650" s="15"/>
      <c r="C5650" s="9">
        <f>IFERROR(__xludf.DUMMYFUNCTION("""COMPUTED_VALUE"""),44546.2035253125)</f>
        <v>44546.20353</v>
      </c>
      <c r="D5650" s="15">
        <f>IFERROR(__xludf.DUMMYFUNCTION("""COMPUTED_VALUE"""),1.022)</f>
        <v>1.022</v>
      </c>
      <c r="E5650" s="16">
        <f>IFERROR(__xludf.DUMMYFUNCTION("""COMPUTED_VALUE"""),63.0)</f>
        <v>63</v>
      </c>
      <c r="F5650" s="19" t="str">
        <f>IFERROR(__xludf.DUMMYFUNCTION("""COMPUTED_VALUE"""),"BLACK")</f>
        <v>BLACK</v>
      </c>
      <c r="G5650" s="20" t="str">
        <f>IFERROR(__xludf.DUMMYFUNCTION("""COMPUTED_VALUE"""),"Uncle Sams Cider (11/12/2021) 02")</f>
        <v>Uncle Sams Cider (11/12/2021) 02</v>
      </c>
      <c r="H5650" s="19"/>
    </row>
    <row r="5651">
      <c r="A5651" s="9"/>
      <c r="B5651" s="15"/>
      <c r="C5651" s="9">
        <f>IFERROR(__xludf.DUMMYFUNCTION("""COMPUTED_VALUE"""),44546.1930807754)</f>
        <v>44546.19308</v>
      </c>
      <c r="D5651" s="15">
        <f>IFERROR(__xludf.DUMMYFUNCTION("""COMPUTED_VALUE"""),1.022)</f>
        <v>1.022</v>
      </c>
      <c r="E5651" s="16">
        <f>IFERROR(__xludf.DUMMYFUNCTION("""COMPUTED_VALUE"""),63.0)</f>
        <v>63</v>
      </c>
      <c r="F5651" s="19" t="str">
        <f>IFERROR(__xludf.DUMMYFUNCTION("""COMPUTED_VALUE"""),"BLACK")</f>
        <v>BLACK</v>
      </c>
      <c r="G5651" s="20" t="str">
        <f>IFERROR(__xludf.DUMMYFUNCTION("""COMPUTED_VALUE"""),"Uncle Sams Cider (11/12/2021) 02")</f>
        <v>Uncle Sams Cider (11/12/2021) 02</v>
      </c>
      <c r="H5651" s="19"/>
    </row>
    <row r="5652">
      <c r="A5652" s="9"/>
      <c r="B5652" s="15"/>
      <c r="C5652" s="9">
        <f>IFERROR(__xludf.DUMMYFUNCTION("""COMPUTED_VALUE"""),44546.1826584027)</f>
        <v>44546.18266</v>
      </c>
      <c r="D5652" s="15">
        <f>IFERROR(__xludf.DUMMYFUNCTION("""COMPUTED_VALUE"""),1.022)</f>
        <v>1.022</v>
      </c>
      <c r="E5652" s="16">
        <f>IFERROR(__xludf.DUMMYFUNCTION("""COMPUTED_VALUE"""),63.0)</f>
        <v>63</v>
      </c>
      <c r="F5652" s="19" t="str">
        <f>IFERROR(__xludf.DUMMYFUNCTION("""COMPUTED_VALUE"""),"BLACK")</f>
        <v>BLACK</v>
      </c>
      <c r="G5652" s="20" t="str">
        <f>IFERROR(__xludf.DUMMYFUNCTION("""COMPUTED_VALUE"""),"Uncle Sams Cider (11/12/2021) 02")</f>
        <v>Uncle Sams Cider (11/12/2021) 02</v>
      </c>
      <c r="H5652" s="19"/>
    </row>
    <row r="5653">
      <c r="A5653" s="9"/>
      <c r="B5653" s="15"/>
      <c r="C5653" s="9">
        <f>IFERROR(__xludf.DUMMYFUNCTION("""COMPUTED_VALUE"""),44546.1722366898)</f>
        <v>44546.17224</v>
      </c>
      <c r="D5653" s="15">
        <f>IFERROR(__xludf.DUMMYFUNCTION("""COMPUTED_VALUE"""),1.022)</f>
        <v>1.022</v>
      </c>
      <c r="E5653" s="16">
        <f>IFERROR(__xludf.DUMMYFUNCTION("""COMPUTED_VALUE"""),63.0)</f>
        <v>63</v>
      </c>
      <c r="F5653" s="19" t="str">
        <f>IFERROR(__xludf.DUMMYFUNCTION("""COMPUTED_VALUE"""),"BLACK")</f>
        <v>BLACK</v>
      </c>
      <c r="G5653" s="20" t="str">
        <f>IFERROR(__xludf.DUMMYFUNCTION("""COMPUTED_VALUE"""),"Uncle Sams Cider (11/12/2021) 02")</f>
        <v>Uncle Sams Cider (11/12/2021) 02</v>
      </c>
      <c r="H5653" s="19"/>
    </row>
    <row r="5654">
      <c r="A5654" s="9"/>
      <c r="B5654" s="15"/>
      <c r="C5654" s="9">
        <f>IFERROR(__xludf.DUMMYFUNCTION("""COMPUTED_VALUE"""),44546.1618168402)</f>
        <v>44546.16182</v>
      </c>
      <c r="D5654" s="15">
        <f>IFERROR(__xludf.DUMMYFUNCTION("""COMPUTED_VALUE"""),1.022)</f>
        <v>1.022</v>
      </c>
      <c r="E5654" s="16">
        <f>IFERROR(__xludf.DUMMYFUNCTION("""COMPUTED_VALUE"""),63.0)</f>
        <v>63</v>
      </c>
      <c r="F5654" s="19" t="str">
        <f>IFERROR(__xludf.DUMMYFUNCTION("""COMPUTED_VALUE"""),"BLACK")</f>
        <v>BLACK</v>
      </c>
      <c r="G5654" s="20" t="str">
        <f>IFERROR(__xludf.DUMMYFUNCTION("""COMPUTED_VALUE"""),"Uncle Sams Cider (11/12/2021) 02")</f>
        <v>Uncle Sams Cider (11/12/2021) 02</v>
      </c>
      <c r="H5654" s="19"/>
    </row>
    <row r="5655">
      <c r="A5655" s="9"/>
      <c r="B5655" s="15"/>
      <c r="C5655" s="9">
        <f>IFERROR(__xludf.DUMMYFUNCTION("""COMPUTED_VALUE"""),44546.1513847106)</f>
        <v>44546.15138</v>
      </c>
      <c r="D5655" s="15">
        <f>IFERROR(__xludf.DUMMYFUNCTION("""COMPUTED_VALUE"""),1.022)</f>
        <v>1.022</v>
      </c>
      <c r="E5655" s="16">
        <f>IFERROR(__xludf.DUMMYFUNCTION("""COMPUTED_VALUE"""),63.0)</f>
        <v>63</v>
      </c>
      <c r="F5655" s="19" t="str">
        <f>IFERROR(__xludf.DUMMYFUNCTION("""COMPUTED_VALUE"""),"BLACK")</f>
        <v>BLACK</v>
      </c>
      <c r="G5655" s="20" t="str">
        <f>IFERROR(__xludf.DUMMYFUNCTION("""COMPUTED_VALUE"""),"Uncle Sams Cider (11/12/2021) 02")</f>
        <v>Uncle Sams Cider (11/12/2021) 02</v>
      </c>
      <c r="H5655" s="19"/>
    </row>
    <row r="5656">
      <c r="A5656" s="9"/>
      <c r="B5656" s="15"/>
      <c r="C5656" s="9">
        <f>IFERROR(__xludf.DUMMYFUNCTION("""COMPUTED_VALUE"""),44546.1409631018)</f>
        <v>44546.14096</v>
      </c>
      <c r="D5656" s="15">
        <f>IFERROR(__xludf.DUMMYFUNCTION("""COMPUTED_VALUE"""),1.022)</f>
        <v>1.022</v>
      </c>
      <c r="E5656" s="16">
        <f>IFERROR(__xludf.DUMMYFUNCTION("""COMPUTED_VALUE"""),63.0)</f>
        <v>63</v>
      </c>
      <c r="F5656" s="19" t="str">
        <f>IFERROR(__xludf.DUMMYFUNCTION("""COMPUTED_VALUE"""),"BLACK")</f>
        <v>BLACK</v>
      </c>
      <c r="G5656" s="20" t="str">
        <f>IFERROR(__xludf.DUMMYFUNCTION("""COMPUTED_VALUE"""),"Uncle Sams Cider (11/12/2021) 02")</f>
        <v>Uncle Sams Cider (11/12/2021) 02</v>
      </c>
      <c r="H5656" s="19"/>
    </row>
    <row r="5657">
      <c r="A5657" s="9"/>
      <c r="B5657" s="15"/>
      <c r="C5657" s="9">
        <f>IFERROR(__xludf.DUMMYFUNCTION("""COMPUTED_VALUE"""),44546.1201091203)</f>
        <v>44546.12011</v>
      </c>
      <c r="D5657" s="15">
        <f>IFERROR(__xludf.DUMMYFUNCTION("""COMPUTED_VALUE"""),1.022)</f>
        <v>1.022</v>
      </c>
      <c r="E5657" s="16">
        <f>IFERROR(__xludf.DUMMYFUNCTION("""COMPUTED_VALUE"""),63.0)</f>
        <v>63</v>
      </c>
      <c r="F5657" s="19" t="str">
        <f>IFERROR(__xludf.DUMMYFUNCTION("""COMPUTED_VALUE"""),"BLACK")</f>
        <v>BLACK</v>
      </c>
      <c r="G5657" s="20" t="str">
        <f>IFERROR(__xludf.DUMMYFUNCTION("""COMPUTED_VALUE"""),"Uncle Sams Cider (11/12/2021) 02")</f>
        <v>Uncle Sams Cider (11/12/2021) 02</v>
      </c>
      <c r="H5657" s="19"/>
    </row>
    <row r="5658">
      <c r="A5658" s="9"/>
      <c r="B5658" s="15"/>
      <c r="C5658" s="9">
        <f>IFERROR(__xludf.DUMMYFUNCTION("""COMPUTED_VALUE"""),44546.1096279166)</f>
        <v>44546.10963</v>
      </c>
      <c r="D5658" s="15">
        <f>IFERROR(__xludf.DUMMYFUNCTION("""COMPUTED_VALUE"""),1.022)</f>
        <v>1.022</v>
      </c>
      <c r="E5658" s="16">
        <f>IFERROR(__xludf.DUMMYFUNCTION("""COMPUTED_VALUE"""),63.0)</f>
        <v>63</v>
      </c>
      <c r="F5658" s="19" t="str">
        <f>IFERROR(__xludf.DUMMYFUNCTION("""COMPUTED_VALUE"""),"BLACK")</f>
        <v>BLACK</v>
      </c>
      <c r="G5658" s="20" t="str">
        <f>IFERROR(__xludf.DUMMYFUNCTION("""COMPUTED_VALUE"""),"Uncle Sams Cider (11/12/2021) 02")</f>
        <v>Uncle Sams Cider (11/12/2021) 02</v>
      </c>
      <c r="H5658" s="19"/>
    </row>
    <row r="5659">
      <c r="A5659" s="9"/>
      <c r="B5659" s="15"/>
      <c r="C5659" s="9">
        <f>IFERROR(__xludf.DUMMYFUNCTION("""COMPUTED_VALUE"""),44546.0992082523)</f>
        <v>44546.09921</v>
      </c>
      <c r="D5659" s="15">
        <f>IFERROR(__xludf.DUMMYFUNCTION("""COMPUTED_VALUE"""),1.022)</f>
        <v>1.022</v>
      </c>
      <c r="E5659" s="16">
        <f>IFERROR(__xludf.DUMMYFUNCTION("""COMPUTED_VALUE"""),63.0)</f>
        <v>63</v>
      </c>
      <c r="F5659" s="19" t="str">
        <f>IFERROR(__xludf.DUMMYFUNCTION("""COMPUTED_VALUE"""),"BLACK")</f>
        <v>BLACK</v>
      </c>
      <c r="G5659" s="20" t="str">
        <f>IFERROR(__xludf.DUMMYFUNCTION("""COMPUTED_VALUE"""),"Uncle Sams Cider (11/12/2021) 02")</f>
        <v>Uncle Sams Cider (11/12/2021) 02</v>
      </c>
      <c r="H5659" s="19"/>
    </row>
    <row r="5660">
      <c r="A5660" s="9"/>
      <c r="B5660" s="15"/>
      <c r="C5660" s="9">
        <f>IFERROR(__xludf.DUMMYFUNCTION("""COMPUTED_VALUE"""),44546.0887309953)</f>
        <v>44546.08873</v>
      </c>
      <c r="D5660" s="15">
        <f>IFERROR(__xludf.DUMMYFUNCTION("""COMPUTED_VALUE"""),1.022)</f>
        <v>1.022</v>
      </c>
      <c r="E5660" s="16">
        <f>IFERROR(__xludf.DUMMYFUNCTION("""COMPUTED_VALUE"""),63.0)</f>
        <v>63</v>
      </c>
      <c r="F5660" s="19" t="str">
        <f>IFERROR(__xludf.DUMMYFUNCTION("""COMPUTED_VALUE"""),"BLACK")</f>
        <v>BLACK</v>
      </c>
      <c r="G5660" s="20" t="str">
        <f>IFERROR(__xludf.DUMMYFUNCTION("""COMPUTED_VALUE"""),"Uncle Sams Cider (11/12/2021) 02")</f>
        <v>Uncle Sams Cider (11/12/2021) 02</v>
      </c>
      <c r="H5660" s="19"/>
    </row>
    <row r="5661">
      <c r="A5661" s="9"/>
      <c r="B5661" s="15"/>
      <c r="C5661" s="9">
        <f>IFERROR(__xludf.DUMMYFUNCTION("""COMPUTED_VALUE"""),44546.0782400694)</f>
        <v>44546.07824</v>
      </c>
      <c r="D5661" s="15">
        <f>IFERROR(__xludf.DUMMYFUNCTION("""COMPUTED_VALUE"""),1.022)</f>
        <v>1.022</v>
      </c>
      <c r="E5661" s="16">
        <f>IFERROR(__xludf.DUMMYFUNCTION("""COMPUTED_VALUE"""),63.0)</f>
        <v>63</v>
      </c>
      <c r="F5661" s="19" t="str">
        <f>IFERROR(__xludf.DUMMYFUNCTION("""COMPUTED_VALUE"""),"BLACK")</f>
        <v>BLACK</v>
      </c>
      <c r="G5661" s="20" t="str">
        <f>IFERROR(__xludf.DUMMYFUNCTION("""COMPUTED_VALUE"""),"Uncle Sams Cider (11/12/2021) 02")</f>
        <v>Uncle Sams Cider (11/12/2021) 02</v>
      </c>
      <c r="H5661" s="19"/>
    </row>
    <row r="5662">
      <c r="A5662" s="9"/>
      <c r="B5662" s="15"/>
      <c r="C5662" s="9">
        <f>IFERROR(__xludf.DUMMYFUNCTION("""COMPUTED_VALUE"""),44546.0678179976)</f>
        <v>44546.06782</v>
      </c>
      <c r="D5662" s="15">
        <f>IFERROR(__xludf.DUMMYFUNCTION("""COMPUTED_VALUE"""),1.022)</f>
        <v>1.022</v>
      </c>
      <c r="E5662" s="16">
        <f>IFERROR(__xludf.DUMMYFUNCTION("""COMPUTED_VALUE"""),63.0)</f>
        <v>63</v>
      </c>
      <c r="F5662" s="19" t="str">
        <f>IFERROR(__xludf.DUMMYFUNCTION("""COMPUTED_VALUE"""),"BLACK")</f>
        <v>BLACK</v>
      </c>
      <c r="G5662" s="20" t="str">
        <f>IFERROR(__xludf.DUMMYFUNCTION("""COMPUTED_VALUE"""),"Uncle Sams Cider (11/12/2021) 02")</f>
        <v>Uncle Sams Cider (11/12/2021) 02</v>
      </c>
      <c r="H5662" s="19"/>
    </row>
    <row r="5663">
      <c r="A5663" s="9"/>
      <c r="B5663" s="15"/>
      <c r="C5663" s="9">
        <f>IFERROR(__xludf.DUMMYFUNCTION("""COMPUTED_VALUE"""),44546.0573961111)</f>
        <v>44546.0574</v>
      </c>
      <c r="D5663" s="15">
        <f>IFERROR(__xludf.DUMMYFUNCTION("""COMPUTED_VALUE"""),1.022)</f>
        <v>1.022</v>
      </c>
      <c r="E5663" s="16">
        <f>IFERROR(__xludf.DUMMYFUNCTION("""COMPUTED_VALUE"""),63.0)</f>
        <v>63</v>
      </c>
      <c r="F5663" s="19" t="str">
        <f>IFERROR(__xludf.DUMMYFUNCTION("""COMPUTED_VALUE"""),"BLACK")</f>
        <v>BLACK</v>
      </c>
      <c r="G5663" s="20" t="str">
        <f>IFERROR(__xludf.DUMMYFUNCTION("""COMPUTED_VALUE"""),"Uncle Sams Cider (11/12/2021) 02")</f>
        <v>Uncle Sams Cider (11/12/2021) 02</v>
      </c>
      <c r="H5663" s="19"/>
    </row>
    <row r="5664">
      <c r="A5664" s="9"/>
      <c r="B5664" s="15"/>
      <c r="C5664" s="9">
        <f>IFERROR(__xludf.DUMMYFUNCTION("""COMPUTED_VALUE"""),44546.0469511574)</f>
        <v>44546.04695</v>
      </c>
      <c r="D5664" s="15">
        <f>IFERROR(__xludf.DUMMYFUNCTION("""COMPUTED_VALUE"""),1.022)</f>
        <v>1.022</v>
      </c>
      <c r="E5664" s="16">
        <f>IFERROR(__xludf.DUMMYFUNCTION("""COMPUTED_VALUE"""),63.0)</f>
        <v>63</v>
      </c>
      <c r="F5664" s="19" t="str">
        <f>IFERROR(__xludf.DUMMYFUNCTION("""COMPUTED_VALUE"""),"BLACK")</f>
        <v>BLACK</v>
      </c>
      <c r="G5664" s="20" t="str">
        <f>IFERROR(__xludf.DUMMYFUNCTION("""COMPUTED_VALUE"""),"Uncle Sams Cider (11/12/2021) 02")</f>
        <v>Uncle Sams Cider (11/12/2021) 02</v>
      </c>
      <c r="H5664" s="19"/>
    </row>
    <row r="5665">
      <c r="A5665" s="9"/>
      <c r="B5665" s="15"/>
      <c r="C5665" s="9">
        <f>IFERROR(__xludf.DUMMYFUNCTION("""COMPUTED_VALUE"""),44546.0365088078)</f>
        <v>44546.03651</v>
      </c>
      <c r="D5665" s="15">
        <f>IFERROR(__xludf.DUMMYFUNCTION("""COMPUTED_VALUE"""),1.022)</f>
        <v>1.022</v>
      </c>
      <c r="E5665" s="16">
        <f>IFERROR(__xludf.DUMMYFUNCTION("""COMPUTED_VALUE"""),63.0)</f>
        <v>63</v>
      </c>
      <c r="F5665" s="19" t="str">
        <f>IFERROR(__xludf.DUMMYFUNCTION("""COMPUTED_VALUE"""),"BLACK")</f>
        <v>BLACK</v>
      </c>
      <c r="G5665" s="20" t="str">
        <f>IFERROR(__xludf.DUMMYFUNCTION("""COMPUTED_VALUE"""),"Uncle Sams Cider (11/12/2021) 02")</f>
        <v>Uncle Sams Cider (11/12/2021) 02</v>
      </c>
      <c r="H5665" s="19"/>
    </row>
    <row r="5666">
      <c r="A5666" s="9"/>
      <c r="B5666" s="15"/>
      <c r="C5666" s="9">
        <f>IFERROR(__xludf.DUMMYFUNCTION("""COMPUTED_VALUE"""),44546.026089155)</f>
        <v>44546.02609</v>
      </c>
      <c r="D5666" s="15">
        <f>IFERROR(__xludf.DUMMYFUNCTION("""COMPUTED_VALUE"""),1.022)</f>
        <v>1.022</v>
      </c>
      <c r="E5666" s="16">
        <f>IFERROR(__xludf.DUMMYFUNCTION("""COMPUTED_VALUE"""),63.0)</f>
        <v>63</v>
      </c>
      <c r="F5666" s="19" t="str">
        <f>IFERROR(__xludf.DUMMYFUNCTION("""COMPUTED_VALUE"""),"BLACK")</f>
        <v>BLACK</v>
      </c>
      <c r="G5666" s="20" t="str">
        <f>IFERROR(__xludf.DUMMYFUNCTION("""COMPUTED_VALUE"""),"Uncle Sams Cider (11/12/2021) 02")</f>
        <v>Uncle Sams Cider (11/12/2021) 02</v>
      </c>
      <c r="H5666" s="19"/>
    </row>
    <row r="5667">
      <c r="A5667" s="9"/>
      <c r="B5667" s="15"/>
      <c r="C5667" s="9">
        <f>IFERROR(__xludf.DUMMYFUNCTION("""COMPUTED_VALUE"""),44546.0156674189)</f>
        <v>44546.01567</v>
      </c>
      <c r="D5667" s="15">
        <f>IFERROR(__xludf.DUMMYFUNCTION("""COMPUTED_VALUE"""),1.022)</f>
        <v>1.022</v>
      </c>
      <c r="E5667" s="16">
        <f>IFERROR(__xludf.DUMMYFUNCTION("""COMPUTED_VALUE"""),63.0)</f>
        <v>63</v>
      </c>
      <c r="F5667" s="19" t="str">
        <f>IFERROR(__xludf.DUMMYFUNCTION("""COMPUTED_VALUE"""),"BLACK")</f>
        <v>BLACK</v>
      </c>
      <c r="G5667" s="20" t="str">
        <f>IFERROR(__xludf.DUMMYFUNCTION("""COMPUTED_VALUE"""),"Uncle Sams Cider (11/12/2021) 02")</f>
        <v>Uncle Sams Cider (11/12/2021) 02</v>
      </c>
      <c r="H5667" s="19"/>
    </row>
    <row r="5668">
      <c r="A5668" s="9"/>
      <c r="B5668" s="15"/>
      <c r="C5668" s="9">
        <f>IFERROR(__xludf.DUMMYFUNCTION("""COMPUTED_VALUE"""),44546.0052456365)</f>
        <v>44546.00525</v>
      </c>
      <c r="D5668" s="15">
        <f>IFERROR(__xludf.DUMMYFUNCTION("""COMPUTED_VALUE"""),1.022)</f>
        <v>1.022</v>
      </c>
      <c r="E5668" s="16">
        <f>IFERROR(__xludf.DUMMYFUNCTION("""COMPUTED_VALUE"""),63.0)</f>
        <v>63</v>
      </c>
      <c r="F5668" s="19" t="str">
        <f>IFERROR(__xludf.DUMMYFUNCTION("""COMPUTED_VALUE"""),"BLACK")</f>
        <v>BLACK</v>
      </c>
      <c r="G5668" s="20" t="str">
        <f>IFERROR(__xludf.DUMMYFUNCTION("""COMPUTED_VALUE"""),"Uncle Sams Cider (11/12/2021) 02")</f>
        <v>Uncle Sams Cider (11/12/2021) 02</v>
      </c>
      <c r="H5668" s="19"/>
    </row>
    <row r="5669">
      <c r="A5669" s="9"/>
      <c r="B5669" s="15"/>
      <c r="C5669" s="9">
        <f>IFERROR(__xludf.DUMMYFUNCTION("""COMPUTED_VALUE"""),44545.994811412)</f>
        <v>44545.99481</v>
      </c>
      <c r="D5669" s="15">
        <f>IFERROR(__xludf.DUMMYFUNCTION("""COMPUTED_VALUE"""),1.022)</f>
        <v>1.022</v>
      </c>
      <c r="E5669" s="16">
        <f>IFERROR(__xludf.DUMMYFUNCTION("""COMPUTED_VALUE"""),63.0)</f>
        <v>63</v>
      </c>
      <c r="F5669" s="19" t="str">
        <f>IFERROR(__xludf.DUMMYFUNCTION("""COMPUTED_VALUE"""),"BLACK")</f>
        <v>BLACK</v>
      </c>
      <c r="G5669" s="20" t="str">
        <f>IFERROR(__xludf.DUMMYFUNCTION("""COMPUTED_VALUE"""),"Uncle Sams Cider (11/12/2021) 02")</f>
        <v>Uncle Sams Cider (11/12/2021) 02</v>
      </c>
      <c r="H5669" s="19"/>
    </row>
    <row r="5670">
      <c r="A5670" s="9"/>
      <c r="B5670" s="15"/>
      <c r="C5670" s="9">
        <f>IFERROR(__xludf.DUMMYFUNCTION("""COMPUTED_VALUE"""),44545.9843790162)</f>
        <v>44545.98438</v>
      </c>
      <c r="D5670" s="15">
        <f>IFERROR(__xludf.DUMMYFUNCTION("""COMPUTED_VALUE"""),1.022)</f>
        <v>1.022</v>
      </c>
      <c r="E5670" s="16">
        <f>IFERROR(__xludf.DUMMYFUNCTION("""COMPUTED_VALUE"""),63.0)</f>
        <v>63</v>
      </c>
      <c r="F5670" s="19" t="str">
        <f>IFERROR(__xludf.DUMMYFUNCTION("""COMPUTED_VALUE"""),"BLACK")</f>
        <v>BLACK</v>
      </c>
      <c r="G5670" s="20" t="str">
        <f>IFERROR(__xludf.DUMMYFUNCTION("""COMPUTED_VALUE"""),"Uncle Sams Cider (11/12/2021) 02")</f>
        <v>Uncle Sams Cider (11/12/2021) 02</v>
      </c>
      <c r="H5670" s="19"/>
    </row>
    <row r="5671">
      <c r="A5671" s="9"/>
      <c r="B5671" s="15"/>
      <c r="C5671" s="9">
        <f>IFERROR(__xludf.DUMMYFUNCTION("""COMPUTED_VALUE"""),44545.9739458564)</f>
        <v>44545.97395</v>
      </c>
      <c r="D5671" s="15">
        <f>IFERROR(__xludf.DUMMYFUNCTION("""COMPUTED_VALUE"""),1.022)</f>
        <v>1.022</v>
      </c>
      <c r="E5671" s="16">
        <f>IFERROR(__xludf.DUMMYFUNCTION("""COMPUTED_VALUE"""),63.0)</f>
        <v>63</v>
      </c>
      <c r="F5671" s="19" t="str">
        <f>IFERROR(__xludf.DUMMYFUNCTION("""COMPUTED_VALUE"""),"BLACK")</f>
        <v>BLACK</v>
      </c>
      <c r="G5671" s="20" t="str">
        <f>IFERROR(__xludf.DUMMYFUNCTION("""COMPUTED_VALUE"""),"Uncle Sams Cider (11/12/2021) 02")</f>
        <v>Uncle Sams Cider (11/12/2021) 02</v>
      </c>
      <c r="H5671" s="19"/>
    </row>
    <row r="5672">
      <c r="A5672" s="9"/>
      <c r="B5672" s="15"/>
      <c r="C5672" s="9">
        <f>IFERROR(__xludf.DUMMYFUNCTION("""COMPUTED_VALUE"""),44545.9635236111)</f>
        <v>44545.96352</v>
      </c>
      <c r="D5672" s="15">
        <f>IFERROR(__xludf.DUMMYFUNCTION("""COMPUTED_VALUE"""),1.022)</f>
        <v>1.022</v>
      </c>
      <c r="E5672" s="16">
        <f>IFERROR(__xludf.DUMMYFUNCTION("""COMPUTED_VALUE"""),63.0)</f>
        <v>63</v>
      </c>
      <c r="F5672" s="19" t="str">
        <f>IFERROR(__xludf.DUMMYFUNCTION("""COMPUTED_VALUE"""),"BLACK")</f>
        <v>BLACK</v>
      </c>
      <c r="G5672" s="20" t="str">
        <f>IFERROR(__xludf.DUMMYFUNCTION("""COMPUTED_VALUE"""),"Uncle Sams Cider (11/12/2021) 02")</f>
        <v>Uncle Sams Cider (11/12/2021) 02</v>
      </c>
      <c r="H5672" s="19"/>
    </row>
    <row r="5673">
      <c r="A5673" s="9"/>
      <c r="B5673" s="15"/>
      <c r="C5673" s="9">
        <f>IFERROR(__xludf.DUMMYFUNCTION("""COMPUTED_VALUE"""),44545.9530543634)</f>
        <v>44545.95305</v>
      </c>
      <c r="D5673" s="15">
        <f>IFERROR(__xludf.DUMMYFUNCTION("""COMPUTED_VALUE"""),1.022)</f>
        <v>1.022</v>
      </c>
      <c r="E5673" s="16">
        <f>IFERROR(__xludf.DUMMYFUNCTION("""COMPUTED_VALUE"""),63.0)</f>
        <v>63</v>
      </c>
      <c r="F5673" s="19" t="str">
        <f>IFERROR(__xludf.DUMMYFUNCTION("""COMPUTED_VALUE"""),"BLACK")</f>
        <v>BLACK</v>
      </c>
      <c r="G5673" s="20" t="str">
        <f>IFERROR(__xludf.DUMMYFUNCTION("""COMPUTED_VALUE"""),"Uncle Sams Cider (11/12/2021) 02")</f>
        <v>Uncle Sams Cider (11/12/2021) 02</v>
      </c>
      <c r="H5673" s="19"/>
    </row>
    <row r="5674">
      <c r="A5674" s="9"/>
      <c r="B5674" s="15"/>
      <c r="C5674" s="9">
        <f>IFERROR(__xludf.DUMMYFUNCTION("""COMPUTED_VALUE"""),44545.9426089351)</f>
        <v>44545.94261</v>
      </c>
      <c r="D5674" s="15">
        <f>IFERROR(__xludf.DUMMYFUNCTION("""COMPUTED_VALUE"""),1.022)</f>
        <v>1.022</v>
      </c>
      <c r="E5674" s="16">
        <f>IFERROR(__xludf.DUMMYFUNCTION("""COMPUTED_VALUE"""),63.0)</f>
        <v>63</v>
      </c>
      <c r="F5674" s="19" t="str">
        <f>IFERROR(__xludf.DUMMYFUNCTION("""COMPUTED_VALUE"""),"BLACK")</f>
        <v>BLACK</v>
      </c>
      <c r="G5674" s="20" t="str">
        <f>IFERROR(__xludf.DUMMYFUNCTION("""COMPUTED_VALUE"""),"Uncle Sams Cider (11/12/2021) 02")</f>
        <v>Uncle Sams Cider (11/12/2021) 02</v>
      </c>
      <c r="H5674" s="19"/>
    </row>
    <row r="5675">
      <c r="A5675" s="9"/>
      <c r="B5675" s="15"/>
      <c r="C5675" s="9">
        <f>IFERROR(__xludf.DUMMYFUNCTION("""COMPUTED_VALUE"""),44545.9321647685)</f>
        <v>44545.93216</v>
      </c>
      <c r="D5675" s="15">
        <f>IFERROR(__xludf.DUMMYFUNCTION("""COMPUTED_VALUE"""),1.022)</f>
        <v>1.022</v>
      </c>
      <c r="E5675" s="16">
        <f>IFERROR(__xludf.DUMMYFUNCTION("""COMPUTED_VALUE"""),63.0)</f>
        <v>63</v>
      </c>
      <c r="F5675" s="19" t="str">
        <f>IFERROR(__xludf.DUMMYFUNCTION("""COMPUTED_VALUE"""),"BLACK")</f>
        <v>BLACK</v>
      </c>
      <c r="G5675" s="20" t="str">
        <f>IFERROR(__xludf.DUMMYFUNCTION("""COMPUTED_VALUE"""),"Uncle Sams Cider (11/12/2021) 02")</f>
        <v>Uncle Sams Cider (11/12/2021) 02</v>
      </c>
      <c r="H5675" s="19"/>
    </row>
    <row r="5676">
      <c r="A5676" s="9"/>
      <c r="B5676" s="15"/>
      <c r="C5676" s="9">
        <f>IFERROR(__xludf.DUMMYFUNCTION("""COMPUTED_VALUE"""),44545.9217451041)</f>
        <v>44545.92175</v>
      </c>
      <c r="D5676" s="15">
        <f>IFERROR(__xludf.DUMMYFUNCTION("""COMPUTED_VALUE"""),1.022)</f>
        <v>1.022</v>
      </c>
      <c r="E5676" s="16">
        <f>IFERROR(__xludf.DUMMYFUNCTION("""COMPUTED_VALUE"""),63.0)</f>
        <v>63</v>
      </c>
      <c r="F5676" s="19" t="str">
        <f>IFERROR(__xludf.DUMMYFUNCTION("""COMPUTED_VALUE"""),"BLACK")</f>
        <v>BLACK</v>
      </c>
      <c r="G5676" s="20" t="str">
        <f>IFERROR(__xludf.DUMMYFUNCTION("""COMPUTED_VALUE"""),"Uncle Sams Cider (11/12/2021) 02")</f>
        <v>Uncle Sams Cider (11/12/2021) 02</v>
      </c>
      <c r="H5676" s="19"/>
    </row>
    <row r="5677">
      <c r="A5677" s="9"/>
      <c r="B5677" s="15"/>
      <c r="C5677" s="9">
        <f>IFERROR(__xludf.DUMMYFUNCTION("""COMPUTED_VALUE"""),44545.9113005671)</f>
        <v>44545.9113</v>
      </c>
      <c r="D5677" s="15">
        <f>IFERROR(__xludf.DUMMYFUNCTION("""COMPUTED_VALUE"""),1.022)</f>
        <v>1.022</v>
      </c>
      <c r="E5677" s="16">
        <f>IFERROR(__xludf.DUMMYFUNCTION("""COMPUTED_VALUE"""),63.0)</f>
        <v>63</v>
      </c>
      <c r="F5677" s="19" t="str">
        <f>IFERROR(__xludf.DUMMYFUNCTION("""COMPUTED_VALUE"""),"BLACK")</f>
        <v>BLACK</v>
      </c>
      <c r="G5677" s="20" t="str">
        <f>IFERROR(__xludf.DUMMYFUNCTION("""COMPUTED_VALUE"""),"Uncle Sams Cider (11/12/2021) 02")</f>
        <v>Uncle Sams Cider (11/12/2021) 02</v>
      </c>
      <c r="H5677" s="19"/>
    </row>
    <row r="5678">
      <c r="A5678" s="9"/>
      <c r="B5678" s="15"/>
      <c r="C5678" s="9">
        <f>IFERROR(__xludf.DUMMYFUNCTION("""COMPUTED_VALUE"""),44545.9008779513)</f>
        <v>44545.90088</v>
      </c>
      <c r="D5678" s="15">
        <f>IFERROR(__xludf.DUMMYFUNCTION("""COMPUTED_VALUE"""),1.022)</f>
        <v>1.022</v>
      </c>
      <c r="E5678" s="16">
        <f>IFERROR(__xludf.DUMMYFUNCTION("""COMPUTED_VALUE"""),63.0)</f>
        <v>63</v>
      </c>
      <c r="F5678" s="19" t="str">
        <f>IFERROR(__xludf.DUMMYFUNCTION("""COMPUTED_VALUE"""),"BLACK")</f>
        <v>BLACK</v>
      </c>
      <c r="G5678" s="20" t="str">
        <f>IFERROR(__xludf.DUMMYFUNCTION("""COMPUTED_VALUE"""),"Uncle Sams Cider (11/12/2021) 02")</f>
        <v>Uncle Sams Cider (11/12/2021) 02</v>
      </c>
      <c r="H5678" s="19"/>
    </row>
    <row r="5679">
      <c r="A5679" s="9"/>
      <c r="B5679" s="15"/>
      <c r="C5679" s="9">
        <f>IFERROR(__xludf.DUMMYFUNCTION("""COMPUTED_VALUE"""),44545.890457037)</f>
        <v>44545.89046</v>
      </c>
      <c r="D5679" s="15">
        <f>IFERROR(__xludf.DUMMYFUNCTION("""COMPUTED_VALUE"""),1.022)</f>
        <v>1.022</v>
      </c>
      <c r="E5679" s="16">
        <f>IFERROR(__xludf.DUMMYFUNCTION("""COMPUTED_VALUE"""),63.0)</f>
        <v>63</v>
      </c>
      <c r="F5679" s="19" t="str">
        <f>IFERROR(__xludf.DUMMYFUNCTION("""COMPUTED_VALUE"""),"BLACK")</f>
        <v>BLACK</v>
      </c>
      <c r="G5679" s="20" t="str">
        <f>IFERROR(__xludf.DUMMYFUNCTION("""COMPUTED_VALUE"""),"Uncle Sams Cider (11/12/2021) 02")</f>
        <v>Uncle Sams Cider (11/12/2021) 02</v>
      </c>
      <c r="H5679" s="19"/>
    </row>
    <row r="5680">
      <c r="A5680" s="9"/>
      <c r="B5680" s="15"/>
      <c r="C5680" s="9">
        <f>IFERROR(__xludf.DUMMYFUNCTION("""COMPUTED_VALUE"""),44545.8800135416)</f>
        <v>44545.88001</v>
      </c>
      <c r="D5680" s="15">
        <f>IFERROR(__xludf.DUMMYFUNCTION("""COMPUTED_VALUE"""),1.022)</f>
        <v>1.022</v>
      </c>
      <c r="E5680" s="16">
        <f>IFERROR(__xludf.DUMMYFUNCTION("""COMPUTED_VALUE"""),63.0)</f>
        <v>63</v>
      </c>
      <c r="F5680" s="19" t="str">
        <f>IFERROR(__xludf.DUMMYFUNCTION("""COMPUTED_VALUE"""),"BLACK")</f>
        <v>BLACK</v>
      </c>
      <c r="G5680" s="20" t="str">
        <f>IFERROR(__xludf.DUMMYFUNCTION("""COMPUTED_VALUE"""),"Uncle Sams Cider (11/12/2021) 02")</f>
        <v>Uncle Sams Cider (11/12/2021) 02</v>
      </c>
      <c r="H5680" s="19"/>
    </row>
    <row r="5681">
      <c r="A5681" s="9"/>
      <c r="B5681" s="15"/>
      <c r="C5681" s="9">
        <f>IFERROR(__xludf.DUMMYFUNCTION("""COMPUTED_VALUE"""),44545.8695571296)</f>
        <v>44545.86956</v>
      </c>
      <c r="D5681" s="15">
        <f>IFERROR(__xludf.DUMMYFUNCTION("""COMPUTED_VALUE"""),1.022)</f>
        <v>1.022</v>
      </c>
      <c r="E5681" s="16">
        <f>IFERROR(__xludf.DUMMYFUNCTION("""COMPUTED_VALUE"""),63.0)</f>
        <v>63</v>
      </c>
      <c r="F5681" s="19" t="str">
        <f>IFERROR(__xludf.DUMMYFUNCTION("""COMPUTED_VALUE"""),"BLACK")</f>
        <v>BLACK</v>
      </c>
      <c r="G5681" s="20" t="str">
        <f>IFERROR(__xludf.DUMMYFUNCTION("""COMPUTED_VALUE"""),"Uncle Sams Cider (11/12/2021) 02")</f>
        <v>Uncle Sams Cider (11/12/2021) 02</v>
      </c>
      <c r="H5681" s="19"/>
    </row>
    <row r="5682">
      <c r="A5682" s="9"/>
      <c r="B5682" s="15"/>
      <c r="C5682" s="9">
        <f>IFERROR(__xludf.DUMMYFUNCTION("""COMPUTED_VALUE"""),44545.8591258564)</f>
        <v>44545.85913</v>
      </c>
      <c r="D5682" s="15">
        <f>IFERROR(__xludf.DUMMYFUNCTION("""COMPUTED_VALUE"""),1.022)</f>
        <v>1.022</v>
      </c>
      <c r="E5682" s="16">
        <f>IFERROR(__xludf.DUMMYFUNCTION("""COMPUTED_VALUE"""),63.0)</f>
        <v>63</v>
      </c>
      <c r="F5682" s="19" t="str">
        <f>IFERROR(__xludf.DUMMYFUNCTION("""COMPUTED_VALUE"""),"BLACK")</f>
        <v>BLACK</v>
      </c>
      <c r="G5682" s="20" t="str">
        <f>IFERROR(__xludf.DUMMYFUNCTION("""COMPUTED_VALUE"""),"Uncle Sams Cider (11/12/2021) 02")</f>
        <v>Uncle Sams Cider (11/12/2021) 02</v>
      </c>
      <c r="H5682" s="19"/>
    </row>
    <row r="5683">
      <c r="A5683" s="9"/>
      <c r="B5683" s="15"/>
      <c r="C5683" s="9">
        <f>IFERROR(__xludf.DUMMYFUNCTION("""COMPUTED_VALUE"""),44545.8487051157)</f>
        <v>44545.84871</v>
      </c>
      <c r="D5683" s="15">
        <f>IFERROR(__xludf.DUMMYFUNCTION("""COMPUTED_VALUE"""),1.022)</f>
        <v>1.022</v>
      </c>
      <c r="E5683" s="16">
        <f>IFERROR(__xludf.DUMMYFUNCTION("""COMPUTED_VALUE"""),63.0)</f>
        <v>63</v>
      </c>
      <c r="F5683" s="19" t="str">
        <f>IFERROR(__xludf.DUMMYFUNCTION("""COMPUTED_VALUE"""),"BLACK")</f>
        <v>BLACK</v>
      </c>
      <c r="G5683" s="20" t="str">
        <f>IFERROR(__xludf.DUMMYFUNCTION("""COMPUTED_VALUE"""),"Uncle Sams Cider (11/12/2021) 02")</f>
        <v>Uncle Sams Cider (11/12/2021) 02</v>
      </c>
      <c r="H5683" s="19"/>
    </row>
    <row r="5684">
      <c r="A5684" s="9"/>
      <c r="B5684" s="15"/>
      <c r="C5684" s="9">
        <f>IFERROR(__xludf.DUMMYFUNCTION("""COMPUTED_VALUE"""),44545.8382373148)</f>
        <v>44545.83824</v>
      </c>
      <c r="D5684" s="15">
        <f>IFERROR(__xludf.DUMMYFUNCTION("""COMPUTED_VALUE"""),1.022)</f>
        <v>1.022</v>
      </c>
      <c r="E5684" s="16">
        <f>IFERROR(__xludf.DUMMYFUNCTION("""COMPUTED_VALUE"""),63.0)</f>
        <v>63</v>
      </c>
      <c r="F5684" s="19" t="str">
        <f>IFERROR(__xludf.DUMMYFUNCTION("""COMPUTED_VALUE"""),"BLACK")</f>
        <v>BLACK</v>
      </c>
      <c r="G5684" s="20" t="str">
        <f>IFERROR(__xludf.DUMMYFUNCTION("""COMPUTED_VALUE"""),"Uncle Sams Cider (11/12/2021) 02")</f>
        <v>Uncle Sams Cider (11/12/2021) 02</v>
      </c>
      <c r="H5684" s="19"/>
    </row>
    <row r="5685">
      <c r="A5685" s="9"/>
      <c r="B5685" s="15"/>
      <c r="C5685" s="9">
        <f>IFERROR(__xludf.DUMMYFUNCTION("""COMPUTED_VALUE"""),44545.8277816898)</f>
        <v>44545.82778</v>
      </c>
      <c r="D5685" s="15">
        <f>IFERROR(__xludf.DUMMYFUNCTION("""COMPUTED_VALUE"""),1.022)</f>
        <v>1.022</v>
      </c>
      <c r="E5685" s="16">
        <f>IFERROR(__xludf.DUMMYFUNCTION("""COMPUTED_VALUE"""),63.0)</f>
        <v>63</v>
      </c>
      <c r="F5685" s="19" t="str">
        <f>IFERROR(__xludf.DUMMYFUNCTION("""COMPUTED_VALUE"""),"BLACK")</f>
        <v>BLACK</v>
      </c>
      <c r="G5685" s="20" t="str">
        <f>IFERROR(__xludf.DUMMYFUNCTION("""COMPUTED_VALUE"""),"Uncle Sams Cider (11/12/2021) 02")</f>
        <v>Uncle Sams Cider (11/12/2021) 02</v>
      </c>
      <c r="H5685" s="19"/>
    </row>
    <row r="5686">
      <c r="A5686" s="9"/>
      <c r="B5686" s="15"/>
      <c r="C5686" s="9">
        <f>IFERROR(__xludf.DUMMYFUNCTION("""COMPUTED_VALUE"""),44545.8173475462)</f>
        <v>44545.81735</v>
      </c>
      <c r="D5686" s="15">
        <f>IFERROR(__xludf.DUMMYFUNCTION("""COMPUTED_VALUE"""),1.022)</f>
        <v>1.022</v>
      </c>
      <c r="E5686" s="16">
        <f>IFERROR(__xludf.DUMMYFUNCTION("""COMPUTED_VALUE"""),63.0)</f>
        <v>63</v>
      </c>
      <c r="F5686" s="19" t="str">
        <f>IFERROR(__xludf.DUMMYFUNCTION("""COMPUTED_VALUE"""),"BLACK")</f>
        <v>BLACK</v>
      </c>
      <c r="G5686" s="20" t="str">
        <f>IFERROR(__xludf.DUMMYFUNCTION("""COMPUTED_VALUE"""),"Uncle Sams Cider (11/12/2021) 02")</f>
        <v>Uncle Sams Cider (11/12/2021) 02</v>
      </c>
      <c r="H5686" s="19"/>
    </row>
    <row r="5687">
      <c r="A5687" s="9"/>
      <c r="B5687" s="15"/>
      <c r="C5687" s="9">
        <f>IFERROR(__xludf.DUMMYFUNCTION("""COMPUTED_VALUE"""),44545.806926875)</f>
        <v>44545.80693</v>
      </c>
      <c r="D5687" s="15">
        <f>IFERROR(__xludf.DUMMYFUNCTION("""COMPUTED_VALUE"""),1.022)</f>
        <v>1.022</v>
      </c>
      <c r="E5687" s="16">
        <f>IFERROR(__xludf.DUMMYFUNCTION("""COMPUTED_VALUE"""),63.0)</f>
        <v>63</v>
      </c>
      <c r="F5687" s="19" t="str">
        <f>IFERROR(__xludf.DUMMYFUNCTION("""COMPUTED_VALUE"""),"BLACK")</f>
        <v>BLACK</v>
      </c>
      <c r="G5687" s="20" t="str">
        <f>IFERROR(__xludf.DUMMYFUNCTION("""COMPUTED_VALUE"""),"Uncle Sams Cider (11/12/2021) 02")</f>
        <v>Uncle Sams Cider (11/12/2021) 02</v>
      </c>
      <c r="H5687" s="19"/>
    </row>
    <row r="5688">
      <c r="A5688" s="9"/>
      <c r="B5688" s="15"/>
      <c r="C5688" s="9">
        <f>IFERROR(__xludf.DUMMYFUNCTION("""COMPUTED_VALUE"""),44545.796506331)</f>
        <v>44545.79651</v>
      </c>
      <c r="D5688" s="15">
        <f>IFERROR(__xludf.DUMMYFUNCTION("""COMPUTED_VALUE"""),1.022)</f>
        <v>1.022</v>
      </c>
      <c r="E5688" s="16">
        <f>IFERROR(__xludf.DUMMYFUNCTION("""COMPUTED_VALUE"""),63.0)</f>
        <v>63</v>
      </c>
      <c r="F5688" s="19" t="str">
        <f>IFERROR(__xludf.DUMMYFUNCTION("""COMPUTED_VALUE"""),"BLACK")</f>
        <v>BLACK</v>
      </c>
      <c r="G5688" s="20" t="str">
        <f>IFERROR(__xludf.DUMMYFUNCTION("""COMPUTED_VALUE"""),"Uncle Sams Cider (11/12/2021) 02")</f>
        <v>Uncle Sams Cider (11/12/2021) 02</v>
      </c>
      <c r="H5688" s="19"/>
    </row>
    <row r="5689">
      <c r="A5689" s="9"/>
      <c r="B5689" s="15"/>
      <c r="C5689" s="9">
        <f>IFERROR(__xludf.DUMMYFUNCTION("""COMPUTED_VALUE"""),44545.7860743981)</f>
        <v>44545.78607</v>
      </c>
      <c r="D5689" s="15">
        <f>IFERROR(__xludf.DUMMYFUNCTION("""COMPUTED_VALUE"""),1.022)</f>
        <v>1.022</v>
      </c>
      <c r="E5689" s="16">
        <f>IFERROR(__xludf.DUMMYFUNCTION("""COMPUTED_VALUE"""),63.0)</f>
        <v>63</v>
      </c>
      <c r="F5689" s="19" t="str">
        <f>IFERROR(__xludf.DUMMYFUNCTION("""COMPUTED_VALUE"""),"BLACK")</f>
        <v>BLACK</v>
      </c>
      <c r="G5689" s="20" t="str">
        <f>IFERROR(__xludf.DUMMYFUNCTION("""COMPUTED_VALUE"""),"Uncle Sams Cider (11/12/2021) 02")</f>
        <v>Uncle Sams Cider (11/12/2021) 02</v>
      </c>
      <c r="H5689" s="19"/>
    </row>
    <row r="5690">
      <c r="A5690" s="9"/>
      <c r="B5690" s="15"/>
      <c r="C5690" s="9">
        <f>IFERROR(__xludf.DUMMYFUNCTION("""COMPUTED_VALUE"""),44545.7756517361)</f>
        <v>44545.77565</v>
      </c>
      <c r="D5690" s="15">
        <f>IFERROR(__xludf.DUMMYFUNCTION("""COMPUTED_VALUE"""),1.022)</f>
        <v>1.022</v>
      </c>
      <c r="E5690" s="16">
        <f>IFERROR(__xludf.DUMMYFUNCTION("""COMPUTED_VALUE"""),63.0)</f>
        <v>63</v>
      </c>
      <c r="F5690" s="19" t="str">
        <f>IFERROR(__xludf.DUMMYFUNCTION("""COMPUTED_VALUE"""),"BLACK")</f>
        <v>BLACK</v>
      </c>
      <c r="G5690" s="20" t="str">
        <f>IFERROR(__xludf.DUMMYFUNCTION("""COMPUTED_VALUE"""),"Uncle Sams Cider (11/12/2021) 02")</f>
        <v>Uncle Sams Cider (11/12/2021) 02</v>
      </c>
      <c r="H5690" s="19"/>
    </row>
    <row r="5691">
      <c r="A5691" s="9"/>
      <c r="B5691" s="15"/>
      <c r="C5691" s="9">
        <f>IFERROR(__xludf.DUMMYFUNCTION("""COMPUTED_VALUE"""),44545.7652299537)</f>
        <v>44545.76523</v>
      </c>
      <c r="D5691" s="15">
        <f>IFERROR(__xludf.DUMMYFUNCTION("""COMPUTED_VALUE"""),1.022)</f>
        <v>1.022</v>
      </c>
      <c r="E5691" s="16">
        <f>IFERROR(__xludf.DUMMYFUNCTION("""COMPUTED_VALUE"""),63.0)</f>
        <v>63</v>
      </c>
      <c r="F5691" s="19" t="str">
        <f>IFERROR(__xludf.DUMMYFUNCTION("""COMPUTED_VALUE"""),"BLACK")</f>
        <v>BLACK</v>
      </c>
      <c r="G5691" s="20" t="str">
        <f>IFERROR(__xludf.DUMMYFUNCTION("""COMPUTED_VALUE"""),"Uncle Sams Cider (11/12/2021) 02")</f>
        <v>Uncle Sams Cider (11/12/2021) 02</v>
      </c>
      <c r="H5691" s="19"/>
    </row>
    <row r="5692">
      <c r="A5692" s="9"/>
      <c r="B5692" s="15"/>
      <c r="C5692" s="9">
        <f>IFERROR(__xludf.DUMMYFUNCTION("""COMPUTED_VALUE"""),44545.7547976504)</f>
        <v>44545.7548</v>
      </c>
      <c r="D5692" s="15">
        <f>IFERROR(__xludf.DUMMYFUNCTION("""COMPUTED_VALUE"""),1.022)</f>
        <v>1.022</v>
      </c>
      <c r="E5692" s="16">
        <f>IFERROR(__xludf.DUMMYFUNCTION("""COMPUTED_VALUE"""),63.0)</f>
        <v>63</v>
      </c>
      <c r="F5692" s="19" t="str">
        <f>IFERROR(__xludf.DUMMYFUNCTION("""COMPUTED_VALUE"""),"BLACK")</f>
        <v>BLACK</v>
      </c>
      <c r="G5692" s="20" t="str">
        <f>IFERROR(__xludf.DUMMYFUNCTION("""COMPUTED_VALUE"""),"Uncle Sams Cider (11/12/2021) 02")</f>
        <v>Uncle Sams Cider (11/12/2021) 02</v>
      </c>
      <c r="H5692" s="19"/>
    </row>
    <row r="5693">
      <c r="A5693" s="9"/>
      <c r="B5693" s="15"/>
      <c r="C5693" s="9">
        <f>IFERROR(__xludf.DUMMYFUNCTION("""COMPUTED_VALUE"""),44545.7443641319)</f>
        <v>44545.74436</v>
      </c>
      <c r="D5693" s="15">
        <f>IFERROR(__xludf.DUMMYFUNCTION("""COMPUTED_VALUE"""),1.022)</f>
        <v>1.022</v>
      </c>
      <c r="E5693" s="16">
        <f>IFERROR(__xludf.DUMMYFUNCTION("""COMPUTED_VALUE"""),63.0)</f>
        <v>63</v>
      </c>
      <c r="F5693" s="19" t="str">
        <f>IFERROR(__xludf.DUMMYFUNCTION("""COMPUTED_VALUE"""),"BLACK")</f>
        <v>BLACK</v>
      </c>
      <c r="G5693" s="20" t="str">
        <f>IFERROR(__xludf.DUMMYFUNCTION("""COMPUTED_VALUE"""),"Uncle Sams Cider (11/12/2021) 02")</f>
        <v>Uncle Sams Cider (11/12/2021) 02</v>
      </c>
      <c r="H5693" s="19"/>
    </row>
    <row r="5694">
      <c r="A5694" s="9"/>
      <c r="B5694" s="15"/>
      <c r="C5694" s="9">
        <f>IFERROR(__xludf.DUMMYFUNCTION("""COMPUTED_VALUE"""),44545.7339443171)</f>
        <v>44545.73394</v>
      </c>
      <c r="D5694" s="15">
        <f>IFERROR(__xludf.DUMMYFUNCTION("""COMPUTED_VALUE"""),1.022)</f>
        <v>1.022</v>
      </c>
      <c r="E5694" s="16">
        <f>IFERROR(__xludf.DUMMYFUNCTION("""COMPUTED_VALUE"""),63.0)</f>
        <v>63</v>
      </c>
      <c r="F5694" s="19" t="str">
        <f>IFERROR(__xludf.DUMMYFUNCTION("""COMPUTED_VALUE"""),"BLACK")</f>
        <v>BLACK</v>
      </c>
      <c r="G5694" s="20" t="str">
        <f>IFERROR(__xludf.DUMMYFUNCTION("""COMPUTED_VALUE"""),"Uncle Sams Cider (11/12/2021) 02")</f>
        <v>Uncle Sams Cider (11/12/2021) 02</v>
      </c>
      <c r="H5694" s="19"/>
    </row>
    <row r="5695">
      <c r="A5695" s="9"/>
      <c r="B5695" s="15"/>
      <c r="C5695" s="9">
        <f>IFERROR(__xludf.DUMMYFUNCTION("""COMPUTED_VALUE"""),44545.7235220023)</f>
        <v>44545.72352</v>
      </c>
      <c r="D5695" s="15">
        <f>IFERROR(__xludf.DUMMYFUNCTION("""COMPUTED_VALUE"""),1.022)</f>
        <v>1.022</v>
      </c>
      <c r="E5695" s="16">
        <f>IFERROR(__xludf.DUMMYFUNCTION("""COMPUTED_VALUE"""),63.0)</f>
        <v>63</v>
      </c>
      <c r="F5695" s="19" t="str">
        <f>IFERROR(__xludf.DUMMYFUNCTION("""COMPUTED_VALUE"""),"BLACK")</f>
        <v>BLACK</v>
      </c>
      <c r="G5695" s="20" t="str">
        <f>IFERROR(__xludf.DUMMYFUNCTION("""COMPUTED_VALUE"""),"Uncle Sams Cider (11/12/2021) 02")</f>
        <v>Uncle Sams Cider (11/12/2021) 02</v>
      </c>
      <c r="H5695" s="19"/>
    </row>
    <row r="5696">
      <c r="A5696" s="9"/>
      <c r="B5696" s="15"/>
      <c r="C5696" s="9">
        <f>IFERROR(__xludf.DUMMYFUNCTION("""COMPUTED_VALUE"""),44545.7131010879)</f>
        <v>44545.7131</v>
      </c>
      <c r="D5696" s="15">
        <f>IFERROR(__xludf.DUMMYFUNCTION("""COMPUTED_VALUE"""),1.022)</f>
        <v>1.022</v>
      </c>
      <c r="E5696" s="16">
        <f>IFERROR(__xludf.DUMMYFUNCTION("""COMPUTED_VALUE"""),63.0)</f>
        <v>63</v>
      </c>
      <c r="F5696" s="19" t="str">
        <f>IFERROR(__xludf.DUMMYFUNCTION("""COMPUTED_VALUE"""),"BLACK")</f>
        <v>BLACK</v>
      </c>
      <c r="G5696" s="20" t="str">
        <f>IFERROR(__xludf.DUMMYFUNCTION("""COMPUTED_VALUE"""),"Uncle Sams Cider (11/12/2021) 02")</f>
        <v>Uncle Sams Cider (11/12/2021) 02</v>
      </c>
      <c r="H5696" s="19"/>
    </row>
    <row r="5697">
      <c r="A5697" s="9"/>
      <c r="B5697" s="15"/>
      <c r="C5697" s="9">
        <f>IFERROR(__xludf.DUMMYFUNCTION("""COMPUTED_VALUE"""),44545.7026793402)</f>
        <v>44545.70268</v>
      </c>
      <c r="D5697" s="15">
        <f>IFERROR(__xludf.DUMMYFUNCTION("""COMPUTED_VALUE"""),1.022)</f>
        <v>1.022</v>
      </c>
      <c r="E5697" s="16">
        <f>IFERROR(__xludf.DUMMYFUNCTION("""COMPUTED_VALUE"""),63.0)</f>
        <v>63</v>
      </c>
      <c r="F5697" s="19" t="str">
        <f>IFERROR(__xludf.DUMMYFUNCTION("""COMPUTED_VALUE"""),"BLACK")</f>
        <v>BLACK</v>
      </c>
      <c r="G5697" s="20" t="str">
        <f>IFERROR(__xludf.DUMMYFUNCTION("""COMPUTED_VALUE"""),"Uncle Sams Cider (11/12/2021) 02")</f>
        <v>Uncle Sams Cider (11/12/2021) 02</v>
      </c>
      <c r="H5697" s="19"/>
    </row>
    <row r="5698">
      <c r="A5698" s="9"/>
      <c r="B5698" s="15"/>
      <c r="C5698" s="9">
        <f>IFERROR(__xludf.DUMMYFUNCTION("""COMPUTED_VALUE"""),44545.6922590972)</f>
        <v>44545.69226</v>
      </c>
      <c r="D5698" s="15">
        <f>IFERROR(__xludf.DUMMYFUNCTION("""COMPUTED_VALUE"""),1.022)</f>
        <v>1.022</v>
      </c>
      <c r="E5698" s="16">
        <f>IFERROR(__xludf.DUMMYFUNCTION("""COMPUTED_VALUE"""),63.0)</f>
        <v>63</v>
      </c>
      <c r="F5698" s="19" t="str">
        <f>IFERROR(__xludf.DUMMYFUNCTION("""COMPUTED_VALUE"""),"BLACK")</f>
        <v>BLACK</v>
      </c>
      <c r="G5698" s="20" t="str">
        <f>IFERROR(__xludf.DUMMYFUNCTION("""COMPUTED_VALUE"""),"Uncle Sams Cider (11/12/2021) 02")</f>
        <v>Uncle Sams Cider (11/12/2021) 02</v>
      </c>
      <c r="H5698" s="19"/>
    </row>
    <row r="5699">
      <c r="A5699" s="9"/>
      <c r="B5699" s="15"/>
      <c r="C5699" s="9">
        <f>IFERROR(__xludf.DUMMYFUNCTION("""COMPUTED_VALUE"""),44545.6818357986)</f>
        <v>44545.68184</v>
      </c>
      <c r="D5699" s="15">
        <f>IFERROR(__xludf.DUMMYFUNCTION("""COMPUTED_VALUE"""),1.022)</f>
        <v>1.022</v>
      </c>
      <c r="E5699" s="16">
        <f>IFERROR(__xludf.DUMMYFUNCTION("""COMPUTED_VALUE"""),63.0)</f>
        <v>63</v>
      </c>
      <c r="F5699" s="19" t="str">
        <f>IFERROR(__xludf.DUMMYFUNCTION("""COMPUTED_VALUE"""),"BLACK")</f>
        <v>BLACK</v>
      </c>
      <c r="G5699" s="20" t="str">
        <f>IFERROR(__xludf.DUMMYFUNCTION("""COMPUTED_VALUE"""),"Uncle Sams Cider (11/12/2021) 02")</f>
        <v>Uncle Sams Cider (11/12/2021) 02</v>
      </c>
      <c r="H5699" s="19"/>
    </row>
    <row r="5700">
      <c r="A5700" s="9"/>
      <c r="B5700" s="15"/>
      <c r="C5700" s="9">
        <f>IFERROR(__xludf.DUMMYFUNCTION("""COMPUTED_VALUE"""),44545.6714007523)</f>
        <v>44545.6714</v>
      </c>
      <c r="D5700" s="15">
        <f>IFERROR(__xludf.DUMMYFUNCTION("""COMPUTED_VALUE"""),1.022)</f>
        <v>1.022</v>
      </c>
      <c r="E5700" s="16">
        <f>IFERROR(__xludf.DUMMYFUNCTION("""COMPUTED_VALUE"""),63.0)</f>
        <v>63</v>
      </c>
      <c r="F5700" s="19" t="str">
        <f>IFERROR(__xludf.DUMMYFUNCTION("""COMPUTED_VALUE"""),"BLACK")</f>
        <v>BLACK</v>
      </c>
      <c r="G5700" s="20" t="str">
        <f>IFERROR(__xludf.DUMMYFUNCTION("""COMPUTED_VALUE"""),"Uncle Sams Cider (11/12/2021) 02")</f>
        <v>Uncle Sams Cider (11/12/2021) 02</v>
      </c>
      <c r="H5700" s="19"/>
    </row>
    <row r="5701">
      <c r="A5701" s="9"/>
      <c r="B5701" s="15"/>
      <c r="C5701" s="9">
        <f>IFERROR(__xludf.DUMMYFUNCTION("""COMPUTED_VALUE"""),44545.660979618)</f>
        <v>44545.66098</v>
      </c>
      <c r="D5701" s="15">
        <f>IFERROR(__xludf.DUMMYFUNCTION("""COMPUTED_VALUE"""),1.022)</f>
        <v>1.022</v>
      </c>
      <c r="E5701" s="16">
        <f>IFERROR(__xludf.DUMMYFUNCTION("""COMPUTED_VALUE"""),63.0)</f>
        <v>63</v>
      </c>
      <c r="F5701" s="19" t="str">
        <f>IFERROR(__xludf.DUMMYFUNCTION("""COMPUTED_VALUE"""),"BLACK")</f>
        <v>BLACK</v>
      </c>
      <c r="G5701" s="20" t="str">
        <f>IFERROR(__xludf.DUMMYFUNCTION("""COMPUTED_VALUE"""),"Uncle Sams Cider (11/12/2021) 02")</f>
        <v>Uncle Sams Cider (11/12/2021) 02</v>
      </c>
      <c r="H5701" s="19"/>
    </row>
    <row r="5702">
      <c r="A5702" s="9"/>
      <c r="B5702" s="15"/>
      <c r="C5702" s="9">
        <f>IFERROR(__xludf.DUMMYFUNCTION("""COMPUTED_VALUE"""),44545.6505475347)</f>
        <v>44545.65055</v>
      </c>
      <c r="D5702" s="15">
        <f>IFERROR(__xludf.DUMMYFUNCTION("""COMPUTED_VALUE"""),1.022)</f>
        <v>1.022</v>
      </c>
      <c r="E5702" s="16">
        <f>IFERROR(__xludf.DUMMYFUNCTION("""COMPUTED_VALUE"""),63.0)</f>
        <v>63</v>
      </c>
      <c r="F5702" s="19" t="str">
        <f>IFERROR(__xludf.DUMMYFUNCTION("""COMPUTED_VALUE"""),"BLACK")</f>
        <v>BLACK</v>
      </c>
      <c r="G5702" s="20" t="str">
        <f>IFERROR(__xludf.DUMMYFUNCTION("""COMPUTED_VALUE"""),"Uncle Sams Cider (11/12/2021) 02")</f>
        <v>Uncle Sams Cider (11/12/2021) 02</v>
      </c>
      <c r="H5702" s="19"/>
    </row>
    <row r="5703">
      <c r="A5703" s="9"/>
      <c r="B5703" s="15"/>
      <c r="C5703" s="9">
        <f>IFERROR(__xludf.DUMMYFUNCTION("""COMPUTED_VALUE"""),44545.6401270486)</f>
        <v>44545.64013</v>
      </c>
      <c r="D5703" s="15">
        <f>IFERROR(__xludf.DUMMYFUNCTION("""COMPUTED_VALUE"""),1.022)</f>
        <v>1.022</v>
      </c>
      <c r="E5703" s="16">
        <f>IFERROR(__xludf.DUMMYFUNCTION("""COMPUTED_VALUE"""),63.0)</f>
        <v>63</v>
      </c>
      <c r="F5703" s="19" t="str">
        <f>IFERROR(__xludf.DUMMYFUNCTION("""COMPUTED_VALUE"""),"BLACK")</f>
        <v>BLACK</v>
      </c>
      <c r="G5703" s="20" t="str">
        <f>IFERROR(__xludf.DUMMYFUNCTION("""COMPUTED_VALUE"""),"Uncle Sams Cider (11/12/2021) 02")</f>
        <v>Uncle Sams Cider (11/12/2021) 02</v>
      </c>
      <c r="H5703" s="19"/>
    </row>
    <row r="5704">
      <c r="A5704" s="9"/>
      <c r="B5704" s="15"/>
      <c r="C5704" s="9">
        <f>IFERROR(__xludf.DUMMYFUNCTION("""COMPUTED_VALUE"""),44545.6296946643)</f>
        <v>44545.62969</v>
      </c>
      <c r="D5704" s="15">
        <f>IFERROR(__xludf.DUMMYFUNCTION("""COMPUTED_VALUE"""),1.022)</f>
        <v>1.022</v>
      </c>
      <c r="E5704" s="16">
        <f>IFERROR(__xludf.DUMMYFUNCTION("""COMPUTED_VALUE"""),63.0)</f>
        <v>63</v>
      </c>
      <c r="F5704" s="19" t="str">
        <f>IFERROR(__xludf.DUMMYFUNCTION("""COMPUTED_VALUE"""),"BLACK")</f>
        <v>BLACK</v>
      </c>
      <c r="G5704" s="20" t="str">
        <f>IFERROR(__xludf.DUMMYFUNCTION("""COMPUTED_VALUE"""),"Uncle Sams Cider (11/12/2021) 02")</f>
        <v>Uncle Sams Cider (11/12/2021) 02</v>
      </c>
      <c r="H5704" s="19"/>
    </row>
    <row r="5705">
      <c r="A5705" s="9"/>
      <c r="B5705" s="15"/>
      <c r="C5705" s="9">
        <f>IFERROR(__xludf.DUMMYFUNCTION("""COMPUTED_VALUE"""),44545.619260405)</f>
        <v>44545.61926</v>
      </c>
      <c r="D5705" s="15">
        <f>IFERROR(__xludf.DUMMYFUNCTION("""COMPUTED_VALUE"""),1.022)</f>
        <v>1.022</v>
      </c>
      <c r="E5705" s="16">
        <f>IFERROR(__xludf.DUMMYFUNCTION("""COMPUTED_VALUE"""),63.0)</f>
        <v>63</v>
      </c>
      <c r="F5705" s="19" t="str">
        <f>IFERROR(__xludf.DUMMYFUNCTION("""COMPUTED_VALUE"""),"BLACK")</f>
        <v>BLACK</v>
      </c>
      <c r="G5705" s="20" t="str">
        <f>IFERROR(__xludf.DUMMYFUNCTION("""COMPUTED_VALUE"""),"Uncle Sams Cider (11/12/2021) 02")</f>
        <v>Uncle Sams Cider (11/12/2021) 02</v>
      </c>
      <c r="H5705" s="19"/>
    </row>
    <row r="5706">
      <c r="A5706" s="9"/>
      <c r="B5706" s="15"/>
      <c r="C5706" s="9">
        <f>IFERROR(__xludf.DUMMYFUNCTION("""COMPUTED_VALUE"""),44545.6088402314)</f>
        <v>44545.60884</v>
      </c>
      <c r="D5706" s="15">
        <f>IFERROR(__xludf.DUMMYFUNCTION("""COMPUTED_VALUE"""),1.022)</f>
        <v>1.022</v>
      </c>
      <c r="E5706" s="16">
        <f>IFERROR(__xludf.DUMMYFUNCTION("""COMPUTED_VALUE"""),63.0)</f>
        <v>63</v>
      </c>
      <c r="F5706" s="19" t="str">
        <f>IFERROR(__xludf.DUMMYFUNCTION("""COMPUTED_VALUE"""),"BLACK")</f>
        <v>BLACK</v>
      </c>
      <c r="G5706" s="20" t="str">
        <f>IFERROR(__xludf.DUMMYFUNCTION("""COMPUTED_VALUE"""),"Uncle Sams Cider (11/12/2021) 02")</f>
        <v>Uncle Sams Cider (11/12/2021) 02</v>
      </c>
      <c r="H5706" s="19"/>
    </row>
    <row r="5707">
      <c r="A5707" s="9"/>
      <c r="B5707" s="15"/>
      <c r="C5707" s="9">
        <f>IFERROR(__xludf.DUMMYFUNCTION("""COMPUTED_VALUE"""),44545.5984179861)</f>
        <v>44545.59842</v>
      </c>
      <c r="D5707" s="15">
        <f>IFERROR(__xludf.DUMMYFUNCTION("""COMPUTED_VALUE"""),1.022)</f>
        <v>1.022</v>
      </c>
      <c r="E5707" s="16">
        <f>IFERROR(__xludf.DUMMYFUNCTION("""COMPUTED_VALUE"""),63.0)</f>
        <v>63</v>
      </c>
      <c r="F5707" s="19" t="str">
        <f>IFERROR(__xludf.DUMMYFUNCTION("""COMPUTED_VALUE"""),"BLACK")</f>
        <v>BLACK</v>
      </c>
      <c r="G5707" s="20" t="str">
        <f>IFERROR(__xludf.DUMMYFUNCTION("""COMPUTED_VALUE"""),"Uncle Sams Cider (11/12/2021) 02")</f>
        <v>Uncle Sams Cider (11/12/2021) 02</v>
      </c>
      <c r="H5707" s="19"/>
    </row>
    <row r="5708">
      <c r="A5708" s="9"/>
      <c r="B5708" s="15"/>
      <c r="C5708" s="9">
        <f>IFERROR(__xludf.DUMMYFUNCTION("""COMPUTED_VALUE"""),44545.5879971412)</f>
        <v>44545.588</v>
      </c>
      <c r="D5708" s="15">
        <f>IFERROR(__xludf.DUMMYFUNCTION("""COMPUTED_VALUE"""),1.022)</f>
        <v>1.022</v>
      </c>
      <c r="E5708" s="16">
        <f>IFERROR(__xludf.DUMMYFUNCTION("""COMPUTED_VALUE"""),63.0)</f>
        <v>63</v>
      </c>
      <c r="F5708" s="19" t="str">
        <f>IFERROR(__xludf.DUMMYFUNCTION("""COMPUTED_VALUE"""),"BLACK")</f>
        <v>BLACK</v>
      </c>
      <c r="G5708" s="20" t="str">
        <f>IFERROR(__xludf.DUMMYFUNCTION("""COMPUTED_VALUE"""),"Uncle Sams Cider (11/12/2021) 02")</f>
        <v>Uncle Sams Cider (11/12/2021) 02</v>
      </c>
      <c r="H5708" s="19"/>
    </row>
    <row r="5709">
      <c r="A5709" s="9"/>
      <c r="B5709" s="15"/>
      <c r="C5709" s="9">
        <f>IFERROR(__xludf.DUMMYFUNCTION("""COMPUTED_VALUE"""),44545.5775757523)</f>
        <v>44545.57758</v>
      </c>
      <c r="D5709" s="15">
        <f>IFERROR(__xludf.DUMMYFUNCTION("""COMPUTED_VALUE"""),1.022)</f>
        <v>1.022</v>
      </c>
      <c r="E5709" s="16">
        <f>IFERROR(__xludf.DUMMYFUNCTION("""COMPUTED_VALUE"""),63.0)</f>
        <v>63</v>
      </c>
      <c r="F5709" s="19" t="str">
        <f>IFERROR(__xludf.DUMMYFUNCTION("""COMPUTED_VALUE"""),"BLACK")</f>
        <v>BLACK</v>
      </c>
      <c r="G5709" s="20" t="str">
        <f>IFERROR(__xludf.DUMMYFUNCTION("""COMPUTED_VALUE"""),"Uncle Sams Cider (11/12/2021) 02")</f>
        <v>Uncle Sams Cider (11/12/2021) 02</v>
      </c>
      <c r="H5709" s="19"/>
    </row>
    <row r="5710">
      <c r="A5710" s="9"/>
      <c r="B5710" s="15"/>
      <c r="C5710" s="9">
        <f>IFERROR(__xludf.DUMMYFUNCTION("""COMPUTED_VALUE"""),44545.567129074)</f>
        <v>44545.56713</v>
      </c>
      <c r="D5710" s="15">
        <f>IFERROR(__xludf.DUMMYFUNCTION("""COMPUTED_VALUE"""),1.022)</f>
        <v>1.022</v>
      </c>
      <c r="E5710" s="16">
        <f>IFERROR(__xludf.DUMMYFUNCTION("""COMPUTED_VALUE"""),63.0)</f>
        <v>63</v>
      </c>
      <c r="F5710" s="19" t="str">
        <f>IFERROR(__xludf.DUMMYFUNCTION("""COMPUTED_VALUE"""),"BLACK")</f>
        <v>BLACK</v>
      </c>
      <c r="G5710" s="20" t="str">
        <f>IFERROR(__xludf.DUMMYFUNCTION("""COMPUTED_VALUE"""),"Uncle Sams Cider (11/12/2021) 02")</f>
        <v>Uncle Sams Cider (11/12/2021) 02</v>
      </c>
      <c r="H5710" s="19"/>
    </row>
    <row r="5711">
      <c r="A5711" s="9"/>
      <c r="B5711" s="15"/>
      <c r="C5711" s="9">
        <f>IFERROR(__xludf.DUMMYFUNCTION("""COMPUTED_VALUE"""),44545.556708912)</f>
        <v>44545.55671</v>
      </c>
      <c r="D5711" s="15">
        <f>IFERROR(__xludf.DUMMYFUNCTION("""COMPUTED_VALUE"""),1.022)</f>
        <v>1.022</v>
      </c>
      <c r="E5711" s="16">
        <f>IFERROR(__xludf.DUMMYFUNCTION("""COMPUTED_VALUE"""),63.0)</f>
        <v>63</v>
      </c>
      <c r="F5711" s="19" t="str">
        <f>IFERROR(__xludf.DUMMYFUNCTION("""COMPUTED_VALUE"""),"BLACK")</f>
        <v>BLACK</v>
      </c>
      <c r="G5711" s="20" t="str">
        <f>IFERROR(__xludf.DUMMYFUNCTION("""COMPUTED_VALUE"""),"Uncle Sams Cider (11/12/2021) 02")</f>
        <v>Uncle Sams Cider (11/12/2021) 02</v>
      </c>
      <c r="H5711" s="19"/>
    </row>
    <row r="5712">
      <c r="A5712" s="9"/>
      <c r="B5712" s="15"/>
      <c r="C5712" s="9">
        <f>IFERROR(__xludf.DUMMYFUNCTION("""COMPUTED_VALUE"""),44545.5462428472)</f>
        <v>44545.54624</v>
      </c>
      <c r="D5712" s="15">
        <f>IFERROR(__xludf.DUMMYFUNCTION("""COMPUTED_VALUE"""),1.022)</f>
        <v>1.022</v>
      </c>
      <c r="E5712" s="16">
        <f>IFERROR(__xludf.DUMMYFUNCTION("""COMPUTED_VALUE"""),63.0)</f>
        <v>63</v>
      </c>
      <c r="F5712" s="19" t="str">
        <f>IFERROR(__xludf.DUMMYFUNCTION("""COMPUTED_VALUE"""),"BLACK")</f>
        <v>BLACK</v>
      </c>
      <c r="G5712" s="20" t="str">
        <f>IFERROR(__xludf.DUMMYFUNCTION("""COMPUTED_VALUE"""),"Uncle Sams Cider (11/12/2021) 02")</f>
        <v>Uncle Sams Cider (11/12/2021) 02</v>
      </c>
      <c r="H5712" s="19"/>
    </row>
    <row r="5713">
      <c r="A5713" s="9"/>
      <c r="B5713" s="15"/>
      <c r="C5713" s="9">
        <f>IFERROR(__xludf.DUMMYFUNCTION("""COMPUTED_VALUE"""),44545.535809456)</f>
        <v>44545.53581</v>
      </c>
      <c r="D5713" s="15">
        <f>IFERROR(__xludf.DUMMYFUNCTION("""COMPUTED_VALUE"""),1.022)</f>
        <v>1.022</v>
      </c>
      <c r="E5713" s="16">
        <f>IFERROR(__xludf.DUMMYFUNCTION("""COMPUTED_VALUE"""),63.0)</f>
        <v>63</v>
      </c>
      <c r="F5713" s="19" t="str">
        <f>IFERROR(__xludf.DUMMYFUNCTION("""COMPUTED_VALUE"""),"BLACK")</f>
        <v>BLACK</v>
      </c>
      <c r="G5713" s="20" t="str">
        <f>IFERROR(__xludf.DUMMYFUNCTION("""COMPUTED_VALUE"""),"Uncle Sams Cider (11/12/2021) 02")</f>
        <v>Uncle Sams Cider (11/12/2021) 02</v>
      </c>
      <c r="H5713" s="19"/>
    </row>
    <row r="5714">
      <c r="A5714" s="9"/>
      <c r="B5714" s="15"/>
      <c r="C5714" s="9">
        <f>IFERROR(__xludf.DUMMYFUNCTION("""COMPUTED_VALUE"""),44545.5253754976)</f>
        <v>44545.52538</v>
      </c>
      <c r="D5714" s="15">
        <f>IFERROR(__xludf.DUMMYFUNCTION("""COMPUTED_VALUE"""),1.022)</f>
        <v>1.022</v>
      </c>
      <c r="E5714" s="16">
        <f>IFERROR(__xludf.DUMMYFUNCTION("""COMPUTED_VALUE"""),63.0)</f>
        <v>63</v>
      </c>
      <c r="F5714" s="19" t="str">
        <f>IFERROR(__xludf.DUMMYFUNCTION("""COMPUTED_VALUE"""),"BLACK")</f>
        <v>BLACK</v>
      </c>
      <c r="G5714" s="20" t="str">
        <f>IFERROR(__xludf.DUMMYFUNCTION("""COMPUTED_VALUE"""),"Uncle Sams Cider (11/12/2021) 02")</f>
        <v>Uncle Sams Cider (11/12/2021) 02</v>
      </c>
      <c r="H5714" s="19"/>
    </row>
    <row r="5715">
      <c r="A5715" s="9"/>
      <c r="B5715" s="15"/>
      <c r="C5715" s="9">
        <f>IFERROR(__xludf.DUMMYFUNCTION("""COMPUTED_VALUE"""),44545.514943206)</f>
        <v>44545.51494</v>
      </c>
      <c r="D5715" s="15">
        <f>IFERROR(__xludf.DUMMYFUNCTION("""COMPUTED_VALUE"""),1.022)</f>
        <v>1.022</v>
      </c>
      <c r="E5715" s="16">
        <f>IFERROR(__xludf.DUMMYFUNCTION("""COMPUTED_VALUE"""),63.0)</f>
        <v>63</v>
      </c>
      <c r="F5715" s="19" t="str">
        <f>IFERROR(__xludf.DUMMYFUNCTION("""COMPUTED_VALUE"""),"BLACK")</f>
        <v>BLACK</v>
      </c>
      <c r="G5715" s="20" t="str">
        <f>IFERROR(__xludf.DUMMYFUNCTION("""COMPUTED_VALUE"""),"Uncle Sams Cider (11/12/2021) 02")</f>
        <v>Uncle Sams Cider (11/12/2021) 02</v>
      </c>
      <c r="H5715" s="19"/>
    </row>
    <row r="5716">
      <c r="A5716" s="9"/>
      <c r="B5716" s="15"/>
      <c r="C5716" s="9">
        <f>IFERROR(__xludf.DUMMYFUNCTION("""COMPUTED_VALUE"""),44545.5045086111)</f>
        <v>44545.50451</v>
      </c>
      <c r="D5716" s="15">
        <f>IFERROR(__xludf.DUMMYFUNCTION("""COMPUTED_VALUE"""),1.022)</f>
        <v>1.022</v>
      </c>
      <c r="E5716" s="16">
        <f>IFERROR(__xludf.DUMMYFUNCTION("""COMPUTED_VALUE"""),63.0)</f>
        <v>63</v>
      </c>
      <c r="F5716" s="19" t="str">
        <f>IFERROR(__xludf.DUMMYFUNCTION("""COMPUTED_VALUE"""),"BLACK")</f>
        <v>BLACK</v>
      </c>
      <c r="G5716" s="20" t="str">
        <f>IFERROR(__xludf.DUMMYFUNCTION("""COMPUTED_VALUE"""),"Uncle Sams Cider (11/12/2021) 02")</f>
        <v>Uncle Sams Cider (11/12/2021) 02</v>
      </c>
      <c r="H5716" s="19"/>
    </row>
    <row r="5717">
      <c r="A5717" s="9"/>
      <c r="B5717" s="15"/>
      <c r="C5717" s="9">
        <f>IFERROR(__xludf.DUMMYFUNCTION("""COMPUTED_VALUE"""),44545.4940868287)</f>
        <v>44545.49409</v>
      </c>
      <c r="D5717" s="15">
        <f>IFERROR(__xludf.DUMMYFUNCTION("""COMPUTED_VALUE"""),1.022)</f>
        <v>1.022</v>
      </c>
      <c r="E5717" s="16">
        <f>IFERROR(__xludf.DUMMYFUNCTION("""COMPUTED_VALUE"""),63.0)</f>
        <v>63</v>
      </c>
      <c r="F5717" s="19" t="str">
        <f>IFERROR(__xludf.DUMMYFUNCTION("""COMPUTED_VALUE"""),"BLACK")</f>
        <v>BLACK</v>
      </c>
      <c r="G5717" s="20" t="str">
        <f>IFERROR(__xludf.DUMMYFUNCTION("""COMPUTED_VALUE"""),"Uncle Sams Cider (11/12/2021) 02")</f>
        <v>Uncle Sams Cider (11/12/2021) 02</v>
      </c>
      <c r="H5717" s="19"/>
    </row>
    <row r="5718">
      <c r="A5718" s="9"/>
      <c r="B5718" s="15"/>
      <c r="C5718" s="9">
        <f>IFERROR(__xludf.DUMMYFUNCTION("""COMPUTED_VALUE"""),44545.4836640509)</f>
        <v>44545.48366</v>
      </c>
      <c r="D5718" s="15">
        <f>IFERROR(__xludf.DUMMYFUNCTION("""COMPUTED_VALUE"""),1.022)</f>
        <v>1.022</v>
      </c>
      <c r="E5718" s="16">
        <f>IFERROR(__xludf.DUMMYFUNCTION("""COMPUTED_VALUE"""),63.0)</f>
        <v>63</v>
      </c>
      <c r="F5718" s="19" t="str">
        <f>IFERROR(__xludf.DUMMYFUNCTION("""COMPUTED_VALUE"""),"BLACK")</f>
        <v>BLACK</v>
      </c>
      <c r="G5718" s="20" t="str">
        <f>IFERROR(__xludf.DUMMYFUNCTION("""COMPUTED_VALUE"""),"Uncle Sams Cider (11/12/2021) 02")</f>
        <v>Uncle Sams Cider (11/12/2021) 02</v>
      </c>
      <c r="H5718" s="19"/>
    </row>
    <row r="5719">
      <c r="A5719" s="9"/>
      <c r="B5719" s="15"/>
      <c r="C5719" s="9">
        <f>IFERROR(__xludf.DUMMYFUNCTION("""COMPUTED_VALUE"""),44545.4732426504)</f>
        <v>44545.47324</v>
      </c>
      <c r="D5719" s="15">
        <f>IFERROR(__xludf.DUMMYFUNCTION("""COMPUTED_VALUE"""),1.022)</f>
        <v>1.022</v>
      </c>
      <c r="E5719" s="16">
        <f>IFERROR(__xludf.DUMMYFUNCTION("""COMPUTED_VALUE"""),63.0)</f>
        <v>63</v>
      </c>
      <c r="F5719" s="19" t="str">
        <f>IFERROR(__xludf.DUMMYFUNCTION("""COMPUTED_VALUE"""),"BLACK")</f>
        <v>BLACK</v>
      </c>
      <c r="G5719" s="20" t="str">
        <f>IFERROR(__xludf.DUMMYFUNCTION("""COMPUTED_VALUE"""),"Uncle Sams Cider (11/12/2021) 02")</f>
        <v>Uncle Sams Cider (11/12/2021) 02</v>
      </c>
      <c r="H5719" s="19"/>
    </row>
    <row r="5720">
      <c r="A5720" s="9"/>
      <c r="B5720" s="15"/>
      <c r="C5720" s="9">
        <f>IFERROR(__xludf.DUMMYFUNCTION("""COMPUTED_VALUE"""),44545.4628229282)</f>
        <v>44545.46282</v>
      </c>
      <c r="D5720" s="15">
        <f>IFERROR(__xludf.DUMMYFUNCTION("""COMPUTED_VALUE"""),1.022)</f>
        <v>1.022</v>
      </c>
      <c r="E5720" s="16">
        <f>IFERROR(__xludf.DUMMYFUNCTION("""COMPUTED_VALUE"""),63.0)</f>
        <v>63</v>
      </c>
      <c r="F5720" s="19" t="str">
        <f>IFERROR(__xludf.DUMMYFUNCTION("""COMPUTED_VALUE"""),"BLACK")</f>
        <v>BLACK</v>
      </c>
      <c r="G5720" s="20" t="str">
        <f>IFERROR(__xludf.DUMMYFUNCTION("""COMPUTED_VALUE"""),"Uncle Sams Cider (11/12/2021) 02")</f>
        <v>Uncle Sams Cider (11/12/2021) 02</v>
      </c>
      <c r="H5720" s="19"/>
    </row>
    <row r="5721">
      <c r="A5721" s="9"/>
      <c r="B5721" s="15"/>
      <c r="C5721" s="9">
        <f>IFERROR(__xludf.DUMMYFUNCTION("""COMPUTED_VALUE"""),44545.4523905092)</f>
        <v>44545.45239</v>
      </c>
      <c r="D5721" s="15">
        <f>IFERROR(__xludf.DUMMYFUNCTION("""COMPUTED_VALUE"""),1.022)</f>
        <v>1.022</v>
      </c>
      <c r="E5721" s="16">
        <f>IFERROR(__xludf.DUMMYFUNCTION("""COMPUTED_VALUE"""),63.0)</f>
        <v>63</v>
      </c>
      <c r="F5721" s="19" t="str">
        <f>IFERROR(__xludf.DUMMYFUNCTION("""COMPUTED_VALUE"""),"BLACK")</f>
        <v>BLACK</v>
      </c>
      <c r="G5721" s="20" t="str">
        <f>IFERROR(__xludf.DUMMYFUNCTION("""COMPUTED_VALUE"""),"Uncle Sams Cider (11/12/2021) 02")</f>
        <v>Uncle Sams Cider (11/12/2021) 02</v>
      </c>
      <c r="H5721" s="19"/>
    </row>
    <row r="5722">
      <c r="A5722" s="9"/>
      <c r="B5722" s="15"/>
      <c r="C5722" s="9">
        <f>IFERROR(__xludf.DUMMYFUNCTION("""COMPUTED_VALUE"""),44545.4419692476)</f>
        <v>44545.44197</v>
      </c>
      <c r="D5722" s="15">
        <f>IFERROR(__xludf.DUMMYFUNCTION("""COMPUTED_VALUE"""),1.022)</f>
        <v>1.022</v>
      </c>
      <c r="E5722" s="16">
        <f>IFERROR(__xludf.DUMMYFUNCTION("""COMPUTED_VALUE"""),63.0)</f>
        <v>63</v>
      </c>
      <c r="F5722" s="19" t="str">
        <f>IFERROR(__xludf.DUMMYFUNCTION("""COMPUTED_VALUE"""),"BLACK")</f>
        <v>BLACK</v>
      </c>
      <c r="G5722" s="20" t="str">
        <f>IFERROR(__xludf.DUMMYFUNCTION("""COMPUTED_VALUE"""),"Uncle Sams Cider (11/12/2021) 02")</f>
        <v>Uncle Sams Cider (11/12/2021) 02</v>
      </c>
      <c r="H5722" s="19"/>
    </row>
    <row r="5723">
      <c r="A5723" s="9"/>
      <c r="B5723" s="15"/>
      <c r="C5723" s="9">
        <f>IFERROR(__xludf.DUMMYFUNCTION("""COMPUTED_VALUE"""),44545.4315244675)</f>
        <v>44545.43152</v>
      </c>
      <c r="D5723" s="15">
        <f>IFERROR(__xludf.DUMMYFUNCTION("""COMPUTED_VALUE"""),1.022)</f>
        <v>1.022</v>
      </c>
      <c r="E5723" s="16">
        <f>IFERROR(__xludf.DUMMYFUNCTION("""COMPUTED_VALUE"""),63.0)</f>
        <v>63</v>
      </c>
      <c r="F5723" s="19" t="str">
        <f>IFERROR(__xludf.DUMMYFUNCTION("""COMPUTED_VALUE"""),"BLACK")</f>
        <v>BLACK</v>
      </c>
      <c r="G5723" s="20" t="str">
        <f>IFERROR(__xludf.DUMMYFUNCTION("""COMPUTED_VALUE"""),"Uncle Sams Cider (11/12/2021) 02")</f>
        <v>Uncle Sams Cider (11/12/2021) 02</v>
      </c>
      <c r="H5723" s="19"/>
    </row>
    <row r="5724">
      <c r="A5724" s="9"/>
      <c r="B5724" s="15"/>
      <c r="C5724" s="9">
        <f>IFERROR(__xludf.DUMMYFUNCTION("""COMPUTED_VALUE"""),44545.4210910185)</f>
        <v>44545.42109</v>
      </c>
      <c r="D5724" s="15">
        <f>IFERROR(__xludf.DUMMYFUNCTION("""COMPUTED_VALUE"""),1.022)</f>
        <v>1.022</v>
      </c>
      <c r="E5724" s="16">
        <f>IFERROR(__xludf.DUMMYFUNCTION("""COMPUTED_VALUE"""),63.0)</f>
        <v>63</v>
      </c>
      <c r="F5724" s="19" t="str">
        <f>IFERROR(__xludf.DUMMYFUNCTION("""COMPUTED_VALUE"""),"BLACK")</f>
        <v>BLACK</v>
      </c>
      <c r="G5724" s="20" t="str">
        <f>IFERROR(__xludf.DUMMYFUNCTION("""COMPUTED_VALUE"""),"Uncle Sams Cider (11/12/2021) 02")</f>
        <v>Uncle Sams Cider (11/12/2021) 02</v>
      </c>
      <c r="H5724" s="19"/>
    </row>
    <row r="5725">
      <c r="A5725" s="9"/>
      <c r="B5725" s="15"/>
      <c r="C5725" s="9">
        <f>IFERROR(__xludf.DUMMYFUNCTION("""COMPUTED_VALUE"""),44545.4106715393)</f>
        <v>44545.41067</v>
      </c>
      <c r="D5725" s="15">
        <f>IFERROR(__xludf.DUMMYFUNCTION("""COMPUTED_VALUE"""),1.022)</f>
        <v>1.022</v>
      </c>
      <c r="E5725" s="16">
        <f>IFERROR(__xludf.DUMMYFUNCTION("""COMPUTED_VALUE"""),63.0)</f>
        <v>63</v>
      </c>
      <c r="F5725" s="19" t="str">
        <f>IFERROR(__xludf.DUMMYFUNCTION("""COMPUTED_VALUE"""),"BLACK")</f>
        <v>BLACK</v>
      </c>
      <c r="G5725" s="20" t="str">
        <f>IFERROR(__xludf.DUMMYFUNCTION("""COMPUTED_VALUE"""),"Uncle Sams Cider (11/12/2021) 02")</f>
        <v>Uncle Sams Cider (11/12/2021) 02</v>
      </c>
      <c r="H5725" s="19"/>
    </row>
    <row r="5726">
      <c r="A5726" s="9"/>
      <c r="B5726" s="15"/>
      <c r="C5726" s="9">
        <f>IFERROR(__xludf.DUMMYFUNCTION("""COMPUTED_VALUE"""),44545.4002512152)</f>
        <v>44545.40025</v>
      </c>
      <c r="D5726" s="15">
        <f>IFERROR(__xludf.DUMMYFUNCTION("""COMPUTED_VALUE"""),1.022)</f>
        <v>1.022</v>
      </c>
      <c r="E5726" s="16">
        <f>IFERROR(__xludf.DUMMYFUNCTION("""COMPUTED_VALUE"""),63.0)</f>
        <v>63</v>
      </c>
      <c r="F5726" s="19" t="str">
        <f>IFERROR(__xludf.DUMMYFUNCTION("""COMPUTED_VALUE"""),"BLACK")</f>
        <v>BLACK</v>
      </c>
      <c r="G5726" s="20" t="str">
        <f>IFERROR(__xludf.DUMMYFUNCTION("""COMPUTED_VALUE"""),"Uncle Sams Cider (11/12/2021) 02")</f>
        <v>Uncle Sams Cider (11/12/2021) 02</v>
      </c>
      <c r="H5726" s="19"/>
    </row>
    <row r="5727">
      <c r="A5727" s="9"/>
      <c r="B5727" s="15"/>
      <c r="C5727" s="9">
        <f>IFERROR(__xludf.DUMMYFUNCTION("""COMPUTED_VALUE"""),44545.3898181134)</f>
        <v>44545.38982</v>
      </c>
      <c r="D5727" s="15">
        <f>IFERROR(__xludf.DUMMYFUNCTION("""COMPUTED_VALUE"""),1.022)</f>
        <v>1.022</v>
      </c>
      <c r="E5727" s="16">
        <f>IFERROR(__xludf.DUMMYFUNCTION("""COMPUTED_VALUE"""),63.0)</f>
        <v>63</v>
      </c>
      <c r="F5727" s="19" t="str">
        <f>IFERROR(__xludf.DUMMYFUNCTION("""COMPUTED_VALUE"""),"BLACK")</f>
        <v>BLACK</v>
      </c>
      <c r="G5727" s="20" t="str">
        <f>IFERROR(__xludf.DUMMYFUNCTION("""COMPUTED_VALUE"""),"Uncle Sams Cider (11/12/2021) 02")</f>
        <v>Uncle Sams Cider (11/12/2021) 02</v>
      </c>
      <c r="H5727" s="19"/>
    </row>
    <row r="5728">
      <c r="A5728" s="9"/>
      <c r="B5728" s="15"/>
      <c r="C5728" s="9">
        <f>IFERROR(__xludf.DUMMYFUNCTION("""COMPUTED_VALUE"""),44545.3793974768)</f>
        <v>44545.3794</v>
      </c>
      <c r="D5728" s="15">
        <f>IFERROR(__xludf.DUMMYFUNCTION("""COMPUTED_VALUE"""),1.022)</f>
        <v>1.022</v>
      </c>
      <c r="E5728" s="16">
        <f>IFERROR(__xludf.DUMMYFUNCTION("""COMPUTED_VALUE"""),63.0)</f>
        <v>63</v>
      </c>
      <c r="F5728" s="19" t="str">
        <f>IFERROR(__xludf.DUMMYFUNCTION("""COMPUTED_VALUE"""),"BLACK")</f>
        <v>BLACK</v>
      </c>
      <c r="G5728" s="20" t="str">
        <f>IFERROR(__xludf.DUMMYFUNCTION("""COMPUTED_VALUE"""),"Uncle Sams Cider (11/12/2021) 02")</f>
        <v>Uncle Sams Cider (11/12/2021) 02</v>
      </c>
      <c r="H5728" s="19"/>
    </row>
    <row r="5729">
      <c r="A5729" s="9"/>
      <c r="B5729" s="15"/>
      <c r="C5729" s="9">
        <f>IFERROR(__xludf.DUMMYFUNCTION("""COMPUTED_VALUE"""),44545.3689780439)</f>
        <v>44545.36898</v>
      </c>
      <c r="D5729" s="15">
        <f>IFERROR(__xludf.DUMMYFUNCTION("""COMPUTED_VALUE"""),1.022)</f>
        <v>1.022</v>
      </c>
      <c r="E5729" s="16">
        <f>IFERROR(__xludf.DUMMYFUNCTION("""COMPUTED_VALUE"""),63.0)</f>
        <v>63</v>
      </c>
      <c r="F5729" s="19" t="str">
        <f>IFERROR(__xludf.DUMMYFUNCTION("""COMPUTED_VALUE"""),"BLACK")</f>
        <v>BLACK</v>
      </c>
      <c r="G5729" s="20" t="str">
        <f>IFERROR(__xludf.DUMMYFUNCTION("""COMPUTED_VALUE"""),"Uncle Sams Cider (11/12/2021) 02")</f>
        <v>Uncle Sams Cider (11/12/2021) 02</v>
      </c>
      <c r="H5729" s="19"/>
    </row>
    <row r="5730">
      <c r="A5730" s="9"/>
      <c r="B5730" s="15"/>
      <c r="C5730" s="9">
        <f>IFERROR(__xludf.DUMMYFUNCTION("""COMPUTED_VALUE"""),44545.3585218055)</f>
        <v>44545.35852</v>
      </c>
      <c r="D5730" s="15">
        <f>IFERROR(__xludf.DUMMYFUNCTION("""COMPUTED_VALUE"""),1.022)</f>
        <v>1.022</v>
      </c>
      <c r="E5730" s="16">
        <f>IFERROR(__xludf.DUMMYFUNCTION("""COMPUTED_VALUE"""),63.0)</f>
        <v>63</v>
      </c>
      <c r="F5730" s="19" t="str">
        <f>IFERROR(__xludf.DUMMYFUNCTION("""COMPUTED_VALUE"""),"BLACK")</f>
        <v>BLACK</v>
      </c>
      <c r="G5730" s="20" t="str">
        <f>IFERROR(__xludf.DUMMYFUNCTION("""COMPUTED_VALUE"""),"Uncle Sams Cider (11/12/2021) 02")</f>
        <v>Uncle Sams Cider (11/12/2021) 02</v>
      </c>
      <c r="H5730" s="19"/>
    </row>
    <row r="5731">
      <c r="A5731" s="9"/>
      <c r="B5731" s="15"/>
      <c r="C5731" s="9">
        <f>IFERROR(__xludf.DUMMYFUNCTION("""COMPUTED_VALUE"""),44545.3481008449)</f>
        <v>44545.3481</v>
      </c>
      <c r="D5731" s="15">
        <f>IFERROR(__xludf.DUMMYFUNCTION("""COMPUTED_VALUE"""),1.023)</f>
        <v>1.023</v>
      </c>
      <c r="E5731" s="16">
        <f>IFERROR(__xludf.DUMMYFUNCTION("""COMPUTED_VALUE"""),63.0)</f>
        <v>63</v>
      </c>
      <c r="F5731" s="19" t="str">
        <f>IFERROR(__xludf.DUMMYFUNCTION("""COMPUTED_VALUE"""),"BLACK")</f>
        <v>BLACK</v>
      </c>
      <c r="G5731" s="20" t="str">
        <f>IFERROR(__xludf.DUMMYFUNCTION("""COMPUTED_VALUE"""),"Uncle Sams Cider (11/12/2021) 02")</f>
        <v>Uncle Sams Cider (11/12/2021) 02</v>
      </c>
      <c r="H5731" s="19"/>
    </row>
    <row r="5732">
      <c r="A5732" s="9"/>
      <c r="B5732" s="15"/>
      <c r="C5732" s="9">
        <f>IFERROR(__xludf.DUMMYFUNCTION("""COMPUTED_VALUE"""),44545.337680162)</f>
        <v>44545.33768</v>
      </c>
      <c r="D5732" s="15">
        <f>IFERROR(__xludf.DUMMYFUNCTION("""COMPUTED_VALUE"""),1.022)</f>
        <v>1.022</v>
      </c>
      <c r="E5732" s="16">
        <f>IFERROR(__xludf.DUMMYFUNCTION("""COMPUTED_VALUE"""),63.0)</f>
        <v>63</v>
      </c>
      <c r="F5732" s="19" t="str">
        <f>IFERROR(__xludf.DUMMYFUNCTION("""COMPUTED_VALUE"""),"BLACK")</f>
        <v>BLACK</v>
      </c>
      <c r="G5732" s="20" t="str">
        <f>IFERROR(__xludf.DUMMYFUNCTION("""COMPUTED_VALUE"""),"Uncle Sams Cider (11/12/2021) 02")</f>
        <v>Uncle Sams Cider (11/12/2021) 02</v>
      </c>
      <c r="H5732" s="19"/>
    </row>
    <row r="5733">
      <c r="A5733" s="9"/>
      <c r="B5733" s="15"/>
      <c r="C5733" s="9">
        <f>IFERROR(__xludf.DUMMYFUNCTION("""COMPUTED_VALUE"""),44545.3272470949)</f>
        <v>44545.32725</v>
      </c>
      <c r="D5733" s="15">
        <f>IFERROR(__xludf.DUMMYFUNCTION("""COMPUTED_VALUE"""),1.023)</f>
        <v>1.023</v>
      </c>
      <c r="E5733" s="16">
        <f>IFERROR(__xludf.DUMMYFUNCTION("""COMPUTED_VALUE"""),63.0)</f>
        <v>63</v>
      </c>
      <c r="F5733" s="19" t="str">
        <f>IFERROR(__xludf.DUMMYFUNCTION("""COMPUTED_VALUE"""),"BLACK")</f>
        <v>BLACK</v>
      </c>
      <c r="G5733" s="20" t="str">
        <f>IFERROR(__xludf.DUMMYFUNCTION("""COMPUTED_VALUE"""),"Uncle Sams Cider (11/12/2021) 02")</f>
        <v>Uncle Sams Cider (11/12/2021) 02</v>
      </c>
      <c r="H5733" s="19"/>
    </row>
    <row r="5734">
      <c r="A5734" s="9"/>
      <c r="B5734" s="15"/>
      <c r="C5734" s="9">
        <f>IFERROR(__xludf.DUMMYFUNCTION("""COMPUTED_VALUE"""),44545.3168276273)</f>
        <v>44545.31683</v>
      </c>
      <c r="D5734" s="15">
        <f>IFERROR(__xludf.DUMMYFUNCTION("""COMPUTED_VALUE"""),1.023)</f>
        <v>1.023</v>
      </c>
      <c r="E5734" s="16">
        <f>IFERROR(__xludf.DUMMYFUNCTION("""COMPUTED_VALUE"""),63.0)</f>
        <v>63</v>
      </c>
      <c r="F5734" s="19" t="str">
        <f>IFERROR(__xludf.DUMMYFUNCTION("""COMPUTED_VALUE"""),"BLACK")</f>
        <v>BLACK</v>
      </c>
      <c r="G5734" s="20" t="str">
        <f>IFERROR(__xludf.DUMMYFUNCTION("""COMPUTED_VALUE"""),"Uncle Sams Cider (11/12/2021) 02")</f>
        <v>Uncle Sams Cider (11/12/2021) 02</v>
      </c>
      <c r="H5734" s="19"/>
    </row>
    <row r="5735">
      <c r="A5735" s="9"/>
      <c r="B5735" s="15"/>
      <c r="C5735" s="9">
        <f>IFERROR(__xludf.DUMMYFUNCTION("""COMPUTED_VALUE"""),44545.3063923148)</f>
        <v>44545.30639</v>
      </c>
      <c r="D5735" s="15">
        <f>IFERROR(__xludf.DUMMYFUNCTION("""COMPUTED_VALUE"""),1.023)</f>
        <v>1.023</v>
      </c>
      <c r="E5735" s="16">
        <f>IFERROR(__xludf.DUMMYFUNCTION("""COMPUTED_VALUE"""),63.0)</f>
        <v>63</v>
      </c>
      <c r="F5735" s="19" t="str">
        <f>IFERROR(__xludf.DUMMYFUNCTION("""COMPUTED_VALUE"""),"BLACK")</f>
        <v>BLACK</v>
      </c>
      <c r="G5735" s="20" t="str">
        <f>IFERROR(__xludf.DUMMYFUNCTION("""COMPUTED_VALUE"""),"Uncle Sams Cider (11/12/2021) 02")</f>
        <v>Uncle Sams Cider (11/12/2021) 02</v>
      </c>
      <c r="H5735" s="19"/>
    </row>
    <row r="5736">
      <c r="A5736" s="9"/>
      <c r="B5736" s="15"/>
      <c r="C5736" s="9">
        <f>IFERROR(__xludf.DUMMYFUNCTION("""COMPUTED_VALUE"""),44545.2959472685)</f>
        <v>44545.29595</v>
      </c>
      <c r="D5736" s="15">
        <f>IFERROR(__xludf.DUMMYFUNCTION("""COMPUTED_VALUE"""),1.022)</f>
        <v>1.022</v>
      </c>
      <c r="E5736" s="16">
        <f>IFERROR(__xludf.DUMMYFUNCTION("""COMPUTED_VALUE"""),63.0)</f>
        <v>63</v>
      </c>
      <c r="F5736" s="19" t="str">
        <f>IFERROR(__xludf.DUMMYFUNCTION("""COMPUTED_VALUE"""),"BLACK")</f>
        <v>BLACK</v>
      </c>
      <c r="G5736" s="20" t="str">
        <f>IFERROR(__xludf.DUMMYFUNCTION("""COMPUTED_VALUE"""),"Uncle Sams Cider (11/12/2021) 02")</f>
        <v>Uncle Sams Cider (11/12/2021) 02</v>
      </c>
      <c r="H5736" s="19"/>
    </row>
    <row r="5737">
      <c r="A5737" s="9"/>
      <c r="B5737" s="15"/>
      <c r="C5737" s="9">
        <f>IFERROR(__xludf.DUMMYFUNCTION("""COMPUTED_VALUE"""),44545.2855238425)</f>
        <v>44545.28552</v>
      </c>
      <c r="D5737" s="15">
        <f>IFERROR(__xludf.DUMMYFUNCTION("""COMPUTED_VALUE"""),1.022)</f>
        <v>1.022</v>
      </c>
      <c r="E5737" s="16">
        <f>IFERROR(__xludf.DUMMYFUNCTION("""COMPUTED_VALUE"""),63.0)</f>
        <v>63</v>
      </c>
      <c r="F5737" s="19" t="str">
        <f>IFERROR(__xludf.DUMMYFUNCTION("""COMPUTED_VALUE"""),"BLACK")</f>
        <v>BLACK</v>
      </c>
      <c r="G5737" s="20" t="str">
        <f>IFERROR(__xludf.DUMMYFUNCTION("""COMPUTED_VALUE"""),"Uncle Sams Cider (11/12/2021) 02")</f>
        <v>Uncle Sams Cider (11/12/2021) 02</v>
      </c>
      <c r="H5737" s="19"/>
    </row>
    <row r="5738">
      <c r="A5738" s="9"/>
      <c r="B5738" s="15"/>
      <c r="C5738" s="9">
        <f>IFERROR(__xludf.DUMMYFUNCTION("""COMPUTED_VALUE"""),44545.275093287)</f>
        <v>44545.27509</v>
      </c>
      <c r="D5738" s="15">
        <f>IFERROR(__xludf.DUMMYFUNCTION("""COMPUTED_VALUE"""),1.023)</f>
        <v>1.023</v>
      </c>
      <c r="E5738" s="16">
        <f>IFERROR(__xludf.DUMMYFUNCTION("""COMPUTED_VALUE"""),63.0)</f>
        <v>63</v>
      </c>
      <c r="F5738" s="19" t="str">
        <f>IFERROR(__xludf.DUMMYFUNCTION("""COMPUTED_VALUE"""),"BLACK")</f>
        <v>BLACK</v>
      </c>
      <c r="G5738" s="20" t="str">
        <f>IFERROR(__xludf.DUMMYFUNCTION("""COMPUTED_VALUE"""),"Uncle Sams Cider (11/12/2021) 02")</f>
        <v>Uncle Sams Cider (11/12/2021) 02</v>
      </c>
      <c r="H5738" s="19"/>
    </row>
    <row r="5739">
      <c r="A5739" s="9"/>
      <c r="B5739" s="15"/>
      <c r="C5739" s="9">
        <f>IFERROR(__xludf.DUMMYFUNCTION("""COMPUTED_VALUE"""),44545.2646483333)</f>
        <v>44545.26465</v>
      </c>
      <c r="D5739" s="15">
        <f>IFERROR(__xludf.DUMMYFUNCTION("""COMPUTED_VALUE"""),1.023)</f>
        <v>1.023</v>
      </c>
      <c r="E5739" s="16">
        <f>IFERROR(__xludf.DUMMYFUNCTION("""COMPUTED_VALUE"""),63.0)</f>
        <v>63</v>
      </c>
      <c r="F5739" s="19" t="str">
        <f>IFERROR(__xludf.DUMMYFUNCTION("""COMPUTED_VALUE"""),"BLACK")</f>
        <v>BLACK</v>
      </c>
      <c r="G5739" s="20" t="str">
        <f>IFERROR(__xludf.DUMMYFUNCTION("""COMPUTED_VALUE"""),"Uncle Sams Cider (11/12/2021) 02")</f>
        <v>Uncle Sams Cider (11/12/2021) 02</v>
      </c>
      <c r="H5739" s="19"/>
    </row>
    <row r="5740">
      <c r="A5740" s="9"/>
      <c r="B5740" s="15"/>
      <c r="C5740" s="9">
        <f>IFERROR(__xludf.DUMMYFUNCTION("""COMPUTED_VALUE"""),44545.2542180555)</f>
        <v>44545.25422</v>
      </c>
      <c r="D5740" s="15">
        <f>IFERROR(__xludf.DUMMYFUNCTION("""COMPUTED_VALUE"""),1.023)</f>
        <v>1.023</v>
      </c>
      <c r="E5740" s="16">
        <f>IFERROR(__xludf.DUMMYFUNCTION("""COMPUTED_VALUE"""),63.0)</f>
        <v>63</v>
      </c>
      <c r="F5740" s="19" t="str">
        <f>IFERROR(__xludf.DUMMYFUNCTION("""COMPUTED_VALUE"""),"BLACK")</f>
        <v>BLACK</v>
      </c>
      <c r="G5740" s="20" t="str">
        <f>IFERROR(__xludf.DUMMYFUNCTION("""COMPUTED_VALUE"""),"Uncle Sams Cider (11/12/2021) 02")</f>
        <v>Uncle Sams Cider (11/12/2021) 02</v>
      </c>
      <c r="H5740" s="19"/>
    </row>
    <row r="5741">
      <c r="A5741" s="9"/>
      <c r="B5741" s="15"/>
      <c r="C5741" s="9">
        <f>IFERROR(__xludf.DUMMYFUNCTION("""COMPUTED_VALUE"""),44545.2437959143)</f>
        <v>44545.2438</v>
      </c>
      <c r="D5741" s="15">
        <f>IFERROR(__xludf.DUMMYFUNCTION("""COMPUTED_VALUE"""),1.023)</f>
        <v>1.023</v>
      </c>
      <c r="E5741" s="16">
        <f>IFERROR(__xludf.DUMMYFUNCTION("""COMPUTED_VALUE"""),63.0)</f>
        <v>63</v>
      </c>
      <c r="F5741" s="19" t="str">
        <f>IFERROR(__xludf.DUMMYFUNCTION("""COMPUTED_VALUE"""),"BLACK")</f>
        <v>BLACK</v>
      </c>
      <c r="G5741" s="20" t="str">
        <f>IFERROR(__xludf.DUMMYFUNCTION("""COMPUTED_VALUE"""),"Uncle Sams Cider (11/12/2021) 02")</f>
        <v>Uncle Sams Cider (11/12/2021) 02</v>
      </c>
      <c r="H5741" s="19"/>
    </row>
    <row r="5742">
      <c r="A5742" s="9"/>
      <c r="B5742" s="15"/>
      <c r="C5742" s="9">
        <f>IFERROR(__xludf.DUMMYFUNCTION("""COMPUTED_VALUE"""),44545.2333753125)</f>
        <v>44545.23338</v>
      </c>
      <c r="D5742" s="15">
        <f>IFERROR(__xludf.DUMMYFUNCTION("""COMPUTED_VALUE"""),1.023)</f>
        <v>1.023</v>
      </c>
      <c r="E5742" s="16">
        <f>IFERROR(__xludf.DUMMYFUNCTION("""COMPUTED_VALUE"""),63.0)</f>
        <v>63</v>
      </c>
      <c r="F5742" s="19" t="str">
        <f>IFERROR(__xludf.DUMMYFUNCTION("""COMPUTED_VALUE"""),"BLACK")</f>
        <v>BLACK</v>
      </c>
      <c r="G5742" s="20" t="str">
        <f>IFERROR(__xludf.DUMMYFUNCTION("""COMPUTED_VALUE"""),"Uncle Sams Cider (11/12/2021) 02")</f>
        <v>Uncle Sams Cider (11/12/2021) 02</v>
      </c>
      <c r="H5742" s="19"/>
    </row>
    <row r="5743">
      <c r="A5743" s="9"/>
      <c r="B5743" s="15"/>
      <c r="C5743" s="9">
        <f>IFERROR(__xludf.DUMMYFUNCTION("""COMPUTED_VALUE"""),44545.2229304976)</f>
        <v>44545.22293</v>
      </c>
      <c r="D5743" s="15">
        <f>IFERROR(__xludf.DUMMYFUNCTION("""COMPUTED_VALUE"""),1.023)</f>
        <v>1.023</v>
      </c>
      <c r="E5743" s="16">
        <f>IFERROR(__xludf.DUMMYFUNCTION("""COMPUTED_VALUE"""),63.0)</f>
        <v>63</v>
      </c>
      <c r="F5743" s="19" t="str">
        <f>IFERROR(__xludf.DUMMYFUNCTION("""COMPUTED_VALUE"""),"BLACK")</f>
        <v>BLACK</v>
      </c>
      <c r="G5743" s="20" t="str">
        <f>IFERROR(__xludf.DUMMYFUNCTION("""COMPUTED_VALUE"""),"Uncle Sams Cider (11/12/2021) 02")</f>
        <v>Uncle Sams Cider (11/12/2021) 02</v>
      </c>
      <c r="H5743" s="19"/>
    </row>
    <row r="5744">
      <c r="A5744" s="9"/>
      <c r="B5744" s="15"/>
      <c r="C5744" s="9">
        <f>IFERROR(__xludf.DUMMYFUNCTION("""COMPUTED_VALUE"""),44545.2124966435)</f>
        <v>44545.2125</v>
      </c>
      <c r="D5744" s="15">
        <f>IFERROR(__xludf.DUMMYFUNCTION("""COMPUTED_VALUE"""),1.023)</f>
        <v>1.023</v>
      </c>
      <c r="E5744" s="16">
        <f>IFERROR(__xludf.DUMMYFUNCTION("""COMPUTED_VALUE"""),63.0)</f>
        <v>63</v>
      </c>
      <c r="F5744" s="19" t="str">
        <f>IFERROR(__xludf.DUMMYFUNCTION("""COMPUTED_VALUE"""),"BLACK")</f>
        <v>BLACK</v>
      </c>
      <c r="G5744" s="20" t="str">
        <f>IFERROR(__xludf.DUMMYFUNCTION("""COMPUTED_VALUE"""),"Uncle Sams Cider (11/12/2021) 02")</f>
        <v>Uncle Sams Cider (11/12/2021) 02</v>
      </c>
      <c r="H5744" s="19"/>
    </row>
    <row r="5745">
      <c r="A5745" s="9"/>
      <c r="B5745" s="15"/>
      <c r="C5745" s="9">
        <f>IFERROR(__xludf.DUMMYFUNCTION("""COMPUTED_VALUE"""),44545.2020633217)</f>
        <v>44545.20206</v>
      </c>
      <c r="D5745" s="15">
        <f>IFERROR(__xludf.DUMMYFUNCTION("""COMPUTED_VALUE"""),1.023)</f>
        <v>1.023</v>
      </c>
      <c r="E5745" s="16">
        <f>IFERROR(__xludf.DUMMYFUNCTION("""COMPUTED_VALUE"""),63.0)</f>
        <v>63</v>
      </c>
      <c r="F5745" s="19" t="str">
        <f>IFERROR(__xludf.DUMMYFUNCTION("""COMPUTED_VALUE"""),"BLACK")</f>
        <v>BLACK</v>
      </c>
      <c r="G5745" s="20" t="str">
        <f>IFERROR(__xludf.DUMMYFUNCTION("""COMPUTED_VALUE"""),"Uncle Sams Cider (11/12/2021) 02")</f>
        <v>Uncle Sams Cider (11/12/2021) 02</v>
      </c>
      <c r="H5745" s="19"/>
    </row>
    <row r="5746">
      <c r="A5746" s="9"/>
      <c r="B5746" s="15"/>
      <c r="C5746" s="9">
        <f>IFERROR(__xludf.DUMMYFUNCTION("""COMPUTED_VALUE"""),44545.1916306018)</f>
        <v>44545.19163</v>
      </c>
      <c r="D5746" s="15">
        <f>IFERROR(__xludf.DUMMYFUNCTION("""COMPUTED_VALUE"""),1.023)</f>
        <v>1.023</v>
      </c>
      <c r="E5746" s="16">
        <f>IFERROR(__xludf.DUMMYFUNCTION("""COMPUTED_VALUE"""),63.0)</f>
        <v>63</v>
      </c>
      <c r="F5746" s="19" t="str">
        <f>IFERROR(__xludf.DUMMYFUNCTION("""COMPUTED_VALUE"""),"BLACK")</f>
        <v>BLACK</v>
      </c>
      <c r="G5746" s="20" t="str">
        <f>IFERROR(__xludf.DUMMYFUNCTION("""COMPUTED_VALUE"""),"Uncle Sams Cider (11/12/2021) 02")</f>
        <v>Uncle Sams Cider (11/12/2021) 02</v>
      </c>
      <c r="H5746" s="19"/>
    </row>
    <row r="5747">
      <c r="A5747" s="9"/>
      <c r="B5747" s="15"/>
      <c r="C5747" s="9">
        <f>IFERROR(__xludf.DUMMYFUNCTION("""COMPUTED_VALUE"""),44545.1811968055)</f>
        <v>44545.1812</v>
      </c>
      <c r="D5747" s="15">
        <f>IFERROR(__xludf.DUMMYFUNCTION("""COMPUTED_VALUE"""),1.023)</f>
        <v>1.023</v>
      </c>
      <c r="E5747" s="16">
        <f>IFERROR(__xludf.DUMMYFUNCTION("""COMPUTED_VALUE"""),63.0)</f>
        <v>63</v>
      </c>
      <c r="F5747" s="19" t="str">
        <f>IFERROR(__xludf.DUMMYFUNCTION("""COMPUTED_VALUE"""),"BLACK")</f>
        <v>BLACK</v>
      </c>
      <c r="G5747" s="20" t="str">
        <f>IFERROR(__xludf.DUMMYFUNCTION("""COMPUTED_VALUE"""),"Uncle Sams Cider (11/12/2021) 02")</f>
        <v>Uncle Sams Cider (11/12/2021) 02</v>
      </c>
      <c r="H5747" s="19"/>
    </row>
    <row r="5748">
      <c r="A5748" s="9"/>
      <c r="B5748" s="15"/>
      <c r="C5748" s="9">
        <f>IFERROR(__xludf.DUMMYFUNCTION("""COMPUTED_VALUE"""),44545.1707656365)</f>
        <v>44545.17077</v>
      </c>
      <c r="D5748" s="15">
        <f>IFERROR(__xludf.DUMMYFUNCTION("""COMPUTED_VALUE"""),1.023)</f>
        <v>1.023</v>
      </c>
      <c r="E5748" s="16">
        <f>IFERROR(__xludf.DUMMYFUNCTION("""COMPUTED_VALUE"""),63.0)</f>
        <v>63</v>
      </c>
      <c r="F5748" s="19" t="str">
        <f>IFERROR(__xludf.DUMMYFUNCTION("""COMPUTED_VALUE"""),"BLACK")</f>
        <v>BLACK</v>
      </c>
      <c r="G5748" s="20" t="str">
        <f>IFERROR(__xludf.DUMMYFUNCTION("""COMPUTED_VALUE"""),"Uncle Sams Cider (11/12/2021) 02")</f>
        <v>Uncle Sams Cider (11/12/2021) 02</v>
      </c>
      <c r="H5748" s="19"/>
    </row>
    <row r="5749">
      <c r="A5749" s="9"/>
      <c r="B5749" s="15"/>
      <c r="C5749" s="9">
        <f>IFERROR(__xludf.DUMMYFUNCTION("""COMPUTED_VALUE"""),44545.1603439351)</f>
        <v>44545.16034</v>
      </c>
      <c r="D5749" s="15">
        <f>IFERROR(__xludf.DUMMYFUNCTION("""COMPUTED_VALUE"""),1.023)</f>
        <v>1.023</v>
      </c>
      <c r="E5749" s="16">
        <f>IFERROR(__xludf.DUMMYFUNCTION("""COMPUTED_VALUE"""),63.0)</f>
        <v>63</v>
      </c>
      <c r="F5749" s="19" t="str">
        <f>IFERROR(__xludf.DUMMYFUNCTION("""COMPUTED_VALUE"""),"BLACK")</f>
        <v>BLACK</v>
      </c>
      <c r="G5749" s="20" t="str">
        <f>IFERROR(__xludf.DUMMYFUNCTION("""COMPUTED_VALUE"""),"Uncle Sams Cider (11/12/2021) 02")</f>
        <v>Uncle Sams Cider (11/12/2021) 02</v>
      </c>
      <c r="H5749" s="19"/>
    </row>
    <row r="5750">
      <c r="A5750" s="9"/>
      <c r="B5750" s="15"/>
      <c r="C5750" s="9">
        <f>IFERROR(__xludf.DUMMYFUNCTION("""COMPUTED_VALUE"""),44545.1499117592)</f>
        <v>44545.14991</v>
      </c>
      <c r="D5750" s="15">
        <f>IFERROR(__xludf.DUMMYFUNCTION("""COMPUTED_VALUE"""),1.023)</f>
        <v>1.023</v>
      </c>
      <c r="E5750" s="16">
        <f>IFERROR(__xludf.DUMMYFUNCTION("""COMPUTED_VALUE"""),63.0)</f>
        <v>63</v>
      </c>
      <c r="F5750" s="19" t="str">
        <f>IFERROR(__xludf.DUMMYFUNCTION("""COMPUTED_VALUE"""),"BLACK")</f>
        <v>BLACK</v>
      </c>
      <c r="G5750" s="20" t="str">
        <f>IFERROR(__xludf.DUMMYFUNCTION("""COMPUTED_VALUE"""),"Uncle Sams Cider (11/12/2021) 02")</f>
        <v>Uncle Sams Cider (11/12/2021) 02</v>
      </c>
      <c r="H5750" s="19"/>
    </row>
    <row r="5751">
      <c r="A5751" s="9"/>
      <c r="B5751" s="15"/>
      <c r="C5751" s="9">
        <f>IFERROR(__xludf.DUMMYFUNCTION("""COMPUTED_VALUE"""),44545.1394902083)</f>
        <v>44545.13949</v>
      </c>
      <c r="D5751" s="15">
        <f>IFERROR(__xludf.DUMMYFUNCTION("""COMPUTED_VALUE"""),1.023)</f>
        <v>1.023</v>
      </c>
      <c r="E5751" s="16">
        <f>IFERROR(__xludf.DUMMYFUNCTION("""COMPUTED_VALUE"""),63.0)</f>
        <v>63</v>
      </c>
      <c r="F5751" s="19" t="str">
        <f>IFERROR(__xludf.DUMMYFUNCTION("""COMPUTED_VALUE"""),"BLACK")</f>
        <v>BLACK</v>
      </c>
      <c r="G5751" s="20" t="str">
        <f>IFERROR(__xludf.DUMMYFUNCTION("""COMPUTED_VALUE"""),"Uncle Sams Cider (11/12/2021) 02")</f>
        <v>Uncle Sams Cider (11/12/2021) 02</v>
      </c>
      <c r="H5751" s="19"/>
    </row>
    <row r="5752">
      <c r="A5752" s="9"/>
      <c r="B5752" s="15"/>
      <c r="C5752" s="9">
        <f>IFERROR(__xludf.DUMMYFUNCTION("""COMPUTED_VALUE"""),44545.129068125)</f>
        <v>44545.12907</v>
      </c>
      <c r="D5752" s="15">
        <f>IFERROR(__xludf.DUMMYFUNCTION("""COMPUTED_VALUE"""),1.023)</f>
        <v>1.023</v>
      </c>
      <c r="E5752" s="16">
        <f>IFERROR(__xludf.DUMMYFUNCTION("""COMPUTED_VALUE"""),63.0)</f>
        <v>63</v>
      </c>
      <c r="F5752" s="19" t="str">
        <f>IFERROR(__xludf.DUMMYFUNCTION("""COMPUTED_VALUE"""),"BLACK")</f>
        <v>BLACK</v>
      </c>
      <c r="G5752" s="20" t="str">
        <f>IFERROR(__xludf.DUMMYFUNCTION("""COMPUTED_VALUE"""),"Uncle Sams Cider (11/12/2021) 02")</f>
        <v>Uncle Sams Cider (11/12/2021) 02</v>
      </c>
      <c r="H5752" s="19"/>
    </row>
    <row r="5753">
      <c r="A5753" s="9"/>
      <c r="B5753" s="15"/>
      <c r="C5753" s="9">
        <f>IFERROR(__xludf.DUMMYFUNCTION("""COMPUTED_VALUE"""),44545.1186352662)</f>
        <v>44545.11864</v>
      </c>
      <c r="D5753" s="15">
        <f>IFERROR(__xludf.DUMMYFUNCTION("""COMPUTED_VALUE"""),1.023)</f>
        <v>1.023</v>
      </c>
      <c r="E5753" s="16">
        <f>IFERROR(__xludf.DUMMYFUNCTION("""COMPUTED_VALUE"""),63.0)</f>
        <v>63</v>
      </c>
      <c r="F5753" s="19" t="str">
        <f>IFERROR(__xludf.DUMMYFUNCTION("""COMPUTED_VALUE"""),"BLACK")</f>
        <v>BLACK</v>
      </c>
      <c r="G5753" s="20" t="str">
        <f>IFERROR(__xludf.DUMMYFUNCTION("""COMPUTED_VALUE"""),"Uncle Sams Cider (11/12/2021) 02")</f>
        <v>Uncle Sams Cider (11/12/2021) 02</v>
      </c>
      <c r="H5753" s="19"/>
    </row>
    <row r="5754">
      <c r="A5754" s="9"/>
      <c r="B5754" s="15"/>
      <c r="C5754" s="9">
        <f>IFERROR(__xludf.DUMMYFUNCTION("""COMPUTED_VALUE"""),44545.1082025925)</f>
        <v>44545.1082</v>
      </c>
      <c r="D5754" s="15">
        <f>IFERROR(__xludf.DUMMYFUNCTION("""COMPUTED_VALUE"""),1.023)</f>
        <v>1.023</v>
      </c>
      <c r="E5754" s="16">
        <f>IFERROR(__xludf.DUMMYFUNCTION("""COMPUTED_VALUE"""),63.0)</f>
        <v>63</v>
      </c>
      <c r="F5754" s="19" t="str">
        <f>IFERROR(__xludf.DUMMYFUNCTION("""COMPUTED_VALUE"""),"BLACK")</f>
        <v>BLACK</v>
      </c>
      <c r="G5754" s="20" t="str">
        <f>IFERROR(__xludf.DUMMYFUNCTION("""COMPUTED_VALUE"""),"Uncle Sams Cider (11/12/2021) 02")</f>
        <v>Uncle Sams Cider (11/12/2021) 02</v>
      </c>
      <c r="H5754" s="19"/>
    </row>
    <row r="5755">
      <c r="A5755" s="9"/>
      <c r="B5755" s="15"/>
      <c r="C5755" s="9">
        <f>IFERROR(__xludf.DUMMYFUNCTION("""COMPUTED_VALUE"""),44545.0977685532)</f>
        <v>44545.09777</v>
      </c>
      <c r="D5755" s="15">
        <f>IFERROR(__xludf.DUMMYFUNCTION("""COMPUTED_VALUE"""),1.023)</f>
        <v>1.023</v>
      </c>
      <c r="E5755" s="16">
        <f>IFERROR(__xludf.DUMMYFUNCTION("""COMPUTED_VALUE"""),63.0)</f>
        <v>63</v>
      </c>
      <c r="F5755" s="19" t="str">
        <f>IFERROR(__xludf.DUMMYFUNCTION("""COMPUTED_VALUE"""),"BLACK")</f>
        <v>BLACK</v>
      </c>
      <c r="G5755" s="20" t="str">
        <f>IFERROR(__xludf.DUMMYFUNCTION("""COMPUTED_VALUE"""),"Uncle Sams Cider (11/12/2021) 02")</f>
        <v>Uncle Sams Cider (11/12/2021) 02</v>
      </c>
      <c r="H5755" s="19"/>
    </row>
    <row r="5756">
      <c r="A5756" s="9"/>
      <c r="B5756" s="15"/>
      <c r="C5756" s="9">
        <f>IFERROR(__xludf.DUMMYFUNCTION("""COMPUTED_VALUE"""),44545.0873118055)</f>
        <v>44545.08731</v>
      </c>
      <c r="D5756" s="15">
        <f>IFERROR(__xludf.DUMMYFUNCTION("""COMPUTED_VALUE"""),1.023)</f>
        <v>1.023</v>
      </c>
      <c r="E5756" s="16">
        <f>IFERROR(__xludf.DUMMYFUNCTION("""COMPUTED_VALUE"""),63.0)</f>
        <v>63</v>
      </c>
      <c r="F5756" s="19" t="str">
        <f>IFERROR(__xludf.DUMMYFUNCTION("""COMPUTED_VALUE"""),"BLACK")</f>
        <v>BLACK</v>
      </c>
      <c r="G5756" s="20" t="str">
        <f>IFERROR(__xludf.DUMMYFUNCTION("""COMPUTED_VALUE"""),"Uncle Sams Cider (11/12/2021) 02")</f>
        <v>Uncle Sams Cider (11/12/2021) 02</v>
      </c>
      <c r="H5756" s="19"/>
    </row>
    <row r="5757">
      <c r="A5757" s="9"/>
      <c r="B5757" s="15"/>
      <c r="C5757" s="9">
        <f>IFERROR(__xludf.DUMMYFUNCTION("""COMPUTED_VALUE"""),44545.0768793634)</f>
        <v>44545.07688</v>
      </c>
      <c r="D5757" s="15">
        <f>IFERROR(__xludf.DUMMYFUNCTION("""COMPUTED_VALUE"""),1.023)</f>
        <v>1.023</v>
      </c>
      <c r="E5757" s="16">
        <f>IFERROR(__xludf.DUMMYFUNCTION("""COMPUTED_VALUE"""),63.0)</f>
        <v>63</v>
      </c>
      <c r="F5757" s="19" t="str">
        <f>IFERROR(__xludf.DUMMYFUNCTION("""COMPUTED_VALUE"""),"BLACK")</f>
        <v>BLACK</v>
      </c>
      <c r="G5757" s="20" t="str">
        <f>IFERROR(__xludf.DUMMYFUNCTION("""COMPUTED_VALUE"""),"Uncle Sams Cider (11/12/2021) 02")</f>
        <v>Uncle Sams Cider (11/12/2021) 02</v>
      </c>
      <c r="H5757" s="19"/>
    </row>
    <row r="5758">
      <c r="A5758" s="9"/>
      <c r="B5758" s="15"/>
      <c r="C5758" s="9">
        <f>IFERROR(__xludf.DUMMYFUNCTION("""COMPUTED_VALUE"""),44545.0664568518)</f>
        <v>44545.06646</v>
      </c>
      <c r="D5758" s="15">
        <f>IFERROR(__xludf.DUMMYFUNCTION("""COMPUTED_VALUE"""),1.023)</f>
        <v>1.023</v>
      </c>
      <c r="E5758" s="16">
        <f>IFERROR(__xludf.DUMMYFUNCTION("""COMPUTED_VALUE"""),63.0)</f>
        <v>63</v>
      </c>
      <c r="F5758" s="19" t="str">
        <f>IFERROR(__xludf.DUMMYFUNCTION("""COMPUTED_VALUE"""),"BLACK")</f>
        <v>BLACK</v>
      </c>
      <c r="G5758" s="20" t="str">
        <f>IFERROR(__xludf.DUMMYFUNCTION("""COMPUTED_VALUE"""),"Uncle Sams Cider (11/12/2021) 02")</f>
        <v>Uncle Sams Cider (11/12/2021) 02</v>
      </c>
      <c r="H5758" s="19"/>
    </row>
    <row r="5759">
      <c r="A5759" s="9"/>
      <c r="B5759" s="15"/>
      <c r="C5759" s="9">
        <f>IFERROR(__xludf.DUMMYFUNCTION("""COMPUTED_VALUE"""),44545.0560343981)</f>
        <v>44545.05603</v>
      </c>
      <c r="D5759" s="15">
        <f>IFERROR(__xludf.DUMMYFUNCTION("""COMPUTED_VALUE"""),1.023)</f>
        <v>1.023</v>
      </c>
      <c r="E5759" s="16">
        <f>IFERROR(__xludf.DUMMYFUNCTION("""COMPUTED_VALUE"""),63.0)</f>
        <v>63</v>
      </c>
      <c r="F5759" s="19" t="str">
        <f>IFERROR(__xludf.DUMMYFUNCTION("""COMPUTED_VALUE"""),"BLACK")</f>
        <v>BLACK</v>
      </c>
      <c r="G5759" s="20" t="str">
        <f>IFERROR(__xludf.DUMMYFUNCTION("""COMPUTED_VALUE"""),"Uncle Sams Cider (11/12/2021) 02")</f>
        <v>Uncle Sams Cider (11/12/2021) 02</v>
      </c>
      <c r="H5759" s="19"/>
    </row>
    <row r="5760">
      <c r="A5760" s="9"/>
      <c r="B5760" s="15"/>
      <c r="C5760" s="9">
        <f>IFERROR(__xludf.DUMMYFUNCTION("""COMPUTED_VALUE"""),44545.0455531712)</f>
        <v>44545.04555</v>
      </c>
      <c r="D5760" s="15">
        <f>IFERROR(__xludf.DUMMYFUNCTION("""COMPUTED_VALUE"""),1.023)</f>
        <v>1.023</v>
      </c>
      <c r="E5760" s="16">
        <f>IFERROR(__xludf.DUMMYFUNCTION("""COMPUTED_VALUE"""),63.0)</f>
        <v>63</v>
      </c>
      <c r="F5760" s="19" t="str">
        <f>IFERROR(__xludf.DUMMYFUNCTION("""COMPUTED_VALUE"""),"BLACK")</f>
        <v>BLACK</v>
      </c>
      <c r="G5760" s="20" t="str">
        <f>IFERROR(__xludf.DUMMYFUNCTION("""COMPUTED_VALUE"""),"Uncle Sams Cider (11/12/2021) 02")</f>
        <v>Uncle Sams Cider (11/12/2021) 02</v>
      </c>
      <c r="H5760" s="19"/>
    </row>
    <row r="5761">
      <c r="A5761" s="9"/>
      <c r="B5761" s="15"/>
      <c r="C5761" s="9">
        <f>IFERROR(__xludf.DUMMYFUNCTION("""COMPUTED_VALUE"""),44545.0350641087)</f>
        <v>44545.03506</v>
      </c>
      <c r="D5761" s="15">
        <f>IFERROR(__xludf.DUMMYFUNCTION("""COMPUTED_VALUE"""),1.023)</f>
        <v>1.023</v>
      </c>
      <c r="E5761" s="16">
        <f>IFERROR(__xludf.DUMMYFUNCTION("""COMPUTED_VALUE"""),63.0)</f>
        <v>63</v>
      </c>
      <c r="F5761" s="19" t="str">
        <f>IFERROR(__xludf.DUMMYFUNCTION("""COMPUTED_VALUE"""),"BLACK")</f>
        <v>BLACK</v>
      </c>
      <c r="G5761" s="20" t="str">
        <f>IFERROR(__xludf.DUMMYFUNCTION("""COMPUTED_VALUE"""),"Uncle Sams Cider (11/12/2021) 02")</f>
        <v>Uncle Sams Cider (11/12/2021) 02</v>
      </c>
      <c r="H5761" s="19"/>
    </row>
    <row r="5762">
      <c r="A5762" s="9"/>
      <c r="B5762" s="15"/>
      <c r="C5762" s="9">
        <f>IFERROR(__xludf.DUMMYFUNCTION("""COMPUTED_VALUE"""),44545.0246315972)</f>
        <v>44545.02463</v>
      </c>
      <c r="D5762" s="15">
        <f>IFERROR(__xludf.DUMMYFUNCTION("""COMPUTED_VALUE"""),1.023)</f>
        <v>1.023</v>
      </c>
      <c r="E5762" s="16">
        <f>IFERROR(__xludf.DUMMYFUNCTION("""COMPUTED_VALUE"""),63.0)</f>
        <v>63</v>
      </c>
      <c r="F5762" s="19" t="str">
        <f>IFERROR(__xludf.DUMMYFUNCTION("""COMPUTED_VALUE"""),"BLACK")</f>
        <v>BLACK</v>
      </c>
      <c r="G5762" s="20" t="str">
        <f>IFERROR(__xludf.DUMMYFUNCTION("""COMPUTED_VALUE"""),"Uncle Sams Cider (11/12/2021) 02")</f>
        <v>Uncle Sams Cider (11/12/2021) 02</v>
      </c>
      <c r="H5762" s="19"/>
    </row>
    <row r="5763">
      <c r="A5763" s="9"/>
      <c r="B5763" s="15"/>
      <c r="C5763" s="9">
        <f>IFERROR(__xludf.DUMMYFUNCTION("""COMPUTED_VALUE"""),44545.0141984953)</f>
        <v>44545.0142</v>
      </c>
      <c r="D5763" s="15">
        <f>IFERROR(__xludf.DUMMYFUNCTION("""COMPUTED_VALUE"""),1.023)</f>
        <v>1.023</v>
      </c>
      <c r="E5763" s="16">
        <f>IFERROR(__xludf.DUMMYFUNCTION("""COMPUTED_VALUE"""),63.0)</f>
        <v>63</v>
      </c>
      <c r="F5763" s="19" t="str">
        <f>IFERROR(__xludf.DUMMYFUNCTION("""COMPUTED_VALUE"""),"BLACK")</f>
        <v>BLACK</v>
      </c>
      <c r="G5763" s="20" t="str">
        <f>IFERROR(__xludf.DUMMYFUNCTION("""COMPUTED_VALUE"""),"Uncle Sams Cider (11/12/2021) 02")</f>
        <v>Uncle Sams Cider (11/12/2021) 02</v>
      </c>
      <c r="H5763" s="19"/>
    </row>
    <row r="5764">
      <c r="A5764" s="9"/>
      <c r="B5764" s="15"/>
      <c r="C5764" s="9">
        <f>IFERROR(__xludf.DUMMYFUNCTION("""COMPUTED_VALUE"""),44545.0037551157)</f>
        <v>44545.00376</v>
      </c>
      <c r="D5764" s="15">
        <f>IFERROR(__xludf.DUMMYFUNCTION("""COMPUTED_VALUE"""),1.023)</f>
        <v>1.023</v>
      </c>
      <c r="E5764" s="16">
        <f>IFERROR(__xludf.DUMMYFUNCTION("""COMPUTED_VALUE"""),63.0)</f>
        <v>63</v>
      </c>
      <c r="F5764" s="19" t="str">
        <f>IFERROR(__xludf.DUMMYFUNCTION("""COMPUTED_VALUE"""),"BLACK")</f>
        <v>BLACK</v>
      </c>
      <c r="G5764" s="20" t="str">
        <f>IFERROR(__xludf.DUMMYFUNCTION("""COMPUTED_VALUE"""),"Uncle Sams Cider (11/12/2021) 02")</f>
        <v>Uncle Sams Cider (11/12/2021) 02</v>
      </c>
      <c r="H5764" s="19"/>
    </row>
    <row r="5765">
      <c r="A5765" s="9"/>
      <c r="B5765" s="15"/>
      <c r="C5765" s="9">
        <f>IFERROR(__xludf.DUMMYFUNCTION("""COMPUTED_VALUE"""),44544.9724665972)</f>
        <v>44544.97247</v>
      </c>
      <c r="D5765" s="15">
        <f>IFERROR(__xludf.DUMMYFUNCTION("""COMPUTED_VALUE"""),1.023)</f>
        <v>1.023</v>
      </c>
      <c r="E5765" s="16">
        <f>IFERROR(__xludf.DUMMYFUNCTION("""COMPUTED_VALUE"""),63.0)</f>
        <v>63</v>
      </c>
      <c r="F5765" s="19" t="str">
        <f>IFERROR(__xludf.DUMMYFUNCTION("""COMPUTED_VALUE"""),"BLACK")</f>
        <v>BLACK</v>
      </c>
      <c r="G5765" s="20" t="str">
        <f>IFERROR(__xludf.DUMMYFUNCTION("""COMPUTED_VALUE"""),"Uncle Sams Cider (11/12/2021) 02")</f>
        <v>Uncle Sams Cider (11/12/2021) 02</v>
      </c>
      <c r="H5765" s="19"/>
    </row>
    <row r="5766">
      <c r="A5766" s="9"/>
      <c r="B5766" s="15"/>
      <c r="C5766" s="9">
        <f>IFERROR(__xludf.DUMMYFUNCTION("""COMPUTED_VALUE"""),44544.962035)</f>
        <v>44544.96204</v>
      </c>
      <c r="D5766" s="15">
        <f>IFERROR(__xludf.DUMMYFUNCTION("""COMPUTED_VALUE"""),1.023)</f>
        <v>1.023</v>
      </c>
      <c r="E5766" s="16">
        <f>IFERROR(__xludf.DUMMYFUNCTION("""COMPUTED_VALUE"""),63.0)</f>
        <v>63</v>
      </c>
      <c r="F5766" s="19" t="str">
        <f>IFERROR(__xludf.DUMMYFUNCTION("""COMPUTED_VALUE"""),"BLACK")</f>
        <v>BLACK</v>
      </c>
      <c r="G5766" s="20" t="str">
        <f>IFERROR(__xludf.DUMMYFUNCTION("""COMPUTED_VALUE"""),"Uncle Sams Cider (11/12/2021) 02")</f>
        <v>Uncle Sams Cider (11/12/2021) 02</v>
      </c>
      <c r="H5766" s="19"/>
    </row>
    <row r="5767">
      <c r="A5767" s="9"/>
      <c r="B5767" s="15"/>
      <c r="C5767" s="9">
        <f>IFERROR(__xludf.DUMMYFUNCTION("""COMPUTED_VALUE"""),44544.9516141203)</f>
        <v>44544.95161</v>
      </c>
      <c r="D5767" s="15">
        <f>IFERROR(__xludf.DUMMYFUNCTION("""COMPUTED_VALUE"""),1.023)</f>
        <v>1.023</v>
      </c>
      <c r="E5767" s="16">
        <f>IFERROR(__xludf.DUMMYFUNCTION("""COMPUTED_VALUE"""),63.0)</f>
        <v>63</v>
      </c>
      <c r="F5767" s="19" t="str">
        <f>IFERROR(__xludf.DUMMYFUNCTION("""COMPUTED_VALUE"""),"BLACK")</f>
        <v>BLACK</v>
      </c>
      <c r="G5767" s="20" t="str">
        <f>IFERROR(__xludf.DUMMYFUNCTION("""COMPUTED_VALUE"""),"Uncle Sams Cider (11/12/2021) 02")</f>
        <v>Uncle Sams Cider (11/12/2021) 02</v>
      </c>
      <c r="H5767" s="19"/>
    </row>
    <row r="5768">
      <c r="A5768" s="9"/>
      <c r="B5768" s="15"/>
      <c r="C5768" s="9">
        <f>IFERROR(__xludf.DUMMYFUNCTION("""COMPUTED_VALUE"""),44544.9411939004)</f>
        <v>44544.94119</v>
      </c>
      <c r="D5768" s="15">
        <f>IFERROR(__xludf.DUMMYFUNCTION("""COMPUTED_VALUE"""),1.023)</f>
        <v>1.023</v>
      </c>
      <c r="E5768" s="16">
        <f>IFERROR(__xludf.DUMMYFUNCTION("""COMPUTED_VALUE"""),63.0)</f>
        <v>63</v>
      </c>
      <c r="F5768" s="19" t="str">
        <f>IFERROR(__xludf.DUMMYFUNCTION("""COMPUTED_VALUE"""),"BLACK")</f>
        <v>BLACK</v>
      </c>
      <c r="G5768" s="20" t="str">
        <f>IFERROR(__xludf.DUMMYFUNCTION("""COMPUTED_VALUE"""),"Uncle Sams Cider (11/12/2021) 02")</f>
        <v>Uncle Sams Cider (11/12/2021) 02</v>
      </c>
      <c r="H5768" s="19"/>
    </row>
    <row r="5769">
      <c r="A5769" s="9"/>
      <c r="B5769" s="15"/>
      <c r="C5769" s="9">
        <f>IFERROR(__xludf.DUMMYFUNCTION("""COMPUTED_VALUE"""),44544.9307613888)</f>
        <v>44544.93076</v>
      </c>
      <c r="D5769" s="15">
        <f>IFERROR(__xludf.DUMMYFUNCTION("""COMPUTED_VALUE"""),1.022)</f>
        <v>1.022</v>
      </c>
      <c r="E5769" s="16">
        <f>IFERROR(__xludf.DUMMYFUNCTION("""COMPUTED_VALUE"""),63.0)</f>
        <v>63</v>
      </c>
      <c r="F5769" s="19" t="str">
        <f>IFERROR(__xludf.DUMMYFUNCTION("""COMPUTED_VALUE"""),"BLACK")</f>
        <v>BLACK</v>
      </c>
      <c r="G5769" s="20" t="str">
        <f>IFERROR(__xludf.DUMMYFUNCTION("""COMPUTED_VALUE"""),"Uncle Sams Cider (11/12/2021) 02")</f>
        <v>Uncle Sams Cider (11/12/2021) 02</v>
      </c>
      <c r="H5769" s="19"/>
    </row>
    <row r="5770">
      <c r="A5770" s="9"/>
      <c r="B5770" s="15"/>
      <c r="C5770" s="9">
        <f>IFERROR(__xludf.DUMMYFUNCTION("""COMPUTED_VALUE"""),44544.9203387963)</f>
        <v>44544.92034</v>
      </c>
      <c r="D5770" s="15">
        <f>IFERROR(__xludf.DUMMYFUNCTION("""COMPUTED_VALUE"""),1.023)</f>
        <v>1.023</v>
      </c>
      <c r="E5770" s="16">
        <f>IFERROR(__xludf.DUMMYFUNCTION("""COMPUTED_VALUE"""),63.0)</f>
        <v>63</v>
      </c>
      <c r="F5770" s="19" t="str">
        <f>IFERROR(__xludf.DUMMYFUNCTION("""COMPUTED_VALUE"""),"BLACK")</f>
        <v>BLACK</v>
      </c>
      <c r="G5770" s="20" t="str">
        <f>IFERROR(__xludf.DUMMYFUNCTION("""COMPUTED_VALUE"""),"Uncle Sams Cider (11/12/2021) 02")</f>
        <v>Uncle Sams Cider (11/12/2021) 02</v>
      </c>
      <c r="H5770" s="19"/>
    </row>
    <row r="5771">
      <c r="A5771" s="9"/>
      <c r="B5771" s="15"/>
      <c r="C5771" s="9">
        <f>IFERROR(__xludf.DUMMYFUNCTION("""COMPUTED_VALUE"""),44544.9099077083)</f>
        <v>44544.90991</v>
      </c>
      <c r="D5771" s="15">
        <f>IFERROR(__xludf.DUMMYFUNCTION("""COMPUTED_VALUE"""),1.022)</f>
        <v>1.022</v>
      </c>
      <c r="E5771" s="16">
        <f>IFERROR(__xludf.DUMMYFUNCTION("""COMPUTED_VALUE"""),63.0)</f>
        <v>63</v>
      </c>
      <c r="F5771" s="19" t="str">
        <f>IFERROR(__xludf.DUMMYFUNCTION("""COMPUTED_VALUE"""),"BLACK")</f>
        <v>BLACK</v>
      </c>
      <c r="G5771" s="20" t="str">
        <f>IFERROR(__xludf.DUMMYFUNCTION("""COMPUTED_VALUE"""),"Uncle Sams Cider (11/12/2021) 02")</f>
        <v>Uncle Sams Cider (11/12/2021) 02</v>
      </c>
      <c r="H5771" s="19"/>
    </row>
    <row r="5772">
      <c r="A5772" s="9"/>
      <c r="B5772" s="15"/>
      <c r="C5772" s="9">
        <f>IFERROR(__xludf.DUMMYFUNCTION("""COMPUTED_VALUE"""),44544.8994736689)</f>
        <v>44544.89947</v>
      </c>
      <c r="D5772" s="15">
        <f>IFERROR(__xludf.DUMMYFUNCTION("""COMPUTED_VALUE"""),1.022)</f>
        <v>1.022</v>
      </c>
      <c r="E5772" s="16">
        <f>IFERROR(__xludf.DUMMYFUNCTION("""COMPUTED_VALUE"""),63.0)</f>
        <v>63</v>
      </c>
      <c r="F5772" s="19" t="str">
        <f>IFERROR(__xludf.DUMMYFUNCTION("""COMPUTED_VALUE"""),"BLACK")</f>
        <v>BLACK</v>
      </c>
      <c r="G5772" s="20" t="str">
        <f>IFERROR(__xludf.DUMMYFUNCTION("""COMPUTED_VALUE"""),"Uncle Sams Cider (11/12/2021) 02")</f>
        <v>Uncle Sams Cider (11/12/2021) 02</v>
      </c>
      <c r="H5772" s="19"/>
    </row>
    <row r="5773">
      <c r="A5773" s="9"/>
      <c r="B5773" s="15"/>
      <c r="C5773" s="9">
        <f>IFERROR(__xludf.DUMMYFUNCTION("""COMPUTED_VALUE"""),44544.8890526504)</f>
        <v>44544.88905</v>
      </c>
      <c r="D5773" s="15">
        <f>IFERROR(__xludf.DUMMYFUNCTION("""COMPUTED_VALUE"""),1.023)</f>
        <v>1.023</v>
      </c>
      <c r="E5773" s="16">
        <f>IFERROR(__xludf.DUMMYFUNCTION("""COMPUTED_VALUE"""),63.0)</f>
        <v>63</v>
      </c>
      <c r="F5773" s="19" t="str">
        <f>IFERROR(__xludf.DUMMYFUNCTION("""COMPUTED_VALUE"""),"BLACK")</f>
        <v>BLACK</v>
      </c>
      <c r="G5773" s="20" t="str">
        <f>IFERROR(__xludf.DUMMYFUNCTION("""COMPUTED_VALUE"""),"Uncle Sams Cider (11/12/2021) 02")</f>
        <v>Uncle Sams Cider (11/12/2021) 02</v>
      </c>
      <c r="H5773" s="19"/>
    </row>
    <row r="5774">
      <c r="A5774" s="9"/>
      <c r="B5774" s="15"/>
      <c r="C5774" s="9">
        <f>IFERROR(__xludf.DUMMYFUNCTION("""COMPUTED_VALUE"""),44544.8786183564)</f>
        <v>44544.87862</v>
      </c>
      <c r="D5774" s="15">
        <f>IFERROR(__xludf.DUMMYFUNCTION("""COMPUTED_VALUE"""),1.023)</f>
        <v>1.023</v>
      </c>
      <c r="E5774" s="16">
        <f>IFERROR(__xludf.DUMMYFUNCTION("""COMPUTED_VALUE"""),63.0)</f>
        <v>63</v>
      </c>
      <c r="F5774" s="19" t="str">
        <f>IFERROR(__xludf.DUMMYFUNCTION("""COMPUTED_VALUE"""),"BLACK")</f>
        <v>BLACK</v>
      </c>
      <c r="G5774" s="20" t="str">
        <f>IFERROR(__xludf.DUMMYFUNCTION("""COMPUTED_VALUE"""),"Uncle Sams Cider (11/12/2021) 02")</f>
        <v>Uncle Sams Cider (11/12/2021) 02</v>
      </c>
      <c r="H5774" s="19"/>
    </row>
    <row r="5775">
      <c r="A5775" s="9"/>
      <c r="B5775" s="15"/>
      <c r="C5775" s="9">
        <f>IFERROR(__xludf.DUMMYFUNCTION("""COMPUTED_VALUE"""),44544.8681976851)</f>
        <v>44544.8682</v>
      </c>
      <c r="D5775" s="15">
        <f>IFERROR(__xludf.DUMMYFUNCTION("""COMPUTED_VALUE"""),1.023)</f>
        <v>1.023</v>
      </c>
      <c r="E5775" s="16">
        <f>IFERROR(__xludf.DUMMYFUNCTION("""COMPUTED_VALUE"""),63.0)</f>
        <v>63</v>
      </c>
      <c r="F5775" s="19" t="str">
        <f>IFERROR(__xludf.DUMMYFUNCTION("""COMPUTED_VALUE"""),"BLACK")</f>
        <v>BLACK</v>
      </c>
      <c r="G5775" s="20" t="str">
        <f>IFERROR(__xludf.DUMMYFUNCTION("""COMPUTED_VALUE"""),"Uncle Sams Cider (11/12/2021) 02")</f>
        <v>Uncle Sams Cider (11/12/2021) 02</v>
      </c>
      <c r="H5775" s="19"/>
    </row>
    <row r="5776">
      <c r="A5776" s="9"/>
      <c r="B5776" s="15"/>
      <c r="C5776" s="9">
        <f>IFERROR(__xludf.DUMMYFUNCTION("""COMPUTED_VALUE"""),44544.8577636574)</f>
        <v>44544.85776</v>
      </c>
      <c r="D5776" s="15">
        <f>IFERROR(__xludf.DUMMYFUNCTION("""COMPUTED_VALUE"""),1.022)</f>
        <v>1.022</v>
      </c>
      <c r="E5776" s="16">
        <f>IFERROR(__xludf.DUMMYFUNCTION("""COMPUTED_VALUE"""),63.0)</f>
        <v>63</v>
      </c>
      <c r="F5776" s="19" t="str">
        <f>IFERROR(__xludf.DUMMYFUNCTION("""COMPUTED_VALUE"""),"BLACK")</f>
        <v>BLACK</v>
      </c>
      <c r="G5776" s="20" t="str">
        <f>IFERROR(__xludf.DUMMYFUNCTION("""COMPUTED_VALUE"""),"Uncle Sams Cider (11/12/2021) 02")</f>
        <v>Uncle Sams Cider (11/12/2021) 02</v>
      </c>
      <c r="H5776" s="19"/>
    </row>
    <row r="5777">
      <c r="A5777" s="9"/>
      <c r="B5777" s="15"/>
      <c r="C5777" s="9">
        <f>IFERROR(__xludf.DUMMYFUNCTION("""COMPUTED_VALUE"""),44544.8473315509)</f>
        <v>44544.84733</v>
      </c>
      <c r="D5777" s="15">
        <f>IFERROR(__xludf.DUMMYFUNCTION("""COMPUTED_VALUE"""),1.023)</f>
        <v>1.023</v>
      </c>
      <c r="E5777" s="16">
        <f>IFERROR(__xludf.DUMMYFUNCTION("""COMPUTED_VALUE"""),63.0)</f>
        <v>63</v>
      </c>
      <c r="F5777" s="19" t="str">
        <f>IFERROR(__xludf.DUMMYFUNCTION("""COMPUTED_VALUE"""),"BLACK")</f>
        <v>BLACK</v>
      </c>
      <c r="G5777" s="20" t="str">
        <f>IFERROR(__xludf.DUMMYFUNCTION("""COMPUTED_VALUE"""),"Uncle Sams Cider (11/12/2021) 02")</f>
        <v>Uncle Sams Cider (11/12/2021) 02</v>
      </c>
      <c r="H5777" s="19"/>
    </row>
    <row r="5778">
      <c r="A5778" s="9"/>
      <c r="B5778" s="15"/>
      <c r="C5778" s="9">
        <f>IFERROR(__xludf.DUMMYFUNCTION("""COMPUTED_VALUE"""),44544.8369007523)</f>
        <v>44544.8369</v>
      </c>
      <c r="D5778" s="15">
        <f>IFERROR(__xludf.DUMMYFUNCTION("""COMPUTED_VALUE"""),1.023)</f>
        <v>1.023</v>
      </c>
      <c r="E5778" s="16">
        <f>IFERROR(__xludf.DUMMYFUNCTION("""COMPUTED_VALUE"""),63.0)</f>
        <v>63</v>
      </c>
      <c r="F5778" s="19" t="str">
        <f>IFERROR(__xludf.DUMMYFUNCTION("""COMPUTED_VALUE"""),"BLACK")</f>
        <v>BLACK</v>
      </c>
      <c r="G5778" s="20" t="str">
        <f>IFERROR(__xludf.DUMMYFUNCTION("""COMPUTED_VALUE"""),"Uncle Sams Cider (11/12/2021) 02")</f>
        <v>Uncle Sams Cider (11/12/2021) 02</v>
      </c>
      <c r="H5778" s="19"/>
    </row>
    <row r="5779">
      <c r="A5779" s="9"/>
      <c r="B5779" s="15"/>
      <c r="C5779" s="9">
        <f>IFERROR(__xludf.DUMMYFUNCTION("""COMPUTED_VALUE"""),44544.8264782407)</f>
        <v>44544.82648</v>
      </c>
      <c r="D5779" s="15">
        <f>IFERROR(__xludf.DUMMYFUNCTION("""COMPUTED_VALUE"""),1.023)</f>
        <v>1.023</v>
      </c>
      <c r="E5779" s="16">
        <f>IFERROR(__xludf.DUMMYFUNCTION("""COMPUTED_VALUE"""),63.0)</f>
        <v>63</v>
      </c>
      <c r="F5779" s="19" t="str">
        <f>IFERROR(__xludf.DUMMYFUNCTION("""COMPUTED_VALUE"""),"BLACK")</f>
        <v>BLACK</v>
      </c>
      <c r="G5779" s="20" t="str">
        <f>IFERROR(__xludf.DUMMYFUNCTION("""COMPUTED_VALUE"""),"Uncle Sams Cider (11/12/2021) 02")</f>
        <v>Uncle Sams Cider (11/12/2021) 02</v>
      </c>
      <c r="H5779" s="19"/>
    </row>
    <row r="5780">
      <c r="A5780" s="9"/>
      <c r="B5780" s="15"/>
      <c r="C5780" s="9">
        <f>IFERROR(__xludf.DUMMYFUNCTION("""COMPUTED_VALUE"""),44544.816010324)</f>
        <v>44544.81601</v>
      </c>
      <c r="D5780" s="15">
        <f>IFERROR(__xludf.DUMMYFUNCTION("""COMPUTED_VALUE"""),1.023)</f>
        <v>1.023</v>
      </c>
      <c r="E5780" s="16">
        <f>IFERROR(__xludf.DUMMYFUNCTION("""COMPUTED_VALUE"""),63.0)</f>
        <v>63</v>
      </c>
      <c r="F5780" s="19" t="str">
        <f>IFERROR(__xludf.DUMMYFUNCTION("""COMPUTED_VALUE"""),"BLACK")</f>
        <v>BLACK</v>
      </c>
      <c r="G5780" s="20" t="str">
        <f>IFERROR(__xludf.DUMMYFUNCTION("""COMPUTED_VALUE"""),"Uncle Sams Cider (11/12/2021) 02")</f>
        <v>Uncle Sams Cider (11/12/2021) 02</v>
      </c>
      <c r="H5780" s="19"/>
    </row>
    <row r="5781">
      <c r="A5781" s="9"/>
      <c r="B5781" s="15"/>
      <c r="C5781" s="9">
        <f>IFERROR(__xludf.DUMMYFUNCTION("""COMPUTED_VALUE"""),44544.8055872453)</f>
        <v>44544.80559</v>
      </c>
      <c r="D5781" s="15">
        <f>IFERROR(__xludf.DUMMYFUNCTION("""COMPUTED_VALUE"""),1.023)</f>
        <v>1.023</v>
      </c>
      <c r="E5781" s="16">
        <f>IFERROR(__xludf.DUMMYFUNCTION("""COMPUTED_VALUE"""),63.0)</f>
        <v>63</v>
      </c>
      <c r="F5781" s="19" t="str">
        <f>IFERROR(__xludf.DUMMYFUNCTION("""COMPUTED_VALUE"""),"BLACK")</f>
        <v>BLACK</v>
      </c>
      <c r="G5781" s="20" t="str">
        <f>IFERROR(__xludf.DUMMYFUNCTION("""COMPUTED_VALUE"""),"Uncle Sams Cider (11/12/2021) 02")</f>
        <v>Uncle Sams Cider (11/12/2021) 02</v>
      </c>
      <c r="H5781" s="19"/>
    </row>
    <row r="5782">
      <c r="A5782" s="9"/>
      <c r="B5782" s="15"/>
      <c r="C5782" s="9">
        <f>IFERROR(__xludf.DUMMYFUNCTION("""COMPUTED_VALUE"""),44544.795156331)</f>
        <v>44544.79516</v>
      </c>
      <c r="D5782" s="15">
        <f>IFERROR(__xludf.DUMMYFUNCTION("""COMPUTED_VALUE"""),1.023)</f>
        <v>1.023</v>
      </c>
      <c r="E5782" s="16">
        <f>IFERROR(__xludf.DUMMYFUNCTION("""COMPUTED_VALUE"""),63.0)</f>
        <v>63</v>
      </c>
      <c r="F5782" s="19" t="str">
        <f>IFERROR(__xludf.DUMMYFUNCTION("""COMPUTED_VALUE"""),"BLACK")</f>
        <v>BLACK</v>
      </c>
      <c r="G5782" s="20" t="str">
        <f>IFERROR(__xludf.DUMMYFUNCTION("""COMPUTED_VALUE"""),"Uncle Sams Cider (11/12/2021) 02")</f>
        <v>Uncle Sams Cider (11/12/2021) 02</v>
      </c>
      <c r="H5782" s="19"/>
    </row>
    <row r="5783">
      <c r="A5783" s="9"/>
      <c r="B5783" s="15"/>
      <c r="C5783" s="9">
        <f>IFERROR(__xludf.DUMMYFUNCTION("""COMPUTED_VALUE"""),44544.7847342013)</f>
        <v>44544.78473</v>
      </c>
      <c r="D5783" s="15">
        <f>IFERROR(__xludf.DUMMYFUNCTION("""COMPUTED_VALUE"""),1.023)</f>
        <v>1.023</v>
      </c>
      <c r="E5783" s="16">
        <f>IFERROR(__xludf.DUMMYFUNCTION("""COMPUTED_VALUE"""),63.0)</f>
        <v>63</v>
      </c>
      <c r="F5783" s="19" t="str">
        <f>IFERROR(__xludf.DUMMYFUNCTION("""COMPUTED_VALUE"""),"BLACK")</f>
        <v>BLACK</v>
      </c>
      <c r="G5783" s="20" t="str">
        <f>IFERROR(__xludf.DUMMYFUNCTION("""COMPUTED_VALUE"""),"Uncle Sams Cider (11/12/2021) 02")</f>
        <v>Uncle Sams Cider (11/12/2021) 02</v>
      </c>
      <c r="H5783" s="19"/>
    </row>
    <row r="5784">
      <c r="A5784" s="9"/>
      <c r="B5784" s="15"/>
      <c r="C5784" s="9">
        <f>IFERROR(__xludf.DUMMYFUNCTION("""COMPUTED_VALUE"""),44544.7743130555)</f>
        <v>44544.77431</v>
      </c>
      <c r="D5784" s="15">
        <f>IFERROR(__xludf.DUMMYFUNCTION("""COMPUTED_VALUE"""),1.023)</f>
        <v>1.023</v>
      </c>
      <c r="E5784" s="16">
        <f>IFERROR(__xludf.DUMMYFUNCTION("""COMPUTED_VALUE"""),63.0)</f>
        <v>63</v>
      </c>
      <c r="F5784" s="19" t="str">
        <f>IFERROR(__xludf.DUMMYFUNCTION("""COMPUTED_VALUE"""),"BLACK")</f>
        <v>BLACK</v>
      </c>
      <c r="G5784" s="20" t="str">
        <f>IFERROR(__xludf.DUMMYFUNCTION("""COMPUTED_VALUE"""),"Uncle Sams Cider (11/12/2021) 02")</f>
        <v>Uncle Sams Cider (11/12/2021) 02</v>
      </c>
      <c r="H5784" s="19"/>
    </row>
    <row r="5785">
      <c r="A5785" s="9"/>
      <c r="B5785" s="15"/>
      <c r="C5785" s="9">
        <f>IFERROR(__xludf.DUMMYFUNCTION("""COMPUTED_VALUE"""),44544.7638808333)</f>
        <v>44544.76388</v>
      </c>
      <c r="D5785" s="15">
        <f>IFERROR(__xludf.DUMMYFUNCTION("""COMPUTED_VALUE"""),1.023)</f>
        <v>1.023</v>
      </c>
      <c r="E5785" s="16">
        <f>IFERROR(__xludf.DUMMYFUNCTION("""COMPUTED_VALUE"""),63.0)</f>
        <v>63</v>
      </c>
      <c r="F5785" s="19" t="str">
        <f>IFERROR(__xludf.DUMMYFUNCTION("""COMPUTED_VALUE"""),"BLACK")</f>
        <v>BLACK</v>
      </c>
      <c r="G5785" s="20" t="str">
        <f>IFERROR(__xludf.DUMMYFUNCTION("""COMPUTED_VALUE"""),"Uncle Sams Cider (11/12/2021) 02")</f>
        <v>Uncle Sams Cider (11/12/2021) 02</v>
      </c>
      <c r="H5785" s="19"/>
    </row>
    <row r="5786">
      <c r="A5786" s="9"/>
      <c r="B5786" s="15"/>
      <c r="C5786" s="9">
        <f>IFERROR(__xludf.DUMMYFUNCTION("""COMPUTED_VALUE"""),44544.7534577546)</f>
        <v>44544.75346</v>
      </c>
      <c r="D5786" s="15">
        <f>IFERROR(__xludf.DUMMYFUNCTION("""COMPUTED_VALUE"""),1.023)</f>
        <v>1.023</v>
      </c>
      <c r="E5786" s="16">
        <f>IFERROR(__xludf.DUMMYFUNCTION("""COMPUTED_VALUE"""),63.0)</f>
        <v>63</v>
      </c>
      <c r="F5786" s="19" t="str">
        <f>IFERROR(__xludf.DUMMYFUNCTION("""COMPUTED_VALUE"""),"BLACK")</f>
        <v>BLACK</v>
      </c>
      <c r="G5786" s="20" t="str">
        <f>IFERROR(__xludf.DUMMYFUNCTION("""COMPUTED_VALUE"""),"Uncle Sams Cider (11/12/2021) 02")</f>
        <v>Uncle Sams Cider (11/12/2021) 02</v>
      </c>
      <c r="H5786" s="19"/>
    </row>
    <row r="5787">
      <c r="A5787" s="9"/>
      <c r="B5787" s="15"/>
      <c r="C5787" s="9">
        <f>IFERROR(__xludf.DUMMYFUNCTION("""COMPUTED_VALUE"""),44544.7430373495)</f>
        <v>44544.74304</v>
      </c>
      <c r="D5787" s="15">
        <f>IFERROR(__xludf.DUMMYFUNCTION("""COMPUTED_VALUE"""),1.023)</f>
        <v>1.023</v>
      </c>
      <c r="E5787" s="16">
        <f>IFERROR(__xludf.DUMMYFUNCTION("""COMPUTED_VALUE"""),63.0)</f>
        <v>63</v>
      </c>
      <c r="F5787" s="19" t="str">
        <f>IFERROR(__xludf.DUMMYFUNCTION("""COMPUTED_VALUE"""),"BLACK")</f>
        <v>BLACK</v>
      </c>
      <c r="G5787" s="20" t="str">
        <f>IFERROR(__xludf.DUMMYFUNCTION("""COMPUTED_VALUE"""),"Uncle Sams Cider (11/12/2021) 02")</f>
        <v>Uncle Sams Cider (11/12/2021) 02</v>
      </c>
      <c r="H5787" s="19"/>
    </row>
    <row r="5788">
      <c r="A5788" s="9"/>
      <c r="B5788" s="15"/>
      <c r="C5788" s="9">
        <f>IFERROR(__xludf.DUMMYFUNCTION("""COMPUTED_VALUE"""),44544.7325953009)</f>
        <v>44544.7326</v>
      </c>
      <c r="D5788" s="15">
        <f>IFERROR(__xludf.DUMMYFUNCTION("""COMPUTED_VALUE"""),1.023)</f>
        <v>1.023</v>
      </c>
      <c r="E5788" s="16">
        <f>IFERROR(__xludf.DUMMYFUNCTION("""COMPUTED_VALUE"""),63.0)</f>
        <v>63</v>
      </c>
      <c r="F5788" s="19" t="str">
        <f>IFERROR(__xludf.DUMMYFUNCTION("""COMPUTED_VALUE"""),"BLACK")</f>
        <v>BLACK</v>
      </c>
      <c r="G5788" s="20" t="str">
        <f>IFERROR(__xludf.DUMMYFUNCTION("""COMPUTED_VALUE"""),"Uncle Sams Cider (11/12/2021) 02")</f>
        <v>Uncle Sams Cider (11/12/2021) 02</v>
      </c>
      <c r="H5788" s="19"/>
    </row>
    <row r="5789">
      <c r="A5789" s="9"/>
      <c r="B5789" s="15"/>
      <c r="C5789" s="9">
        <f>IFERROR(__xludf.DUMMYFUNCTION("""COMPUTED_VALUE"""),44544.7221389583)</f>
        <v>44544.72214</v>
      </c>
      <c r="D5789" s="15">
        <f>IFERROR(__xludf.DUMMYFUNCTION("""COMPUTED_VALUE"""),1.023)</f>
        <v>1.023</v>
      </c>
      <c r="E5789" s="16">
        <f>IFERROR(__xludf.DUMMYFUNCTION("""COMPUTED_VALUE"""),63.0)</f>
        <v>63</v>
      </c>
      <c r="F5789" s="19" t="str">
        <f>IFERROR(__xludf.DUMMYFUNCTION("""COMPUTED_VALUE"""),"BLACK")</f>
        <v>BLACK</v>
      </c>
      <c r="G5789" s="20" t="str">
        <f>IFERROR(__xludf.DUMMYFUNCTION("""COMPUTED_VALUE"""),"Uncle Sams Cider (11/12/2021) 02")</f>
        <v>Uncle Sams Cider (11/12/2021) 02</v>
      </c>
      <c r="H5789" s="19"/>
    </row>
    <row r="5790">
      <c r="A5790" s="9"/>
      <c r="B5790" s="15"/>
      <c r="C5790" s="9">
        <f>IFERROR(__xludf.DUMMYFUNCTION("""COMPUTED_VALUE"""),44544.7012851736)</f>
        <v>44544.70129</v>
      </c>
      <c r="D5790" s="15">
        <f>IFERROR(__xludf.DUMMYFUNCTION("""COMPUTED_VALUE"""),1.023)</f>
        <v>1.023</v>
      </c>
      <c r="E5790" s="16">
        <f>IFERROR(__xludf.DUMMYFUNCTION("""COMPUTED_VALUE"""),63.0)</f>
        <v>63</v>
      </c>
      <c r="F5790" s="19" t="str">
        <f>IFERROR(__xludf.DUMMYFUNCTION("""COMPUTED_VALUE"""),"BLACK")</f>
        <v>BLACK</v>
      </c>
      <c r="G5790" s="20" t="str">
        <f>IFERROR(__xludf.DUMMYFUNCTION("""COMPUTED_VALUE"""),"Uncle Sams Cider (11/12/2021) 02")</f>
        <v>Uncle Sams Cider (11/12/2021) 02</v>
      </c>
      <c r="H5790" s="19"/>
    </row>
    <row r="5791">
      <c r="A5791" s="9"/>
      <c r="B5791" s="15"/>
      <c r="C5791" s="9">
        <f>IFERROR(__xludf.DUMMYFUNCTION("""COMPUTED_VALUE"""),44544.6908644907)</f>
        <v>44544.69086</v>
      </c>
      <c r="D5791" s="15">
        <f>IFERROR(__xludf.DUMMYFUNCTION("""COMPUTED_VALUE"""),1.023)</f>
        <v>1.023</v>
      </c>
      <c r="E5791" s="16">
        <f>IFERROR(__xludf.DUMMYFUNCTION("""COMPUTED_VALUE"""),63.0)</f>
        <v>63</v>
      </c>
      <c r="F5791" s="19" t="str">
        <f>IFERROR(__xludf.DUMMYFUNCTION("""COMPUTED_VALUE"""),"BLACK")</f>
        <v>BLACK</v>
      </c>
      <c r="G5791" s="20" t="str">
        <f>IFERROR(__xludf.DUMMYFUNCTION("""COMPUTED_VALUE"""),"Uncle Sams Cider (11/12/2021) 02")</f>
        <v>Uncle Sams Cider (11/12/2021) 02</v>
      </c>
      <c r="H5791" s="19"/>
    </row>
    <row r="5792">
      <c r="A5792" s="9"/>
      <c r="B5792" s="15"/>
      <c r="C5792" s="9">
        <f>IFERROR(__xludf.DUMMYFUNCTION("""COMPUTED_VALUE"""),44544.6804434837)</f>
        <v>44544.68044</v>
      </c>
      <c r="D5792" s="15">
        <f>IFERROR(__xludf.DUMMYFUNCTION("""COMPUTED_VALUE"""),1.023)</f>
        <v>1.023</v>
      </c>
      <c r="E5792" s="16">
        <f>IFERROR(__xludf.DUMMYFUNCTION("""COMPUTED_VALUE"""),63.0)</f>
        <v>63</v>
      </c>
      <c r="F5792" s="19" t="str">
        <f>IFERROR(__xludf.DUMMYFUNCTION("""COMPUTED_VALUE"""),"BLACK")</f>
        <v>BLACK</v>
      </c>
      <c r="G5792" s="20" t="str">
        <f>IFERROR(__xludf.DUMMYFUNCTION("""COMPUTED_VALUE"""),"Uncle Sams Cider (11/12/2021) 02")</f>
        <v>Uncle Sams Cider (11/12/2021) 02</v>
      </c>
      <c r="H5792" s="19"/>
    </row>
    <row r="5793">
      <c r="A5793" s="9"/>
      <c r="B5793" s="15"/>
      <c r="C5793" s="9">
        <f>IFERROR(__xludf.DUMMYFUNCTION("""COMPUTED_VALUE"""),44544.6700219791)</f>
        <v>44544.67002</v>
      </c>
      <c r="D5793" s="15">
        <f>IFERROR(__xludf.DUMMYFUNCTION("""COMPUTED_VALUE"""),1.023)</f>
        <v>1.023</v>
      </c>
      <c r="E5793" s="16">
        <f>IFERROR(__xludf.DUMMYFUNCTION("""COMPUTED_VALUE"""),63.0)</f>
        <v>63</v>
      </c>
      <c r="F5793" s="19" t="str">
        <f>IFERROR(__xludf.DUMMYFUNCTION("""COMPUTED_VALUE"""),"BLACK")</f>
        <v>BLACK</v>
      </c>
      <c r="G5793" s="20" t="str">
        <f>IFERROR(__xludf.DUMMYFUNCTION("""COMPUTED_VALUE"""),"Uncle Sams Cider (11/12/2021) 02")</f>
        <v>Uncle Sams Cider (11/12/2021) 02</v>
      </c>
      <c r="H5793" s="19"/>
    </row>
    <row r="5794">
      <c r="A5794" s="9"/>
      <c r="B5794" s="15"/>
      <c r="C5794" s="9">
        <f>IFERROR(__xludf.DUMMYFUNCTION("""COMPUTED_VALUE"""),44544.6596005671)</f>
        <v>44544.6596</v>
      </c>
      <c r="D5794" s="15">
        <f>IFERROR(__xludf.DUMMYFUNCTION("""COMPUTED_VALUE"""),1.023)</f>
        <v>1.023</v>
      </c>
      <c r="E5794" s="16">
        <f>IFERROR(__xludf.DUMMYFUNCTION("""COMPUTED_VALUE"""),63.0)</f>
        <v>63</v>
      </c>
      <c r="F5794" s="19" t="str">
        <f>IFERROR(__xludf.DUMMYFUNCTION("""COMPUTED_VALUE"""),"BLACK")</f>
        <v>BLACK</v>
      </c>
      <c r="G5794" s="20" t="str">
        <f>IFERROR(__xludf.DUMMYFUNCTION("""COMPUTED_VALUE"""),"Uncle Sams Cider (11/12/2021) 02")</f>
        <v>Uncle Sams Cider (11/12/2021) 02</v>
      </c>
      <c r="H5794" s="19"/>
    </row>
    <row r="5795">
      <c r="A5795" s="9"/>
      <c r="B5795" s="15"/>
      <c r="C5795" s="9">
        <f>IFERROR(__xludf.DUMMYFUNCTION("""COMPUTED_VALUE"""),44544.6491773842)</f>
        <v>44544.64918</v>
      </c>
      <c r="D5795" s="15">
        <f>IFERROR(__xludf.DUMMYFUNCTION("""COMPUTED_VALUE"""),1.023)</f>
        <v>1.023</v>
      </c>
      <c r="E5795" s="16">
        <f>IFERROR(__xludf.DUMMYFUNCTION("""COMPUTED_VALUE"""),63.0)</f>
        <v>63</v>
      </c>
      <c r="F5795" s="19" t="str">
        <f>IFERROR(__xludf.DUMMYFUNCTION("""COMPUTED_VALUE"""),"BLACK")</f>
        <v>BLACK</v>
      </c>
      <c r="G5795" s="20" t="str">
        <f>IFERROR(__xludf.DUMMYFUNCTION("""COMPUTED_VALUE"""),"Uncle Sams Cider (11/12/2021) 02")</f>
        <v>Uncle Sams Cider (11/12/2021) 02</v>
      </c>
      <c r="H5795" s="19"/>
    </row>
    <row r="5796">
      <c r="A5796" s="9"/>
      <c r="B5796" s="15"/>
      <c r="C5796" s="9">
        <f>IFERROR(__xludf.DUMMYFUNCTION("""COMPUTED_VALUE"""),44544.6387544675)</f>
        <v>44544.63875</v>
      </c>
      <c r="D5796" s="15">
        <f>IFERROR(__xludf.DUMMYFUNCTION("""COMPUTED_VALUE"""),1.023)</f>
        <v>1.023</v>
      </c>
      <c r="E5796" s="16">
        <f>IFERROR(__xludf.DUMMYFUNCTION("""COMPUTED_VALUE"""),63.0)</f>
        <v>63</v>
      </c>
      <c r="F5796" s="19" t="str">
        <f>IFERROR(__xludf.DUMMYFUNCTION("""COMPUTED_VALUE"""),"BLACK")</f>
        <v>BLACK</v>
      </c>
      <c r="G5796" s="20" t="str">
        <f>IFERROR(__xludf.DUMMYFUNCTION("""COMPUTED_VALUE"""),"Uncle Sams Cider (11/12/2021) 02")</f>
        <v>Uncle Sams Cider (11/12/2021) 02</v>
      </c>
      <c r="H5796" s="19"/>
    </row>
    <row r="5797">
      <c r="A5797" s="9"/>
      <c r="B5797" s="15"/>
      <c r="C5797" s="9">
        <f>IFERROR(__xludf.DUMMYFUNCTION("""COMPUTED_VALUE"""),44544.6283195486)</f>
        <v>44544.62832</v>
      </c>
      <c r="D5797" s="15">
        <f>IFERROR(__xludf.DUMMYFUNCTION("""COMPUTED_VALUE"""),1.023)</f>
        <v>1.023</v>
      </c>
      <c r="E5797" s="16">
        <f>IFERROR(__xludf.DUMMYFUNCTION("""COMPUTED_VALUE"""),63.0)</f>
        <v>63</v>
      </c>
      <c r="F5797" s="19" t="str">
        <f>IFERROR(__xludf.DUMMYFUNCTION("""COMPUTED_VALUE"""),"BLACK")</f>
        <v>BLACK</v>
      </c>
      <c r="G5797" s="20" t="str">
        <f>IFERROR(__xludf.DUMMYFUNCTION("""COMPUTED_VALUE"""),"Uncle Sams Cider (11/12/2021) 02")</f>
        <v>Uncle Sams Cider (11/12/2021) 02</v>
      </c>
      <c r="H5797" s="19"/>
    </row>
    <row r="5798">
      <c r="A5798" s="9"/>
      <c r="B5798" s="15"/>
      <c r="C5798" s="9">
        <f>IFERROR(__xludf.DUMMYFUNCTION("""COMPUTED_VALUE"""),44544.6178283912)</f>
        <v>44544.61783</v>
      </c>
      <c r="D5798" s="15">
        <f>IFERROR(__xludf.DUMMYFUNCTION("""COMPUTED_VALUE"""),1.023)</f>
        <v>1.023</v>
      </c>
      <c r="E5798" s="16">
        <f>IFERROR(__xludf.DUMMYFUNCTION("""COMPUTED_VALUE"""),63.0)</f>
        <v>63</v>
      </c>
      <c r="F5798" s="19" t="str">
        <f>IFERROR(__xludf.DUMMYFUNCTION("""COMPUTED_VALUE"""),"BLACK")</f>
        <v>BLACK</v>
      </c>
      <c r="G5798" s="20" t="str">
        <f>IFERROR(__xludf.DUMMYFUNCTION("""COMPUTED_VALUE"""),"Uncle Sams Cider (11/12/2021) 02")</f>
        <v>Uncle Sams Cider (11/12/2021) 02</v>
      </c>
      <c r="H5798" s="19"/>
    </row>
    <row r="5799">
      <c r="A5799" s="9"/>
      <c r="B5799" s="15"/>
      <c r="C5799" s="9">
        <f>IFERROR(__xludf.DUMMYFUNCTION("""COMPUTED_VALUE"""),44544.6073714236)</f>
        <v>44544.60737</v>
      </c>
      <c r="D5799" s="15">
        <f>IFERROR(__xludf.DUMMYFUNCTION("""COMPUTED_VALUE"""),1.023)</f>
        <v>1.023</v>
      </c>
      <c r="E5799" s="16">
        <f>IFERROR(__xludf.DUMMYFUNCTION("""COMPUTED_VALUE"""),63.0)</f>
        <v>63</v>
      </c>
      <c r="F5799" s="19" t="str">
        <f>IFERROR(__xludf.DUMMYFUNCTION("""COMPUTED_VALUE"""),"BLACK")</f>
        <v>BLACK</v>
      </c>
      <c r="G5799" s="20" t="str">
        <f>IFERROR(__xludf.DUMMYFUNCTION("""COMPUTED_VALUE"""),"Uncle Sams Cider (11/12/2021) 02")</f>
        <v>Uncle Sams Cider (11/12/2021) 02</v>
      </c>
      <c r="H5799" s="19"/>
    </row>
    <row r="5800">
      <c r="A5800" s="9"/>
      <c r="B5800" s="15"/>
      <c r="C5800" s="9">
        <f>IFERROR(__xludf.DUMMYFUNCTION("""COMPUTED_VALUE"""),44544.5969503935)</f>
        <v>44544.59695</v>
      </c>
      <c r="D5800" s="15">
        <f>IFERROR(__xludf.DUMMYFUNCTION("""COMPUTED_VALUE"""),1.023)</f>
        <v>1.023</v>
      </c>
      <c r="E5800" s="16">
        <f>IFERROR(__xludf.DUMMYFUNCTION("""COMPUTED_VALUE"""),63.0)</f>
        <v>63</v>
      </c>
      <c r="F5800" s="19" t="str">
        <f>IFERROR(__xludf.DUMMYFUNCTION("""COMPUTED_VALUE"""),"BLACK")</f>
        <v>BLACK</v>
      </c>
      <c r="G5800" s="20" t="str">
        <f>IFERROR(__xludf.DUMMYFUNCTION("""COMPUTED_VALUE"""),"Uncle Sams Cider (11/12/2021) 02")</f>
        <v>Uncle Sams Cider (11/12/2021) 02</v>
      </c>
      <c r="H5800" s="19"/>
    </row>
    <row r="5801">
      <c r="A5801" s="9"/>
      <c r="B5801" s="15"/>
      <c r="C5801" s="9">
        <f>IFERROR(__xludf.DUMMYFUNCTION("""COMPUTED_VALUE"""),44544.5865293634)</f>
        <v>44544.58653</v>
      </c>
      <c r="D5801" s="15">
        <f>IFERROR(__xludf.DUMMYFUNCTION("""COMPUTED_VALUE"""),1.023)</f>
        <v>1.023</v>
      </c>
      <c r="E5801" s="16">
        <f>IFERROR(__xludf.DUMMYFUNCTION("""COMPUTED_VALUE"""),63.0)</f>
        <v>63</v>
      </c>
      <c r="F5801" s="19" t="str">
        <f>IFERROR(__xludf.DUMMYFUNCTION("""COMPUTED_VALUE"""),"BLACK")</f>
        <v>BLACK</v>
      </c>
      <c r="G5801" s="20" t="str">
        <f>IFERROR(__xludf.DUMMYFUNCTION("""COMPUTED_VALUE"""),"Uncle Sams Cider (11/12/2021) 02")</f>
        <v>Uncle Sams Cider (11/12/2021) 02</v>
      </c>
      <c r="H5801" s="19"/>
    </row>
    <row r="5802">
      <c r="A5802" s="9"/>
      <c r="B5802" s="15"/>
      <c r="C5802" s="9">
        <f>IFERROR(__xludf.DUMMYFUNCTION("""COMPUTED_VALUE"""),44544.5761080555)</f>
        <v>44544.57611</v>
      </c>
      <c r="D5802" s="15">
        <f>IFERROR(__xludf.DUMMYFUNCTION("""COMPUTED_VALUE"""),1.023)</f>
        <v>1.023</v>
      </c>
      <c r="E5802" s="16">
        <f>IFERROR(__xludf.DUMMYFUNCTION("""COMPUTED_VALUE"""),63.0)</f>
        <v>63</v>
      </c>
      <c r="F5802" s="19" t="str">
        <f>IFERROR(__xludf.DUMMYFUNCTION("""COMPUTED_VALUE"""),"BLACK")</f>
        <v>BLACK</v>
      </c>
      <c r="G5802" s="20" t="str">
        <f>IFERROR(__xludf.DUMMYFUNCTION("""COMPUTED_VALUE"""),"Uncle Sams Cider (11/12/2021) 02")</f>
        <v>Uncle Sams Cider (11/12/2021) 02</v>
      </c>
      <c r="H5802" s="19"/>
    </row>
    <row r="5803">
      <c r="A5803" s="9"/>
      <c r="B5803" s="15"/>
      <c r="C5803" s="9">
        <f>IFERROR(__xludf.DUMMYFUNCTION("""COMPUTED_VALUE"""),44544.5656767013)</f>
        <v>44544.56568</v>
      </c>
      <c r="D5803" s="15">
        <f>IFERROR(__xludf.DUMMYFUNCTION("""COMPUTED_VALUE"""),1.024)</f>
        <v>1.024</v>
      </c>
      <c r="E5803" s="16">
        <f>IFERROR(__xludf.DUMMYFUNCTION("""COMPUTED_VALUE"""),63.0)</f>
        <v>63</v>
      </c>
      <c r="F5803" s="19" t="str">
        <f>IFERROR(__xludf.DUMMYFUNCTION("""COMPUTED_VALUE"""),"BLACK")</f>
        <v>BLACK</v>
      </c>
      <c r="G5803" s="20" t="str">
        <f>IFERROR(__xludf.DUMMYFUNCTION("""COMPUTED_VALUE"""),"Uncle Sams Cider (11/12/2021) 02")</f>
        <v>Uncle Sams Cider (11/12/2021) 02</v>
      </c>
      <c r="H5803" s="19"/>
    </row>
    <row r="5804">
      <c r="A5804" s="9"/>
      <c r="B5804" s="15"/>
      <c r="C5804" s="9">
        <f>IFERROR(__xludf.DUMMYFUNCTION("""COMPUTED_VALUE"""),44544.5552559837)</f>
        <v>44544.55526</v>
      </c>
      <c r="D5804" s="15">
        <f>IFERROR(__xludf.DUMMYFUNCTION("""COMPUTED_VALUE"""),1.023)</f>
        <v>1.023</v>
      </c>
      <c r="E5804" s="16">
        <f>IFERROR(__xludf.DUMMYFUNCTION("""COMPUTED_VALUE"""),63.0)</f>
        <v>63</v>
      </c>
      <c r="F5804" s="19" t="str">
        <f>IFERROR(__xludf.DUMMYFUNCTION("""COMPUTED_VALUE"""),"BLACK")</f>
        <v>BLACK</v>
      </c>
      <c r="G5804" s="20" t="str">
        <f>IFERROR(__xludf.DUMMYFUNCTION("""COMPUTED_VALUE"""),"Uncle Sams Cider (11/12/2021) 02")</f>
        <v>Uncle Sams Cider (11/12/2021) 02</v>
      </c>
      <c r="H5804" s="19"/>
    </row>
    <row r="5805">
      <c r="A5805" s="9"/>
      <c r="B5805" s="15"/>
      <c r="C5805" s="9">
        <f>IFERROR(__xludf.DUMMYFUNCTION("""COMPUTED_VALUE"""),44544.5448227893)</f>
        <v>44544.54482</v>
      </c>
      <c r="D5805" s="15">
        <f>IFERROR(__xludf.DUMMYFUNCTION("""COMPUTED_VALUE"""),1.023)</f>
        <v>1.023</v>
      </c>
      <c r="E5805" s="16">
        <f>IFERROR(__xludf.DUMMYFUNCTION("""COMPUTED_VALUE"""),63.0)</f>
        <v>63</v>
      </c>
      <c r="F5805" s="19" t="str">
        <f>IFERROR(__xludf.DUMMYFUNCTION("""COMPUTED_VALUE"""),"BLACK")</f>
        <v>BLACK</v>
      </c>
      <c r="G5805" s="20" t="str">
        <f>IFERROR(__xludf.DUMMYFUNCTION("""COMPUTED_VALUE"""),"Uncle Sams Cider (11/12/2021) 02")</f>
        <v>Uncle Sams Cider (11/12/2021) 02</v>
      </c>
      <c r="H5805" s="19"/>
    </row>
    <row r="5806">
      <c r="A5806" s="9"/>
      <c r="B5806" s="15"/>
      <c r="C5806" s="9">
        <f>IFERROR(__xludf.DUMMYFUNCTION("""COMPUTED_VALUE"""),44544.5343882986)</f>
        <v>44544.53439</v>
      </c>
      <c r="D5806" s="15">
        <f>IFERROR(__xludf.DUMMYFUNCTION("""COMPUTED_VALUE"""),1.023)</f>
        <v>1.023</v>
      </c>
      <c r="E5806" s="16">
        <f>IFERROR(__xludf.DUMMYFUNCTION("""COMPUTED_VALUE"""),63.0)</f>
        <v>63</v>
      </c>
      <c r="F5806" s="19" t="str">
        <f>IFERROR(__xludf.DUMMYFUNCTION("""COMPUTED_VALUE"""),"BLACK")</f>
        <v>BLACK</v>
      </c>
      <c r="G5806" s="20" t="str">
        <f>IFERROR(__xludf.DUMMYFUNCTION("""COMPUTED_VALUE"""),"Uncle Sams Cider (11/12/2021) 02")</f>
        <v>Uncle Sams Cider (11/12/2021) 02</v>
      </c>
      <c r="H5806" s="19"/>
    </row>
    <row r="5807">
      <c r="A5807" s="9"/>
      <c r="B5807" s="15"/>
      <c r="C5807" s="9">
        <f>IFERROR(__xludf.DUMMYFUNCTION("""COMPUTED_VALUE"""),44544.5239670949)</f>
        <v>44544.52397</v>
      </c>
      <c r="D5807" s="15">
        <f>IFERROR(__xludf.DUMMYFUNCTION("""COMPUTED_VALUE"""),1.023)</f>
        <v>1.023</v>
      </c>
      <c r="E5807" s="16">
        <f>IFERROR(__xludf.DUMMYFUNCTION("""COMPUTED_VALUE"""),63.0)</f>
        <v>63</v>
      </c>
      <c r="F5807" s="19" t="str">
        <f>IFERROR(__xludf.DUMMYFUNCTION("""COMPUTED_VALUE"""),"BLACK")</f>
        <v>BLACK</v>
      </c>
      <c r="G5807" s="20" t="str">
        <f>IFERROR(__xludf.DUMMYFUNCTION("""COMPUTED_VALUE"""),"Uncle Sams Cider (11/12/2021) 02")</f>
        <v>Uncle Sams Cider (11/12/2021) 02</v>
      </c>
      <c r="H5807" s="19"/>
    </row>
    <row r="5808">
      <c r="A5808" s="9"/>
      <c r="B5808" s="15"/>
      <c r="C5808" s="9">
        <f>IFERROR(__xludf.DUMMYFUNCTION("""COMPUTED_VALUE"""),44544.5135357638)</f>
        <v>44544.51354</v>
      </c>
      <c r="D5808" s="15">
        <f>IFERROR(__xludf.DUMMYFUNCTION("""COMPUTED_VALUE"""),1.023)</f>
        <v>1.023</v>
      </c>
      <c r="E5808" s="16">
        <f>IFERROR(__xludf.DUMMYFUNCTION("""COMPUTED_VALUE"""),63.0)</f>
        <v>63</v>
      </c>
      <c r="F5808" s="19" t="str">
        <f>IFERROR(__xludf.DUMMYFUNCTION("""COMPUTED_VALUE"""),"BLACK")</f>
        <v>BLACK</v>
      </c>
      <c r="G5808" s="20" t="str">
        <f>IFERROR(__xludf.DUMMYFUNCTION("""COMPUTED_VALUE"""),"Uncle Sams Cider (11/12/2021) 02")</f>
        <v>Uncle Sams Cider (11/12/2021) 02</v>
      </c>
      <c r="H5808" s="19"/>
    </row>
    <row r="5809">
      <c r="A5809" s="9"/>
      <c r="B5809" s="15"/>
      <c r="C5809" s="9">
        <f>IFERROR(__xludf.DUMMYFUNCTION("""COMPUTED_VALUE"""),44544.5031136342)</f>
        <v>44544.50311</v>
      </c>
      <c r="D5809" s="15">
        <f>IFERROR(__xludf.DUMMYFUNCTION("""COMPUTED_VALUE"""),1.023)</f>
        <v>1.023</v>
      </c>
      <c r="E5809" s="16">
        <f>IFERROR(__xludf.DUMMYFUNCTION("""COMPUTED_VALUE"""),63.0)</f>
        <v>63</v>
      </c>
      <c r="F5809" s="19" t="str">
        <f>IFERROR(__xludf.DUMMYFUNCTION("""COMPUTED_VALUE"""),"BLACK")</f>
        <v>BLACK</v>
      </c>
      <c r="G5809" s="20" t="str">
        <f>IFERROR(__xludf.DUMMYFUNCTION("""COMPUTED_VALUE"""),"Uncle Sams Cider (11/12/2021) 02")</f>
        <v>Uncle Sams Cider (11/12/2021) 02</v>
      </c>
      <c r="H5809" s="19"/>
    </row>
    <row r="5810">
      <c r="A5810" s="9"/>
      <c r="B5810" s="15"/>
      <c r="C5810" s="9">
        <f>IFERROR(__xludf.DUMMYFUNCTION("""COMPUTED_VALUE"""),44544.492693368)</f>
        <v>44544.49269</v>
      </c>
      <c r="D5810" s="15">
        <f>IFERROR(__xludf.DUMMYFUNCTION("""COMPUTED_VALUE"""),1.023)</f>
        <v>1.023</v>
      </c>
      <c r="E5810" s="16">
        <f>IFERROR(__xludf.DUMMYFUNCTION("""COMPUTED_VALUE"""),63.0)</f>
        <v>63</v>
      </c>
      <c r="F5810" s="19" t="str">
        <f>IFERROR(__xludf.DUMMYFUNCTION("""COMPUTED_VALUE"""),"BLACK")</f>
        <v>BLACK</v>
      </c>
      <c r="G5810" s="20" t="str">
        <f>IFERROR(__xludf.DUMMYFUNCTION("""COMPUTED_VALUE"""),"Uncle Sams Cider (11/12/2021) 02")</f>
        <v>Uncle Sams Cider (11/12/2021) 02</v>
      </c>
      <c r="H5810" s="19"/>
    </row>
    <row r="5811">
      <c r="A5811" s="9"/>
      <c r="B5811" s="15"/>
      <c r="C5811" s="9">
        <f>IFERROR(__xludf.DUMMYFUNCTION("""COMPUTED_VALUE"""),44544.4822726851)</f>
        <v>44544.48227</v>
      </c>
      <c r="D5811" s="15">
        <f>IFERROR(__xludf.DUMMYFUNCTION("""COMPUTED_VALUE"""),1.023)</f>
        <v>1.023</v>
      </c>
      <c r="E5811" s="16">
        <f>IFERROR(__xludf.DUMMYFUNCTION("""COMPUTED_VALUE"""),63.0)</f>
        <v>63</v>
      </c>
      <c r="F5811" s="19" t="str">
        <f>IFERROR(__xludf.DUMMYFUNCTION("""COMPUTED_VALUE"""),"BLACK")</f>
        <v>BLACK</v>
      </c>
      <c r="G5811" s="20" t="str">
        <f>IFERROR(__xludf.DUMMYFUNCTION("""COMPUTED_VALUE"""),"Uncle Sams Cider (11/12/2021) 02")</f>
        <v>Uncle Sams Cider (11/12/2021) 02</v>
      </c>
      <c r="H5811" s="19"/>
    </row>
    <row r="5812">
      <c r="A5812" s="9"/>
      <c r="B5812" s="15"/>
      <c r="C5812" s="9">
        <f>IFERROR(__xludf.DUMMYFUNCTION("""COMPUTED_VALUE"""),44544.4718526388)</f>
        <v>44544.47185</v>
      </c>
      <c r="D5812" s="15">
        <f>IFERROR(__xludf.DUMMYFUNCTION("""COMPUTED_VALUE"""),1.023)</f>
        <v>1.023</v>
      </c>
      <c r="E5812" s="16">
        <f>IFERROR(__xludf.DUMMYFUNCTION("""COMPUTED_VALUE"""),63.0)</f>
        <v>63</v>
      </c>
      <c r="F5812" s="19" t="str">
        <f>IFERROR(__xludf.DUMMYFUNCTION("""COMPUTED_VALUE"""),"BLACK")</f>
        <v>BLACK</v>
      </c>
      <c r="G5812" s="20" t="str">
        <f>IFERROR(__xludf.DUMMYFUNCTION("""COMPUTED_VALUE"""),"Uncle Sams Cider (11/12/2021) 02")</f>
        <v>Uncle Sams Cider (11/12/2021) 02</v>
      </c>
      <c r="H5812" s="19"/>
    </row>
    <row r="5813">
      <c r="A5813" s="9"/>
      <c r="B5813" s="15"/>
      <c r="C5813" s="9">
        <f>IFERROR(__xludf.DUMMYFUNCTION("""COMPUTED_VALUE"""),44544.4614195601)</f>
        <v>44544.46142</v>
      </c>
      <c r="D5813" s="15">
        <f>IFERROR(__xludf.DUMMYFUNCTION("""COMPUTED_VALUE"""),1.023)</f>
        <v>1.023</v>
      </c>
      <c r="E5813" s="16">
        <f>IFERROR(__xludf.DUMMYFUNCTION("""COMPUTED_VALUE"""),63.0)</f>
        <v>63</v>
      </c>
      <c r="F5813" s="19" t="str">
        <f>IFERROR(__xludf.DUMMYFUNCTION("""COMPUTED_VALUE"""),"BLACK")</f>
        <v>BLACK</v>
      </c>
      <c r="G5813" s="20" t="str">
        <f>IFERROR(__xludf.DUMMYFUNCTION("""COMPUTED_VALUE"""),"Uncle Sams Cider (11/12/2021) 02")</f>
        <v>Uncle Sams Cider (11/12/2021) 02</v>
      </c>
      <c r="H5813" s="19"/>
    </row>
    <row r="5814">
      <c r="A5814" s="9"/>
      <c r="B5814" s="15"/>
      <c r="C5814" s="9">
        <f>IFERROR(__xludf.DUMMYFUNCTION("""COMPUTED_VALUE"""),44544.4509857407)</f>
        <v>44544.45099</v>
      </c>
      <c r="D5814" s="15">
        <f>IFERROR(__xludf.DUMMYFUNCTION("""COMPUTED_VALUE"""),1.023)</f>
        <v>1.023</v>
      </c>
      <c r="E5814" s="16">
        <f>IFERROR(__xludf.DUMMYFUNCTION("""COMPUTED_VALUE"""),63.0)</f>
        <v>63</v>
      </c>
      <c r="F5814" s="19" t="str">
        <f>IFERROR(__xludf.DUMMYFUNCTION("""COMPUTED_VALUE"""),"BLACK")</f>
        <v>BLACK</v>
      </c>
      <c r="G5814" s="20" t="str">
        <f>IFERROR(__xludf.DUMMYFUNCTION("""COMPUTED_VALUE"""),"Uncle Sams Cider (11/12/2021) 02")</f>
        <v>Uncle Sams Cider (11/12/2021) 02</v>
      </c>
      <c r="H5814" s="19"/>
    </row>
    <row r="5815">
      <c r="A5815" s="9"/>
      <c r="B5815" s="15"/>
      <c r="C5815" s="9">
        <f>IFERROR(__xludf.DUMMYFUNCTION("""COMPUTED_VALUE"""),44544.4405648495)</f>
        <v>44544.44056</v>
      </c>
      <c r="D5815" s="15">
        <f>IFERROR(__xludf.DUMMYFUNCTION("""COMPUTED_VALUE"""),1.023)</f>
        <v>1.023</v>
      </c>
      <c r="E5815" s="16">
        <f>IFERROR(__xludf.DUMMYFUNCTION("""COMPUTED_VALUE"""),64.0)</f>
        <v>64</v>
      </c>
      <c r="F5815" s="19" t="str">
        <f>IFERROR(__xludf.DUMMYFUNCTION("""COMPUTED_VALUE"""),"BLACK")</f>
        <v>BLACK</v>
      </c>
      <c r="G5815" s="20" t="str">
        <f>IFERROR(__xludf.DUMMYFUNCTION("""COMPUTED_VALUE"""),"Uncle Sams Cider (11/12/2021) 02")</f>
        <v>Uncle Sams Cider (11/12/2021) 02</v>
      </c>
      <c r="H5815" s="19"/>
    </row>
    <row r="5816">
      <c r="A5816" s="9"/>
      <c r="B5816" s="15"/>
      <c r="C5816" s="9">
        <f>IFERROR(__xludf.DUMMYFUNCTION("""COMPUTED_VALUE"""),44544.4300852893)</f>
        <v>44544.43009</v>
      </c>
      <c r="D5816" s="15">
        <f>IFERROR(__xludf.DUMMYFUNCTION("""COMPUTED_VALUE"""),1.023)</f>
        <v>1.023</v>
      </c>
      <c r="E5816" s="16">
        <f>IFERROR(__xludf.DUMMYFUNCTION("""COMPUTED_VALUE"""),64.0)</f>
        <v>64</v>
      </c>
      <c r="F5816" s="19" t="str">
        <f>IFERROR(__xludf.DUMMYFUNCTION("""COMPUTED_VALUE"""),"BLACK")</f>
        <v>BLACK</v>
      </c>
      <c r="G5816" s="20" t="str">
        <f>IFERROR(__xludf.DUMMYFUNCTION("""COMPUTED_VALUE"""),"Uncle Sams Cider (11/12/2021) 02")</f>
        <v>Uncle Sams Cider (11/12/2021) 02</v>
      </c>
      <c r="H5816" s="19"/>
    </row>
    <row r="5817">
      <c r="A5817" s="9"/>
      <c r="B5817" s="15"/>
      <c r="C5817" s="9">
        <f>IFERROR(__xludf.DUMMYFUNCTION("""COMPUTED_VALUE"""),44544.4196667361)</f>
        <v>44544.41967</v>
      </c>
      <c r="D5817" s="15">
        <f>IFERROR(__xludf.DUMMYFUNCTION("""COMPUTED_VALUE"""),1.023)</f>
        <v>1.023</v>
      </c>
      <c r="E5817" s="16">
        <f>IFERROR(__xludf.DUMMYFUNCTION("""COMPUTED_VALUE"""),64.0)</f>
        <v>64</v>
      </c>
      <c r="F5817" s="19" t="str">
        <f>IFERROR(__xludf.DUMMYFUNCTION("""COMPUTED_VALUE"""),"BLACK")</f>
        <v>BLACK</v>
      </c>
      <c r="G5817" s="20" t="str">
        <f>IFERROR(__xludf.DUMMYFUNCTION("""COMPUTED_VALUE"""),"Uncle Sams Cider (11/12/2021) 02")</f>
        <v>Uncle Sams Cider (11/12/2021) 02</v>
      </c>
      <c r="H5817" s="19"/>
    </row>
    <row r="5818">
      <c r="A5818" s="9"/>
      <c r="B5818" s="15"/>
      <c r="C5818" s="9">
        <f>IFERROR(__xludf.DUMMYFUNCTION("""COMPUTED_VALUE"""),44544.4092460648)</f>
        <v>44544.40925</v>
      </c>
      <c r="D5818" s="15">
        <f>IFERROR(__xludf.DUMMYFUNCTION("""COMPUTED_VALUE"""),1.023)</f>
        <v>1.023</v>
      </c>
      <c r="E5818" s="16">
        <f>IFERROR(__xludf.DUMMYFUNCTION("""COMPUTED_VALUE"""),64.0)</f>
        <v>64</v>
      </c>
      <c r="F5818" s="19" t="str">
        <f>IFERROR(__xludf.DUMMYFUNCTION("""COMPUTED_VALUE"""),"BLACK")</f>
        <v>BLACK</v>
      </c>
      <c r="G5818" s="20" t="str">
        <f>IFERROR(__xludf.DUMMYFUNCTION("""COMPUTED_VALUE"""),"Uncle Sams Cider (11/12/2021) 02")</f>
        <v>Uncle Sams Cider (11/12/2021) 02</v>
      </c>
      <c r="H5818" s="19"/>
    </row>
    <row r="5819">
      <c r="A5819" s="9"/>
      <c r="B5819" s="15"/>
      <c r="C5819" s="9">
        <f>IFERROR(__xludf.DUMMYFUNCTION("""COMPUTED_VALUE"""),44544.3988245949)</f>
        <v>44544.39882</v>
      </c>
      <c r="D5819" s="15">
        <f>IFERROR(__xludf.DUMMYFUNCTION("""COMPUTED_VALUE"""),1.023)</f>
        <v>1.023</v>
      </c>
      <c r="E5819" s="16">
        <f>IFERROR(__xludf.DUMMYFUNCTION("""COMPUTED_VALUE"""),63.0)</f>
        <v>63</v>
      </c>
      <c r="F5819" s="19" t="str">
        <f>IFERROR(__xludf.DUMMYFUNCTION("""COMPUTED_VALUE"""),"BLACK")</f>
        <v>BLACK</v>
      </c>
      <c r="G5819" s="20" t="str">
        <f>IFERROR(__xludf.DUMMYFUNCTION("""COMPUTED_VALUE"""),"Uncle Sams Cider (11/12/2021) 02")</f>
        <v>Uncle Sams Cider (11/12/2021) 02</v>
      </c>
      <c r="H5819" s="19"/>
    </row>
    <row r="5820">
      <c r="A5820" s="9"/>
      <c r="B5820" s="15"/>
      <c r="C5820" s="9">
        <f>IFERROR(__xludf.DUMMYFUNCTION("""COMPUTED_VALUE"""),44544.3883925115)</f>
        <v>44544.38839</v>
      </c>
      <c r="D5820" s="15">
        <f>IFERROR(__xludf.DUMMYFUNCTION("""COMPUTED_VALUE"""),1.023)</f>
        <v>1.023</v>
      </c>
      <c r="E5820" s="16">
        <f>IFERROR(__xludf.DUMMYFUNCTION("""COMPUTED_VALUE"""),64.0)</f>
        <v>64</v>
      </c>
      <c r="F5820" s="19" t="str">
        <f>IFERROR(__xludf.DUMMYFUNCTION("""COMPUTED_VALUE"""),"BLACK")</f>
        <v>BLACK</v>
      </c>
      <c r="G5820" s="20" t="str">
        <f>IFERROR(__xludf.DUMMYFUNCTION("""COMPUTED_VALUE"""),"Uncle Sams Cider (11/12/2021) 02")</f>
        <v>Uncle Sams Cider (11/12/2021) 02</v>
      </c>
      <c r="H5820" s="19"/>
    </row>
    <row r="5821">
      <c r="A5821" s="9"/>
      <c r="B5821" s="15"/>
      <c r="C5821" s="9">
        <f>IFERROR(__xludf.DUMMYFUNCTION("""COMPUTED_VALUE"""),44544.3779732754)</f>
        <v>44544.37797</v>
      </c>
      <c r="D5821" s="15">
        <f>IFERROR(__xludf.DUMMYFUNCTION("""COMPUTED_VALUE"""),1.023)</f>
        <v>1.023</v>
      </c>
      <c r="E5821" s="16">
        <f>IFERROR(__xludf.DUMMYFUNCTION("""COMPUTED_VALUE"""),64.0)</f>
        <v>64</v>
      </c>
      <c r="F5821" s="19" t="str">
        <f>IFERROR(__xludf.DUMMYFUNCTION("""COMPUTED_VALUE"""),"BLACK")</f>
        <v>BLACK</v>
      </c>
      <c r="G5821" s="20" t="str">
        <f>IFERROR(__xludf.DUMMYFUNCTION("""COMPUTED_VALUE"""),"Uncle Sams Cider (11/12/2021) 02")</f>
        <v>Uncle Sams Cider (11/12/2021) 02</v>
      </c>
      <c r="H5821" s="19"/>
    </row>
    <row r="5822">
      <c r="A5822" s="9"/>
      <c r="B5822" s="15"/>
      <c r="C5822" s="9">
        <f>IFERROR(__xludf.DUMMYFUNCTION("""COMPUTED_VALUE"""),44544.367551331)</f>
        <v>44544.36755</v>
      </c>
      <c r="D5822" s="15">
        <f>IFERROR(__xludf.DUMMYFUNCTION("""COMPUTED_VALUE"""),1.023)</f>
        <v>1.023</v>
      </c>
      <c r="E5822" s="16">
        <f>IFERROR(__xludf.DUMMYFUNCTION("""COMPUTED_VALUE"""),64.0)</f>
        <v>64</v>
      </c>
      <c r="F5822" s="19" t="str">
        <f>IFERROR(__xludf.DUMMYFUNCTION("""COMPUTED_VALUE"""),"BLACK")</f>
        <v>BLACK</v>
      </c>
      <c r="G5822" s="20" t="str">
        <f>IFERROR(__xludf.DUMMYFUNCTION("""COMPUTED_VALUE"""),"Uncle Sams Cider (11/12/2021) 02")</f>
        <v>Uncle Sams Cider (11/12/2021) 02</v>
      </c>
      <c r="H5822" s="19"/>
    </row>
    <row r="5823">
      <c r="A5823" s="9"/>
      <c r="B5823" s="15"/>
      <c r="C5823" s="9">
        <f>IFERROR(__xludf.DUMMYFUNCTION("""COMPUTED_VALUE"""),44544.3571296527)</f>
        <v>44544.35713</v>
      </c>
      <c r="D5823" s="15">
        <f>IFERROR(__xludf.DUMMYFUNCTION("""COMPUTED_VALUE"""),1.023)</f>
        <v>1.023</v>
      </c>
      <c r="E5823" s="16">
        <f>IFERROR(__xludf.DUMMYFUNCTION("""COMPUTED_VALUE"""),64.0)</f>
        <v>64</v>
      </c>
      <c r="F5823" s="19" t="str">
        <f>IFERROR(__xludf.DUMMYFUNCTION("""COMPUTED_VALUE"""),"BLACK")</f>
        <v>BLACK</v>
      </c>
      <c r="G5823" s="20" t="str">
        <f>IFERROR(__xludf.DUMMYFUNCTION("""COMPUTED_VALUE"""),"Uncle Sams Cider (11/12/2021) 02")</f>
        <v>Uncle Sams Cider (11/12/2021) 02</v>
      </c>
      <c r="H5823" s="19"/>
    </row>
    <row r="5824">
      <c r="A5824" s="9"/>
      <c r="B5824" s="15"/>
      <c r="C5824" s="9">
        <f>IFERROR(__xludf.DUMMYFUNCTION("""COMPUTED_VALUE"""),44544.3466996759)</f>
        <v>44544.3467</v>
      </c>
      <c r="D5824" s="15">
        <f>IFERROR(__xludf.DUMMYFUNCTION("""COMPUTED_VALUE"""),1.023)</f>
        <v>1.023</v>
      </c>
      <c r="E5824" s="16">
        <f>IFERROR(__xludf.DUMMYFUNCTION("""COMPUTED_VALUE"""),64.0)</f>
        <v>64</v>
      </c>
      <c r="F5824" s="19" t="str">
        <f>IFERROR(__xludf.DUMMYFUNCTION("""COMPUTED_VALUE"""),"BLACK")</f>
        <v>BLACK</v>
      </c>
      <c r="G5824" s="20" t="str">
        <f>IFERROR(__xludf.DUMMYFUNCTION("""COMPUTED_VALUE"""),"Uncle Sams Cider (11/12/2021) 02")</f>
        <v>Uncle Sams Cider (11/12/2021) 02</v>
      </c>
      <c r="H5824" s="19"/>
    </row>
    <row r="5825">
      <c r="A5825" s="9"/>
      <c r="B5825" s="15"/>
      <c r="C5825" s="9">
        <f>IFERROR(__xludf.DUMMYFUNCTION("""COMPUTED_VALUE"""),44544.3258454629)</f>
        <v>44544.32585</v>
      </c>
      <c r="D5825" s="15">
        <f>IFERROR(__xludf.DUMMYFUNCTION("""COMPUTED_VALUE"""),1.023)</f>
        <v>1.023</v>
      </c>
      <c r="E5825" s="16">
        <f>IFERROR(__xludf.DUMMYFUNCTION("""COMPUTED_VALUE"""),64.0)</f>
        <v>64</v>
      </c>
      <c r="F5825" s="19" t="str">
        <f>IFERROR(__xludf.DUMMYFUNCTION("""COMPUTED_VALUE"""),"BLACK")</f>
        <v>BLACK</v>
      </c>
      <c r="G5825" s="20" t="str">
        <f>IFERROR(__xludf.DUMMYFUNCTION("""COMPUTED_VALUE"""),"Uncle Sams Cider (11/12/2021) 02")</f>
        <v>Uncle Sams Cider (11/12/2021) 02</v>
      </c>
      <c r="H5825" s="19"/>
    </row>
    <row r="5826">
      <c r="A5826" s="9"/>
      <c r="B5826" s="15"/>
      <c r="C5826" s="9">
        <f>IFERROR(__xludf.DUMMYFUNCTION("""COMPUTED_VALUE"""),44544.315426574)</f>
        <v>44544.31543</v>
      </c>
      <c r="D5826" s="15">
        <f>IFERROR(__xludf.DUMMYFUNCTION("""COMPUTED_VALUE"""),1.023)</f>
        <v>1.023</v>
      </c>
      <c r="E5826" s="16">
        <f>IFERROR(__xludf.DUMMYFUNCTION("""COMPUTED_VALUE"""),64.0)</f>
        <v>64</v>
      </c>
      <c r="F5826" s="19" t="str">
        <f>IFERROR(__xludf.DUMMYFUNCTION("""COMPUTED_VALUE"""),"BLACK")</f>
        <v>BLACK</v>
      </c>
      <c r="G5826" s="20" t="str">
        <f>IFERROR(__xludf.DUMMYFUNCTION("""COMPUTED_VALUE"""),"Uncle Sams Cider (11/12/2021) 02")</f>
        <v>Uncle Sams Cider (11/12/2021) 02</v>
      </c>
      <c r="H5826" s="19"/>
    </row>
    <row r="5827">
      <c r="A5827" s="9"/>
      <c r="B5827" s="15"/>
      <c r="C5827" s="9">
        <f>IFERROR(__xludf.DUMMYFUNCTION("""COMPUTED_VALUE"""),44544.305005324)</f>
        <v>44544.30501</v>
      </c>
      <c r="D5827" s="15">
        <f>IFERROR(__xludf.DUMMYFUNCTION("""COMPUTED_VALUE"""),1.023)</f>
        <v>1.023</v>
      </c>
      <c r="E5827" s="16">
        <f>IFERROR(__xludf.DUMMYFUNCTION("""COMPUTED_VALUE"""),64.0)</f>
        <v>64</v>
      </c>
      <c r="F5827" s="19" t="str">
        <f>IFERROR(__xludf.DUMMYFUNCTION("""COMPUTED_VALUE"""),"BLACK")</f>
        <v>BLACK</v>
      </c>
      <c r="G5827" s="20" t="str">
        <f>IFERROR(__xludf.DUMMYFUNCTION("""COMPUTED_VALUE"""),"Uncle Sams Cider (11/12/2021) 02")</f>
        <v>Uncle Sams Cider (11/12/2021) 02</v>
      </c>
      <c r="H5827" s="19"/>
    </row>
    <row r="5828">
      <c r="A5828" s="9"/>
      <c r="B5828" s="15"/>
      <c r="C5828" s="9">
        <f>IFERROR(__xludf.DUMMYFUNCTION("""COMPUTED_VALUE"""),44544.2945487152)</f>
        <v>44544.29455</v>
      </c>
      <c r="D5828" s="15">
        <f>IFERROR(__xludf.DUMMYFUNCTION("""COMPUTED_VALUE"""),1.023)</f>
        <v>1.023</v>
      </c>
      <c r="E5828" s="16">
        <f>IFERROR(__xludf.DUMMYFUNCTION("""COMPUTED_VALUE"""),64.0)</f>
        <v>64</v>
      </c>
      <c r="F5828" s="19" t="str">
        <f>IFERROR(__xludf.DUMMYFUNCTION("""COMPUTED_VALUE"""),"BLACK")</f>
        <v>BLACK</v>
      </c>
      <c r="G5828" s="20" t="str">
        <f>IFERROR(__xludf.DUMMYFUNCTION("""COMPUTED_VALUE"""),"Uncle Sams Cider (11/12/2021) 02")</f>
        <v>Uncle Sams Cider (11/12/2021) 02</v>
      </c>
      <c r="H5828" s="19"/>
    </row>
    <row r="5829">
      <c r="A5829" s="9"/>
      <c r="B5829" s="15"/>
      <c r="C5829" s="9">
        <f>IFERROR(__xludf.DUMMYFUNCTION("""COMPUTED_VALUE"""),44544.2736606481)</f>
        <v>44544.27366</v>
      </c>
      <c r="D5829" s="15">
        <f>IFERROR(__xludf.DUMMYFUNCTION("""COMPUTED_VALUE"""),1.023)</f>
        <v>1.023</v>
      </c>
      <c r="E5829" s="16">
        <f>IFERROR(__xludf.DUMMYFUNCTION("""COMPUTED_VALUE"""),64.0)</f>
        <v>64</v>
      </c>
      <c r="F5829" s="19" t="str">
        <f>IFERROR(__xludf.DUMMYFUNCTION("""COMPUTED_VALUE"""),"BLACK")</f>
        <v>BLACK</v>
      </c>
      <c r="G5829" s="20" t="str">
        <f>IFERROR(__xludf.DUMMYFUNCTION("""COMPUTED_VALUE"""),"Uncle Sams Cider (11/12/2021) 02")</f>
        <v>Uncle Sams Cider (11/12/2021) 02</v>
      </c>
      <c r="H5829" s="19"/>
    </row>
    <row r="5830">
      <c r="A5830" s="9"/>
      <c r="B5830" s="15"/>
      <c r="C5830" s="9">
        <f>IFERROR(__xludf.DUMMYFUNCTION("""COMPUTED_VALUE"""),44544.2632285995)</f>
        <v>44544.26323</v>
      </c>
      <c r="D5830" s="15">
        <f>IFERROR(__xludf.DUMMYFUNCTION("""COMPUTED_VALUE"""),1.023)</f>
        <v>1.023</v>
      </c>
      <c r="E5830" s="16">
        <f>IFERROR(__xludf.DUMMYFUNCTION("""COMPUTED_VALUE"""),64.0)</f>
        <v>64</v>
      </c>
      <c r="F5830" s="19" t="str">
        <f>IFERROR(__xludf.DUMMYFUNCTION("""COMPUTED_VALUE"""),"BLACK")</f>
        <v>BLACK</v>
      </c>
      <c r="G5830" s="20" t="str">
        <f>IFERROR(__xludf.DUMMYFUNCTION("""COMPUTED_VALUE"""),"Uncle Sams Cider (11/12/2021) 02")</f>
        <v>Uncle Sams Cider (11/12/2021) 02</v>
      </c>
      <c r="H5830" s="19"/>
    </row>
    <row r="5831">
      <c r="A5831" s="9"/>
      <c r="B5831" s="15"/>
      <c r="C5831" s="9">
        <f>IFERROR(__xludf.DUMMYFUNCTION("""COMPUTED_VALUE"""),44544.2527957638)</f>
        <v>44544.2528</v>
      </c>
      <c r="D5831" s="15">
        <f>IFERROR(__xludf.DUMMYFUNCTION("""COMPUTED_VALUE"""),1.023)</f>
        <v>1.023</v>
      </c>
      <c r="E5831" s="16">
        <f>IFERROR(__xludf.DUMMYFUNCTION("""COMPUTED_VALUE"""),64.0)</f>
        <v>64</v>
      </c>
      <c r="F5831" s="19" t="str">
        <f>IFERROR(__xludf.DUMMYFUNCTION("""COMPUTED_VALUE"""),"BLACK")</f>
        <v>BLACK</v>
      </c>
      <c r="G5831" s="20" t="str">
        <f>IFERROR(__xludf.DUMMYFUNCTION("""COMPUTED_VALUE"""),"Uncle Sams Cider (11/12/2021) 02")</f>
        <v>Uncle Sams Cider (11/12/2021) 02</v>
      </c>
      <c r="H5831" s="19"/>
    </row>
    <row r="5832">
      <c r="A5832" s="9"/>
      <c r="B5832" s="15"/>
      <c r="C5832" s="9">
        <f>IFERROR(__xludf.DUMMYFUNCTION("""COMPUTED_VALUE"""),44544.2423405902)</f>
        <v>44544.24234</v>
      </c>
      <c r="D5832" s="15">
        <f>IFERROR(__xludf.DUMMYFUNCTION("""COMPUTED_VALUE"""),1.023)</f>
        <v>1.023</v>
      </c>
      <c r="E5832" s="16">
        <f>IFERROR(__xludf.DUMMYFUNCTION("""COMPUTED_VALUE"""),64.0)</f>
        <v>64</v>
      </c>
      <c r="F5832" s="19" t="str">
        <f>IFERROR(__xludf.DUMMYFUNCTION("""COMPUTED_VALUE"""),"BLACK")</f>
        <v>BLACK</v>
      </c>
      <c r="G5832" s="20" t="str">
        <f>IFERROR(__xludf.DUMMYFUNCTION("""COMPUTED_VALUE"""),"Uncle Sams Cider (11/12/2021) 02")</f>
        <v>Uncle Sams Cider (11/12/2021) 02</v>
      </c>
      <c r="H5832" s="19"/>
    </row>
    <row r="5833">
      <c r="A5833" s="9"/>
      <c r="B5833" s="15"/>
      <c r="C5833" s="9">
        <f>IFERROR(__xludf.DUMMYFUNCTION("""COMPUTED_VALUE"""),44544.2319195254)</f>
        <v>44544.23192</v>
      </c>
      <c r="D5833" s="15">
        <f>IFERROR(__xludf.DUMMYFUNCTION("""COMPUTED_VALUE"""),1.023)</f>
        <v>1.023</v>
      </c>
      <c r="E5833" s="16">
        <f>IFERROR(__xludf.DUMMYFUNCTION("""COMPUTED_VALUE"""),64.0)</f>
        <v>64</v>
      </c>
      <c r="F5833" s="19" t="str">
        <f>IFERROR(__xludf.DUMMYFUNCTION("""COMPUTED_VALUE"""),"BLACK")</f>
        <v>BLACK</v>
      </c>
      <c r="G5833" s="20" t="str">
        <f>IFERROR(__xludf.DUMMYFUNCTION("""COMPUTED_VALUE"""),"Uncle Sams Cider (11/12/2021) 02")</f>
        <v>Uncle Sams Cider (11/12/2021) 02</v>
      </c>
      <c r="H5833" s="19"/>
    </row>
    <row r="5834">
      <c r="A5834" s="9"/>
      <c r="B5834" s="15"/>
      <c r="C5834" s="9">
        <f>IFERROR(__xludf.DUMMYFUNCTION("""COMPUTED_VALUE"""),44544.2215009375)</f>
        <v>44544.2215</v>
      </c>
      <c r="D5834" s="15">
        <f>IFERROR(__xludf.DUMMYFUNCTION("""COMPUTED_VALUE"""),1.023)</f>
        <v>1.023</v>
      </c>
      <c r="E5834" s="16">
        <f>IFERROR(__xludf.DUMMYFUNCTION("""COMPUTED_VALUE"""),64.0)</f>
        <v>64</v>
      </c>
      <c r="F5834" s="19" t="str">
        <f>IFERROR(__xludf.DUMMYFUNCTION("""COMPUTED_VALUE"""),"BLACK")</f>
        <v>BLACK</v>
      </c>
      <c r="G5834" s="20" t="str">
        <f>IFERROR(__xludf.DUMMYFUNCTION("""COMPUTED_VALUE"""),"Uncle Sams Cider (11/12/2021) 02")</f>
        <v>Uncle Sams Cider (11/12/2021) 02</v>
      </c>
      <c r="H5834" s="19"/>
    </row>
    <row r="5835">
      <c r="A5835" s="9"/>
      <c r="B5835" s="15"/>
      <c r="C5835" s="9">
        <f>IFERROR(__xludf.DUMMYFUNCTION("""COMPUTED_VALUE"""),44544.2110790046)</f>
        <v>44544.21108</v>
      </c>
      <c r="D5835" s="15">
        <f>IFERROR(__xludf.DUMMYFUNCTION("""COMPUTED_VALUE"""),1.023)</f>
        <v>1.023</v>
      </c>
      <c r="E5835" s="16">
        <f>IFERROR(__xludf.DUMMYFUNCTION("""COMPUTED_VALUE"""),64.0)</f>
        <v>64</v>
      </c>
      <c r="F5835" s="19" t="str">
        <f>IFERROR(__xludf.DUMMYFUNCTION("""COMPUTED_VALUE"""),"BLACK")</f>
        <v>BLACK</v>
      </c>
      <c r="G5835" s="20" t="str">
        <f>IFERROR(__xludf.DUMMYFUNCTION("""COMPUTED_VALUE"""),"Uncle Sams Cider (11/12/2021) 02")</f>
        <v>Uncle Sams Cider (11/12/2021) 02</v>
      </c>
      <c r="H5835" s="19"/>
    </row>
    <row r="5836">
      <c r="A5836" s="9"/>
      <c r="B5836" s="15"/>
      <c r="C5836" s="9">
        <f>IFERROR(__xludf.DUMMYFUNCTION("""COMPUTED_VALUE"""),44544.2006570601)</f>
        <v>44544.20066</v>
      </c>
      <c r="D5836" s="15">
        <f>IFERROR(__xludf.DUMMYFUNCTION("""COMPUTED_VALUE"""),1.023)</f>
        <v>1.023</v>
      </c>
      <c r="E5836" s="16">
        <f>IFERROR(__xludf.DUMMYFUNCTION("""COMPUTED_VALUE"""),64.0)</f>
        <v>64</v>
      </c>
      <c r="F5836" s="19" t="str">
        <f>IFERROR(__xludf.DUMMYFUNCTION("""COMPUTED_VALUE"""),"BLACK")</f>
        <v>BLACK</v>
      </c>
      <c r="G5836" s="20" t="str">
        <f>IFERROR(__xludf.DUMMYFUNCTION("""COMPUTED_VALUE"""),"Uncle Sams Cider (11/12/2021) 02")</f>
        <v>Uncle Sams Cider (11/12/2021) 02</v>
      </c>
      <c r="H5836" s="19"/>
    </row>
    <row r="5837">
      <c r="A5837" s="9"/>
      <c r="B5837" s="15"/>
      <c r="C5837" s="9">
        <f>IFERROR(__xludf.DUMMYFUNCTION("""COMPUTED_VALUE"""),44544.190236655)</f>
        <v>44544.19024</v>
      </c>
      <c r="D5837" s="15">
        <f>IFERROR(__xludf.DUMMYFUNCTION("""COMPUTED_VALUE"""),1.023)</f>
        <v>1.023</v>
      </c>
      <c r="E5837" s="16">
        <f>IFERROR(__xludf.DUMMYFUNCTION("""COMPUTED_VALUE"""),64.0)</f>
        <v>64</v>
      </c>
      <c r="F5837" s="19" t="str">
        <f>IFERROR(__xludf.DUMMYFUNCTION("""COMPUTED_VALUE"""),"BLACK")</f>
        <v>BLACK</v>
      </c>
      <c r="G5837" s="20" t="str">
        <f>IFERROR(__xludf.DUMMYFUNCTION("""COMPUTED_VALUE"""),"Uncle Sams Cider (11/12/2021) 02")</f>
        <v>Uncle Sams Cider (11/12/2021) 02</v>
      </c>
      <c r="H5837" s="19"/>
    </row>
    <row r="5838">
      <c r="A5838" s="9"/>
      <c r="B5838" s="15"/>
      <c r="C5838" s="9">
        <f>IFERROR(__xludf.DUMMYFUNCTION("""COMPUTED_VALUE"""),44544.1798147337)</f>
        <v>44544.17981</v>
      </c>
      <c r="D5838" s="15">
        <f>IFERROR(__xludf.DUMMYFUNCTION("""COMPUTED_VALUE"""),1.024)</f>
        <v>1.024</v>
      </c>
      <c r="E5838" s="16">
        <f>IFERROR(__xludf.DUMMYFUNCTION("""COMPUTED_VALUE"""),64.0)</f>
        <v>64</v>
      </c>
      <c r="F5838" s="19" t="str">
        <f>IFERROR(__xludf.DUMMYFUNCTION("""COMPUTED_VALUE"""),"BLACK")</f>
        <v>BLACK</v>
      </c>
      <c r="G5838" s="20" t="str">
        <f>IFERROR(__xludf.DUMMYFUNCTION("""COMPUTED_VALUE"""),"Uncle Sams Cider (11/12/2021) 02")</f>
        <v>Uncle Sams Cider (11/12/2021) 02</v>
      </c>
      <c r="H5838" s="19"/>
    </row>
    <row r="5839">
      <c r="A5839" s="9"/>
      <c r="B5839" s="15"/>
      <c r="C5839" s="9">
        <f>IFERROR(__xludf.DUMMYFUNCTION("""COMPUTED_VALUE"""),44544.1693819444)</f>
        <v>44544.16938</v>
      </c>
      <c r="D5839" s="15">
        <f>IFERROR(__xludf.DUMMYFUNCTION("""COMPUTED_VALUE"""),1.024)</f>
        <v>1.024</v>
      </c>
      <c r="E5839" s="16">
        <f>IFERROR(__xludf.DUMMYFUNCTION("""COMPUTED_VALUE"""),64.0)</f>
        <v>64</v>
      </c>
      <c r="F5839" s="19" t="str">
        <f>IFERROR(__xludf.DUMMYFUNCTION("""COMPUTED_VALUE"""),"BLACK")</f>
        <v>BLACK</v>
      </c>
      <c r="G5839" s="20" t="str">
        <f>IFERROR(__xludf.DUMMYFUNCTION("""COMPUTED_VALUE"""),"Uncle Sams Cider (11/12/2021) 02")</f>
        <v>Uncle Sams Cider (11/12/2021) 02</v>
      </c>
      <c r="H5839" s="19"/>
    </row>
    <row r="5840">
      <c r="A5840" s="9"/>
      <c r="B5840" s="15"/>
      <c r="C5840" s="9">
        <f>IFERROR(__xludf.DUMMYFUNCTION("""COMPUTED_VALUE"""),44544.1589613078)</f>
        <v>44544.15896</v>
      </c>
      <c r="D5840" s="15">
        <f>IFERROR(__xludf.DUMMYFUNCTION("""COMPUTED_VALUE"""),1.023)</f>
        <v>1.023</v>
      </c>
      <c r="E5840" s="16">
        <f>IFERROR(__xludf.DUMMYFUNCTION("""COMPUTED_VALUE"""),64.0)</f>
        <v>64</v>
      </c>
      <c r="F5840" s="19" t="str">
        <f>IFERROR(__xludf.DUMMYFUNCTION("""COMPUTED_VALUE"""),"BLACK")</f>
        <v>BLACK</v>
      </c>
      <c r="G5840" s="20" t="str">
        <f>IFERROR(__xludf.DUMMYFUNCTION("""COMPUTED_VALUE"""),"Uncle Sams Cider (11/12/2021) 02")</f>
        <v>Uncle Sams Cider (11/12/2021) 02</v>
      </c>
      <c r="H5840" s="19"/>
    </row>
    <row r="5841">
      <c r="A5841" s="9"/>
      <c r="B5841" s="15"/>
      <c r="C5841" s="9">
        <f>IFERROR(__xludf.DUMMYFUNCTION("""COMPUTED_VALUE"""),44544.1485398148)</f>
        <v>44544.14854</v>
      </c>
      <c r="D5841" s="15">
        <f>IFERROR(__xludf.DUMMYFUNCTION("""COMPUTED_VALUE"""),1.023)</f>
        <v>1.023</v>
      </c>
      <c r="E5841" s="16">
        <f>IFERROR(__xludf.DUMMYFUNCTION("""COMPUTED_VALUE"""),64.0)</f>
        <v>64</v>
      </c>
      <c r="F5841" s="19" t="str">
        <f>IFERROR(__xludf.DUMMYFUNCTION("""COMPUTED_VALUE"""),"BLACK")</f>
        <v>BLACK</v>
      </c>
      <c r="G5841" s="20" t="str">
        <f>IFERROR(__xludf.DUMMYFUNCTION("""COMPUTED_VALUE"""),"Uncle Sams Cider (11/12/2021) 02")</f>
        <v>Uncle Sams Cider (11/12/2021) 02</v>
      </c>
      <c r="H5841" s="19"/>
    </row>
    <row r="5842">
      <c r="A5842" s="9"/>
      <c r="B5842" s="15"/>
      <c r="C5842" s="9">
        <f>IFERROR(__xludf.DUMMYFUNCTION("""COMPUTED_VALUE"""),44544.1381073842)</f>
        <v>44544.13811</v>
      </c>
      <c r="D5842" s="15">
        <f>IFERROR(__xludf.DUMMYFUNCTION("""COMPUTED_VALUE"""),1.024)</f>
        <v>1.024</v>
      </c>
      <c r="E5842" s="16">
        <f>IFERROR(__xludf.DUMMYFUNCTION("""COMPUTED_VALUE"""),64.0)</f>
        <v>64</v>
      </c>
      <c r="F5842" s="19" t="str">
        <f>IFERROR(__xludf.DUMMYFUNCTION("""COMPUTED_VALUE"""),"BLACK")</f>
        <v>BLACK</v>
      </c>
      <c r="G5842" s="20" t="str">
        <f>IFERROR(__xludf.DUMMYFUNCTION("""COMPUTED_VALUE"""),"Uncle Sams Cider (11/12/2021) 02")</f>
        <v>Uncle Sams Cider (11/12/2021) 02</v>
      </c>
      <c r="H5842" s="19"/>
    </row>
    <row r="5843">
      <c r="A5843" s="9"/>
      <c r="B5843" s="15"/>
      <c r="C5843" s="9">
        <f>IFERROR(__xludf.DUMMYFUNCTION("""COMPUTED_VALUE"""),44544.1276865046)</f>
        <v>44544.12769</v>
      </c>
      <c r="D5843" s="15">
        <f>IFERROR(__xludf.DUMMYFUNCTION("""COMPUTED_VALUE"""),1.024)</f>
        <v>1.024</v>
      </c>
      <c r="E5843" s="16">
        <f>IFERROR(__xludf.DUMMYFUNCTION("""COMPUTED_VALUE"""),64.0)</f>
        <v>64</v>
      </c>
      <c r="F5843" s="19" t="str">
        <f>IFERROR(__xludf.DUMMYFUNCTION("""COMPUTED_VALUE"""),"BLACK")</f>
        <v>BLACK</v>
      </c>
      <c r="G5843" s="20" t="str">
        <f>IFERROR(__xludf.DUMMYFUNCTION("""COMPUTED_VALUE"""),"Uncle Sams Cider (11/12/2021) 02")</f>
        <v>Uncle Sams Cider (11/12/2021) 02</v>
      </c>
      <c r="H5843" s="19"/>
    </row>
    <row r="5844">
      <c r="A5844" s="9"/>
      <c r="B5844" s="15"/>
      <c r="C5844" s="9">
        <f>IFERROR(__xludf.DUMMYFUNCTION("""COMPUTED_VALUE"""),44544.1172289467)</f>
        <v>44544.11723</v>
      </c>
      <c r="D5844" s="15">
        <f>IFERROR(__xludf.DUMMYFUNCTION("""COMPUTED_VALUE"""),1.024)</f>
        <v>1.024</v>
      </c>
      <c r="E5844" s="16">
        <f>IFERROR(__xludf.DUMMYFUNCTION("""COMPUTED_VALUE"""),64.0)</f>
        <v>64</v>
      </c>
      <c r="F5844" s="19" t="str">
        <f>IFERROR(__xludf.DUMMYFUNCTION("""COMPUTED_VALUE"""),"BLACK")</f>
        <v>BLACK</v>
      </c>
      <c r="G5844" s="20" t="str">
        <f>IFERROR(__xludf.DUMMYFUNCTION("""COMPUTED_VALUE"""),"Uncle Sams Cider (11/12/2021) 02")</f>
        <v>Uncle Sams Cider (11/12/2021) 02</v>
      </c>
      <c r="H5844" s="19"/>
    </row>
    <row r="5845">
      <c r="A5845" s="9"/>
      <c r="B5845" s="15"/>
      <c r="C5845" s="9">
        <f>IFERROR(__xludf.DUMMYFUNCTION("""COMPUTED_VALUE"""),44544.1068069097)</f>
        <v>44544.10681</v>
      </c>
      <c r="D5845" s="15">
        <f>IFERROR(__xludf.DUMMYFUNCTION("""COMPUTED_VALUE"""),1.024)</f>
        <v>1.024</v>
      </c>
      <c r="E5845" s="16">
        <f>IFERROR(__xludf.DUMMYFUNCTION("""COMPUTED_VALUE"""),64.0)</f>
        <v>64</v>
      </c>
      <c r="F5845" s="19" t="str">
        <f>IFERROR(__xludf.DUMMYFUNCTION("""COMPUTED_VALUE"""),"BLACK")</f>
        <v>BLACK</v>
      </c>
      <c r="G5845" s="20" t="str">
        <f>IFERROR(__xludf.DUMMYFUNCTION("""COMPUTED_VALUE"""),"Uncle Sams Cider (11/12/2021) 02")</f>
        <v>Uncle Sams Cider (11/12/2021) 02</v>
      </c>
      <c r="H5845" s="19"/>
    </row>
    <row r="5846">
      <c r="A5846" s="9"/>
      <c r="B5846" s="15"/>
      <c r="C5846" s="9">
        <f>IFERROR(__xludf.DUMMYFUNCTION("""COMPUTED_VALUE"""),44544.0963632407)</f>
        <v>44544.09636</v>
      </c>
      <c r="D5846" s="15">
        <f>IFERROR(__xludf.DUMMYFUNCTION("""COMPUTED_VALUE"""),1.023)</f>
        <v>1.023</v>
      </c>
      <c r="E5846" s="16">
        <f>IFERROR(__xludf.DUMMYFUNCTION("""COMPUTED_VALUE"""),64.0)</f>
        <v>64</v>
      </c>
      <c r="F5846" s="19" t="str">
        <f>IFERROR(__xludf.DUMMYFUNCTION("""COMPUTED_VALUE"""),"BLACK")</f>
        <v>BLACK</v>
      </c>
      <c r="G5846" s="20" t="str">
        <f>IFERROR(__xludf.DUMMYFUNCTION("""COMPUTED_VALUE"""),"Uncle Sams Cider (11/12/2021) 02")</f>
        <v>Uncle Sams Cider (11/12/2021) 02</v>
      </c>
      <c r="H5846" s="19"/>
    </row>
    <row r="5847">
      <c r="A5847" s="9"/>
      <c r="B5847" s="15"/>
      <c r="C5847" s="9">
        <f>IFERROR(__xludf.DUMMYFUNCTION("""COMPUTED_VALUE"""),44544.0859307291)</f>
        <v>44544.08593</v>
      </c>
      <c r="D5847" s="15">
        <f>IFERROR(__xludf.DUMMYFUNCTION("""COMPUTED_VALUE"""),1.024)</f>
        <v>1.024</v>
      </c>
      <c r="E5847" s="16">
        <f>IFERROR(__xludf.DUMMYFUNCTION("""COMPUTED_VALUE"""),64.0)</f>
        <v>64</v>
      </c>
      <c r="F5847" s="19" t="str">
        <f>IFERROR(__xludf.DUMMYFUNCTION("""COMPUTED_VALUE"""),"BLACK")</f>
        <v>BLACK</v>
      </c>
      <c r="G5847" s="20" t="str">
        <f>IFERROR(__xludf.DUMMYFUNCTION("""COMPUTED_VALUE"""),"Uncle Sams Cider (11/12/2021) 02")</f>
        <v>Uncle Sams Cider (11/12/2021) 02</v>
      </c>
      <c r="H5847" s="19"/>
    </row>
    <row r="5848">
      <c r="A5848" s="9"/>
      <c r="B5848" s="15"/>
      <c r="C5848" s="9">
        <f>IFERROR(__xludf.DUMMYFUNCTION("""COMPUTED_VALUE"""),44544.0754740277)</f>
        <v>44544.07547</v>
      </c>
      <c r="D5848" s="15">
        <f>IFERROR(__xludf.DUMMYFUNCTION("""COMPUTED_VALUE"""),1.024)</f>
        <v>1.024</v>
      </c>
      <c r="E5848" s="16">
        <f>IFERROR(__xludf.DUMMYFUNCTION("""COMPUTED_VALUE"""),64.0)</f>
        <v>64</v>
      </c>
      <c r="F5848" s="19" t="str">
        <f>IFERROR(__xludf.DUMMYFUNCTION("""COMPUTED_VALUE"""),"BLACK")</f>
        <v>BLACK</v>
      </c>
      <c r="G5848" s="20" t="str">
        <f>IFERROR(__xludf.DUMMYFUNCTION("""COMPUTED_VALUE"""),"Uncle Sams Cider (11/12/2021) 02")</f>
        <v>Uncle Sams Cider (11/12/2021) 02</v>
      </c>
      <c r="H5848" s="19"/>
    </row>
    <row r="5849">
      <c r="A5849" s="9"/>
      <c r="B5849" s="15"/>
      <c r="C5849" s="9">
        <f>IFERROR(__xludf.DUMMYFUNCTION("""COMPUTED_VALUE"""),44544.0650524305)</f>
        <v>44544.06505</v>
      </c>
      <c r="D5849" s="15">
        <f>IFERROR(__xludf.DUMMYFUNCTION("""COMPUTED_VALUE"""),1.023)</f>
        <v>1.023</v>
      </c>
      <c r="E5849" s="16">
        <f>IFERROR(__xludf.DUMMYFUNCTION("""COMPUTED_VALUE"""),64.0)</f>
        <v>64</v>
      </c>
      <c r="F5849" s="19" t="str">
        <f>IFERROR(__xludf.DUMMYFUNCTION("""COMPUTED_VALUE"""),"BLACK")</f>
        <v>BLACK</v>
      </c>
      <c r="G5849" s="20" t="str">
        <f>IFERROR(__xludf.DUMMYFUNCTION("""COMPUTED_VALUE"""),"Uncle Sams Cider (11/12/2021) 02")</f>
        <v>Uncle Sams Cider (11/12/2021) 02</v>
      </c>
      <c r="H5849" s="19"/>
    </row>
    <row r="5850">
      <c r="A5850" s="9"/>
      <c r="B5850" s="15"/>
      <c r="C5850" s="9">
        <f>IFERROR(__xludf.DUMMYFUNCTION("""COMPUTED_VALUE"""),44544.0545741666)</f>
        <v>44544.05457</v>
      </c>
      <c r="D5850" s="15">
        <f>IFERROR(__xludf.DUMMYFUNCTION("""COMPUTED_VALUE"""),1.023)</f>
        <v>1.023</v>
      </c>
      <c r="E5850" s="16">
        <f>IFERROR(__xludf.DUMMYFUNCTION("""COMPUTED_VALUE"""),64.0)</f>
        <v>64</v>
      </c>
      <c r="F5850" s="19" t="str">
        <f>IFERROR(__xludf.DUMMYFUNCTION("""COMPUTED_VALUE"""),"BLACK")</f>
        <v>BLACK</v>
      </c>
      <c r="G5850" s="20" t="str">
        <f>IFERROR(__xludf.DUMMYFUNCTION("""COMPUTED_VALUE"""),"Uncle Sams Cider (11/12/2021) 02")</f>
        <v>Uncle Sams Cider (11/12/2021) 02</v>
      </c>
      <c r="H5850" s="19"/>
    </row>
    <row r="5851">
      <c r="A5851" s="9"/>
      <c r="B5851" s="15"/>
      <c r="C5851" s="9">
        <f>IFERROR(__xludf.DUMMYFUNCTION("""COMPUTED_VALUE"""),44544.0441548148)</f>
        <v>44544.04415</v>
      </c>
      <c r="D5851" s="15">
        <f>IFERROR(__xludf.DUMMYFUNCTION("""COMPUTED_VALUE"""),1.024)</f>
        <v>1.024</v>
      </c>
      <c r="E5851" s="16">
        <f>IFERROR(__xludf.DUMMYFUNCTION("""COMPUTED_VALUE"""),64.0)</f>
        <v>64</v>
      </c>
      <c r="F5851" s="19" t="str">
        <f>IFERROR(__xludf.DUMMYFUNCTION("""COMPUTED_VALUE"""),"BLACK")</f>
        <v>BLACK</v>
      </c>
      <c r="G5851" s="20" t="str">
        <f>IFERROR(__xludf.DUMMYFUNCTION("""COMPUTED_VALUE"""),"Uncle Sams Cider (11/12/2021) 02")</f>
        <v>Uncle Sams Cider (11/12/2021) 02</v>
      </c>
      <c r="H5851" s="19"/>
    </row>
    <row r="5852">
      <c r="A5852" s="9"/>
      <c r="B5852" s="15"/>
      <c r="C5852" s="9">
        <f>IFERROR(__xludf.DUMMYFUNCTION("""COMPUTED_VALUE"""),44544.033711331)</f>
        <v>44544.03371</v>
      </c>
      <c r="D5852" s="15">
        <f>IFERROR(__xludf.DUMMYFUNCTION("""COMPUTED_VALUE"""),1.023)</f>
        <v>1.023</v>
      </c>
      <c r="E5852" s="16">
        <f>IFERROR(__xludf.DUMMYFUNCTION("""COMPUTED_VALUE"""),64.0)</f>
        <v>64</v>
      </c>
      <c r="F5852" s="19" t="str">
        <f>IFERROR(__xludf.DUMMYFUNCTION("""COMPUTED_VALUE"""),"BLACK")</f>
        <v>BLACK</v>
      </c>
      <c r="G5852" s="20" t="str">
        <f>IFERROR(__xludf.DUMMYFUNCTION("""COMPUTED_VALUE"""),"Uncle Sams Cider (11/12/2021) 02")</f>
        <v>Uncle Sams Cider (11/12/2021) 02</v>
      </c>
      <c r="H5852" s="19"/>
    </row>
    <row r="5853">
      <c r="A5853" s="9"/>
      <c r="B5853" s="15"/>
      <c r="C5853" s="9">
        <f>IFERROR(__xludf.DUMMYFUNCTION("""COMPUTED_VALUE"""),44544.023243368)</f>
        <v>44544.02324</v>
      </c>
      <c r="D5853" s="15">
        <f>IFERROR(__xludf.DUMMYFUNCTION("""COMPUTED_VALUE"""),1.024)</f>
        <v>1.024</v>
      </c>
      <c r="E5853" s="16">
        <f>IFERROR(__xludf.DUMMYFUNCTION("""COMPUTED_VALUE"""),64.0)</f>
        <v>64</v>
      </c>
      <c r="F5853" s="19" t="str">
        <f>IFERROR(__xludf.DUMMYFUNCTION("""COMPUTED_VALUE"""),"BLACK")</f>
        <v>BLACK</v>
      </c>
      <c r="G5853" s="20" t="str">
        <f>IFERROR(__xludf.DUMMYFUNCTION("""COMPUTED_VALUE"""),"Uncle Sams Cider (11/12/2021) 02")</f>
        <v>Uncle Sams Cider (11/12/2021) 02</v>
      </c>
      <c r="H5853" s="19"/>
    </row>
    <row r="5854">
      <c r="A5854" s="9"/>
      <c r="B5854" s="15"/>
      <c r="C5854" s="9">
        <f>IFERROR(__xludf.DUMMYFUNCTION("""COMPUTED_VALUE"""),44544.0127870486)</f>
        <v>44544.01279</v>
      </c>
      <c r="D5854" s="15">
        <f>IFERROR(__xludf.DUMMYFUNCTION("""COMPUTED_VALUE"""),1.023)</f>
        <v>1.023</v>
      </c>
      <c r="E5854" s="16">
        <f>IFERROR(__xludf.DUMMYFUNCTION("""COMPUTED_VALUE"""),64.0)</f>
        <v>64</v>
      </c>
      <c r="F5854" s="19" t="str">
        <f>IFERROR(__xludf.DUMMYFUNCTION("""COMPUTED_VALUE"""),"BLACK")</f>
        <v>BLACK</v>
      </c>
      <c r="G5854" s="20" t="str">
        <f>IFERROR(__xludf.DUMMYFUNCTION("""COMPUTED_VALUE"""),"Uncle Sams Cider (11/12/2021) 02")</f>
        <v>Uncle Sams Cider (11/12/2021) 02</v>
      </c>
      <c r="H5854" s="19"/>
    </row>
    <row r="5855">
      <c r="A5855" s="9"/>
      <c r="B5855" s="15"/>
      <c r="C5855" s="9">
        <f>IFERROR(__xludf.DUMMYFUNCTION("""COMPUTED_VALUE"""),44544.002353206)</f>
        <v>44544.00235</v>
      </c>
      <c r="D5855" s="15">
        <f>IFERROR(__xludf.DUMMYFUNCTION("""COMPUTED_VALUE"""),1.024)</f>
        <v>1.024</v>
      </c>
      <c r="E5855" s="16">
        <f>IFERROR(__xludf.DUMMYFUNCTION("""COMPUTED_VALUE"""),64.0)</f>
        <v>64</v>
      </c>
      <c r="F5855" s="19" t="str">
        <f>IFERROR(__xludf.DUMMYFUNCTION("""COMPUTED_VALUE"""),"BLACK")</f>
        <v>BLACK</v>
      </c>
      <c r="G5855" s="20" t="str">
        <f>IFERROR(__xludf.DUMMYFUNCTION("""COMPUTED_VALUE"""),"Uncle Sams Cider (11/12/2021) 02")</f>
        <v>Uncle Sams Cider (11/12/2021) 02</v>
      </c>
      <c r="H5855" s="19"/>
    </row>
    <row r="5856">
      <c r="A5856" s="9"/>
      <c r="B5856" s="15"/>
      <c r="C5856" s="9">
        <f>IFERROR(__xludf.DUMMYFUNCTION("""COMPUTED_VALUE"""),44543.9919325578)</f>
        <v>44543.99193</v>
      </c>
      <c r="D5856" s="15">
        <f>IFERROR(__xludf.DUMMYFUNCTION("""COMPUTED_VALUE"""),1.024)</f>
        <v>1.024</v>
      </c>
      <c r="E5856" s="16">
        <f>IFERROR(__xludf.DUMMYFUNCTION("""COMPUTED_VALUE"""),64.0)</f>
        <v>64</v>
      </c>
      <c r="F5856" s="19" t="str">
        <f>IFERROR(__xludf.DUMMYFUNCTION("""COMPUTED_VALUE"""),"BLACK")</f>
        <v>BLACK</v>
      </c>
      <c r="G5856" s="20" t="str">
        <f>IFERROR(__xludf.DUMMYFUNCTION("""COMPUTED_VALUE"""),"Uncle Sams Cider (11/12/2021) 02")</f>
        <v>Uncle Sams Cider (11/12/2021) 02</v>
      </c>
      <c r="H5856" s="19"/>
    </row>
    <row r="5857">
      <c r="A5857" s="9"/>
      <c r="B5857" s="15"/>
      <c r="C5857" s="9">
        <f>IFERROR(__xludf.DUMMYFUNCTION("""COMPUTED_VALUE"""),44543.9814992361)</f>
        <v>44543.9815</v>
      </c>
      <c r="D5857" s="15">
        <f>IFERROR(__xludf.DUMMYFUNCTION("""COMPUTED_VALUE"""),1.023)</f>
        <v>1.023</v>
      </c>
      <c r="E5857" s="16">
        <f>IFERROR(__xludf.DUMMYFUNCTION("""COMPUTED_VALUE"""),64.0)</f>
        <v>64</v>
      </c>
      <c r="F5857" s="19" t="str">
        <f>IFERROR(__xludf.DUMMYFUNCTION("""COMPUTED_VALUE"""),"BLACK")</f>
        <v>BLACK</v>
      </c>
      <c r="G5857" s="20" t="str">
        <f>IFERROR(__xludf.DUMMYFUNCTION("""COMPUTED_VALUE"""),"Uncle Sams Cider (11/12/2021) 02")</f>
        <v>Uncle Sams Cider (11/12/2021) 02</v>
      </c>
      <c r="H5857" s="19"/>
    </row>
    <row r="5858">
      <c r="A5858" s="9"/>
      <c r="B5858" s="15"/>
      <c r="C5858" s="9">
        <f>IFERROR(__xludf.DUMMYFUNCTION("""COMPUTED_VALUE"""),44543.9710793171)</f>
        <v>44543.97108</v>
      </c>
      <c r="D5858" s="15">
        <f>IFERROR(__xludf.DUMMYFUNCTION("""COMPUTED_VALUE"""),1.024)</f>
        <v>1.024</v>
      </c>
      <c r="E5858" s="16">
        <f>IFERROR(__xludf.DUMMYFUNCTION("""COMPUTED_VALUE"""),64.0)</f>
        <v>64</v>
      </c>
      <c r="F5858" s="19" t="str">
        <f>IFERROR(__xludf.DUMMYFUNCTION("""COMPUTED_VALUE"""),"BLACK")</f>
        <v>BLACK</v>
      </c>
      <c r="G5858" s="20" t="str">
        <f>IFERROR(__xludf.DUMMYFUNCTION("""COMPUTED_VALUE"""),"Uncle Sams Cider (11/12/2021) 02")</f>
        <v>Uncle Sams Cider (11/12/2021) 02</v>
      </c>
      <c r="H5858" s="19"/>
    </row>
    <row r="5859">
      <c r="A5859" s="9"/>
      <c r="B5859" s="15"/>
      <c r="C5859" s="9">
        <f>IFERROR(__xludf.DUMMYFUNCTION("""COMPUTED_VALUE"""),44543.9606576388)</f>
        <v>44543.96066</v>
      </c>
      <c r="D5859" s="15">
        <f>IFERROR(__xludf.DUMMYFUNCTION("""COMPUTED_VALUE"""),1.023)</f>
        <v>1.023</v>
      </c>
      <c r="E5859" s="16">
        <f>IFERROR(__xludf.DUMMYFUNCTION("""COMPUTED_VALUE"""),64.0)</f>
        <v>64</v>
      </c>
      <c r="F5859" s="19" t="str">
        <f>IFERROR(__xludf.DUMMYFUNCTION("""COMPUTED_VALUE"""),"BLACK")</f>
        <v>BLACK</v>
      </c>
      <c r="G5859" s="20" t="str">
        <f>IFERROR(__xludf.DUMMYFUNCTION("""COMPUTED_VALUE"""),"Uncle Sams Cider (11/12/2021) 02")</f>
        <v>Uncle Sams Cider (11/12/2021) 02</v>
      </c>
      <c r="H5859" s="19"/>
    </row>
    <row r="5860">
      <c r="A5860" s="9"/>
      <c r="B5860" s="15"/>
      <c r="C5860" s="9">
        <f>IFERROR(__xludf.DUMMYFUNCTION("""COMPUTED_VALUE"""),44543.9502361689)</f>
        <v>44543.95024</v>
      </c>
      <c r="D5860" s="15">
        <f>IFERROR(__xludf.DUMMYFUNCTION("""COMPUTED_VALUE"""),1.024)</f>
        <v>1.024</v>
      </c>
      <c r="E5860" s="16">
        <f>IFERROR(__xludf.DUMMYFUNCTION("""COMPUTED_VALUE"""),64.0)</f>
        <v>64</v>
      </c>
      <c r="F5860" s="19" t="str">
        <f>IFERROR(__xludf.DUMMYFUNCTION("""COMPUTED_VALUE"""),"BLACK")</f>
        <v>BLACK</v>
      </c>
      <c r="G5860" s="20" t="str">
        <f>IFERROR(__xludf.DUMMYFUNCTION("""COMPUTED_VALUE"""),"Uncle Sams Cider (11/12/2021) 02")</f>
        <v>Uncle Sams Cider (11/12/2021) 02</v>
      </c>
      <c r="H5860" s="19"/>
    </row>
    <row r="5861">
      <c r="A5861" s="9"/>
      <c r="B5861" s="15"/>
      <c r="C5861" s="9">
        <f>IFERROR(__xludf.DUMMYFUNCTION("""COMPUTED_VALUE"""),44543.9398045949)</f>
        <v>44543.9398</v>
      </c>
      <c r="D5861" s="15">
        <f>IFERROR(__xludf.DUMMYFUNCTION("""COMPUTED_VALUE"""),1.024)</f>
        <v>1.024</v>
      </c>
      <c r="E5861" s="16">
        <f>IFERROR(__xludf.DUMMYFUNCTION("""COMPUTED_VALUE"""),64.0)</f>
        <v>64</v>
      </c>
      <c r="F5861" s="19" t="str">
        <f>IFERROR(__xludf.DUMMYFUNCTION("""COMPUTED_VALUE"""),"BLACK")</f>
        <v>BLACK</v>
      </c>
      <c r="G5861" s="20" t="str">
        <f>IFERROR(__xludf.DUMMYFUNCTION("""COMPUTED_VALUE"""),"Uncle Sams Cider (11/12/2021) 02")</f>
        <v>Uncle Sams Cider (11/12/2021) 02</v>
      </c>
      <c r="H5861" s="19"/>
    </row>
    <row r="5862">
      <c r="A5862" s="9"/>
      <c r="B5862" s="15"/>
      <c r="C5862" s="9">
        <f>IFERROR(__xludf.DUMMYFUNCTION("""COMPUTED_VALUE"""),44543.9293829166)</f>
        <v>44543.92938</v>
      </c>
      <c r="D5862" s="15">
        <f>IFERROR(__xludf.DUMMYFUNCTION("""COMPUTED_VALUE"""),1.024)</f>
        <v>1.024</v>
      </c>
      <c r="E5862" s="16">
        <f>IFERROR(__xludf.DUMMYFUNCTION("""COMPUTED_VALUE"""),64.0)</f>
        <v>64</v>
      </c>
      <c r="F5862" s="19" t="str">
        <f>IFERROR(__xludf.DUMMYFUNCTION("""COMPUTED_VALUE"""),"BLACK")</f>
        <v>BLACK</v>
      </c>
      <c r="G5862" s="20" t="str">
        <f>IFERROR(__xludf.DUMMYFUNCTION("""COMPUTED_VALUE"""),"Uncle Sams Cider (11/12/2021) 02")</f>
        <v>Uncle Sams Cider (11/12/2021) 02</v>
      </c>
      <c r="H5862" s="19"/>
    </row>
    <row r="5863">
      <c r="A5863" s="9"/>
      <c r="B5863" s="15"/>
      <c r="C5863" s="9">
        <f>IFERROR(__xludf.DUMMYFUNCTION("""COMPUTED_VALUE"""),44543.9189630092)</f>
        <v>44543.91896</v>
      </c>
      <c r="D5863" s="15">
        <f>IFERROR(__xludf.DUMMYFUNCTION("""COMPUTED_VALUE"""),1.024)</f>
        <v>1.024</v>
      </c>
      <c r="E5863" s="16">
        <f>IFERROR(__xludf.DUMMYFUNCTION("""COMPUTED_VALUE"""),64.0)</f>
        <v>64</v>
      </c>
      <c r="F5863" s="19" t="str">
        <f>IFERROR(__xludf.DUMMYFUNCTION("""COMPUTED_VALUE"""),"BLACK")</f>
        <v>BLACK</v>
      </c>
      <c r="G5863" s="20" t="str">
        <f>IFERROR(__xludf.DUMMYFUNCTION("""COMPUTED_VALUE"""),"Uncle Sams Cider (11/12/2021) 02")</f>
        <v>Uncle Sams Cider (11/12/2021) 02</v>
      </c>
      <c r="H5863" s="19"/>
    </row>
    <row r="5864">
      <c r="A5864" s="9"/>
      <c r="B5864" s="15"/>
      <c r="C5864" s="9">
        <f>IFERROR(__xludf.DUMMYFUNCTION("""COMPUTED_VALUE"""),44543.9085409143)</f>
        <v>44543.90854</v>
      </c>
      <c r="D5864" s="15">
        <f>IFERROR(__xludf.DUMMYFUNCTION("""COMPUTED_VALUE"""),1.024)</f>
        <v>1.024</v>
      </c>
      <c r="E5864" s="16">
        <f>IFERROR(__xludf.DUMMYFUNCTION("""COMPUTED_VALUE"""),64.0)</f>
        <v>64</v>
      </c>
      <c r="F5864" s="19" t="str">
        <f>IFERROR(__xludf.DUMMYFUNCTION("""COMPUTED_VALUE"""),"BLACK")</f>
        <v>BLACK</v>
      </c>
      <c r="G5864" s="20" t="str">
        <f>IFERROR(__xludf.DUMMYFUNCTION("""COMPUTED_VALUE"""),"Uncle Sams Cider (11/12/2021) 02")</f>
        <v>Uncle Sams Cider (11/12/2021) 02</v>
      </c>
      <c r="H5864" s="19"/>
    </row>
    <row r="5865">
      <c r="A5865" s="9"/>
      <c r="B5865" s="15"/>
      <c r="C5865" s="9">
        <f>IFERROR(__xludf.DUMMYFUNCTION("""COMPUTED_VALUE"""),44543.8981188425)</f>
        <v>44543.89812</v>
      </c>
      <c r="D5865" s="15">
        <f>IFERROR(__xludf.DUMMYFUNCTION("""COMPUTED_VALUE"""),1.024)</f>
        <v>1.024</v>
      </c>
      <c r="E5865" s="16">
        <f>IFERROR(__xludf.DUMMYFUNCTION("""COMPUTED_VALUE"""),64.0)</f>
        <v>64</v>
      </c>
      <c r="F5865" s="19" t="str">
        <f>IFERROR(__xludf.DUMMYFUNCTION("""COMPUTED_VALUE"""),"BLACK")</f>
        <v>BLACK</v>
      </c>
      <c r="G5865" s="20" t="str">
        <f>IFERROR(__xludf.DUMMYFUNCTION("""COMPUTED_VALUE"""),"Uncle Sams Cider (11/12/2021) 02")</f>
        <v>Uncle Sams Cider (11/12/2021) 02</v>
      </c>
      <c r="H5865" s="19"/>
    </row>
    <row r="5866">
      <c r="A5866" s="9"/>
      <c r="B5866" s="15"/>
      <c r="C5866" s="9">
        <f>IFERROR(__xludf.DUMMYFUNCTION("""COMPUTED_VALUE"""),44543.8876853819)</f>
        <v>44543.88769</v>
      </c>
      <c r="D5866" s="15">
        <f>IFERROR(__xludf.DUMMYFUNCTION("""COMPUTED_VALUE"""),1.024)</f>
        <v>1.024</v>
      </c>
      <c r="E5866" s="16">
        <f>IFERROR(__xludf.DUMMYFUNCTION("""COMPUTED_VALUE"""),64.0)</f>
        <v>64</v>
      </c>
      <c r="F5866" s="19" t="str">
        <f>IFERROR(__xludf.DUMMYFUNCTION("""COMPUTED_VALUE"""),"BLACK")</f>
        <v>BLACK</v>
      </c>
      <c r="G5866" s="20" t="str">
        <f>IFERROR(__xludf.DUMMYFUNCTION("""COMPUTED_VALUE"""),"Uncle Sams Cider (11/12/2021) 02")</f>
        <v>Uncle Sams Cider (11/12/2021) 02</v>
      </c>
      <c r="H5866" s="19"/>
    </row>
    <row r="5867">
      <c r="A5867" s="9"/>
      <c r="B5867" s="15"/>
      <c r="C5867" s="9">
        <f>IFERROR(__xludf.DUMMYFUNCTION("""COMPUTED_VALUE"""),44543.8772518171)</f>
        <v>44543.87725</v>
      </c>
      <c r="D5867" s="15">
        <f>IFERROR(__xludf.DUMMYFUNCTION("""COMPUTED_VALUE"""),1.024)</f>
        <v>1.024</v>
      </c>
      <c r="E5867" s="16">
        <f>IFERROR(__xludf.DUMMYFUNCTION("""COMPUTED_VALUE"""),64.0)</f>
        <v>64</v>
      </c>
      <c r="F5867" s="19" t="str">
        <f>IFERROR(__xludf.DUMMYFUNCTION("""COMPUTED_VALUE"""),"BLACK")</f>
        <v>BLACK</v>
      </c>
      <c r="G5867" s="20" t="str">
        <f>IFERROR(__xludf.DUMMYFUNCTION("""COMPUTED_VALUE"""),"Uncle Sams Cider (11/12/2021) 02")</f>
        <v>Uncle Sams Cider (11/12/2021) 02</v>
      </c>
      <c r="H5867" s="19"/>
    </row>
    <row r="5868">
      <c r="A5868" s="9"/>
      <c r="B5868" s="15"/>
      <c r="C5868" s="9">
        <f>IFERROR(__xludf.DUMMYFUNCTION("""COMPUTED_VALUE"""),44543.8668195023)</f>
        <v>44543.86682</v>
      </c>
      <c r="D5868" s="15">
        <f>IFERROR(__xludf.DUMMYFUNCTION("""COMPUTED_VALUE"""),1.023)</f>
        <v>1.023</v>
      </c>
      <c r="E5868" s="16">
        <f>IFERROR(__xludf.DUMMYFUNCTION("""COMPUTED_VALUE"""),64.0)</f>
        <v>64</v>
      </c>
      <c r="F5868" s="19" t="str">
        <f>IFERROR(__xludf.DUMMYFUNCTION("""COMPUTED_VALUE"""),"BLACK")</f>
        <v>BLACK</v>
      </c>
      <c r="G5868" s="20" t="str">
        <f>IFERROR(__xludf.DUMMYFUNCTION("""COMPUTED_VALUE"""),"Uncle Sams Cider (11/12/2021) 02")</f>
        <v>Uncle Sams Cider (11/12/2021) 02</v>
      </c>
      <c r="H5868" s="19"/>
    </row>
    <row r="5869">
      <c r="A5869" s="9"/>
      <c r="B5869" s="15"/>
      <c r="C5869" s="9">
        <f>IFERROR(__xludf.DUMMYFUNCTION("""COMPUTED_VALUE"""),44543.8563859837)</f>
        <v>44543.85639</v>
      </c>
      <c r="D5869" s="15">
        <f>IFERROR(__xludf.DUMMYFUNCTION("""COMPUTED_VALUE"""),1.024)</f>
        <v>1.024</v>
      </c>
      <c r="E5869" s="16">
        <f>IFERROR(__xludf.DUMMYFUNCTION("""COMPUTED_VALUE"""),64.0)</f>
        <v>64</v>
      </c>
      <c r="F5869" s="19" t="str">
        <f>IFERROR(__xludf.DUMMYFUNCTION("""COMPUTED_VALUE"""),"BLACK")</f>
        <v>BLACK</v>
      </c>
      <c r="G5869" s="20" t="str">
        <f>IFERROR(__xludf.DUMMYFUNCTION("""COMPUTED_VALUE"""),"Uncle Sams Cider (11/12/2021) 02")</f>
        <v>Uncle Sams Cider (11/12/2021) 02</v>
      </c>
      <c r="H5869" s="19"/>
    </row>
    <row r="5870">
      <c r="A5870" s="9"/>
      <c r="B5870" s="15"/>
      <c r="C5870" s="9">
        <f>IFERROR(__xludf.DUMMYFUNCTION("""COMPUTED_VALUE"""),44543.8459528935)</f>
        <v>44543.84595</v>
      </c>
      <c r="D5870" s="15">
        <f>IFERROR(__xludf.DUMMYFUNCTION("""COMPUTED_VALUE"""),1.024)</f>
        <v>1.024</v>
      </c>
      <c r="E5870" s="16">
        <f>IFERROR(__xludf.DUMMYFUNCTION("""COMPUTED_VALUE"""),64.0)</f>
        <v>64</v>
      </c>
      <c r="F5870" s="19" t="str">
        <f>IFERROR(__xludf.DUMMYFUNCTION("""COMPUTED_VALUE"""),"BLACK")</f>
        <v>BLACK</v>
      </c>
      <c r="G5870" s="20" t="str">
        <f>IFERROR(__xludf.DUMMYFUNCTION("""COMPUTED_VALUE"""),"Uncle Sams Cider (11/12/2021) 02")</f>
        <v>Uncle Sams Cider (11/12/2021) 02</v>
      </c>
      <c r="H5870" s="19"/>
    </row>
    <row r="5871">
      <c r="A5871" s="9"/>
      <c r="B5871" s="15"/>
      <c r="C5871" s="9">
        <f>IFERROR(__xludf.DUMMYFUNCTION("""COMPUTED_VALUE"""),44543.8355318634)</f>
        <v>44543.83553</v>
      </c>
      <c r="D5871" s="15">
        <f>IFERROR(__xludf.DUMMYFUNCTION("""COMPUTED_VALUE"""),1.024)</f>
        <v>1.024</v>
      </c>
      <c r="E5871" s="16">
        <f>IFERROR(__xludf.DUMMYFUNCTION("""COMPUTED_VALUE"""),64.0)</f>
        <v>64</v>
      </c>
      <c r="F5871" s="19" t="str">
        <f>IFERROR(__xludf.DUMMYFUNCTION("""COMPUTED_VALUE"""),"BLACK")</f>
        <v>BLACK</v>
      </c>
      <c r="G5871" s="20" t="str">
        <f>IFERROR(__xludf.DUMMYFUNCTION("""COMPUTED_VALUE"""),"Uncle Sams Cider (11/12/2021) 02")</f>
        <v>Uncle Sams Cider (11/12/2021) 02</v>
      </c>
      <c r="H5871" s="19"/>
    </row>
    <row r="5872">
      <c r="A5872" s="9"/>
      <c r="B5872" s="15"/>
      <c r="C5872" s="9">
        <f>IFERROR(__xludf.DUMMYFUNCTION("""COMPUTED_VALUE"""),44543.8251002083)</f>
        <v>44543.8251</v>
      </c>
      <c r="D5872" s="15">
        <f>IFERROR(__xludf.DUMMYFUNCTION("""COMPUTED_VALUE"""),1.024)</f>
        <v>1.024</v>
      </c>
      <c r="E5872" s="16">
        <f>IFERROR(__xludf.DUMMYFUNCTION("""COMPUTED_VALUE"""),64.0)</f>
        <v>64</v>
      </c>
      <c r="F5872" s="19" t="str">
        <f>IFERROR(__xludf.DUMMYFUNCTION("""COMPUTED_VALUE"""),"BLACK")</f>
        <v>BLACK</v>
      </c>
      <c r="G5872" s="20" t="str">
        <f>IFERROR(__xludf.DUMMYFUNCTION("""COMPUTED_VALUE"""),"Uncle Sams Cider (11/12/2021) 02")</f>
        <v>Uncle Sams Cider (11/12/2021) 02</v>
      </c>
      <c r="H5872" s="19"/>
    </row>
    <row r="5873">
      <c r="A5873" s="9"/>
      <c r="B5873" s="15"/>
      <c r="C5873" s="9">
        <f>IFERROR(__xludf.DUMMYFUNCTION("""COMPUTED_VALUE"""),44543.8146548263)</f>
        <v>44543.81465</v>
      </c>
      <c r="D5873" s="15">
        <f>IFERROR(__xludf.DUMMYFUNCTION("""COMPUTED_VALUE"""),1.024)</f>
        <v>1.024</v>
      </c>
      <c r="E5873" s="16">
        <f>IFERROR(__xludf.DUMMYFUNCTION("""COMPUTED_VALUE"""),64.0)</f>
        <v>64</v>
      </c>
      <c r="F5873" s="19" t="str">
        <f>IFERROR(__xludf.DUMMYFUNCTION("""COMPUTED_VALUE"""),"BLACK")</f>
        <v>BLACK</v>
      </c>
      <c r="G5873" s="20" t="str">
        <f>IFERROR(__xludf.DUMMYFUNCTION("""COMPUTED_VALUE"""),"Uncle Sams Cider (11/12/2021) 02")</f>
        <v>Uncle Sams Cider (11/12/2021) 02</v>
      </c>
      <c r="H5873" s="19"/>
    </row>
    <row r="5874">
      <c r="A5874" s="9"/>
      <c r="B5874" s="15"/>
      <c r="C5874" s="9">
        <f>IFERROR(__xludf.DUMMYFUNCTION("""COMPUTED_VALUE"""),44543.8042209027)</f>
        <v>44543.80422</v>
      </c>
      <c r="D5874" s="15">
        <f>IFERROR(__xludf.DUMMYFUNCTION("""COMPUTED_VALUE"""),1.024)</f>
        <v>1.024</v>
      </c>
      <c r="E5874" s="16">
        <f>IFERROR(__xludf.DUMMYFUNCTION("""COMPUTED_VALUE"""),64.0)</f>
        <v>64</v>
      </c>
      <c r="F5874" s="19" t="str">
        <f>IFERROR(__xludf.DUMMYFUNCTION("""COMPUTED_VALUE"""),"BLACK")</f>
        <v>BLACK</v>
      </c>
      <c r="G5874" s="20" t="str">
        <f>IFERROR(__xludf.DUMMYFUNCTION("""COMPUTED_VALUE"""),"Uncle Sams Cider (11/12/2021) 02")</f>
        <v>Uncle Sams Cider (11/12/2021) 02</v>
      </c>
      <c r="H5874" s="19"/>
    </row>
    <row r="5875">
      <c r="A5875" s="9"/>
      <c r="B5875" s="15"/>
      <c r="C5875" s="9">
        <f>IFERROR(__xludf.DUMMYFUNCTION("""COMPUTED_VALUE"""),44543.7937987384)</f>
        <v>44543.7938</v>
      </c>
      <c r="D5875" s="15">
        <f>IFERROR(__xludf.DUMMYFUNCTION("""COMPUTED_VALUE"""),1.024)</f>
        <v>1.024</v>
      </c>
      <c r="E5875" s="16">
        <f>IFERROR(__xludf.DUMMYFUNCTION("""COMPUTED_VALUE"""),64.0)</f>
        <v>64</v>
      </c>
      <c r="F5875" s="19" t="str">
        <f>IFERROR(__xludf.DUMMYFUNCTION("""COMPUTED_VALUE"""),"BLACK")</f>
        <v>BLACK</v>
      </c>
      <c r="G5875" s="20" t="str">
        <f>IFERROR(__xludf.DUMMYFUNCTION("""COMPUTED_VALUE"""),"Uncle Sams Cider (11/12/2021) 02")</f>
        <v>Uncle Sams Cider (11/12/2021) 02</v>
      </c>
      <c r="H5875" s="19"/>
    </row>
    <row r="5876">
      <c r="A5876" s="9"/>
      <c r="B5876" s="15"/>
      <c r="C5876" s="9">
        <f>IFERROR(__xludf.DUMMYFUNCTION("""COMPUTED_VALUE"""),44543.7833678588)</f>
        <v>44543.78337</v>
      </c>
      <c r="D5876" s="15">
        <f>IFERROR(__xludf.DUMMYFUNCTION("""COMPUTED_VALUE"""),1.024)</f>
        <v>1.024</v>
      </c>
      <c r="E5876" s="16">
        <f>IFERROR(__xludf.DUMMYFUNCTION("""COMPUTED_VALUE"""),64.0)</f>
        <v>64</v>
      </c>
      <c r="F5876" s="19" t="str">
        <f>IFERROR(__xludf.DUMMYFUNCTION("""COMPUTED_VALUE"""),"BLACK")</f>
        <v>BLACK</v>
      </c>
      <c r="G5876" s="20" t="str">
        <f>IFERROR(__xludf.DUMMYFUNCTION("""COMPUTED_VALUE"""),"Uncle Sams Cider (11/12/2021) 02")</f>
        <v>Uncle Sams Cider (11/12/2021) 02</v>
      </c>
      <c r="H5876" s="19"/>
    </row>
    <row r="5877">
      <c r="A5877" s="9"/>
      <c r="B5877" s="15"/>
      <c r="C5877" s="9">
        <f>IFERROR(__xludf.DUMMYFUNCTION("""COMPUTED_VALUE"""),44543.7729472453)</f>
        <v>44543.77295</v>
      </c>
      <c r="D5877" s="15">
        <f>IFERROR(__xludf.DUMMYFUNCTION("""COMPUTED_VALUE"""),1.024)</f>
        <v>1.024</v>
      </c>
      <c r="E5877" s="16">
        <f>IFERROR(__xludf.DUMMYFUNCTION("""COMPUTED_VALUE"""),64.0)</f>
        <v>64</v>
      </c>
      <c r="F5877" s="19" t="str">
        <f>IFERROR(__xludf.DUMMYFUNCTION("""COMPUTED_VALUE"""),"BLACK")</f>
        <v>BLACK</v>
      </c>
      <c r="G5877" s="20" t="str">
        <f>IFERROR(__xludf.DUMMYFUNCTION("""COMPUTED_VALUE"""),"Uncle Sams Cider (11/12/2021) 02")</f>
        <v>Uncle Sams Cider (11/12/2021) 02</v>
      </c>
      <c r="H5877" s="19"/>
    </row>
    <row r="5878">
      <c r="A5878" s="9"/>
      <c r="B5878" s="15"/>
      <c r="C5878" s="9">
        <f>IFERROR(__xludf.DUMMYFUNCTION("""COMPUTED_VALUE"""),44543.7625139814)</f>
        <v>44543.76251</v>
      </c>
      <c r="D5878" s="15">
        <f>IFERROR(__xludf.DUMMYFUNCTION("""COMPUTED_VALUE"""),1.024)</f>
        <v>1.024</v>
      </c>
      <c r="E5878" s="16">
        <f>IFERROR(__xludf.DUMMYFUNCTION("""COMPUTED_VALUE"""),64.0)</f>
        <v>64</v>
      </c>
      <c r="F5878" s="19" t="str">
        <f>IFERROR(__xludf.DUMMYFUNCTION("""COMPUTED_VALUE"""),"BLACK")</f>
        <v>BLACK</v>
      </c>
      <c r="G5878" s="20" t="str">
        <f>IFERROR(__xludf.DUMMYFUNCTION("""COMPUTED_VALUE"""),"Uncle Sams Cider (11/12/2021) 02")</f>
        <v>Uncle Sams Cider (11/12/2021) 02</v>
      </c>
      <c r="H5878" s="19"/>
    </row>
    <row r="5879">
      <c r="A5879" s="9"/>
      <c r="B5879" s="15"/>
      <c r="C5879" s="9">
        <f>IFERROR(__xludf.DUMMYFUNCTION("""COMPUTED_VALUE"""),44543.7520925115)</f>
        <v>44543.75209</v>
      </c>
      <c r="D5879" s="15">
        <f>IFERROR(__xludf.DUMMYFUNCTION("""COMPUTED_VALUE"""),1.024)</f>
        <v>1.024</v>
      </c>
      <c r="E5879" s="16">
        <f>IFERROR(__xludf.DUMMYFUNCTION("""COMPUTED_VALUE"""),64.0)</f>
        <v>64</v>
      </c>
      <c r="F5879" s="19" t="str">
        <f>IFERROR(__xludf.DUMMYFUNCTION("""COMPUTED_VALUE"""),"BLACK")</f>
        <v>BLACK</v>
      </c>
      <c r="G5879" s="20" t="str">
        <f>IFERROR(__xludf.DUMMYFUNCTION("""COMPUTED_VALUE"""),"Uncle Sams Cider (11/12/2021) 02")</f>
        <v>Uncle Sams Cider (11/12/2021) 02</v>
      </c>
      <c r="H5879" s="19"/>
    </row>
    <row r="5880">
      <c r="A5880" s="9"/>
      <c r="B5880" s="15"/>
      <c r="C5880" s="9">
        <f>IFERROR(__xludf.DUMMYFUNCTION("""COMPUTED_VALUE"""),44543.7416710069)</f>
        <v>44543.74167</v>
      </c>
      <c r="D5880" s="15">
        <f>IFERROR(__xludf.DUMMYFUNCTION("""COMPUTED_VALUE"""),1.024)</f>
        <v>1.024</v>
      </c>
      <c r="E5880" s="16">
        <f>IFERROR(__xludf.DUMMYFUNCTION("""COMPUTED_VALUE"""),64.0)</f>
        <v>64</v>
      </c>
      <c r="F5880" s="19" t="str">
        <f>IFERROR(__xludf.DUMMYFUNCTION("""COMPUTED_VALUE"""),"BLACK")</f>
        <v>BLACK</v>
      </c>
      <c r="G5880" s="20" t="str">
        <f>IFERROR(__xludf.DUMMYFUNCTION("""COMPUTED_VALUE"""),"Uncle Sams Cider (11/12/2021) 02")</f>
        <v>Uncle Sams Cider (11/12/2021) 02</v>
      </c>
      <c r="H5880" s="19"/>
    </row>
    <row r="5881">
      <c r="A5881" s="9"/>
      <c r="B5881" s="15"/>
      <c r="C5881" s="9">
        <f>IFERROR(__xludf.DUMMYFUNCTION("""COMPUTED_VALUE"""),44543.7312267592)</f>
        <v>44543.73123</v>
      </c>
      <c r="D5881" s="15">
        <f>IFERROR(__xludf.DUMMYFUNCTION("""COMPUTED_VALUE"""),1.024)</f>
        <v>1.024</v>
      </c>
      <c r="E5881" s="16">
        <f>IFERROR(__xludf.DUMMYFUNCTION("""COMPUTED_VALUE"""),64.0)</f>
        <v>64</v>
      </c>
      <c r="F5881" s="19" t="str">
        <f>IFERROR(__xludf.DUMMYFUNCTION("""COMPUTED_VALUE"""),"BLACK")</f>
        <v>BLACK</v>
      </c>
      <c r="G5881" s="20" t="str">
        <f>IFERROR(__xludf.DUMMYFUNCTION("""COMPUTED_VALUE"""),"Uncle Sams Cider (11/12/2021) 02")</f>
        <v>Uncle Sams Cider (11/12/2021) 02</v>
      </c>
      <c r="H5881" s="19"/>
    </row>
    <row r="5882">
      <c r="A5882" s="9"/>
      <c r="B5882" s="15"/>
      <c r="C5882" s="9">
        <f>IFERROR(__xludf.DUMMYFUNCTION("""COMPUTED_VALUE"""),44543.7208046759)</f>
        <v>44543.7208</v>
      </c>
      <c r="D5882" s="15">
        <f>IFERROR(__xludf.DUMMYFUNCTION("""COMPUTED_VALUE"""),1.024)</f>
        <v>1.024</v>
      </c>
      <c r="E5882" s="16">
        <f>IFERROR(__xludf.DUMMYFUNCTION("""COMPUTED_VALUE"""),64.0)</f>
        <v>64</v>
      </c>
      <c r="F5882" s="19" t="str">
        <f>IFERROR(__xludf.DUMMYFUNCTION("""COMPUTED_VALUE"""),"BLACK")</f>
        <v>BLACK</v>
      </c>
      <c r="G5882" s="20" t="str">
        <f>IFERROR(__xludf.DUMMYFUNCTION("""COMPUTED_VALUE"""),"Uncle Sams Cider (11/12/2021) 02")</f>
        <v>Uncle Sams Cider (11/12/2021) 02</v>
      </c>
      <c r="H5882" s="19"/>
    </row>
    <row r="5883">
      <c r="A5883" s="9"/>
      <c r="B5883" s="15"/>
      <c r="C5883" s="9">
        <f>IFERROR(__xludf.DUMMYFUNCTION("""COMPUTED_VALUE"""),44543.7103591666)</f>
        <v>44543.71036</v>
      </c>
      <c r="D5883" s="15">
        <f>IFERROR(__xludf.DUMMYFUNCTION("""COMPUTED_VALUE"""),1.024)</f>
        <v>1.024</v>
      </c>
      <c r="E5883" s="16">
        <f>IFERROR(__xludf.DUMMYFUNCTION("""COMPUTED_VALUE"""),64.0)</f>
        <v>64</v>
      </c>
      <c r="F5883" s="19" t="str">
        <f>IFERROR(__xludf.DUMMYFUNCTION("""COMPUTED_VALUE"""),"BLACK")</f>
        <v>BLACK</v>
      </c>
      <c r="G5883" s="20" t="str">
        <f>IFERROR(__xludf.DUMMYFUNCTION("""COMPUTED_VALUE"""),"Uncle Sams Cider (11/12/2021) 02")</f>
        <v>Uncle Sams Cider (11/12/2021) 02</v>
      </c>
      <c r="H5883" s="19"/>
    </row>
    <row r="5884">
      <c r="A5884" s="9"/>
      <c r="B5884" s="15"/>
      <c r="C5884" s="9">
        <f>IFERROR(__xludf.DUMMYFUNCTION("""COMPUTED_VALUE"""),44543.6999152199)</f>
        <v>44543.69992</v>
      </c>
      <c r="D5884" s="15">
        <f>IFERROR(__xludf.DUMMYFUNCTION("""COMPUTED_VALUE"""),1.024)</f>
        <v>1.024</v>
      </c>
      <c r="E5884" s="16">
        <f>IFERROR(__xludf.DUMMYFUNCTION("""COMPUTED_VALUE"""),64.0)</f>
        <v>64</v>
      </c>
      <c r="F5884" s="19" t="str">
        <f>IFERROR(__xludf.DUMMYFUNCTION("""COMPUTED_VALUE"""),"BLACK")</f>
        <v>BLACK</v>
      </c>
      <c r="G5884" s="20" t="str">
        <f>IFERROR(__xludf.DUMMYFUNCTION("""COMPUTED_VALUE"""),"Uncle Sams Cider (11/12/2021) 02")</f>
        <v>Uncle Sams Cider (11/12/2021) 02</v>
      </c>
      <c r="H5884" s="19"/>
    </row>
    <row r="5885">
      <c r="A5885" s="9"/>
      <c r="B5885" s="15"/>
      <c r="C5885" s="9">
        <f>IFERROR(__xludf.DUMMYFUNCTION("""COMPUTED_VALUE"""),44543.6894954976)</f>
        <v>44543.6895</v>
      </c>
      <c r="D5885" s="15">
        <f>IFERROR(__xludf.DUMMYFUNCTION("""COMPUTED_VALUE"""),1.024)</f>
        <v>1.024</v>
      </c>
      <c r="E5885" s="16">
        <f>IFERROR(__xludf.DUMMYFUNCTION("""COMPUTED_VALUE"""),64.0)</f>
        <v>64</v>
      </c>
      <c r="F5885" s="19" t="str">
        <f>IFERROR(__xludf.DUMMYFUNCTION("""COMPUTED_VALUE"""),"BLACK")</f>
        <v>BLACK</v>
      </c>
      <c r="G5885" s="20" t="str">
        <f>IFERROR(__xludf.DUMMYFUNCTION("""COMPUTED_VALUE"""),"Uncle Sams Cider (11/12/2021) 02")</f>
        <v>Uncle Sams Cider (11/12/2021) 02</v>
      </c>
      <c r="H5885" s="19"/>
    </row>
    <row r="5886">
      <c r="A5886" s="9"/>
      <c r="B5886" s="15"/>
      <c r="C5886" s="9">
        <f>IFERROR(__xludf.DUMMYFUNCTION("""COMPUTED_VALUE"""),44543.679075081)</f>
        <v>44543.67908</v>
      </c>
      <c r="D5886" s="15">
        <f>IFERROR(__xludf.DUMMYFUNCTION("""COMPUTED_VALUE"""),1.024)</f>
        <v>1.024</v>
      </c>
      <c r="E5886" s="16">
        <f>IFERROR(__xludf.DUMMYFUNCTION("""COMPUTED_VALUE"""),64.0)</f>
        <v>64</v>
      </c>
      <c r="F5886" s="19" t="str">
        <f>IFERROR(__xludf.DUMMYFUNCTION("""COMPUTED_VALUE"""),"BLACK")</f>
        <v>BLACK</v>
      </c>
      <c r="G5886" s="20" t="str">
        <f>IFERROR(__xludf.DUMMYFUNCTION("""COMPUTED_VALUE"""),"Uncle Sams Cider (11/12/2021) 02")</f>
        <v>Uncle Sams Cider (11/12/2021) 02</v>
      </c>
      <c r="H5886" s="19"/>
    </row>
    <row r="5887">
      <c r="A5887" s="9"/>
      <c r="B5887" s="15"/>
      <c r="C5887" s="9">
        <f>IFERROR(__xludf.DUMMYFUNCTION("""COMPUTED_VALUE"""),44543.6686419212)</f>
        <v>44543.66864</v>
      </c>
      <c r="D5887" s="15">
        <f>IFERROR(__xludf.DUMMYFUNCTION("""COMPUTED_VALUE"""),1.024)</f>
        <v>1.024</v>
      </c>
      <c r="E5887" s="16">
        <f>IFERROR(__xludf.DUMMYFUNCTION("""COMPUTED_VALUE"""),64.0)</f>
        <v>64</v>
      </c>
      <c r="F5887" s="19" t="str">
        <f>IFERROR(__xludf.DUMMYFUNCTION("""COMPUTED_VALUE"""),"BLACK")</f>
        <v>BLACK</v>
      </c>
      <c r="G5887" s="20" t="str">
        <f>IFERROR(__xludf.DUMMYFUNCTION("""COMPUTED_VALUE"""),"Uncle Sams Cider (11/12/2021) 02")</f>
        <v>Uncle Sams Cider (11/12/2021) 02</v>
      </c>
      <c r="H5887" s="19"/>
    </row>
    <row r="5888">
      <c r="A5888" s="9"/>
      <c r="B5888" s="15"/>
      <c r="C5888" s="9">
        <f>IFERROR(__xludf.DUMMYFUNCTION("""COMPUTED_VALUE"""),44543.6582202662)</f>
        <v>44543.65822</v>
      </c>
      <c r="D5888" s="15">
        <f>IFERROR(__xludf.DUMMYFUNCTION("""COMPUTED_VALUE"""),1.024)</f>
        <v>1.024</v>
      </c>
      <c r="E5888" s="16">
        <f>IFERROR(__xludf.DUMMYFUNCTION("""COMPUTED_VALUE"""),64.0)</f>
        <v>64</v>
      </c>
      <c r="F5888" s="19" t="str">
        <f>IFERROR(__xludf.DUMMYFUNCTION("""COMPUTED_VALUE"""),"BLACK")</f>
        <v>BLACK</v>
      </c>
      <c r="G5888" s="20" t="str">
        <f>IFERROR(__xludf.DUMMYFUNCTION("""COMPUTED_VALUE"""),"Uncle Sams Cider (11/12/2021) 02")</f>
        <v>Uncle Sams Cider (11/12/2021) 02</v>
      </c>
      <c r="H5888" s="19"/>
    </row>
    <row r="5889">
      <c r="A5889" s="9"/>
      <c r="B5889" s="15"/>
      <c r="C5889" s="9">
        <f>IFERROR(__xludf.DUMMYFUNCTION("""COMPUTED_VALUE"""),44543.6477990972)</f>
        <v>44543.6478</v>
      </c>
      <c r="D5889" s="15">
        <f>IFERROR(__xludf.DUMMYFUNCTION("""COMPUTED_VALUE"""),1.024)</f>
        <v>1.024</v>
      </c>
      <c r="E5889" s="16">
        <f>IFERROR(__xludf.DUMMYFUNCTION("""COMPUTED_VALUE"""),64.0)</f>
        <v>64</v>
      </c>
      <c r="F5889" s="19" t="str">
        <f>IFERROR(__xludf.DUMMYFUNCTION("""COMPUTED_VALUE"""),"BLACK")</f>
        <v>BLACK</v>
      </c>
      <c r="G5889" s="20" t="str">
        <f>IFERROR(__xludf.DUMMYFUNCTION("""COMPUTED_VALUE"""),"Uncle Sams Cider (11/12/2021) 02")</f>
        <v>Uncle Sams Cider (11/12/2021) 02</v>
      </c>
      <c r="H5889" s="19"/>
    </row>
    <row r="5890">
      <c r="A5890" s="9"/>
      <c r="B5890" s="15"/>
      <c r="C5890" s="9">
        <f>IFERROR(__xludf.DUMMYFUNCTION("""COMPUTED_VALUE"""),44543.6373648379)</f>
        <v>44543.63736</v>
      </c>
      <c r="D5890" s="15">
        <f>IFERROR(__xludf.DUMMYFUNCTION("""COMPUTED_VALUE"""),1.024)</f>
        <v>1.024</v>
      </c>
      <c r="E5890" s="16">
        <f>IFERROR(__xludf.DUMMYFUNCTION("""COMPUTED_VALUE"""),64.0)</f>
        <v>64</v>
      </c>
      <c r="F5890" s="19" t="str">
        <f>IFERROR(__xludf.DUMMYFUNCTION("""COMPUTED_VALUE"""),"BLACK")</f>
        <v>BLACK</v>
      </c>
      <c r="G5890" s="20" t="str">
        <f>IFERROR(__xludf.DUMMYFUNCTION("""COMPUTED_VALUE"""),"Uncle Sams Cider (11/12/2021) 02")</f>
        <v>Uncle Sams Cider (11/12/2021) 02</v>
      </c>
      <c r="H5890" s="19"/>
    </row>
    <row r="5891">
      <c r="A5891" s="9"/>
      <c r="B5891" s="15"/>
      <c r="C5891" s="9">
        <f>IFERROR(__xludf.DUMMYFUNCTION("""COMPUTED_VALUE"""),44543.6269464583)</f>
        <v>44543.62695</v>
      </c>
      <c r="D5891" s="15">
        <f>IFERROR(__xludf.DUMMYFUNCTION("""COMPUTED_VALUE"""),1.024)</f>
        <v>1.024</v>
      </c>
      <c r="E5891" s="16">
        <f>IFERROR(__xludf.DUMMYFUNCTION("""COMPUTED_VALUE"""),64.0)</f>
        <v>64</v>
      </c>
      <c r="F5891" s="19" t="str">
        <f>IFERROR(__xludf.DUMMYFUNCTION("""COMPUTED_VALUE"""),"BLACK")</f>
        <v>BLACK</v>
      </c>
      <c r="G5891" s="20" t="str">
        <f>IFERROR(__xludf.DUMMYFUNCTION("""COMPUTED_VALUE"""),"Uncle Sams Cider (11/12/2021) 02")</f>
        <v>Uncle Sams Cider (11/12/2021) 02</v>
      </c>
      <c r="H5891" s="19"/>
    </row>
    <row r="5892">
      <c r="A5892" s="9"/>
      <c r="B5892" s="15"/>
      <c r="C5892" s="9">
        <f>IFERROR(__xludf.DUMMYFUNCTION("""COMPUTED_VALUE"""),44543.6165258333)</f>
        <v>44543.61653</v>
      </c>
      <c r="D5892" s="15">
        <f>IFERROR(__xludf.DUMMYFUNCTION("""COMPUTED_VALUE"""),1.024)</f>
        <v>1.024</v>
      </c>
      <c r="E5892" s="16">
        <f>IFERROR(__xludf.DUMMYFUNCTION("""COMPUTED_VALUE"""),64.0)</f>
        <v>64</v>
      </c>
      <c r="F5892" s="19" t="str">
        <f>IFERROR(__xludf.DUMMYFUNCTION("""COMPUTED_VALUE"""),"BLACK")</f>
        <v>BLACK</v>
      </c>
      <c r="G5892" s="20" t="str">
        <f>IFERROR(__xludf.DUMMYFUNCTION("""COMPUTED_VALUE"""),"Uncle Sams Cider (11/12/2021) 02")</f>
        <v>Uncle Sams Cider (11/12/2021) 02</v>
      </c>
      <c r="H5892" s="19"/>
    </row>
    <row r="5893">
      <c r="A5893" s="9"/>
      <c r="B5893" s="15"/>
      <c r="C5893" s="9">
        <f>IFERROR(__xludf.DUMMYFUNCTION("""COMPUTED_VALUE"""),44543.6061047569)</f>
        <v>44543.6061</v>
      </c>
      <c r="D5893" s="15">
        <f>IFERROR(__xludf.DUMMYFUNCTION("""COMPUTED_VALUE"""),1.024)</f>
        <v>1.024</v>
      </c>
      <c r="E5893" s="16">
        <f>IFERROR(__xludf.DUMMYFUNCTION("""COMPUTED_VALUE"""),64.0)</f>
        <v>64</v>
      </c>
      <c r="F5893" s="19" t="str">
        <f>IFERROR(__xludf.DUMMYFUNCTION("""COMPUTED_VALUE"""),"BLACK")</f>
        <v>BLACK</v>
      </c>
      <c r="G5893" s="20" t="str">
        <f>IFERROR(__xludf.DUMMYFUNCTION("""COMPUTED_VALUE"""),"Uncle Sams Cider (11/12/2021) 02")</f>
        <v>Uncle Sams Cider (11/12/2021) 02</v>
      </c>
      <c r="H5893" s="19"/>
    </row>
    <row r="5894">
      <c r="A5894" s="9"/>
      <c r="B5894" s="15"/>
      <c r="C5894" s="9">
        <f>IFERROR(__xludf.DUMMYFUNCTION("""COMPUTED_VALUE"""),44543.5956832175)</f>
        <v>44543.59568</v>
      </c>
      <c r="D5894" s="15">
        <f>IFERROR(__xludf.DUMMYFUNCTION("""COMPUTED_VALUE"""),1.024)</f>
        <v>1.024</v>
      </c>
      <c r="E5894" s="16">
        <f>IFERROR(__xludf.DUMMYFUNCTION("""COMPUTED_VALUE"""),64.0)</f>
        <v>64</v>
      </c>
      <c r="F5894" s="19" t="str">
        <f>IFERROR(__xludf.DUMMYFUNCTION("""COMPUTED_VALUE"""),"BLACK")</f>
        <v>BLACK</v>
      </c>
      <c r="G5894" s="20" t="str">
        <f>IFERROR(__xludf.DUMMYFUNCTION("""COMPUTED_VALUE"""),"Uncle Sams Cider (11/12/2021) 02")</f>
        <v>Uncle Sams Cider (11/12/2021) 02</v>
      </c>
      <c r="H5894" s="19"/>
    </row>
    <row r="5895">
      <c r="A5895" s="9"/>
      <c r="B5895" s="15"/>
      <c r="C5895" s="9">
        <f>IFERROR(__xludf.DUMMYFUNCTION("""COMPUTED_VALUE"""),44543.5852036805)</f>
        <v>44543.5852</v>
      </c>
      <c r="D5895" s="15">
        <f>IFERROR(__xludf.DUMMYFUNCTION("""COMPUTED_VALUE"""),1.024)</f>
        <v>1.024</v>
      </c>
      <c r="E5895" s="16">
        <f>IFERROR(__xludf.DUMMYFUNCTION("""COMPUTED_VALUE"""),64.0)</f>
        <v>64</v>
      </c>
      <c r="F5895" s="19" t="str">
        <f>IFERROR(__xludf.DUMMYFUNCTION("""COMPUTED_VALUE"""),"BLACK")</f>
        <v>BLACK</v>
      </c>
      <c r="G5895" s="20" t="str">
        <f>IFERROR(__xludf.DUMMYFUNCTION("""COMPUTED_VALUE"""),"Uncle Sams Cider (11/12/2021) 02")</f>
        <v>Uncle Sams Cider (11/12/2021) 02</v>
      </c>
      <c r="H5895" s="19"/>
    </row>
    <row r="5896">
      <c r="A5896" s="9"/>
      <c r="B5896" s="15"/>
      <c r="C5896" s="9">
        <f>IFERROR(__xludf.DUMMYFUNCTION("""COMPUTED_VALUE"""),44543.5747692245)</f>
        <v>44543.57477</v>
      </c>
      <c r="D5896" s="15">
        <f>IFERROR(__xludf.DUMMYFUNCTION("""COMPUTED_VALUE"""),1.024)</f>
        <v>1.024</v>
      </c>
      <c r="E5896" s="16">
        <f>IFERROR(__xludf.DUMMYFUNCTION("""COMPUTED_VALUE"""),64.0)</f>
        <v>64</v>
      </c>
      <c r="F5896" s="19" t="str">
        <f>IFERROR(__xludf.DUMMYFUNCTION("""COMPUTED_VALUE"""),"BLACK")</f>
        <v>BLACK</v>
      </c>
      <c r="G5896" s="20" t="str">
        <f>IFERROR(__xludf.DUMMYFUNCTION("""COMPUTED_VALUE"""),"Uncle Sams Cider (11/12/2021) 02")</f>
        <v>Uncle Sams Cider (11/12/2021) 02</v>
      </c>
      <c r="H5896" s="19"/>
    </row>
    <row r="5897">
      <c r="A5897" s="9"/>
      <c r="B5897" s="15"/>
      <c r="C5897" s="9">
        <f>IFERROR(__xludf.DUMMYFUNCTION("""COMPUTED_VALUE"""),44543.5643487731)</f>
        <v>44543.56435</v>
      </c>
      <c r="D5897" s="15">
        <f>IFERROR(__xludf.DUMMYFUNCTION("""COMPUTED_VALUE"""),1.024)</f>
        <v>1.024</v>
      </c>
      <c r="E5897" s="16">
        <f>IFERROR(__xludf.DUMMYFUNCTION("""COMPUTED_VALUE"""),64.0)</f>
        <v>64</v>
      </c>
      <c r="F5897" s="19" t="str">
        <f>IFERROR(__xludf.DUMMYFUNCTION("""COMPUTED_VALUE"""),"BLACK")</f>
        <v>BLACK</v>
      </c>
      <c r="G5897" s="20" t="str">
        <f>IFERROR(__xludf.DUMMYFUNCTION("""COMPUTED_VALUE"""),"Uncle Sams Cider (11/12/2021) 02")</f>
        <v>Uncle Sams Cider (11/12/2021) 02</v>
      </c>
      <c r="H5897" s="19"/>
    </row>
    <row r="5898">
      <c r="A5898" s="9"/>
      <c r="B5898" s="15"/>
      <c r="C5898" s="9">
        <f>IFERROR(__xludf.DUMMYFUNCTION("""COMPUTED_VALUE"""),44543.5539269444)</f>
        <v>44543.55393</v>
      </c>
      <c r="D5898" s="15">
        <f>IFERROR(__xludf.DUMMYFUNCTION("""COMPUTED_VALUE"""),1.024)</f>
        <v>1.024</v>
      </c>
      <c r="E5898" s="16">
        <f>IFERROR(__xludf.DUMMYFUNCTION("""COMPUTED_VALUE"""),64.0)</f>
        <v>64</v>
      </c>
      <c r="F5898" s="19" t="str">
        <f>IFERROR(__xludf.DUMMYFUNCTION("""COMPUTED_VALUE"""),"BLACK")</f>
        <v>BLACK</v>
      </c>
      <c r="G5898" s="20" t="str">
        <f>IFERROR(__xludf.DUMMYFUNCTION("""COMPUTED_VALUE"""),"Uncle Sams Cider (11/12/2021) 02")</f>
        <v>Uncle Sams Cider (11/12/2021) 02</v>
      </c>
      <c r="H5898" s="19"/>
    </row>
    <row r="5899">
      <c r="A5899" s="9"/>
      <c r="B5899" s="15"/>
      <c r="C5899" s="9">
        <f>IFERROR(__xludf.DUMMYFUNCTION("""COMPUTED_VALUE"""),44543.5435057523)</f>
        <v>44543.54351</v>
      </c>
      <c r="D5899" s="15">
        <f>IFERROR(__xludf.DUMMYFUNCTION("""COMPUTED_VALUE"""),1.024)</f>
        <v>1.024</v>
      </c>
      <c r="E5899" s="16">
        <f>IFERROR(__xludf.DUMMYFUNCTION("""COMPUTED_VALUE"""),64.0)</f>
        <v>64</v>
      </c>
      <c r="F5899" s="19" t="str">
        <f>IFERROR(__xludf.DUMMYFUNCTION("""COMPUTED_VALUE"""),"BLACK")</f>
        <v>BLACK</v>
      </c>
      <c r="G5899" s="20" t="str">
        <f>IFERROR(__xludf.DUMMYFUNCTION("""COMPUTED_VALUE"""),"Uncle Sams Cider (11/12/2021) 02")</f>
        <v>Uncle Sams Cider (11/12/2021) 02</v>
      </c>
      <c r="H5899" s="19"/>
    </row>
    <row r="5900">
      <c r="A5900" s="9"/>
      <c r="B5900" s="15"/>
      <c r="C5900" s="9">
        <f>IFERROR(__xludf.DUMMYFUNCTION("""COMPUTED_VALUE"""),44543.5330829513)</f>
        <v>44543.53308</v>
      </c>
      <c r="D5900" s="15">
        <f>IFERROR(__xludf.DUMMYFUNCTION("""COMPUTED_VALUE"""),1.024)</f>
        <v>1.024</v>
      </c>
      <c r="E5900" s="16">
        <f>IFERROR(__xludf.DUMMYFUNCTION("""COMPUTED_VALUE"""),64.0)</f>
        <v>64</v>
      </c>
      <c r="F5900" s="19" t="str">
        <f>IFERROR(__xludf.DUMMYFUNCTION("""COMPUTED_VALUE"""),"BLACK")</f>
        <v>BLACK</v>
      </c>
      <c r="G5900" s="20" t="str">
        <f>IFERROR(__xludf.DUMMYFUNCTION("""COMPUTED_VALUE"""),"Uncle Sams Cider (11/12/2021) 02")</f>
        <v>Uncle Sams Cider (11/12/2021) 02</v>
      </c>
      <c r="H5900" s="19"/>
    </row>
    <row r="5901">
      <c r="A5901" s="9"/>
      <c r="B5901" s="15"/>
      <c r="C5901" s="9">
        <f>IFERROR(__xludf.DUMMYFUNCTION("""COMPUTED_VALUE"""),44543.5226610185)</f>
        <v>44543.52266</v>
      </c>
      <c r="D5901" s="15">
        <f>IFERROR(__xludf.DUMMYFUNCTION("""COMPUTED_VALUE"""),1.024)</f>
        <v>1.024</v>
      </c>
      <c r="E5901" s="16">
        <f>IFERROR(__xludf.DUMMYFUNCTION("""COMPUTED_VALUE"""),64.0)</f>
        <v>64</v>
      </c>
      <c r="F5901" s="19" t="str">
        <f>IFERROR(__xludf.DUMMYFUNCTION("""COMPUTED_VALUE"""),"BLACK")</f>
        <v>BLACK</v>
      </c>
      <c r="G5901" s="20" t="str">
        <f>IFERROR(__xludf.DUMMYFUNCTION("""COMPUTED_VALUE"""),"Uncle Sams Cider (11/12/2021) 02")</f>
        <v>Uncle Sams Cider (11/12/2021) 02</v>
      </c>
      <c r="H5901" s="19"/>
    </row>
    <row r="5902">
      <c r="A5902" s="9"/>
      <c r="B5902" s="15"/>
      <c r="C5902" s="9">
        <f>IFERROR(__xludf.DUMMYFUNCTION("""COMPUTED_VALUE"""),44543.5122404282)</f>
        <v>44543.51224</v>
      </c>
      <c r="D5902" s="15">
        <f>IFERROR(__xludf.DUMMYFUNCTION("""COMPUTED_VALUE"""),1.024)</f>
        <v>1.024</v>
      </c>
      <c r="E5902" s="16">
        <f>IFERROR(__xludf.DUMMYFUNCTION("""COMPUTED_VALUE"""),64.0)</f>
        <v>64</v>
      </c>
      <c r="F5902" s="19" t="str">
        <f>IFERROR(__xludf.DUMMYFUNCTION("""COMPUTED_VALUE"""),"BLACK")</f>
        <v>BLACK</v>
      </c>
      <c r="G5902" s="20" t="str">
        <f>IFERROR(__xludf.DUMMYFUNCTION("""COMPUTED_VALUE"""),"Uncle Sams Cider (11/12/2021) 02")</f>
        <v>Uncle Sams Cider (11/12/2021) 02</v>
      </c>
      <c r="H5902" s="19"/>
    </row>
    <row r="5903">
      <c r="A5903" s="9"/>
      <c r="B5903" s="15"/>
      <c r="C5903" s="9">
        <f>IFERROR(__xludf.DUMMYFUNCTION("""COMPUTED_VALUE"""),44543.5018077777)</f>
        <v>44543.50181</v>
      </c>
      <c r="D5903" s="15">
        <f>IFERROR(__xludf.DUMMYFUNCTION("""COMPUTED_VALUE"""),1.024)</f>
        <v>1.024</v>
      </c>
      <c r="E5903" s="16">
        <f>IFERROR(__xludf.DUMMYFUNCTION("""COMPUTED_VALUE"""),64.0)</f>
        <v>64</v>
      </c>
      <c r="F5903" s="19" t="str">
        <f>IFERROR(__xludf.DUMMYFUNCTION("""COMPUTED_VALUE"""),"BLACK")</f>
        <v>BLACK</v>
      </c>
      <c r="G5903" s="20" t="str">
        <f>IFERROR(__xludf.DUMMYFUNCTION("""COMPUTED_VALUE"""),"Uncle Sams Cider (11/12/2021) 02")</f>
        <v>Uncle Sams Cider (11/12/2021) 02</v>
      </c>
      <c r="H5903" s="19"/>
    </row>
    <row r="5904">
      <c r="A5904" s="9"/>
      <c r="B5904" s="15"/>
      <c r="C5904" s="9">
        <f>IFERROR(__xludf.DUMMYFUNCTION("""COMPUTED_VALUE"""),44543.4913860995)</f>
        <v>44543.49139</v>
      </c>
      <c r="D5904" s="15">
        <f>IFERROR(__xludf.DUMMYFUNCTION("""COMPUTED_VALUE"""),1.024)</f>
        <v>1.024</v>
      </c>
      <c r="E5904" s="16">
        <f>IFERROR(__xludf.DUMMYFUNCTION("""COMPUTED_VALUE"""),64.0)</f>
        <v>64</v>
      </c>
      <c r="F5904" s="19" t="str">
        <f>IFERROR(__xludf.DUMMYFUNCTION("""COMPUTED_VALUE"""),"BLACK")</f>
        <v>BLACK</v>
      </c>
      <c r="G5904" s="20" t="str">
        <f>IFERROR(__xludf.DUMMYFUNCTION("""COMPUTED_VALUE"""),"Uncle Sams Cider (11/12/2021) 02")</f>
        <v>Uncle Sams Cider (11/12/2021) 02</v>
      </c>
      <c r="H5904" s="19"/>
    </row>
    <row r="5905">
      <c r="A5905" s="9"/>
      <c r="B5905" s="15"/>
      <c r="C5905" s="9">
        <f>IFERROR(__xludf.DUMMYFUNCTION("""COMPUTED_VALUE"""),44543.4809641435)</f>
        <v>44543.48096</v>
      </c>
      <c r="D5905" s="15">
        <f>IFERROR(__xludf.DUMMYFUNCTION("""COMPUTED_VALUE"""),1.024)</f>
        <v>1.024</v>
      </c>
      <c r="E5905" s="16">
        <f>IFERROR(__xludf.DUMMYFUNCTION("""COMPUTED_VALUE"""),64.0)</f>
        <v>64</v>
      </c>
      <c r="F5905" s="19" t="str">
        <f>IFERROR(__xludf.DUMMYFUNCTION("""COMPUTED_VALUE"""),"BLACK")</f>
        <v>BLACK</v>
      </c>
      <c r="G5905" s="20" t="str">
        <f>IFERROR(__xludf.DUMMYFUNCTION("""COMPUTED_VALUE"""),"Uncle Sams Cider (11/12/2021) 02")</f>
        <v>Uncle Sams Cider (11/12/2021) 02</v>
      </c>
      <c r="H5905" s="19"/>
    </row>
    <row r="5906">
      <c r="A5906" s="9"/>
      <c r="B5906" s="15"/>
      <c r="C5906" s="9">
        <f>IFERROR(__xludf.DUMMYFUNCTION("""COMPUTED_VALUE"""),44543.4705428588)</f>
        <v>44543.47054</v>
      </c>
      <c r="D5906" s="15">
        <f>IFERROR(__xludf.DUMMYFUNCTION("""COMPUTED_VALUE"""),1.024)</f>
        <v>1.024</v>
      </c>
      <c r="E5906" s="16">
        <f>IFERROR(__xludf.DUMMYFUNCTION("""COMPUTED_VALUE"""),64.0)</f>
        <v>64</v>
      </c>
      <c r="F5906" s="19" t="str">
        <f>IFERROR(__xludf.DUMMYFUNCTION("""COMPUTED_VALUE"""),"BLACK")</f>
        <v>BLACK</v>
      </c>
      <c r="G5906" s="20" t="str">
        <f>IFERROR(__xludf.DUMMYFUNCTION("""COMPUTED_VALUE"""),"Uncle Sams Cider (11/12/2021) 02")</f>
        <v>Uncle Sams Cider (11/12/2021) 02</v>
      </c>
      <c r="H5906" s="19"/>
    </row>
    <row r="5907">
      <c r="A5907" s="9"/>
      <c r="B5907" s="15"/>
      <c r="C5907" s="9">
        <f>IFERROR(__xludf.DUMMYFUNCTION("""COMPUTED_VALUE"""),44543.4601097222)</f>
        <v>44543.46011</v>
      </c>
      <c r="D5907" s="15">
        <f>IFERROR(__xludf.DUMMYFUNCTION("""COMPUTED_VALUE"""),1.024)</f>
        <v>1.024</v>
      </c>
      <c r="E5907" s="16">
        <f>IFERROR(__xludf.DUMMYFUNCTION("""COMPUTED_VALUE"""),64.0)</f>
        <v>64</v>
      </c>
      <c r="F5907" s="19" t="str">
        <f>IFERROR(__xludf.DUMMYFUNCTION("""COMPUTED_VALUE"""),"BLACK")</f>
        <v>BLACK</v>
      </c>
      <c r="G5907" s="20" t="str">
        <f>IFERROR(__xludf.DUMMYFUNCTION("""COMPUTED_VALUE"""),"Uncle Sams Cider (11/12/2021) 02")</f>
        <v>Uncle Sams Cider (11/12/2021) 02</v>
      </c>
      <c r="H5907" s="19"/>
    </row>
    <row r="5908">
      <c r="A5908" s="9"/>
      <c r="B5908" s="15"/>
      <c r="C5908" s="9">
        <f>IFERROR(__xludf.DUMMYFUNCTION("""COMPUTED_VALUE"""),44543.4496760879)</f>
        <v>44543.44968</v>
      </c>
      <c r="D5908" s="15">
        <f>IFERROR(__xludf.DUMMYFUNCTION("""COMPUTED_VALUE"""),1.024)</f>
        <v>1.024</v>
      </c>
      <c r="E5908" s="16">
        <f>IFERROR(__xludf.DUMMYFUNCTION("""COMPUTED_VALUE"""),64.0)</f>
        <v>64</v>
      </c>
      <c r="F5908" s="19" t="str">
        <f>IFERROR(__xludf.DUMMYFUNCTION("""COMPUTED_VALUE"""),"BLACK")</f>
        <v>BLACK</v>
      </c>
      <c r="G5908" s="20" t="str">
        <f>IFERROR(__xludf.DUMMYFUNCTION("""COMPUTED_VALUE"""),"Uncle Sams Cider (11/12/2021) 02")</f>
        <v>Uncle Sams Cider (11/12/2021) 02</v>
      </c>
      <c r="H5908" s="19"/>
    </row>
    <row r="5909">
      <c r="A5909" s="9"/>
      <c r="B5909" s="15"/>
      <c r="C5909" s="9">
        <f>IFERROR(__xludf.DUMMYFUNCTION("""COMPUTED_VALUE"""),44543.4392533101)</f>
        <v>44543.43925</v>
      </c>
      <c r="D5909" s="15">
        <f>IFERROR(__xludf.DUMMYFUNCTION("""COMPUTED_VALUE"""),1.024)</f>
        <v>1.024</v>
      </c>
      <c r="E5909" s="16">
        <f>IFERROR(__xludf.DUMMYFUNCTION("""COMPUTED_VALUE"""),64.0)</f>
        <v>64</v>
      </c>
      <c r="F5909" s="19" t="str">
        <f>IFERROR(__xludf.DUMMYFUNCTION("""COMPUTED_VALUE"""),"BLACK")</f>
        <v>BLACK</v>
      </c>
      <c r="G5909" s="20" t="str">
        <f>IFERROR(__xludf.DUMMYFUNCTION("""COMPUTED_VALUE"""),"Uncle Sams Cider (11/12/2021) 02")</f>
        <v>Uncle Sams Cider (11/12/2021) 02</v>
      </c>
      <c r="H5909" s="19"/>
    </row>
    <row r="5910">
      <c r="A5910" s="9"/>
      <c r="B5910" s="15"/>
      <c r="C5910" s="9">
        <f>IFERROR(__xludf.DUMMYFUNCTION("""COMPUTED_VALUE"""),44543.4288317129)</f>
        <v>44543.42883</v>
      </c>
      <c r="D5910" s="15">
        <f>IFERROR(__xludf.DUMMYFUNCTION("""COMPUTED_VALUE"""),1.024)</f>
        <v>1.024</v>
      </c>
      <c r="E5910" s="16">
        <f>IFERROR(__xludf.DUMMYFUNCTION("""COMPUTED_VALUE"""),64.0)</f>
        <v>64</v>
      </c>
      <c r="F5910" s="19" t="str">
        <f>IFERROR(__xludf.DUMMYFUNCTION("""COMPUTED_VALUE"""),"BLACK")</f>
        <v>BLACK</v>
      </c>
      <c r="G5910" s="20" t="str">
        <f>IFERROR(__xludf.DUMMYFUNCTION("""COMPUTED_VALUE"""),"Uncle Sams Cider (11/12/2021) 02")</f>
        <v>Uncle Sams Cider (11/12/2021) 02</v>
      </c>
      <c r="H5910" s="19"/>
    </row>
    <row r="5911">
      <c r="A5911" s="9"/>
      <c r="B5911" s="15"/>
      <c r="C5911" s="9">
        <f>IFERROR(__xludf.DUMMYFUNCTION("""COMPUTED_VALUE"""),44543.4184090277)</f>
        <v>44543.41841</v>
      </c>
      <c r="D5911" s="15">
        <f>IFERROR(__xludf.DUMMYFUNCTION("""COMPUTED_VALUE"""),1.024)</f>
        <v>1.024</v>
      </c>
      <c r="E5911" s="16">
        <f>IFERROR(__xludf.DUMMYFUNCTION("""COMPUTED_VALUE"""),64.0)</f>
        <v>64</v>
      </c>
      <c r="F5911" s="19" t="str">
        <f>IFERROR(__xludf.DUMMYFUNCTION("""COMPUTED_VALUE"""),"BLACK")</f>
        <v>BLACK</v>
      </c>
      <c r="G5911" s="20" t="str">
        <f>IFERROR(__xludf.DUMMYFUNCTION("""COMPUTED_VALUE"""),"Uncle Sams Cider (11/12/2021) 02")</f>
        <v>Uncle Sams Cider (11/12/2021) 02</v>
      </c>
      <c r="H5911" s="19"/>
    </row>
    <row r="5912">
      <c r="A5912" s="9"/>
      <c r="B5912" s="15"/>
      <c r="C5912" s="9">
        <f>IFERROR(__xludf.DUMMYFUNCTION("""COMPUTED_VALUE"""),44543.4079643402)</f>
        <v>44543.40796</v>
      </c>
      <c r="D5912" s="15">
        <f>IFERROR(__xludf.DUMMYFUNCTION("""COMPUTED_VALUE"""),1.024)</f>
        <v>1.024</v>
      </c>
      <c r="E5912" s="16">
        <f>IFERROR(__xludf.DUMMYFUNCTION("""COMPUTED_VALUE"""),64.0)</f>
        <v>64</v>
      </c>
      <c r="F5912" s="19" t="str">
        <f>IFERROR(__xludf.DUMMYFUNCTION("""COMPUTED_VALUE"""),"BLACK")</f>
        <v>BLACK</v>
      </c>
      <c r="G5912" s="20" t="str">
        <f>IFERROR(__xludf.DUMMYFUNCTION("""COMPUTED_VALUE"""),"Uncle Sams Cider (11/12/2021) 02")</f>
        <v>Uncle Sams Cider (11/12/2021) 02</v>
      </c>
      <c r="H5912" s="19"/>
    </row>
    <row r="5913">
      <c r="A5913" s="9"/>
      <c r="B5913" s="15"/>
      <c r="C5913" s="9">
        <f>IFERROR(__xludf.DUMMYFUNCTION("""COMPUTED_VALUE"""),44543.3975428587)</f>
        <v>44543.39754</v>
      </c>
      <c r="D5913" s="15">
        <f>IFERROR(__xludf.DUMMYFUNCTION("""COMPUTED_VALUE"""),1.024)</f>
        <v>1.024</v>
      </c>
      <c r="E5913" s="16">
        <f>IFERROR(__xludf.DUMMYFUNCTION("""COMPUTED_VALUE"""),64.0)</f>
        <v>64</v>
      </c>
      <c r="F5913" s="19" t="str">
        <f>IFERROR(__xludf.DUMMYFUNCTION("""COMPUTED_VALUE"""),"BLACK")</f>
        <v>BLACK</v>
      </c>
      <c r="G5913" s="20" t="str">
        <f>IFERROR(__xludf.DUMMYFUNCTION("""COMPUTED_VALUE"""),"Uncle Sams Cider (11/12/2021) 02")</f>
        <v>Uncle Sams Cider (11/12/2021) 02</v>
      </c>
      <c r="H5913" s="19"/>
    </row>
    <row r="5914">
      <c r="A5914" s="9"/>
      <c r="B5914" s="15"/>
      <c r="C5914" s="9">
        <f>IFERROR(__xludf.DUMMYFUNCTION("""COMPUTED_VALUE"""),44543.3871211805)</f>
        <v>44543.38712</v>
      </c>
      <c r="D5914" s="15">
        <f>IFERROR(__xludf.DUMMYFUNCTION("""COMPUTED_VALUE"""),1.024)</f>
        <v>1.024</v>
      </c>
      <c r="E5914" s="16">
        <f>IFERROR(__xludf.DUMMYFUNCTION("""COMPUTED_VALUE"""),64.0)</f>
        <v>64</v>
      </c>
      <c r="F5914" s="19" t="str">
        <f>IFERROR(__xludf.DUMMYFUNCTION("""COMPUTED_VALUE"""),"BLACK")</f>
        <v>BLACK</v>
      </c>
      <c r="G5914" s="20" t="str">
        <f>IFERROR(__xludf.DUMMYFUNCTION("""COMPUTED_VALUE"""),"Uncle Sams Cider (11/12/2021) 02")</f>
        <v>Uncle Sams Cider (11/12/2021) 02</v>
      </c>
      <c r="H5914" s="19"/>
    </row>
    <row r="5915">
      <c r="A5915" s="9"/>
      <c r="B5915" s="15"/>
      <c r="C5915" s="9">
        <f>IFERROR(__xludf.DUMMYFUNCTION("""COMPUTED_VALUE"""),44543.3766985763)</f>
        <v>44543.3767</v>
      </c>
      <c r="D5915" s="15">
        <f>IFERROR(__xludf.DUMMYFUNCTION("""COMPUTED_VALUE"""),1.024)</f>
        <v>1.024</v>
      </c>
      <c r="E5915" s="16">
        <f>IFERROR(__xludf.DUMMYFUNCTION("""COMPUTED_VALUE"""),64.0)</f>
        <v>64</v>
      </c>
      <c r="F5915" s="19" t="str">
        <f>IFERROR(__xludf.DUMMYFUNCTION("""COMPUTED_VALUE"""),"BLACK")</f>
        <v>BLACK</v>
      </c>
      <c r="G5915" s="20" t="str">
        <f>IFERROR(__xludf.DUMMYFUNCTION("""COMPUTED_VALUE"""),"Uncle Sams Cider (11/12/2021) 02")</f>
        <v>Uncle Sams Cider (11/12/2021) 02</v>
      </c>
      <c r="H5915" s="19"/>
    </row>
    <row r="5916">
      <c r="A5916" s="9"/>
      <c r="B5916" s="15"/>
      <c r="C5916" s="9">
        <f>IFERROR(__xludf.DUMMYFUNCTION("""COMPUTED_VALUE"""),44543.3662781018)</f>
        <v>44543.36628</v>
      </c>
      <c r="D5916" s="15">
        <f>IFERROR(__xludf.DUMMYFUNCTION("""COMPUTED_VALUE"""),1.024)</f>
        <v>1.024</v>
      </c>
      <c r="E5916" s="16">
        <f>IFERROR(__xludf.DUMMYFUNCTION("""COMPUTED_VALUE"""),64.0)</f>
        <v>64</v>
      </c>
      <c r="F5916" s="19" t="str">
        <f>IFERROR(__xludf.DUMMYFUNCTION("""COMPUTED_VALUE"""),"BLACK")</f>
        <v>BLACK</v>
      </c>
      <c r="G5916" s="20" t="str">
        <f>IFERROR(__xludf.DUMMYFUNCTION("""COMPUTED_VALUE"""),"Uncle Sams Cider (11/12/2021) 02")</f>
        <v>Uncle Sams Cider (11/12/2021) 02</v>
      </c>
      <c r="H5916" s="19"/>
    </row>
    <row r="5917">
      <c r="A5917" s="9"/>
      <c r="B5917" s="15"/>
      <c r="C5917" s="9">
        <f>IFERROR(__xludf.DUMMYFUNCTION("""COMPUTED_VALUE"""),44543.3558334722)</f>
        <v>44543.35583</v>
      </c>
      <c r="D5917" s="15">
        <f>IFERROR(__xludf.DUMMYFUNCTION("""COMPUTED_VALUE"""),1.024)</f>
        <v>1.024</v>
      </c>
      <c r="E5917" s="16">
        <f>IFERROR(__xludf.DUMMYFUNCTION("""COMPUTED_VALUE"""),64.0)</f>
        <v>64</v>
      </c>
      <c r="F5917" s="19" t="str">
        <f>IFERROR(__xludf.DUMMYFUNCTION("""COMPUTED_VALUE"""),"BLACK")</f>
        <v>BLACK</v>
      </c>
      <c r="G5917" s="20" t="str">
        <f>IFERROR(__xludf.DUMMYFUNCTION("""COMPUTED_VALUE"""),"Uncle Sams Cider (11/12/2021) 02")</f>
        <v>Uncle Sams Cider (11/12/2021) 02</v>
      </c>
      <c r="H5917" s="19"/>
    </row>
    <row r="5918">
      <c r="A5918" s="9"/>
      <c r="B5918" s="15"/>
      <c r="C5918" s="9">
        <f>IFERROR(__xludf.DUMMYFUNCTION("""COMPUTED_VALUE"""),44543.345401493)</f>
        <v>44543.3454</v>
      </c>
      <c r="D5918" s="15">
        <f>IFERROR(__xludf.DUMMYFUNCTION("""COMPUTED_VALUE"""),1.024)</f>
        <v>1.024</v>
      </c>
      <c r="E5918" s="16">
        <f>IFERROR(__xludf.DUMMYFUNCTION("""COMPUTED_VALUE"""),64.0)</f>
        <v>64</v>
      </c>
      <c r="F5918" s="19" t="str">
        <f>IFERROR(__xludf.DUMMYFUNCTION("""COMPUTED_VALUE"""),"BLACK")</f>
        <v>BLACK</v>
      </c>
      <c r="G5918" s="20" t="str">
        <f>IFERROR(__xludf.DUMMYFUNCTION("""COMPUTED_VALUE"""),"Uncle Sams Cider (11/12/2021) 02")</f>
        <v>Uncle Sams Cider (11/12/2021) 02</v>
      </c>
      <c r="H5918" s="19"/>
    </row>
    <row r="5919">
      <c r="A5919" s="9"/>
      <c r="B5919" s="15"/>
      <c r="C5919" s="9">
        <f>IFERROR(__xludf.DUMMYFUNCTION("""COMPUTED_VALUE"""),44543.334977662)</f>
        <v>44543.33498</v>
      </c>
      <c r="D5919" s="15">
        <f>IFERROR(__xludf.DUMMYFUNCTION("""COMPUTED_VALUE"""),1.024)</f>
        <v>1.024</v>
      </c>
      <c r="E5919" s="16">
        <f>IFERROR(__xludf.DUMMYFUNCTION("""COMPUTED_VALUE"""),64.0)</f>
        <v>64</v>
      </c>
      <c r="F5919" s="19" t="str">
        <f>IFERROR(__xludf.DUMMYFUNCTION("""COMPUTED_VALUE"""),"BLACK")</f>
        <v>BLACK</v>
      </c>
      <c r="G5919" s="20" t="str">
        <f>IFERROR(__xludf.DUMMYFUNCTION("""COMPUTED_VALUE"""),"Uncle Sams Cider (11/12/2021) 02")</f>
        <v>Uncle Sams Cider (11/12/2021) 02</v>
      </c>
      <c r="H5919" s="19"/>
    </row>
    <row r="5920">
      <c r="A5920" s="9"/>
      <c r="B5920" s="15"/>
      <c r="C5920" s="9">
        <f>IFERROR(__xludf.DUMMYFUNCTION("""COMPUTED_VALUE"""),44543.3245456018)</f>
        <v>44543.32455</v>
      </c>
      <c r="D5920" s="15">
        <f>IFERROR(__xludf.DUMMYFUNCTION("""COMPUTED_VALUE"""),1.024)</f>
        <v>1.024</v>
      </c>
      <c r="E5920" s="16">
        <f>IFERROR(__xludf.DUMMYFUNCTION("""COMPUTED_VALUE"""),64.0)</f>
        <v>64</v>
      </c>
      <c r="F5920" s="19" t="str">
        <f>IFERROR(__xludf.DUMMYFUNCTION("""COMPUTED_VALUE"""),"BLACK")</f>
        <v>BLACK</v>
      </c>
      <c r="G5920" s="20" t="str">
        <f>IFERROR(__xludf.DUMMYFUNCTION("""COMPUTED_VALUE"""),"Uncle Sams Cider (11/12/2021) 02")</f>
        <v>Uncle Sams Cider (11/12/2021) 02</v>
      </c>
      <c r="H5920" s="19"/>
    </row>
    <row r="5921">
      <c r="A5921" s="9"/>
      <c r="B5921" s="15"/>
      <c r="C5921" s="9">
        <f>IFERROR(__xludf.DUMMYFUNCTION("""COMPUTED_VALUE"""),44543.314125)</f>
        <v>44543.31413</v>
      </c>
      <c r="D5921" s="15">
        <f>IFERROR(__xludf.DUMMYFUNCTION("""COMPUTED_VALUE"""),1.024)</f>
        <v>1.024</v>
      </c>
      <c r="E5921" s="16">
        <f>IFERROR(__xludf.DUMMYFUNCTION("""COMPUTED_VALUE"""),64.0)</f>
        <v>64</v>
      </c>
      <c r="F5921" s="19" t="str">
        <f>IFERROR(__xludf.DUMMYFUNCTION("""COMPUTED_VALUE"""),"BLACK")</f>
        <v>BLACK</v>
      </c>
      <c r="G5921" s="20" t="str">
        <f>IFERROR(__xludf.DUMMYFUNCTION("""COMPUTED_VALUE"""),"Uncle Sams Cider (11/12/2021) 02")</f>
        <v>Uncle Sams Cider (11/12/2021) 02</v>
      </c>
      <c r="H5921" s="19"/>
    </row>
    <row r="5922">
      <c r="A5922" s="9"/>
      <c r="B5922" s="15"/>
      <c r="C5922" s="9">
        <f>IFERROR(__xludf.DUMMYFUNCTION("""COMPUTED_VALUE"""),44543.303669699)</f>
        <v>44543.30367</v>
      </c>
      <c r="D5922" s="15">
        <f>IFERROR(__xludf.DUMMYFUNCTION("""COMPUTED_VALUE"""),1.024)</f>
        <v>1.024</v>
      </c>
      <c r="E5922" s="16">
        <f>IFERROR(__xludf.DUMMYFUNCTION("""COMPUTED_VALUE"""),64.0)</f>
        <v>64</v>
      </c>
      <c r="F5922" s="19" t="str">
        <f>IFERROR(__xludf.DUMMYFUNCTION("""COMPUTED_VALUE"""),"BLACK")</f>
        <v>BLACK</v>
      </c>
      <c r="G5922" s="20" t="str">
        <f>IFERROR(__xludf.DUMMYFUNCTION("""COMPUTED_VALUE"""),"Uncle Sams Cider (11/12/2021) 02")</f>
        <v>Uncle Sams Cider (11/12/2021) 02</v>
      </c>
      <c r="H5922" s="19"/>
    </row>
    <row r="5923">
      <c r="A5923" s="9"/>
      <c r="B5923" s="15"/>
      <c r="C5923" s="9">
        <f>IFERROR(__xludf.DUMMYFUNCTION("""COMPUTED_VALUE"""),44543.2932495717)</f>
        <v>44543.29325</v>
      </c>
      <c r="D5923" s="15">
        <f>IFERROR(__xludf.DUMMYFUNCTION("""COMPUTED_VALUE"""),1.024)</f>
        <v>1.024</v>
      </c>
      <c r="E5923" s="16">
        <f>IFERROR(__xludf.DUMMYFUNCTION("""COMPUTED_VALUE"""),64.0)</f>
        <v>64</v>
      </c>
      <c r="F5923" s="19" t="str">
        <f>IFERROR(__xludf.DUMMYFUNCTION("""COMPUTED_VALUE"""),"BLACK")</f>
        <v>BLACK</v>
      </c>
      <c r="G5923" s="20" t="str">
        <f>IFERROR(__xludf.DUMMYFUNCTION("""COMPUTED_VALUE"""),"Uncle Sams Cider (11/12/2021) 02")</f>
        <v>Uncle Sams Cider (11/12/2021) 02</v>
      </c>
      <c r="H5923" s="19"/>
    </row>
    <row r="5924">
      <c r="A5924" s="9"/>
      <c r="B5924" s="15"/>
      <c r="C5924" s="9">
        <f>IFERROR(__xludf.DUMMYFUNCTION("""COMPUTED_VALUE"""),44543.2828176967)</f>
        <v>44543.28282</v>
      </c>
      <c r="D5924" s="15">
        <f>IFERROR(__xludf.DUMMYFUNCTION("""COMPUTED_VALUE"""),1.024)</f>
        <v>1.024</v>
      </c>
      <c r="E5924" s="16">
        <f>IFERROR(__xludf.DUMMYFUNCTION("""COMPUTED_VALUE"""),64.0)</f>
        <v>64</v>
      </c>
      <c r="F5924" s="19" t="str">
        <f>IFERROR(__xludf.DUMMYFUNCTION("""COMPUTED_VALUE"""),"BLACK")</f>
        <v>BLACK</v>
      </c>
      <c r="G5924" s="20" t="str">
        <f>IFERROR(__xludf.DUMMYFUNCTION("""COMPUTED_VALUE"""),"Uncle Sams Cider (11/12/2021) 02")</f>
        <v>Uncle Sams Cider (11/12/2021) 02</v>
      </c>
      <c r="H5924" s="19"/>
    </row>
    <row r="5925">
      <c r="A5925" s="9"/>
      <c r="B5925" s="15"/>
      <c r="C5925" s="9">
        <f>IFERROR(__xludf.DUMMYFUNCTION("""COMPUTED_VALUE"""),44543.2723854976)</f>
        <v>44543.27239</v>
      </c>
      <c r="D5925" s="15">
        <f>IFERROR(__xludf.DUMMYFUNCTION("""COMPUTED_VALUE"""),1.024)</f>
        <v>1.024</v>
      </c>
      <c r="E5925" s="16">
        <f>IFERROR(__xludf.DUMMYFUNCTION("""COMPUTED_VALUE"""),64.0)</f>
        <v>64</v>
      </c>
      <c r="F5925" s="19" t="str">
        <f>IFERROR(__xludf.DUMMYFUNCTION("""COMPUTED_VALUE"""),"BLACK")</f>
        <v>BLACK</v>
      </c>
      <c r="G5925" s="20" t="str">
        <f>IFERROR(__xludf.DUMMYFUNCTION("""COMPUTED_VALUE"""),"Uncle Sams Cider (11/12/2021) 02")</f>
        <v>Uncle Sams Cider (11/12/2021) 02</v>
      </c>
      <c r="H5925" s="19"/>
    </row>
    <row r="5926">
      <c r="A5926" s="9"/>
      <c r="B5926" s="15"/>
      <c r="C5926" s="9">
        <f>IFERROR(__xludf.DUMMYFUNCTION("""COMPUTED_VALUE"""),44543.261963993)</f>
        <v>44543.26196</v>
      </c>
      <c r="D5926" s="15">
        <f>IFERROR(__xludf.DUMMYFUNCTION("""COMPUTED_VALUE"""),1.024)</f>
        <v>1.024</v>
      </c>
      <c r="E5926" s="16">
        <f>IFERROR(__xludf.DUMMYFUNCTION("""COMPUTED_VALUE"""),64.0)</f>
        <v>64</v>
      </c>
      <c r="F5926" s="19" t="str">
        <f>IFERROR(__xludf.DUMMYFUNCTION("""COMPUTED_VALUE"""),"BLACK")</f>
        <v>BLACK</v>
      </c>
      <c r="G5926" s="20" t="str">
        <f>IFERROR(__xludf.DUMMYFUNCTION("""COMPUTED_VALUE"""),"Uncle Sams Cider (11/12/2021) 02")</f>
        <v>Uncle Sams Cider (11/12/2021) 02</v>
      </c>
      <c r="H5926" s="19"/>
    </row>
    <row r="5927">
      <c r="A5927" s="9"/>
      <c r="B5927" s="15"/>
      <c r="C5927" s="9">
        <f>IFERROR(__xludf.DUMMYFUNCTION("""COMPUTED_VALUE"""),44543.2515421527)</f>
        <v>44543.25154</v>
      </c>
      <c r="D5927" s="15">
        <f>IFERROR(__xludf.DUMMYFUNCTION("""COMPUTED_VALUE"""),1.024)</f>
        <v>1.024</v>
      </c>
      <c r="E5927" s="16">
        <f>IFERROR(__xludf.DUMMYFUNCTION("""COMPUTED_VALUE"""),64.0)</f>
        <v>64</v>
      </c>
      <c r="F5927" s="19" t="str">
        <f>IFERROR(__xludf.DUMMYFUNCTION("""COMPUTED_VALUE"""),"BLACK")</f>
        <v>BLACK</v>
      </c>
      <c r="G5927" s="20" t="str">
        <f>IFERROR(__xludf.DUMMYFUNCTION("""COMPUTED_VALUE"""),"Uncle Sams Cider (11/12/2021) 02")</f>
        <v>Uncle Sams Cider (11/12/2021) 02</v>
      </c>
      <c r="H5927" s="19"/>
    </row>
    <row r="5928">
      <c r="A5928" s="9"/>
      <c r="B5928" s="15"/>
      <c r="C5928" s="9">
        <f>IFERROR(__xludf.DUMMYFUNCTION("""COMPUTED_VALUE"""),44543.2411094212)</f>
        <v>44543.24111</v>
      </c>
      <c r="D5928" s="15">
        <f>IFERROR(__xludf.DUMMYFUNCTION("""COMPUTED_VALUE"""),1.024)</f>
        <v>1.024</v>
      </c>
      <c r="E5928" s="16">
        <f>IFERROR(__xludf.DUMMYFUNCTION("""COMPUTED_VALUE"""),64.0)</f>
        <v>64</v>
      </c>
      <c r="F5928" s="19" t="str">
        <f>IFERROR(__xludf.DUMMYFUNCTION("""COMPUTED_VALUE"""),"BLACK")</f>
        <v>BLACK</v>
      </c>
      <c r="G5928" s="20" t="str">
        <f>IFERROR(__xludf.DUMMYFUNCTION("""COMPUTED_VALUE"""),"Uncle Sams Cider (11/12/2021) 02")</f>
        <v>Uncle Sams Cider (11/12/2021) 02</v>
      </c>
      <c r="H5928" s="19"/>
    </row>
    <row r="5929">
      <c r="A5929" s="9"/>
      <c r="B5929" s="15"/>
      <c r="C5929" s="9">
        <f>IFERROR(__xludf.DUMMYFUNCTION("""COMPUTED_VALUE"""),44543.2306888078)</f>
        <v>44543.23069</v>
      </c>
      <c r="D5929" s="15">
        <f>IFERROR(__xludf.DUMMYFUNCTION("""COMPUTED_VALUE"""),1.024)</f>
        <v>1.024</v>
      </c>
      <c r="E5929" s="16">
        <f>IFERROR(__xludf.DUMMYFUNCTION("""COMPUTED_VALUE"""),64.0)</f>
        <v>64</v>
      </c>
      <c r="F5929" s="19" t="str">
        <f>IFERROR(__xludf.DUMMYFUNCTION("""COMPUTED_VALUE"""),"BLACK")</f>
        <v>BLACK</v>
      </c>
      <c r="G5929" s="20" t="str">
        <f>IFERROR(__xludf.DUMMYFUNCTION("""COMPUTED_VALUE"""),"Uncle Sams Cider (11/12/2021) 02")</f>
        <v>Uncle Sams Cider (11/12/2021) 02</v>
      </c>
      <c r="H5929" s="19"/>
    </row>
    <row r="5930">
      <c r="A5930" s="9"/>
      <c r="B5930" s="15"/>
      <c r="C5930" s="9">
        <f>IFERROR(__xludf.DUMMYFUNCTION("""COMPUTED_VALUE"""),44543.2202664699)</f>
        <v>44543.22027</v>
      </c>
      <c r="D5930" s="15">
        <f>IFERROR(__xludf.DUMMYFUNCTION("""COMPUTED_VALUE"""),1.024)</f>
        <v>1.024</v>
      </c>
      <c r="E5930" s="16">
        <f>IFERROR(__xludf.DUMMYFUNCTION("""COMPUTED_VALUE"""),64.0)</f>
        <v>64</v>
      </c>
      <c r="F5930" s="19" t="str">
        <f>IFERROR(__xludf.DUMMYFUNCTION("""COMPUTED_VALUE"""),"BLACK")</f>
        <v>BLACK</v>
      </c>
      <c r="G5930" s="20" t="str">
        <f>IFERROR(__xludf.DUMMYFUNCTION("""COMPUTED_VALUE"""),"Uncle Sams Cider (11/12/2021) 02")</f>
        <v>Uncle Sams Cider (11/12/2021) 02</v>
      </c>
      <c r="H5930" s="19"/>
    </row>
    <row r="5931">
      <c r="A5931" s="9"/>
      <c r="B5931" s="15"/>
      <c r="C5931" s="9">
        <f>IFERROR(__xludf.DUMMYFUNCTION("""COMPUTED_VALUE"""),44543.2098468634)</f>
        <v>44543.20985</v>
      </c>
      <c r="D5931" s="15">
        <f>IFERROR(__xludf.DUMMYFUNCTION("""COMPUTED_VALUE"""),1.024)</f>
        <v>1.024</v>
      </c>
      <c r="E5931" s="16">
        <f>IFERROR(__xludf.DUMMYFUNCTION("""COMPUTED_VALUE"""),64.0)</f>
        <v>64</v>
      </c>
      <c r="F5931" s="19" t="str">
        <f>IFERROR(__xludf.DUMMYFUNCTION("""COMPUTED_VALUE"""),"BLACK")</f>
        <v>BLACK</v>
      </c>
      <c r="G5931" s="20" t="str">
        <f>IFERROR(__xludf.DUMMYFUNCTION("""COMPUTED_VALUE"""),"Uncle Sams Cider (11/12/2021) 02")</f>
        <v>Uncle Sams Cider (11/12/2021) 02</v>
      </c>
      <c r="H5931" s="19"/>
    </row>
    <row r="5932">
      <c r="A5932" s="9"/>
      <c r="B5932" s="15"/>
      <c r="C5932" s="9">
        <f>IFERROR(__xludf.DUMMYFUNCTION("""COMPUTED_VALUE"""),44543.1994261111)</f>
        <v>44543.19943</v>
      </c>
      <c r="D5932" s="15">
        <f>IFERROR(__xludf.DUMMYFUNCTION("""COMPUTED_VALUE"""),1.024)</f>
        <v>1.024</v>
      </c>
      <c r="E5932" s="16">
        <f>IFERROR(__xludf.DUMMYFUNCTION("""COMPUTED_VALUE"""),64.0)</f>
        <v>64</v>
      </c>
      <c r="F5932" s="19" t="str">
        <f>IFERROR(__xludf.DUMMYFUNCTION("""COMPUTED_VALUE"""),"BLACK")</f>
        <v>BLACK</v>
      </c>
      <c r="G5932" s="20" t="str">
        <f>IFERROR(__xludf.DUMMYFUNCTION("""COMPUTED_VALUE"""),"Uncle Sams Cider (11/12/2021) 02")</f>
        <v>Uncle Sams Cider (11/12/2021) 02</v>
      </c>
      <c r="H5932" s="19"/>
    </row>
    <row r="5933">
      <c r="A5933" s="9"/>
      <c r="B5933" s="15"/>
      <c r="C5933" s="9">
        <f>IFERROR(__xludf.DUMMYFUNCTION("""COMPUTED_VALUE"""),44543.1889937268)</f>
        <v>44543.18899</v>
      </c>
      <c r="D5933" s="15">
        <f>IFERROR(__xludf.DUMMYFUNCTION("""COMPUTED_VALUE"""),1.024)</f>
        <v>1.024</v>
      </c>
      <c r="E5933" s="16">
        <f>IFERROR(__xludf.DUMMYFUNCTION("""COMPUTED_VALUE"""),64.0)</f>
        <v>64</v>
      </c>
      <c r="F5933" s="19" t="str">
        <f>IFERROR(__xludf.DUMMYFUNCTION("""COMPUTED_VALUE"""),"BLACK")</f>
        <v>BLACK</v>
      </c>
      <c r="G5933" s="20" t="str">
        <f>IFERROR(__xludf.DUMMYFUNCTION("""COMPUTED_VALUE"""),"Uncle Sams Cider (11/12/2021) 02")</f>
        <v>Uncle Sams Cider (11/12/2021) 02</v>
      </c>
      <c r="H5933" s="19"/>
    </row>
    <row r="5934">
      <c r="A5934" s="9"/>
      <c r="B5934" s="15"/>
      <c r="C5934" s="9">
        <f>IFERROR(__xludf.DUMMYFUNCTION("""COMPUTED_VALUE"""),44543.1785728356)</f>
        <v>44543.17857</v>
      </c>
      <c r="D5934" s="15">
        <f>IFERROR(__xludf.DUMMYFUNCTION("""COMPUTED_VALUE"""),1.024)</f>
        <v>1.024</v>
      </c>
      <c r="E5934" s="16">
        <f>IFERROR(__xludf.DUMMYFUNCTION("""COMPUTED_VALUE"""),65.0)</f>
        <v>65</v>
      </c>
      <c r="F5934" s="19" t="str">
        <f>IFERROR(__xludf.DUMMYFUNCTION("""COMPUTED_VALUE"""),"BLACK")</f>
        <v>BLACK</v>
      </c>
      <c r="G5934" s="20" t="str">
        <f>IFERROR(__xludf.DUMMYFUNCTION("""COMPUTED_VALUE"""),"Uncle Sams Cider (11/12/2021) 02")</f>
        <v>Uncle Sams Cider (11/12/2021) 02</v>
      </c>
      <c r="H5934" s="19"/>
    </row>
    <row r="5935">
      <c r="A5935" s="9"/>
      <c r="B5935" s="15"/>
      <c r="C5935" s="9">
        <f>IFERROR(__xludf.DUMMYFUNCTION("""COMPUTED_VALUE"""),44543.1681289236)</f>
        <v>44543.16813</v>
      </c>
      <c r="D5935" s="15">
        <f>IFERROR(__xludf.DUMMYFUNCTION("""COMPUTED_VALUE"""),1.024)</f>
        <v>1.024</v>
      </c>
      <c r="E5935" s="16">
        <f>IFERROR(__xludf.DUMMYFUNCTION("""COMPUTED_VALUE"""),64.0)</f>
        <v>64</v>
      </c>
      <c r="F5935" s="19" t="str">
        <f>IFERROR(__xludf.DUMMYFUNCTION("""COMPUTED_VALUE"""),"BLACK")</f>
        <v>BLACK</v>
      </c>
      <c r="G5935" s="20" t="str">
        <f>IFERROR(__xludf.DUMMYFUNCTION("""COMPUTED_VALUE"""),"Uncle Sams Cider (11/12/2021) 02")</f>
        <v>Uncle Sams Cider (11/12/2021) 02</v>
      </c>
      <c r="H5935" s="19"/>
    </row>
    <row r="5936">
      <c r="A5936" s="9"/>
      <c r="B5936" s="15"/>
      <c r="C5936" s="9">
        <f>IFERROR(__xludf.DUMMYFUNCTION("""COMPUTED_VALUE"""),44543.157684074)</f>
        <v>44543.15768</v>
      </c>
      <c r="D5936" s="15">
        <f>IFERROR(__xludf.DUMMYFUNCTION("""COMPUTED_VALUE"""),1.024)</f>
        <v>1.024</v>
      </c>
      <c r="E5936" s="16">
        <f>IFERROR(__xludf.DUMMYFUNCTION("""COMPUTED_VALUE"""),65.0)</f>
        <v>65</v>
      </c>
      <c r="F5936" s="19" t="str">
        <f>IFERROR(__xludf.DUMMYFUNCTION("""COMPUTED_VALUE"""),"BLACK")</f>
        <v>BLACK</v>
      </c>
      <c r="G5936" s="20" t="str">
        <f>IFERROR(__xludf.DUMMYFUNCTION("""COMPUTED_VALUE"""),"Uncle Sams Cider (11/12/2021) 02")</f>
        <v>Uncle Sams Cider (11/12/2021) 02</v>
      </c>
      <c r="H5936" s="19"/>
    </row>
    <row r="5937">
      <c r="A5937" s="9"/>
      <c r="B5937" s="15"/>
      <c r="C5937" s="9">
        <f>IFERROR(__xludf.DUMMYFUNCTION("""COMPUTED_VALUE"""),44543.1472642592)</f>
        <v>44543.14726</v>
      </c>
      <c r="D5937" s="15">
        <f>IFERROR(__xludf.DUMMYFUNCTION("""COMPUTED_VALUE"""),1.024)</f>
        <v>1.024</v>
      </c>
      <c r="E5937" s="16">
        <f>IFERROR(__xludf.DUMMYFUNCTION("""COMPUTED_VALUE"""),65.0)</f>
        <v>65</v>
      </c>
      <c r="F5937" s="19" t="str">
        <f>IFERROR(__xludf.DUMMYFUNCTION("""COMPUTED_VALUE"""),"BLACK")</f>
        <v>BLACK</v>
      </c>
      <c r="G5937" s="20" t="str">
        <f>IFERROR(__xludf.DUMMYFUNCTION("""COMPUTED_VALUE"""),"Uncle Sams Cider (11/12/2021) 02")</f>
        <v>Uncle Sams Cider (11/12/2021) 02</v>
      </c>
      <c r="H5937" s="19"/>
    </row>
    <row r="5938">
      <c r="A5938" s="9"/>
      <c r="B5938" s="15"/>
      <c r="C5938" s="9">
        <f>IFERROR(__xludf.DUMMYFUNCTION("""COMPUTED_VALUE"""),44543.136841493)</f>
        <v>44543.13684</v>
      </c>
      <c r="D5938" s="15">
        <f>IFERROR(__xludf.DUMMYFUNCTION("""COMPUTED_VALUE"""),1.024)</f>
        <v>1.024</v>
      </c>
      <c r="E5938" s="16">
        <f>IFERROR(__xludf.DUMMYFUNCTION("""COMPUTED_VALUE"""),65.0)</f>
        <v>65</v>
      </c>
      <c r="F5938" s="19" t="str">
        <f>IFERROR(__xludf.DUMMYFUNCTION("""COMPUTED_VALUE"""),"BLACK")</f>
        <v>BLACK</v>
      </c>
      <c r="G5938" s="20" t="str">
        <f>IFERROR(__xludf.DUMMYFUNCTION("""COMPUTED_VALUE"""),"Uncle Sams Cider (11/12/2021) 02")</f>
        <v>Uncle Sams Cider (11/12/2021) 02</v>
      </c>
      <c r="H5938" s="19"/>
    </row>
    <row r="5939">
      <c r="A5939" s="9"/>
      <c r="B5939" s="15"/>
      <c r="C5939" s="9">
        <f>IFERROR(__xludf.DUMMYFUNCTION("""COMPUTED_VALUE"""),44543.1264070601)</f>
        <v>44543.12641</v>
      </c>
      <c r="D5939" s="15">
        <f>IFERROR(__xludf.DUMMYFUNCTION("""COMPUTED_VALUE"""),1.024)</f>
        <v>1.024</v>
      </c>
      <c r="E5939" s="16">
        <f>IFERROR(__xludf.DUMMYFUNCTION("""COMPUTED_VALUE"""),65.0)</f>
        <v>65</v>
      </c>
      <c r="F5939" s="19" t="str">
        <f>IFERROR(__xludf.DUMMYFUNCTION("""COMPUTED_VALUE"""),"BLACK")</f>
        <v>BLACK</v>
      </c>
      <c r="G5939" s="20" t="str">
        <f>IFERROR(__xludf.DUMMYFUNCTION("""COMPUTED_VALUE"""),"Uncle Sams Cider (11/12/2021) 02")</f>
        <v>Uncle Sams Cider (11/12/2021) 02</v>
      </c>
      <c r="H5939" s="19"/>
    </row>
    <row r="5940">
      <c r="A5940" s="9"/>
      <c r="B5940" s="15"/>
      <c r="C5940" s="9">
        <f>IFERROR(__xludf.DUMMYFUNCTION("""COMPUTED_VALUE"""),44543.1159864351)</f>
        <v>44543.11599</v>
      </c>
      <c r="D5940" s="15">
        <f>IFERROR(__xludf.DUMMYFUNCTION("""COMPUTED_VALUE"""),1.024)</f>
        <v>1.024</v>
      </c>
      <c r="E5940" s="16">
        <f>IFERROR(__xludf.DUMMYFUNCTION("""COMPUTED_VALUE"""),65.0)</f>
        <v>65</v>
      </c>
      <c r="F5940" s="19" t="str">
        <f>IFERROR(__xludf.DUMMYFUNCTION("""COMPUTED_VALUE"""),"BLACK")</f>
        <v>BLACK</v>
      </c>
      <c r="G5940" s="20" t="str">
        <f>IFERROR(__xludf.DUMMYFUNCTION("""COMPUTED_VALUE"""),"Uncle Sams Cider (11/12/2021) 02")</f>
        <v>Uncle Sams Cider (11/12/2021) 02</v>
      </c>
      <c r="H5940" s="19"/>
    </row>
    <row r="5941">
      <c r="A5941" s="9"/>
      <c r="B5941" s="15"/>
      <c r="C5941" s="9">
        <f>IFERROR(__xludf.DUMMYFUNCTION("""COMPUTED_VALUE"""),44543.1055523958)</f>
        <v>44543.10555</v>
      </c>
      <c r="D5941" s="15">
        <f>IFERROR(__xludf.DUMMYFUNCTION("""COMPUTED_VALUE"""),1.024)</f>
        <v>1.024</v>
      </c>
      <c r="E5941" s="16">
        <f>IFERROR(__xludf.DUMMYFUNCTION("""COMPUTED_VALUE"""),65.0)</f>
        <v>65</v>
      </c>
      <c r="F5941" s="19" t="str">
        <f>IFERROR(__xludf.DUMMYFUNCTION("""COMPUTED_VALUE"""),"BLACK")</f>
        <v>BLACK</v>
      </c>
      <c r="G5941" s="20" t="str">
        <f>IFERROR(__xludf.DUMMYFUNCTION("""COMPUTED_VALUE"""),"Uncle Sams Cider (11/12/2021) 02")</f>
        <v>Uncle Sams Cider (11/12/2021) 02</v>
      </c>
      <c r="H5941" s="19"/>
    </row>
    <row r="5942">
      <c r="A5942" s="9"/>
      <c r="B5942" s="15"/>
      <c r="C5942" s="9">
        <f>IFERROR(__xludf.DUMMYFUNCTION("""COMPUTED_VALUE"""),44543.0951186226)</f>
        <v>44543.09512</v>
      </c>
      <c r="D5942" s="15">
        <f>IFERROR(__xludf.DUMMYFUNCTION("""COMPUTED_VALUE"""),1.024)</f>
        <v>1.024</v>
      </c>
      <c r="E5942" s="16">
        <f>IFERROR(__xludf.DUMMYFUNCTION("""COMPUTED_VALUE"""),65.0)</f>
        <v>65</v>
      </c>
      <c r="F5942" s="19" t="str">
        <f>IFERROR(__xludf.DUMMYFUNCTION("""COMPUTED_VALUE"""),"BLACK")</f>
        <v>BLACK</v>
      </c>
      <c r="G5942" s="20" t="str">
        <f>IFERROR(__xludf.DUMMYFUNCTION("""COMPUTED_VALUE"""),"Uncle Sams Cider (11/12/2021) 02")</f>
        <v>Uncle Sams Cider (11/12/2021) 02</v>
      </c>
      <c r="H5942" s="19"/>
    </row>
    <row r="5943">
      <c r="A5943" s="9"/>
      <c r="B5943" s="15"/>
      <c r="C5943" s="9">
        <f>IFERROR(__xludf.DUMMYFUNCTION("""COMPUTED_VALUE"""),44543.084685706)</f>
        <v>44543.08469</v>
      </c>
      <c r="D5943" s="15">
        <f>IFERROR(__xludf.DUMMYFUNCTION("""COMPUTED_VALUE"""),1.024)</f>
        <v>1.024</v>
      </c>
      <c r="E5943" s="16">
        <f>IFERROR(__xludf.DUMMYFUNCTION("""COMPUTED_VALUE"""),65.0)</f>
        <v>65</v>
      </c>
      <c r="F5943" s="19" t="str">
        <f>IFERROR(__xludf.DUMMYFUNCTION("""COMPUTED_VALUE"""),"BLACK")</f>
        <v>BLACK</v>
      </c>
      <c r="G5943" s="20" t="str">
        <f>IFERROR(__xludf.DUMMYFUNCTION("""COMPUTED_VALUE"""),"Uncle Sams Cider (11/12/2021) 02")</f>
        <v>Uncle Sams Cider (11/12/2021) 02</v>
      </c>
      <c r="H5943" s="19"/>
    </row>
    <row r="5944">
      <c r="A5944" s="9"/>
      <c r="B5944" s="15"/>
      <c r="C5944" s="9">
        <f>IFERROR(__xludf.DUMMYFUNCTION("""COMPUTED_VALUE"""),44543.0742629629)</f>
        <v>44543.07426</v>
      </c>
      <c r="D5944" s="15">
        <f>IFERROR(__xludf.DUMMYFUNCTION("""COMPUTED_VALUE"""),1.024)</f>
        <v>1.024</v>
      </c>
      <c r="E5944" s="16">
        <f>IFERROR(__xludf.DUMMYFUNCTION("""COMPUTED_VALUE"""),65.0)</f>
        <v>65</v>
      </c>
      <c r="F5944" s="19" t="str">
        <f>IFERROR(__xludf.DUMMYFUNCTION("""COMPUTED_VALUE"""),"BLACK")</f>
        <v>BLACK</v>
      </c>
      <c r="G5944" s="20" t="str">
        <f>IFERROR(__xludf.DUMMYFUNCTION("""COMPUTED_VALUE"""),"Uncle Sams Cider (11/12/2021) 02")</f>
        <v>Uncle Sams Cider (11/12/2021) 02</v>
      </c>
      <c r="H5944" s="19"/>
    </row>
    <row r="5945">
      <c r="A5945" s="9"/>
      <c r="B5945" s="15"/>
      <c r="C5945" s="9">
        <f>IFERROR(__xludf.DUMMYFUNCTION("""COMPUTED_VALUE"""),44543.0638409606)</f>
        <v>44543.06384</v>
      </c>
      <c r="D5945" s="15">
        <f>IFERROR(__xludf.DUMMYFUNCTION("""COMPUTED_VALUE"""),1.024)</f>
        <v>1.024</v>
      </c>
      <c r="E5945" s="16">
        <f>IFERROR(__xludf.DUMMYFUNCTION("""COMPUTED_VALUE"""),65.0)</f>
        <v>65</v>
      </c>
      <c r="F5945" s="19" t="str">
        <f>IFERROR(__xludf.DUMMYFUNCTION("""COMPUTED_VALUE"""),"BLACK")</f>
        <v>BLACK</v>
      </c>
      <c r="G5945" s="20" t="str">
        <f>IFERROR(__xludf.DUMMYFUNCTION("""COMPUTED_VALUE"""),"Uncle Sams Cider (11/12/2021) 02")</f>
        <v>Uncle Sams Cider (11/12/2021) 02</v>
      </c>
      <c r="H5945" s="19"/>
    </row>
    <row r="5946">
      <c r="A5946" s="9"/>
      <c r="B5946" s="15"/>
      <c r="C5946" s="9">
        <f>IFERROR(__xludf.DUMMYFUNCTION("""COMPUTED_VALUE"""),44543.053420405)</f>
        <v>44543.05342</v>
      </c>
      <c r="D5946" s="15">
        <f>IFERROR(__xludf.DUMMYFUNCTION("""COMPUTED_VALUE"""),1.024)</f>
        <v>1.024</v>
      </c>
      <c r="E5946" s="16">
        <f>IFERROR(__xludf.DUMMYFUNCTION("""COMPUTED_VALUE"""),65.0)</f>
        <v>65</v>
      </c>
      <c r="F5946" s="19" t="str">
        <f>IFERROR(__xludf.DUMMYFUNCTION("""COMPUTED_VALUE"""),"BLACK")</f>
        <v>BLACK</v>
      </c>
      <c r="G5946" s="20" t="str">
        <f>IFERROR(__xludf.DUMMYFUNCTION("""COMPUTED_VALUE"""),"Uncle Sams Cider (11/12/2021) 02")</f>
        <v>Uncle Sams Cider (11/12/2021) 02</v>
      </c>
      <c r="H5946" s="19"/>
    </row>
    <row r="5947">
      <c r="A5947" s="9"/>
      <c r="B5947" s="15"/>
      <c r="C5947" s="9">
        <f>IFERROR(__xludf.DUMMYFUNCTION("""COMPUTED_VALUE"""),44543.0429646412)</f>
        <v>44543.04296</v>
      </c>
      <c r="D5947" s="15">
        <f>IFERROR(__xludf.DUMMYFUNCTION("""COMPUTED_VALUE"""),1.024)</f>
        <v>1.024</v>
      </c>
      <c r="E5947" s="16">
        <f>IFERROR(__xludf.DUMMYFUNCTION("""COMPUTED_VALUE"""),65.0)</f>
        <v>65</v>
      </c>
      <c r="F5947" s="19" t="str">
        <f>IFERROR(__xludf.DUMMYFUNCTION("""COMPUTED_VALUE"""),"BLACK")</f>
        <v>BLACK</v>
      </c>
      <c r="G5947" s="20" t="str">
        <f>IFERROR(__xludf.DUMMYFUNCTION("""COMPUTED_VALUE"""),"Uncle Sams Cider (11/12/2021) 02")</f>
        <v>Uncle Sams Cider (11/12/2021) 02</v>
      </c>
      <c r="H5947" s="19"/>
    </row>
    <row r="5948">
      <c r="A5948" s="9"/>
      <c r="B5948" s="15"/>
      <c r="C5948" s="9">
        <f>IFERROR(__xludf.DUMMYFUNCTION("""COMPUTED_VALUE"""),44543.0325444212)</f>
        <v>44543.03254</v>
      </c>
      <c r="D5948" s="15">
        <f>IFERROR(__xludf.DUMMYFUNCTION("""COMPUTED_VALUE"""),1.024)</f>
        <v>1.024</v>
      </c>
      <c r="E5948" s="16">
        <f>IFERROR(__xludf.DUMMYFUNCTION("""COMPUTED_VALUE"""),65.0)</f>
        <v>65</v>
      </c>
      <c r="F5948" s="19" t="str">
        <f>IFERROR(__xludf.DUMMYFUNCTION("""COMPUTED_VALUE"""),"BLACK")</f>
        <v>BLACK</v>
      </c>
      <c r="G5948" s="20" t="str">
        <f>IFERROR(__xludf.DUMMYFUNCTION("""COMPUTED_VALUE"""),"Uncle Sams Cider (11/12/2021) 02")</f>
        <v>Uncle Sams Cider (11/12/2021) 02</v>
      </c>
      <c r="H5948" s="19"/>
    </row>
    <row r="5949">
      <c r="A5949" s="9"/>
      <c r="B5949" s="15"/>
      <c r="C5949" s="9">
        <f>IFERROR(__xludf.DUMMYFUNCTION("""COMPUTED_VALUE"""),44543.02209978)</f>
        <v>44543.0221</v>
      </c>
      <c r="D5949" s="15">
        <f>IFERROR(__xludf.DUMMYFUNCTION("""COMPUTED_VALUE"""),1.024)</f>
        <v>1.024</v>
      </c>
      <c r="E5949" s="16">
        <f>IFERROR(__xludf.DUMMYFUNCTION("""COMPUTED_VALUE"""),65.0)</f>
        <v>65</v>
      </c>
      <c r="F5949" s="19" t="str">
        <f>IFERROR(__xludf.DUMMYFUNCTION("""COMPUTED_VALUE"""),"BLACK")</f>
        <v>BLACK</v>
      </c>
      <c r="G5949" s="20" t="str">
        <f>IFERROR(__xludf.DUMMYFUNCTION("""COMPUTED_VALUE"""),"Uncle Sams Cider (11/12/2021) 02")</f>
        <v>Uncle Sams Cider (11/12/2021) 02</v>
      </c>
      <c r="H5949" s="19"/>
    </row>
    <row r="5950">
      <c r="A5950" s="9"/>
      <c r="B5950" s="15"/>
      <c r="C5950" s="9">
        <f>IFERROR(__xludf.DUMMYFUNCTION("""COMPUTED_VALUE"""),44543.011619155)</f>
        <v>44543.01162</v>
      </c>
      <c r="D5950" s="15">
        <f>IFERROR(__xludf.DUMMYFUNCTION("""COMPUTED_VALUE"""),1.024)</f>
        <v>1.024</v>
      </c>
      <c r="E5950" s="16">
        <f>IFERROR(__xludf.DUMMYFUNCTION("""COMPUTED_VALUE"""),65.0)</f>
        <v>65</v>
      </c>
      <c r="F5950" s="19" t="str">
        <f>IFERROR(__xludf.DUMMYFUNCTION("""COMPUTED_VALUE"""),"BLACK")</f>
        <v>BLACK</v>
      </c>
      <c r="G5950" s="20" t="str">
        <f>IFERROR(__xludf.DUMMYFUNCTION("""COMPUTED_VALUE"""),"Uncle Sams Cider (11/12/2021) 02")</f>
        <v>Uncle Sams Cider (11/12/2021) 02</v>
      </c>
      <c r="H5950" s="19"/>
    </row>
    <row r="5951">
      <c r="A5951" s="9"/>
      <c r="B5951" s="15"/>
      <c r="C5951" s="9">
        <f>IFERROR(__xludf.DUMMYFUNCTION("""COMPUTED_VALUE"""),44543.001185787)</f>
        <v>44543.00119</v>
      </c>
      <c r="D5951" s="15">
        <f>IFERROR(__xludf.DUMMYFUNCTION("""COMPUTED_VALUE"""),1.024)</f>
        <v>1.024</v>
      </c>
      <c r="E5951" s="16">
        <f>IFERROR(__xludf.DUMMYFUNCTION("""COMPUTED_VALUE"""),65.0)</f>
        <v>65</v>
      </c>
      <c r="F5951" s="19" t="str">
        <f>IFERROR(__xludf.DUMMYFUNCTION("""COMPUTED_VALUE"""),"BLACK")</f>
        <v>BLACK</v>
      </c>
      <c r="G5951" s="20" t="str">
        <f>IFERROR(__xludf.DUMMYFUNCTION("""COMPUTED_VALUE"""),"Uncle Sams Cider (11/12/2021) 02")</f>
        <v>Uncle Sams Cider (11/12/2021) 02</v>
      </c>
      <c r="H5951" s="19"/>
    </row>
    <row r="5952">
      <c r="A5952" s="9"/>
      <c r="B5952" s="15"/>
      <c r="C5952" s="9">
        <f>IFERROR(__xludf.DUMMYFUNCTION("""COMPUTED_VALUE"""),44542.9907526851)</f>
        <v>44542.99075</v>
      </c>
      <c r="D5952" s="15">
        <f>IFERROR(__xludf.DUMMYFUNCTION("""COMPUTED_VALUE"""),1.024)</f>
        <v>1.024</v>
      </c>
      <c r="E5952" s="16">
        <f>IFERROR(__xludf.DUMMYFUNCTION("""COMPUTED_VALUE"""),65.0)</f>
        <v>65</v>
      </c>
      <c r="F5952" s="19" t="str">
        <f>IFERROR(__xludf.DUMMYFUNCTION("""COMPUTED_VALUE"""),"BLACK")</f>
        <v>BLACK</v>
      </c>
      <c r="G5952" s="20" t="str">
        <f>IFERROR(__xludf.DUMMYFUNCTION("""COMPUTED_VALUE"""),"Uncle Sams Cider (11/12/2021) 02")</f>
        <v>Uncle Sams Cider (11/12/2021) 02</v>
      </c>
      <c r="H5952" s="19"/>
    </row>
    <row r="5953">
      <c r="A5953" s="9"/>
      <c r="B5953" s="15"/>
      <c r="C5953" s="9">
        <f>IFERROR(__xludf.DUMMYFUNCTION("""COMPUTED_VALUE"""),44542.9803308101)</f>
        <v>44542.98033</v>
      </c>
      <c r="D5953" s="15">
        <f>IFERROR(__xludf.DUMMYFUNCTION("""COMPUTED_VALUE"""),1.024)</f>
        <v>1.024</v>
      </c>
      <c r="E5953" s="16">
        <f>IFERROR(__xludf.DUMMYFUNCTION("""COMPUTED_VALUE"""),65.0)</f>
        <v>65</v>
      </c>
      <c r="F5953" s="19" t="str">
        <f>IFERROR(__xludf.DUMMYFUNCTION("""COMPUTED_VALUE"""),"BLACK")</f>
        <v>BLACK</v>
      </c>
      <c r="G5953" s="20" t="str">
        <f>IFERROR(__xludf.DUMMYFUNCTION("""COMPUTED_VALUE"""),"Uncle Sams Cider (11/12/2021) 02")</f>
        <v>Uncle Sams Cider (11/12/2021) 02</v>
      </c>
      <c r="H5953" s="19"/>
    </row>
    <row r="5954">
      <c r="A5954" s="9"/>
      <c r="B5954" s="15"/>
      <c r="C5954" s="9">
        <f>IFERROR(__xludf.DUMMYFUNCTION("""COMPUTED_VALUE"""),44542.9698743055)</f>
        <v>44542.96987</v>
      </c>
      <c r="D5954" s="15">
        <f>IFERROR(__xludf.DUMMYFUNCTION("""COMPUTED_VALUE"""),1.024)</f>
        <v>1.024</v>
      </c>
      <c r="E5954" s="16">
        <f>IFERROR(__xludf.DUMMYFUNCTION("""COMPUTED_VALUE"""),65.0)</f>
        <v>65</v>
      </c>
      <c r="F5954" s="19" t="str">
        <f>IFERROR(__xludf.DUMMYFUNCTION("""COMPUTED_VALUE"""),"BLACK")</f>
        <v>BLACK</v>
      </c>
      <c r="G5954" s="20" t="str">
        <f>IFERROR(__xludf.DUMMYFUNCTION("""COMPUTED_VALUE"""),"Uncle Sams Cider (11/12/2021) 02")</f>
        <v>Uncle Sams Cider (11/12/2021) 02</v>
      </c>
      <c r="H5954" s="19"/>
    </row>
    <row r="5955">
      <c r="A5955" s="9"/>
      <c r="B5955" s="15"/>
      <c r="C5955" s="9">
        <f>IFERROR(__xludf.DUMMYFUNCTION("""COMPUTED_VALUE"""),44542.9594198148)</f>
        <v>44542.95942</v>
      </c>
      <c r="D5955" s="15">
        <f>IFERROR(__xludf.DUMMYFUNCTION("""COMPUTED_VALUE"""),1.024)</f>
        <v>1.024</v>
      </c>
      <c r="E5955" s="16">
        <f>IFERROR(__xludf.DUMMYFUNCTION("""COMPUTED_VALUE"""),65.0)</f>
        <v>65</v>
      </c>
      <c r="F5955" s="19" t="str">
        <f>IFERROR(__xludf.DUMMYFUNCTION("""COMPUTED_VALUE"""),"BLACK")</f>
        <v>BLACK</v>
      </c>
      <c r="G5955" s="20" t="str">
        <f>IFERROR(__xludf.DUMMYFUNCTION("""COMPUTED_VALUE"""),"Uncle Sams Cider (11/12/2021) 02")</f>
        <v>Uncle Sams Cider (11/12/2021) 02</v>
      </c>
      <c r="H5955" s="19"/>
    </row>
    <row r="5956">
      <c r="A5956" s="9"/>
      <c r="B5956" s="15"/>
      <c r="C5956" s="9">
        <f>IFERROR(__xludf.DUMMYFUNCTION("""COMPUTED_VALUE"""),44542.9489997453)</f>
        <v>44542.949</v>
      </c>
      <c r="D5956" s="15">
        <f>IFERROR(__xludf.DUMMYFUNCTION("""COMPUTED_VALUE"""),1.024)</f>
        <v>1.024</v>
      </c>
      <c r="E5956" s="16">
        <f>IFERROR(__xludf.DUMMYFUNCTION("""COMPUTED_VALUE"""),65.0)</f>
        <v>65</v>
      </c>
      <c r="F5956" s="19" t="str">
        <f>IFERROR(__xludf.DUMMYFUNCTION("""COMPUTED_VALUE"""),"BLACK")</f>
        <v>BLACK</v>
      </c>
      <c r="G5956" s="20" t="str">
        <f>IFERROR(__xludf.DUMMYFUNCTION("""COMPUTED_VALUE"""),"Uncle Sams Cider (11/12/2021) 02")</f>
        <v>Uncle Sams Cider (11/12/2021) 02</v>
      </c>
      <c r="H5956" s="19"/>
    </row>
    <row r="5957">
      <c r="A5957" s="9"/>
      <c r="B5957" s="15"/>
      <c r="C5957" s="9">
        <f>IFERROR(__xludf.DUMMYFUNCTION("""COMPUTED_VALUE"""),44542.9385801388)</f>
        <v>44542.93858</v>
      </c>
      <c r="D5957" s="15">
        <f>IFERROR(__xludf.DUMMYFUNCTION("""COMPUTED_VALUE"""),1.024)</f>
        <v>1.024</v>
      </c>
      <c r="E5957" s="16">
        <f>IFERROR(__xludf.DUMMYFUNCTION("""COMPUTED_VALUE"""),65.0)</f>
        <v>65</v>
      </c>
      <c r="F5957" s="19" t="str">
        <f>IFERROR(__xludf.DUMMYFUNCTION("""COMPUTED_VALUE"""),"BLACK")</f>
        <v>BLACK</v>
      </c>
      <c r="G5957" s="20" t="str">
        <f>IFERROR(__xludf.DUMMYFUNCTION("""COMPUTED_VALUE"""),"Uncle Sams Cider (11/12/2021) 02")</f>
        <v>Uncle Sams Cider (11/12/2021) 02</v>
      </c>
      <c r="H5957" s="19"/>
    </row>
    <row r="5958">
      <c r="A5958" s="9"/>
      <c r="B5958" s="15"/>
      <c r="C5958" s="9">
        <f>IFERROR(__xludf.DUMMYFUNCTION("""COMPUTED_VALUE"""),44542.9281592245)</f>
        <v>44542.92816</v>
      </c>
      <c r="D5958" s="15">
        <f>IFERROR(__xludf.DUMMYFUNCTION("""COMPUTED_VALUE"""),1.024)</f>
        <v>1.024</v>
      </c>
      <c r="E5958" s="16">
        <f>IFERROR(__xludf.DUMMYFUNCTION("""COMPUTED_VALUE"""),65.0)</f>
        <v>65</v>
      </c>
      <c r="F5958" s="19" t="str">
        <f>IFERROR(__xludf.DUMMYFUNCTION("""COMPUTED_VALUE"""),"BLACK")</f>
        <v>BLACK</v>
      </c>
      <c r="G5958" s="20" t="str">
        <f>IFERROR(__xludf.DUMMYFUNCTION("""COMPUTED_VALUE"""),"Uncle Sams Cider (11/12/2021) 02")</f>
        <v>Uncle Sams Cider (11/12/2021) 02</v>
      </c>
      <c r="H5958" s="19"/>
    </row>
    <row r="5959">
      <c r="A5959" s="9"/>
      <c r="B5959" s="15"/>
      <c r="C5959" s="9">
        <f>IFERROR(__xludf.DUMMYFUNCTION("""COMPUTED_VALUE"""),44542.9177377662)</f>
        <v>44542.91774</v>
      </c>
      <c r="D5959" s="15">
        <f>IFERROR(__xludf.DUMMYFUNCTION("""COMPUTED_VALUE"""),1.024)</f>
        <v>1.024</v>
      </c>
      <c r="E5959" s="16">
        <f>IFERROR(__xludf.DUMMYFUNCTION("""COMPUTED_VALUE"""),65.0)</f>
        <v>65</v>
      </c>
      <c r="F5959" s="19" t="str">
        <f>IFERROR(__xludf.DUMMYFUNCTION("""COMPUTED_VALUE"""),"BLACK")</f>
        <v>BLACK</v>
      </c>
      <c r="G5959" s="20" t="str">
        <f>IFERROR(__xludf.DUMMYFUNCTION("""COMPUTED_VALUE"""),"Uncle Sams Cider (11/12/2021) 02")</f>
        <v>Uncle Sams Cider (11/12/2021) 02</v>
      </c>
      <c r="H5959" s="19"/>
    </row>
    <row r="5960">
      <c r="A5960" s="9"/>
      <c r="B5960" s="15"/>
      <c r="C5960" s="9">
        <f>IFERROR(__xludf.DUMMYFUNCTION("""COMPUTED_VALUE"""),44542.9072928124)</f>
        <v>44542.90729</v>
      </c>
      <c r="D5960" s="15">
        <f>IFERROR(__xludf.DUMMYFUNCTION("""COMPUTED_VALUE"""),1.024)</f>
        <v>1.024</v>
      </c>
      <c r="E5960" s="16">
        <f>IFERROR(__xludf.DUMMYFUNCTION("""COMPUTED_VALUE"""),65.0)</f>
        <v>65</v>
      </c>
      <c r="F5960" s="19" t="str">
        <f>IFERROR(__xludf.DUMMYFUNCTION("""COMPUTED_VALUE"""),"BLACK")</f>
        <v>BLACK</v>
      </c>
      <c r="G5960" s="20" t="str">
        <f>IFERROR(__xludf.DUMMYFUNCTION("""COMPUTED_VALUE"""),"Uncle Sams Cider (11/12/2021) 02")</f>
        <v>Uncle Sams Cider (11/12/2021) 02</v>
      </c>
      <c r="H5960" s="19"/>
    </row>
    <row r="5961">
      <c r="A5961" s="9"/>
      <c r="B5961" s="15"/>
      <c r="C5961" s="9">
        <f>IFERROR(__xludf.DUMMYFUNCTION("""COMPUTED_VALUE"""),44542.8968708564)</f>
        <v>44542.89687</v>
      </c>
      <c r="D5961" s="15">
        <f>IFERROR(__xludf.DUMMYFUNCTION("""COMPUTED_VALUE"""),1.024)</f>
        <v>1.024</v>
      </c>
      <c r="E5961" s="16">
        <f>IFERROR(__xludf.DUMMYFUNCTION("""COMPUTED_VALUE"""),65.0)</f>
        <v>65</v>
      </c>
      <c r="F5961" s="19" t="str">
        <f>IFERROR(__xludf.DUMMYFUNCTION("""COMPUTED_VALUE"""),"BLACK")</f>
        <v>BLACK</v>
      </c>
      <c r="G5961" s="20" t="str">
        <f>IFERROR(__xludf.DUMMYFUNCTION("""COMPUTED_VALUE"""),"Uncle Sams Cider (11/12/2021) 02")</f>
        <v>Uncle Sams Cider (11/12/2021) 02</v>
      </c>
      <c r="H5961" s="19"/>
    </row>
    <row r="5962">
      <c r="A5962" s="9"/>
      <c r="B5962" s="15"/>
      <c r="C5962" s="9">
        <f>IFERROR(__xludf.DUMMYFUNCTION("""COMPUTED_VALUE"""),44542.8864374768)</f>
        <v>44542.88644</v>
      </c>
      <c r="D5962" s="15">
        <f>IFERROR(__xludf.DUMMYFUNCTION("""COMPUTED_VALUE"""),1.024)</f>
        <v>1.024</v>
      </c>
      <c r="E5962" s="16">
        <f>IFERROR(__xludf.DUMMYFUNCTION("""COMPUTED_VALUE"""),65.0)</f>
        <v>65</v>
      </c>
      <c r="F5962" s="19" t="str">
        <f>IFERROR(__xludf.DUMMYFUNCTION("""COMPUTED_VALUE"""),"BLACK")</f>
        <v>BLACK</v>
      </c>
      <c r="G5962" s="20" t="str">
        <f>IFERROR(__xludf.DUMMYFUNCTION("""COMPUTED_VALUE"""),"Uncle Sams Cider (11/12/2021) 02")</f>
        <v>Uncle Sams Cider (11/12/2021) 02</v>
      </c>
      <c r="H5962" s="19"/>
    </row>
    <row r="5963">
      <c r="A5963" s="9"/>
      <c r="B5963" s="15"/>
      <c r="C5963" s="9">
        <f>IFERROR(__xludf.DUMMYFUNCTION("""COMPUTED_VALUE"""),44542.8760163657)</f>
        <v>44542.87602</v>
      </c>
      <c r="D5963" s="15">
        <f>IFERROR(__xludf.DUMMYFUNCTION("""COMPUTED_VALUE"""),1.024)</f>
        <v>1.024</v>
      </c>
      <c r="E5963" s="16">
        <f>IFERROR(__xludf.DUMMYFUNCTION("""COMPUTED_VALUE"""),65.0)</f>
        <v>65</v>
      </c>
      <c r="F5963" s="19" t="str">
        <f>IFERROR(__xludf.DUMMYFUNCTION("""COMPUTED_VALUE"""),"BLACK")</f>
        <v>BLACK</v>
      </c>
      <c r="G5963" s="20" t="str">
        <f>IFERROR(__xludf.DUMMYFUNCTION("""COMPUTED_VALUE"""),"Uncle Sams Cider (11/12/2021) 02")</f>
        <v>Uncle Sams Cider (11/12/2021) 02</v>
      </c>
      <c r="H5963" s="19"/>
    </row>
    <row r="5964">
      <c r="A5964" s="9"/>
      <c r="B5964" s="15"/>
      <c r="C5964" s="9">
        <f>IFERROR(__xludf.DUMMYFUNCTION("""COMPUTED_VALUE"""),44542.8655944675)</f>
        <v>44542.86559</v>
      </c>
      <c r="D5964" s="15">
        <f>IFERROR(__xludf.DUMMYFUNCTION("""COMPUTED_VALUE"""),1.024)</f>
        <v>1.024</v>
      </c>
      <c r="E5964" s="16">
        <f>IFERROR(__xludf.DUMMYFUNCTION("""COMPUTED_VALUE"""),65.0)</f>
        <v>65</v>
      </c>
      <c r="F5964" s="19" t="str">
        <f>IFERROR(__xludf.DUMMYFUNCTION("""COMPUTED_VALUE"""),"BLACK")</f>
        <v>BLACK</v>
      </c>
      <c r="G5964" s="20" t="str">
        <f>IFERROR(__xludf.DUMMYFUNCTION("""COMPUTED_VALUE"""),"Uncle Sams Cider (11/12/2021) 02")</f>
        <v>Uncle Sams Cider (11/12/2021) 02</v>
      </c>
      <c r="H5964" s="19"/>
    </row>
    <row r="5965">
      <c r="A5965" s="9"/>
      <c r="B5965" s="15"/>
      <c r="C5965" s="9">
        <f>IFERROR(__xludf.DUMMYFUNCTION("""COMPUTED_VALUE"""),44542.8551600462)</f>
        <v>44542.85516</v>
      </c>
      <c r="D5965" s="15">
        <f>IFERROR(__xludf.DUMMYFUNCTION("""COMPUTED_VALUE"""),1.024)</f>
        <v>1.024</v>
      </c>
      <c r="E5965" s="16">
        <f>IFERROR(__xludf.DUMMYFUNCTION("""COMPUTED_VALUE"""),65.0)</f>
        <v>65</v>
      </c>
      <c r="F5965" s="19" t="str">
        <f>IFERROR(__xludf.DUMMYFUNCTION("""COMPUTED_VALUE"""),"BLACK")</f>
        <v>BLACK</v>
      </c>
      <c r="G5965" s="20" t="str">
        <f>IFERROR(__xludf.DUMMYFUNCTION("""COMPUTED_VALUE"""),"Uncle Sams Cider (11/12/2021) 02")</f>
        <v>Uncle Sams Cider (11/12/2021) 02</v>
      </c>
      <c r="H5965" s="19"/>
    </row>
    <row r="5966">
      <c r="A5966" s="9"/>
      <c r="B5966" s="15"/>
      <c r="C5966" s="9">
        <f>IFERROR(__xludf.DUMMYFUNCTION("""COMPUTED_VALUE"""),44542.8447393171)</f>
        <v>44542.84474</v>
      </c>
      <c r="D5966" s="15">
        <f>IFERROR(__xludf.DUMMYFUNCTION("""COMPUTED_VALUE"""),1.024)</f>
        <v>1.024</v>
      </c>
      <c r="E5966" s="16">
        <f>IFERROR(__xludf.DUMMYFUNCTION("""COMPUTED_VALUE"""),65.0)</f>
        <v>65</v>
      </c>
      <c r="F5966" s="19" t="str">
        <f>IFERROR(__xludf.DUMMYFUNCTION("""COMPUTED_VALUE"""),"BLACK")</f>
        <v>BLACK</v>
      </c>
      <c r="G5966" s="20" t="str">
        <f>IFERROR(__xludf.DUMMYFUNCTION("""COMPUTED_VALUE"""),"Uncle Sams Cider (11/12/2021) 02")</f>
        <v>Uncle Sams Cider (11/12/2021) 02</v>
      </c>
      <c r="H5966" s="19"/>
    </row>
    <row r="5967">
      <c r="A5967" s="9"/>
      <c r="B5967" s="15"/>
      <c r="C5967" s="9">
        <f>IFERROR(__xludf.DUMMYFUNCTION("""COMPUTED_VALUE"""),44542.8342943518)</f>
        <v>44542.83429</v>
      </c>
      <c r="D5967" s="15">
        <f>IFERROR(__xludf.DUMMYFUNCTION("""COMPUTED_VALUE"""),1.024)</f>
        <v>1.024</v>
      </c>
      <c r="E5967" s="16">
        <f>IFERROR(__xludf.DUMMYFUNCTION("""COMPUTED_VALUE"""),65.0)</f>
        <v>65</v>
      </c>
      <c r="F5967" s="19" t="str">
        <f>IFERROR(__xludf.DUMMYFUNCTION("""COMPUTED_VALUE"""),"BLACK")</f>
        <v>BLACK</v>
      </c>
      <c r="G5967" s="20" t="str">
        <f>IFERROR(__xludf.DUMMYFUNCTION("""COMPUTED_VALUE"""),"Uncle Sams Cider (11/12/2021) 02")</f>
        <v>Uncle Sams Cider (11/12/2021) 02</v>
      </c>
      <c r="H5967" s="19"/>
    </row>
    <row r="5968">
      <c r="A5968" s="9"/>
      <c r="B5968" s="15"/>
      <c r="C5968" s="9">
        <f>IFERROR(__xludf.DUMMYFUNCTION("""COMPUTED_VALUE"""),44542.8238721064)</f>
        <v>44542.82387</v>
      </c>
      <c r="D5968" s="15">
        <f>IFERROR(__xludf.DUMMYFUNCTION("""COMPUTED_VALUE"""),1.024)</f>
        <v>1.024</v>
      </c>
      <c r="E5968" s="16">
        <f>IFERROR(__xludf.DUMMYFUNCTION("""COMPUTED_VALUE"""),65.0)</f>
        <v>65</v>
      </c>
      <c r="F5968" s="19" t="str">
        <f>IFERROR(__xludf.DUMMYFUNCTION("""COMPUTED_VALUE"""),"BLACK")</f>
        <v>BLACK</v>
      </c>
      <c r="G5968" s="20" t="str">
        <f>IFERROR(__xludf.DUMMYFUNCTION("""COMPUTED_VALUE"""),"Uncle Sams Cider (11/12/2021) 02")</f>
        <v>Uncle Sams Cider (11/12/2021) 02</v>
      </c>
      <c r="H5968" s="19"/>
    </row>
    <row r="5969">
      <c r="A5969" s="9"/>
      <c r="B5969" s="15"/>
      <c r="C5969" s="9">
        <f>IFERROR(__xludf.DUMMYFUNCTION("""COMPUTED_VALUE"""),44542.813440243)</f>
        <v>44542.81344</v>
      </c>
      <c r="D5969" s="15">
        <f>IFERROR(__xludf.DUMMYFUNCTION("""COMPUTED_VALUE"""),1.024)</f>
        <v>1.024</v>
      </c>
      <c r="E5969" s="16">
        <f>IFERROR(__xludf.DUMMYFUNCTION("""COMPUTED_VALUE"""),65.0)</f>
        <v>65</v>
      </c>
      <c r="F5969" s="19" t="str">
        <f>IFERROR(__xludf.DUMMYFUNCTION("""COMPUTED_VALUE"""),"BLACK")</f>
        <v>BLACK</v>
      </c>
      <c r="G5969" s="20" t="str">
        <f>IFERROR(__xludf.DUMMYFUNCTION("""COMPUTED_VALUE"""),"Uncle Sams Cider (11/12/2021) 02")</f>
        <v>Uncle Sams Cider (11/12/2021) 02</v>
      </c>
      <c r="H5969" s="19"/>
    </row>
    <row r="5970">
      <c r="A5970" s="9"/>
      <c r="B5970" s="15"/>
      <c r="C5970" s="9">
        <f>IFERROR(__xludf.DUMMYFUNCTION("""COMPUTED_VALUE"""),44542.8029720717)</f>
        <v>44542.80297</v>
      </c>
      <c r="D5970" s="15">
        <f>IFERROR(__xludf.DUMMYFUNCTION("""COMPUTED_VALUE"""),1.024)</f>
        <v>1.024</v>
      </c>
      <c r="E5970" s="16">
        <f>IFERROR(__xludf.DUMMYFUNCTION("""COMPUTED_VALUE"""),65.0)</f>
        <v>65</v>
      </c>
      <c r="F5970" s="19" t="str">
        <f>IFERROR(__xludf.DUMMYFUNCTION("""COMPUTED_VALUE"""),"BLACK")</f>
        <v>BLACK</v>
      </c>
      <c r="G5970" s="20" t="str">
        <f>IFERROR(__xludf.DUMMYFUNCTION("""COMPUTED_VALUE"""),"Uncle Sams Cider (11/12/2021) 02")</f>
        <v>Uncle Sams Cider (11/12/2021) 02</v>
      </c>
      <c r="H5970" s="19"/>
    </row>
    <row r="5971">
      <c r="A5971" s="9"/>
      <c r="B5971" s="15"/>
      <c r="C5971" s="9">
        <f>IFERROR(__xludf.DUMMYFUNCTION("""COMPUTED_VALUE"""),44542.7924934143)</f>
        <v>44542.79249</v>
      </c>
      <c r="D5971" s="15">
        <f>IFERROR(__xludf.DUMMYFUNCTION("""COMPUTED_VALUE"""),1.024)</f>
        <v>1.024</v>
      </c>
      <c r="E5971" s="16">
        <f>IFERROR(__xludf.DUMMYFUNCTION("""COMPUTED_VALUE"""),65.0)</f>
        <v>65</v>
      </c>
      <c r="F5971" s="19" t="str">
        <f>IFERROR(__xludf.DUMMYFUNCTION("""COMPUTED_VALUE"""),"BLACK")</f>
        <v>BLACK</v>
      </c>
      <c r="G5971" s="20" t="str">
        <f>IFERROR(__xludf.DUMMYFUNCTION("""COMPUTED_VALUE"""),"Uncle Sams Cider (11/12/2021) 02")</f>
        <v>Uncle Sams Cider (11/12/2021) 02</v>
      </c>
      <c r="H5971" s="19"/>
    </row>
    <row r="5972">
      <c r="A5972" s="9"/>
      <c r="B5972" s="15"/>
      <c r="C5972" s="9">
        <f>IFERROR(__xludf.DUMMYFUNCTION("""COMPUTED_VALUE"""),44542.782072118)</f>
        <v>44542.78207</v>
      </c>
      <c r="D5972" s="15">
        <f>IFERROR(__xludf.DUMMYFUNCTION("""COMPUTED_VALUE"""),1.024)</f>
        <v>1.024</v>
      </c>
      <c r="E5972" s="16">
        <f>IFERROR(__xludf.DUMMYFUNCTION("""COMPUTED_VALUE"""),65.0)</f>
        <v>65</v>
      </c>
      <c r="F5972" s="19" t="str">
        <f>IFERROR(__xludf.DUMMYFUNCTION("""COMPUTED_VALUE"""),"BLACK")</f>
        <v>BLACK</v>
      </c>
      <c r="G5972" s="20" t="str">
        <f>IFERROR(__xludf.DUMMYFUNCTION("""COMPUTED_VALUE"""),"Uncle Sams Cider (11/12/2021) 02")</f>
        <v>Uncle Sams Cider (11/12/2021) 02</v>
      </c>
      <c r="H5972" s="19"/>
    </row>
    <row r="5973">
      <c r="A5973" s="9"/>
      <c r="B5973" s="15"/>
      <c r="C5973" s="9">
        <f>IFERROR(__xludf.DUMMYFUNCTION("""COMPUTED_VALUE"""),44542.7716535416)</f>
        <v>44542.77165</v>
      </c>
      <c r="D5973" s="15">
        <f>IFERROR(__xludf.DUMMYFUNCTION("""COMPUTED_VALUE"""),1.025)</f>
        <v>1.025</v>
      </c>
      <c r="E5973" s="16">
        <f>IFERROR(__xludf.DUMMYFUNCTION("""COMPUTED_VALUE"""),65.0)</f>
        <v>65</v>
      </c>
      <c r="F5973" s="19" t="str">
        <f>IFERROR(__xludf.DUMMYFUNCTION("""COMPUTED_VALUE"""),"BLACK")</f>
        <v>BLACK</v>
      </c>
      <c r="G5973" s="20" t="str">
        <f>IFERROR(__xludf.DUMMYFUNCTION("""COMPUTED_VALUE"""),"Uncle Sams Cider (11/12/2021) 02")</f>
        <v>Uncle Sams Cider (11/12/2021) 02</v>
      </c>
      <c r="H5973" s="19"/>
    </row>
    <row r="5974">
      <c r="A5974" s="9"/>
      <c r="B5974" s="15"/>
      <c r="C5974" s="9">
        <f>IFERROR(__xludf.DUMMYFUNCTION("""COMPUTED_VALUE"""),44542.7612326388)</f>
        <v>44542.76123</v>
      </c>
      <c r="D5974" s="15">
        <f>IFERROR(__xludf.DUMMYFUNCTION("""COMPUTED_VALUE"""),1.024)</f>
        <v>1.024</v>
      </c>
      <c r="E5974" s="16">
        <f>IFERROR(__xludf.DUMMYFUNCTION("""COMPUTED_VALUE"""),65.0)</f>
        <v>65</v>
      </c>
      <c r="F5974" s="19" t="str">
        <f>IFERROR(__xludf.DUMMYFUNCTION("""COMPUTED_VALUE"""),"BLACK")</f>
        <v>BLACK</v>
      </c>
      <c r="G5974" s="20" t="str">
        <f>IFERROR(__xludf.DUMMYFUNCTION("""COMPUTED_VALUE"""),"Uncle Sams Cider (11/12/2021) 02")</f>
        <v>Uncle Sams Cider (11/12/2021) 02</v>
      </c>
      <c r="H5974" s="19"/>
    </row>
    <row r="5975">
      <c r="A5975" s="9"/>
      <c r="B5975" s="15"/>
      <c r="C5975" s="9">
        <f>IFERROR(__xludf.DUMMYFUNCTION("""COMPUTED_VALUE"""),44542.750810324)</f>
        <v>44542.75081</v>
      </c>
      <c r="D5975" s="15">
        <f>IFERROR(__xludf.DUMMYFUNCTION("""COMPUTED_VALUE"""),1.024)</f>
        <v>1.024</v>
      </c>
      <c r="E5975" s="16">
        <f>IFERROR(__xludf.DUMMYFUNCTION("""COMPUTED_VALUE"""),65.0)</f>
        <v>65</v>
      </c>
      <c r="F5975" s="19" t="str">
        <f>IFERROR(__xludf.DUMMYFUNCTION("""COMPUTED_VALUE"""),"BLACK")</f>
        <v>BLACK</v>
      </c>
      <c r="G5975" s="20" t="str">
        <f>IFERROR(__xludf.DUMMYFUNCTION("""COMPUTED_VALUE"""),"Uncle Sams Cider (11/12/2021) 02")</f>
        <v>Uncle Sams Cider (11/12/2021) 02</v>
      </c>
      <c r="H5975" s="19"/>
    </row>
    <row r="5976">
      <c r="A5976" s="9"/>
      <c r="B5976" s="15"/>
      <c r="C5976" s="9">
        <f>IFERROR(__xludf.DUMMYFUNCTION("""COMPUTED_VALUE"""),44542.7403882291)</f>
        <v>44542.74039</v>
      </c>
      <c r="D5976" s="15">
        <f>IFERROR(__xludf.DUMMYFUNCTION("""COMPUTED_VALUE"""),1.024)</f>
        <v>1.024</v>
      </c>
      <c r="E5976" s="16">
        <f>IFERROR(__xludf.DUMMYFUNCTION("""COMPUTED_VALUE"""),65.0)</f>
        <v>65</v>
      </c>
      <c r="F5976" s="19" t="str">
        <f>IFERROR(__xludf.DUMMYFUNCTION("""COMPUTED_VALUE"""),"BLACK")</f>
        <v>BLACK</v>
      </c>
      <c r="G5976" s="20" t="str">
        <f>IFERROR(__xludf.DUMMYFUNCTION("""COMPUTED_VALUE"""),"Uncle Sams Cider (11/12/2021) 02")</f>
        <v>Uncle Sams Cider (11/12/2021) 02</v>
      </c>
      <c r="H5976" s="19"/>
    </row>
    <row r="5977">
      <c r="A5977" s="9"/>
      <c r="B5977" s="15"/>
      <c r="C5977" s="9">
        <f>IFERROR(__xludf.DUMMYFUNCTION("""COMPUTED_VALUE"""),44542.7299562152)</f>
        <v>44542.72996</v>
      </c>
      <c r="D5977" s="15">
        <f>IFERROR(__xludf.DUMMYFUNCTION("""COMPUTED_VALUE"""),1.024)</f>
        <v>1.024</v>
      </c>
      <c r="E5977" s="16">
        <f>IFERROR(__xludf.DUMMYFUNCTION("""COMPUTED_VALUE"""),65.0)</f>
        <v>65</v>
      </c>
      <c r="F5977" s="19" t="str">
        <f>IFERROR(__xludf.DUMMYFUNCTION("""COMPUTED_VALUE"""),"BLACK")</f>
        <v>BLACK</v>
      </c>
      <c r="G5977" s="20" t="str">
        <f>IFERROR(__xludf.DUMMYFUNCTION("""COMPUTED_VALUE"""),"Uncle Sams Cider (11/12/2021) 02")</f>
        <v>Uncle Sams Cider (11/12/2021) 02</v>
      </c>
      <c r="H5977" s="19"/>
    </row>
    <row r="5978">
      <c r="A5978" s="9"/>
      <c r="B5978" s="15"/>
      <c r="C5978" s="9">
        <f>IFERROR(__xludf.DUMMYFUNCTION("""COMPUTED_VALUE"""),44542.7195012152)</f>
        <v>44542.7195</v>
      </c>
      <c r="D5978" s="15">
        <f>IFERROR(__xludf.DUMMYFUNCTION("""COMPUTED_VALUE"""),1.024)</f>
        <v>1.024</v>
      </c>
      <c r="E5978" s="16">
        <f>IFERROR(__xludf.DUMMYFUNCTION("""COMPUTED_VALUE"""),65.0)</f>
        <v>65</v>
      </c>
      <c r="F5978" s="19" t="str">
        <f>IFERROR(__xludf.DUMMYFUNCTION("""COMPUTED_VALUE"""),"BLACK")</f>
        <v>BLACK</v>
      </c>
      <c r="G5978" s="20" t="str">
        <f>IFERROR(__xludf.DUMMYFUNCTION("""COMPUTED_VALUE"""),"Uncle Sams Cider (11/12/2021) 02")</f>
        <v>Uncle Sams Cider (11/12/2021) 02</v>
      </c>
      <c r="H5978" s="19"/>
    </row>
    <row r="5979">
      <c r="A5979" s="9"/>
      <c r="B5979" s="15"/>
      <c r="C5979" s="9">
        <f>IFERROR(__xludf.DUMMYFUNCTION("""COMPUTED_VALUE"""),44542.7090669328)</f>
        <v>44542.70907</v>
      </c>
      <c r="D5979" s="15">
        <f>IFERROR(__xludf.DUMMYFUNCTION("""COMPUTED_VALUE"""),1.024)</f>
        <v>1.024</v>
      </c>
      <c r="E5979" s="16">
        <f>IFERROR(__xludf.DUMMYFUNCTION("""COMPUTED_VALUE"""),65.0)</f>
        <v>65</v>
      </c>
      <c r="F5979" s="19" t="str">
        <f>IFERROR(__xludf.DUMMYFUNCTION("""COMPUTED_VALUE"""),"BLACK")</f>
        <v>BLACK</v>
      </c>
      <c r="G5979" s="20" t="str">
        <f>IFERROR(__xludf.DUMMYFUNCTION("""COMPUTED_VALUE"""),"Uncle Sams Cider (11/12/2021) 02")</f>
        <v>Uncle Sams Cider (11/12/2021) 02</v>
      </c>
      <c r="H5979" s="19"/>
    </row>
    <row r="5980">
      <c r="A5980" s="9"/>
      <c r="B5980" s="15"/>
      <c r="C5980" s="9">
        <f>IFERROR(__xludf.DUMMYFUNCTION("""COMPUTED_VALUE"""),44542.6986448379)</f>
        <v>44542.69864</v>
      </c>
      <c r="D5980" s="15">
        <f>IFERROR(__xludf.DUMMYFUNCTION("""COMPUTED_VALUE"""),1.024)</f>
        <v>1.024</v>
      </c>
      <c r="E5980" s="16">
        <f>IFERROR(__xludf.DUMMYFUNCTION("""COMPUTED_VALUE"""),65.0)</f>
        <v>65</v>
      </c>
      <c r="F5980" s="19" t="str">
        <f>IFERROR(__xludf.DUMMYFUNCTION("""COMPUTED_VALUE"""),"BLACK")</f>
        <v>BLACK</v>
      </c>
      <c r="G5980" s="20" t="str">
        <f>IFERROR(__xludf.DUMMYFUNCTION("""COMPUTED_VALUE"""),"Uncle Sams Cider (11/12/2021) 02")</f>
        <v>Uncle Sams Cider (11/12/2021) 02</v>
      </c>
      <c r="H5980" s="19"/>
    </row>
    <row r="5981">
      <c r="A5981" s="9"/>
      <c r="B5981" s="15"/>
      <c r="C5981" s="9">
        <f>IFERROR(__xludf.DUMMYFUNCTION("""COMPUTED_VALUE"""),44542.6882231365)</f>
        <v>44542.68822</v>
      </c>
      <c r="D5981" s="15">
        <f>IFERROR(__xludf.DUMMYFUNCTION("""COMPUTED_VALUE"""),1.024)</f>
        <v>1.024</v>
      </c>
      <c r="E5981" s="16">
        <f>IFERROR(__xludf.DUMMYFUNCTION("""COMPUTED_VALUE"""),65.0)</f>
        <v>65</v>
      </c>
      <c r="F5981" s="19" t="str">
        <f>IFERROR(__xludf.DUMMYFUNCTION("""COMPUTED_VALUE"""),"BLACK")</f>
        <v>BLACK</v>
      </c>
      <c r="G5981" s="20" t="str">
        <f>IFERROR(__xludf.DUMMYFUNCTION("""COMPUTED_VALUE"""),"Uncle Sams Cider (11/12/2021) 02")</f>
        <v>Uncle Sams Cider (11/12/2021) 02</v>
      </c>
      <c r="H5981" s="19"/>
    </row>
    <row r="5982">
      <c r="A5982" s="9"/>
      <c r="B5982" s="15"/>
      <c r="C5982" s="9">
        <f>IFERROR(__xludf.DUMMYFUNCTION("""COMPUTED_VALUE"""),44542.6778023148)</f>
        <v>44542.6778</v>
      </c>
      <c r="D5982" s="15">
        <f>IFERROR(__xludf.DUMMYFUNCTION("""COMPUTED_VALUE"""),1.025)</f>
        <v>1.025</v>
      </c>
      <c r="E5982" s="16">
        <f>IFERROR(__xludf.DUMMYFUNCTION("""COMPUTED_VALUE"""),65.0)</f>
        <v>65</v>
      </c>
      <c r="F5982" s="19" t="str">
        <f>IFERROR(__xludf.DUMMYFUNCTION("""COMPUTED_VALUE"""),"BLACK")</f>
        <v>BLACK</v>
      </c>
      <c r="G5982" s="20" t="str">
        <f>IFERROR(__xludf.DUMMYFUNCTION("""COMPUTED_VALUE"""),"Uncle Sams Cider (11/12/2021) 02")</f>
        <v>Uncle Sams Cider (11/12/2021) 02</v>
      </c>
      <c r="H5982" s="19"/>
    </row>
    <row r="5983">
      <c r="A5983" s="9"/>
      <c r="B5983" s="15"/>
      <c r="C5983" s="9">
        <f>IFERROR(__xludf.DUMMYFUNCTION("""COMPUTED_VALUE"""),44542.667357905)</f>
        <v>44542.66736</v>
      </c>
      <c r="D5983" s="15">
        <f>IFERROR(__xludf.DUMMYFUNCTION("""COMPUTED_VALUE"""),1.024)</f>
        <v>1.024</v>
      </c>
      <c r="E5983" s="16">
        <f>IFERROR(__xludf.DUMMYFUNCTION("""COMPUTED_VALUE"""),65.0)</f>
        <v>65</v>
      </c>
      <c r="F5983" s="19" t="str">
        <f>IFERROR(__xludf.DUMMYFUNCTION("""COMPUTED_VALUE"""),"BLACK")</f>
        <v>BLACK</v>
      </c>
      <c r="G5983" s="20" t="str">
        <f>IFERROR(__xludf.DUMMYFUNCTION("""COMPUTED_VALUE"""),"Uncle Sams Cider (11/12/2021) 02")</f>
        <v>Uncle Sams Cider (11/12/2021) 02</v>
      </c>
      <c r="H5983" s="19"/>
    </row>
    <row r="5984">
      <c r="A5984" s="9"/>
      <c r="B5984" s="15"/>
      <c r="C5984" s="9">
        <f>IFERROR(__xludf.DUMMYFUNCTION("""COMPUTED_VALUE"""),44542.6569366435)</f>
        <v>44542.65694</v>
      </c>
      <c r="D5984" s="15">
        <f>IFERROR(__xludf.DUMMYFUNCTION("""COMPUTED_VALUE"""),1.024)</f>
        <v>1.024</v>
      </c>
      <c r="E5984" s="16">
        <f>IFERROR(__xludf.DUMMYFUNCTION("""COMPUTED_VALUE"""),65.0)</f>
        <v>65</v>
      </c>
      <c r="F5984" s="19" t="str">
        <f>IFERROR(__xludf.DUMMYFUNCTION("""COMPUTED_VALUE"""),"BLACK")</f>
        <v>BLACK</v>
      </c>
      <c r="G5984" s="20" t="str">
        <f>IFERROR(__xludf.DUMMYFUNCTION("""COMPUTED_VALUE"""),"Uncle Sams Cider (11/12/2021) 02")</f>
        <v>Uncle Sams Cider (11/12/2021) 02</v>
      </c>
      <c r="H5984" s="19"/>
    </row>
    <row r="5985">
      <c r="A5985" s="9"/>
      <c r="B5985" s="15"/>
      <c r="C5985" s="9">
        <f>IFERROR(__xludf.DUMMYFUNCTION("""COMPUTED_VALUE"""),44542.6465168981)</f>
        <v>44542.64652</v>
      </c>
      <c r="D5985" s="15">
        <f>IFERROR(__xludf.DUMMYFUNCTION("""COMPUTED_VALUE"""),1.024)</f>
        <v>1.024</v>
      </c>
      <c r="E5985" s="16">
        <f>IFERROR(__xludf.DUMMYFUNCTION("""COMPUTED_VALUE"""),65.0)</f>
        <v>65</v>
      </c>
      <c r="F5985" s="19" t="str">
        <f>IFERROR(__xludf.DUMMYFUNCTION("""COMPUTED_VALUE"""),"BLACK")</f>
        <v>BLACK</v>
      </c>
      <c r="G5985" s="20" t="str">
        <f>IFERROR(__xludf.DUMMYFUNCTION("""COMPUTED_VALUE"""),"Uncle Sams Cider (11/12/2021) 02")</f>
        <v>Uncle Sams Cider (11/12/2021) 02</v>
      </c>
      <c r="H5985" s="19"/>
    </row>
    <row r="5986">
      <c r="A5986" s="9"/>
      <c r="B5986" s="15"/>
      <c r="C5986" s="9">
        <f>IFERROR(__xludf.DUMMYFUNCTION("""COMPUTED_VALUE"""),44542.6360855324)</f>
        <v>44542.63609</v>
      </c>
      <c r="D5986" s="15">
        <f>IFERROR(__xludf.DUMMYFUNCTION("""COMPUTED_VALUE"""),1.024)</f>
        <v>1.024</v>
      </c>
      <c r="E5986" s="16">
        <f>IFERROR(__xludf.DUMMYFUNCTION("""COMPUTED_VALUE"""),65.0)</f>
        <v>65</v>
      </c>
      <c r="F5986" s="19" t="str">
        <f>IFERROR(__xludf.DUMMYFUNCTION("""COMPUTED_VALUE"""),"BLACK")</f>
        <v>BLACK</v>
      </c>
      <c r="G5986" s="20" t="str">
        <f>IFERROR(__xludf.DUMMYFUNCTION("""COMPUTED_VALUE"""),"Uncle Sams Cider (11/12/2021) 02")</f>
        <v>Uncle Sams Cider (11/12/2021) 02</v>
      </c>
      <c r="H5986" s="19"/>
    </row>
    <row r="5987">
      <c r="A5987" s="9"/>
      <c r="B5987" s="15"/>
      <c r="C5987" s="9">
        <f>IFERROR(__xludf.DUMMYFUNCTION("""COMPUTED_VALUE"""),44542.6256533101)</f>
        <v>44542.62565</v>
      </c>
      <c r="D5987" s="15">
        <f>IFERROR(__xludf.DUMMYFUNCTION("""COMPUTED_VALUE"""),1.024)</f>
        <v>1.024</v>
      </c>
      <c r="E5987" s="16">
        <f>IFERROR(__xludf.DUMMYFUNCTION("""COMPUTED_VALUE"""),65.0)</f>
        <v>65</v>
      </c>
      <c r="F5987" s="19" t="str">
        <f>IFERROR(__xludf.DUMMYFUNCTION("""COMPUTED_VALUE"""),"BLACK")</f>
        <v>BLACK</v>
      </c>
      <c r="G5987" s="20" t="str">
        <f>IFERROR(__xludf.DUMMYFUNCTION("""COMPUTED_VALUE"""),"Uncle Sams Cider (11/12/2021) 02")</f>
        <v>Uncle Sams Cider (11/12/2021) 02</v>
      </c>
      <c r="H5987" s="19"/>
    </row>
    <row r="5988">
      <c r="A5988" s="9"/>
      <c r="B5988" s="15"/>
      <c r="C5988" s="9">
        <f>IFERROR(__xludf.DUMMYFUNCTION("""COMPUTED_VALUE"""),44542.6152327777)</f>
        <v>44542.61523</v>
      </c>
      <c r="D5988" s="15">
        <f>IFERROR(__xludf.DUMMYFUNCTION("""COMPUTED_VALUE"""),1.024)</f>
        <v>1.024</v>
      </c>
      <c r="E5988" s="16">
        <f>IFERROR(__xludf.DUMMYFUNCTION("""COMPUTED_VALUE"""),65.0)</f>
        <v>65</v>
      </c>
      <c r="F5988" s="19" t="str">
        <f>IFERROR(__xludf.DUMMYFUNCTION("""COMPUTED_VALUE"""),"BLACK")</f>
        <v>BLACK</v>
      </c>
      <c r="G5988" s="20" t="str">
        <f>IFERROR(__xludf.DUMMYFUNCTION("""COMPUTED_VALUE"""),"Uncle Sams Cider (11/12/2021) 02")</f>
        <v>Uncle Sams Cider (11/12/2021) 02</v>
      </c>
      <c r="H5988" s="19"/>
    </row>
    <row r="5989">
      <c r="A5989" s="9"/>
      <c r="B5989" s="15"/>
      <c r="C5989" s="9">
        <f>IFERROR(__xludf.DUMMYFUNCTION("""COMPUTED_VALUE"""),44542.6048127314)</f>
        <v>44542.60481</v>
      </c>
      <c r="D5989" s="15">
        <f>IFERROR(__xludf.DUMMYFUNCTION("""COMPUTED_VALUE"""),1.025)</f>
        <v>1.025</v>
      </c>
      <c r="E5989" s="16">
        <f>IFERROR(__xludf.DUMMYFUNCTION("""COMPUTED_VALUE"""),65.0)</f>
        <v>65</v>
      </c>
      <c r="F5989" s="19" t="str">
        <f>IFERROR(__xludf.DUMMYFUNCTION("""COMPUTED_VALUE"""),"BLACK")</f>
        <v>BLACK</v>
      </c>
      <c r="G5989" s="20" t="str">
        <f>IFERROR(__xludf.DUMMYFUNCTION("""COMPUTED_VALUE"""),"Uncle Sams Cider (11/12/2021) 02")</f>
        <v>Uncle Sams Cider (11/12/2021) 02</v>
      </c>
      <c r="H5989" s="19"/>
    </row>
    <row r="5990">
      <c r="A5990" s="9"/>
      <c r="B5990" s="15"/>
      <c r="C5990" s="9">
        <f>IFERROR(__xludf.DUMMYFUNCTION("""COMPUTED_VALUE"""),44542.5943820138)</f>
        <v>44542.59438</v>
      </c>
      <c r="D5990" s="15">
        <f>IFERROR(__xludf.DUMMYFUNCTION("""COMPUTED_VALUE"""),1.025)</f>
        <v>1.025</v>
      </c>
      <c r="E5990" s="16">
        <f>IFERROR(__xludf.DUMMYFUNCTION("""COMPUTED_VALUE"""),65.0)</f>
        <v>65</v>
      </c>
      <c r="F5990" s="19" t="str">
        <f>IFERROR(__xludf.DUMMYFUNCTION("""COMPUTED_VALUE"""),"BLACK")</f>
        <v>BLACK</v>
      </c>
      <c r="G5990" s="20" t="str">
        <f>IFERROR(__xludf.DUMMYFUNCTION("""COMPUTED_VALUE"""),"Uncle Sams Cider (11/12/2021) 02")</f>
        <v>Uncle Sams Cider (11/12/2021) 02</v>
      </c>
      <c r="H5990" s="19"/>
    </row>
    <row r="5991">
      <c r="A5991" s="9"/>
      <c r="B5991" s="15"/>
      <c r="C5991" s="9">
        <f>IFERROR(__xludf.DUMMYFUNCTION("""COMPUTED_VALUE"""),44542.5839610995)</f>
        <v>44542.58396</v>
      </c>
      <c r="D5991" s="15">
        <f>IFERROR(__xludf.DUMMYFUNCTION("""COMPUTED_VALUE"""),1.025)</f>
        <v>1.025</v>
      </c>
      <c r="E5991" s="16">
        <f>IFERROR(__xludf.DUMMYFUNCTION("""COMPUTED_VALUE"""),65.0)</f>
        <v>65</v>
      </c>
      <c r="F5991" s="19" t="str">
        <f>IFERROR(__xludf.DUMMYFUNCTION("""COMPUTED_VALUE"""),"BLACK")</f>
        <v>BLACK</v>
      </c>
      <c r="G5991" s="20" t="str">
        <f>IFERROR(__xludf.DUMMYFUNCTION("""COMPUTED_VALUE"""),"Uncle Sams Cider (11/12/2021) 02")</f>
        <v>Uncle Sams Cider (11/12/2021) 02</v>
      </c>
      <c r="H5991" s="19"/>
    </row>
    <row r="5992">
      <c r="A5992" s="9"/>
      <c r="B5992" s="15"/>
      <c r="C5992" s="9">
        <f>IFERROR(__xludf.DUMMYFUNCTION("""COMPUTED_VALUE"""),44542.5734808217)</f>
        <v>44542.57348</v>
      </c>
      <c r="D5992" s="15">
        <f>IFERROR(__xludf.DUMMYFUNCTION("""COMPUTED_VALUE"""),1.025)</f>
        <v>1.025</v>
      </c>
      <c r="E5992" s="16">
        <f>IFERROR(__xludf.DUMMYFUNCTION("""COMPUTED_VALUE"""),65.0)</f>
        <v>65</v>
      </c>
      <c r="F5992" s="19" t="str">
        <f>IFERROR(__xludf.DUMMYFUNCTION("""COMPUTED_VALUE"""),"BLACK")</f>
        <v>BLACK</v>
      </c>
      <c r="G5992" s="20" t="str">
        <f>IFERROR(__xludf.DUMMYFUNCTION("""COMPUTED_VALUE"""),"Uncle Sams Cider (11/12/2021) 02")</f>
        <v>Uncle Sams Cider (11/12/2021) 02</v>
      </c>
      <c r="H5992" s="19"/>
    </row>
    <row r="5993">
      <c r="A5993" s="9"/>
      <c r="B5993" s="15"/>
      <c r="C5993" s="9">
        <f>IFERROR(__xludf.DUMMYFUNCTION("""COMPUTED_VALUE"""),44542.563058912)</f>
        <v>44542.56306</v>
      </c>
      <c r="D5993" s="15">
        <f>IFERROR(__xludf.DUMMYFUNCTION("""COMPUTED_VALUE"""),1.025)</f>
        <v>1.025</v>
      </c>
      <c r="E5993" s="16">
        <f>IFERROR(__xludf.DUMMYFUNCTION("""COMPUTED_VALUE"""),65.0)</f>
        <v>65</v>
      </c>
      <c r="F5993" s="19" t="str">
        <f>IFERROR(__xludf.DUMMYFUNCTION("""COMPUTED_VALUE"""),"BLACK")</f>
        <v>BLACK</v>
      </c>
      <c r="G5993" s="20" t="str">
        <f>IFERROR(__xludf.DUMMYFUNCTION("""COMPUTED_VALUE"""),"Uncle Sams Cider (11/12/2021) 02")</f>
        <v>Uncle Sams Cider (11/12/2021) 02</v>
      </c>
      <c r="H5993" s="19"/>
    </row>
    <row r="5994">
      <c r="A5994" s="9"/>
      <c r="B5994" s="15"/>
      <c r="C5994" s="9">
        <f>IFERROR(__xludf.DUMMYFUNCTION("""COMPUTED_VALUE"""),44542.5526261111)</f>
        <v>44542.55263</v>
      </c>
      <c r="D5994" s="15">
        <f>IFERROR(__xludf.DUMMYFUNCTION("""COMPUTED_VALUE"""),1.025)</f>
        <v>1.025</v>
      </c>
      <c r="E5994" s="16">
        <f>IFERROR(__xludf.DUMMYFUNCTION("""COMPUTED_VALUE"""),65.0)</f>
        <v>65</v>
      </c>
      <c r="F5994" s="19" t="str">
        <f>IFERROR(__xludf.DUMMYFUNCTION("""COMPUTED_VALUE"""),"BLACK")</f>
        <v>BLACK</v>
      </c>
      <c r="G5994" s="20" t="str">
        <f>IFERROR(__xludf.DUMMYFUNCTION("""COMPUTED_VALUE"""),"Uncle Sams Cider (11/12/2021) 02")</f>
        <v>Uncle Sams Cider (11/12/2021) 02</v>
      </c>
      <c r="H5994" s="19"/>
    </row>
    <row r="5995">
      <c r="A5995" s="9"/>
      <c r="B5995" s="15"/>
      <c r="C5995" s="9">
        <f>IFERROR(__xludf.DUMMYFUNCTION("""COMPUTED_VALUE"""),44542.5421943981)</f>
        <v>44542.54219</v>
      </c>
      <c r="D5995" s="15">
        <f>IFERROR(__xludf.DUMMYFUNCTION("""COMPUTED_VALUE"""),1.024)</f>
        <v>1.024</v>
      </c>
      <c r="E5995" s="16">
        <f>IFERROR(__xludf.DUMMYFUNCTION("""COMPUTED_VALUE"""),65.0)</f>
        <v>65</v>
      </c>
      <c r="F5995" s="19" t="str">
        <f>IFERROR(__xludf.DUMMYFUNCTION("""COMPUTED_VALUE"""),"BLACK")</f>
        <v>BLACK</v>
      </c>
      <c r="G5995" s="20" t="str">
        <f>IFERROR(__xludf.DUMMYFUNCTION("""COMPUTED_VALUE"""),"Uncle Sams Cider (11/12/2021) 02")</f>
        <v>Uncle Sams Cider (11/12/2021) 02</v>
      </c>
      <c r="H5995" s="19"/>
    </row>
    <row r="5996">
      <c r="A5996" s="9"/>
      <c r="B5996" s="15"/>
      <c r="C5996" s="9">
        <f>IFERROR(__xludf.DUMMYFUNCTION("""COMPUTED_VALUE"""),44542.5317376504)</f>
        <v>44542.53174</v>
      </c>
      <c r="D5996" s="15">
        <f>IFERROR(__xludf.DUMMYFUNCTION("""COMPUTED_VALUE"""),1.025)</f>
        <v>1.025</v>
      </c>
      <c r="E5996" s="16">
        <f>IFERROR(__xludf.DUMMYFUNCTION("""COMPUTED_VALUE"""),65.0)</f>
        <v>65</v>
      </c>
      <c r="F5996" s="19" t="str">
        <f>IFERROR(__xludf.DUMMYFUNCTION("""COMPUTED_VALUE"""),"BLACK")</f>
        <v>BLACK</v>
      </c>
      <c r="G5996" s="20" t="str">
        <f>IFERROR(__xludf.DUMMYFUNCTION("""COMPUTED_VALUE"""),"Uncle Sams Cider (11/12/2021) 02")</f>
        <v>Uncle Sams Cider (11/12/2021) 02</v>
      </c>
      <c r="H5996" s="19"/>
    </row>
    <row r="5997">
      <c r="A5997" s="9"/>
      <c r="B5997" s="15"/>
      <c r="C5997" s="9">
        <f>IFERROR(__xludf.DUMMYFUNCTION("""COMPUTED_VALUE"""),44542.5213045601)</f>
        <v>44542.5213</v>
      </c>
      <c r="D5997" s="15">
        <f>IFERROR(__xludf.DUMMYFUNCTION("""COMPUTED_VALUE"""),1.024)</f>
        <v>1.024</v>
      </c>
      <c r="E5997" s="16">
        <f>IFERROR(__xludf.DUMMYFUNCTION("""COMPUTED_VALUE"""),65.0)</f>
        <v>65</v>
      </c>
      <c r="F5997" s="19" t="str">
        <f>IFERROR(__xludf.DUMMYFUNCTION("""COMPUTED_VALUE"""),"BLACK")</f>
        <v>BLACK</v>
      </c>
      <c r="G5997" s="20" t="str">
        <f>IFERROR(__xludf.DUMMYFUNCTION("""COMPUTED_VALUE"""),"Uncle Sams Cider (11/12/2021) 02")</f>
        <v>Uncle Sams Cider (11/12/2021) 02</v>
      </c>
      <c r="H5997" s="19"/>
    </row>
    <row r="5998">
      <c r="A5998" s="9"/>
      <c r="B5998" s="15"/>
      <c r="C5998" s="9">
        <f>IFERROR(__xludf.DUMMYFUNCTION("""COMPUTED_VALUE"""),44542.5108723611)</f>
        <v>44542.51087</v>
      </c>
      <c r="D5998" s="15">
        <f>IFERROR(__xludf.DUMMYFUNCTION("""COMPUTED_VALUE"""),1.025)</f>
        <v>1.025</v>
      </c>
      <c r="E5998" s="16">
        <f>IFERROR(__xludf.DUMMYFUNCTION("""COMPUTED_VALUE"""),65.0)</f>
        <v>65</v>
      </c>
      <c r="F5998" s="19" t="str">
        <f>IFERROR(__xludf.DUMMYFUNCTION("""COMPUTED_VALUE"""),"BLACK")</f>
        <v>BLACK</v>
      </c>
      <c r="G5998" s="20" t="str">
        <f>IFERROR(__xludf.DUMMYFUNCTION("""COMPUTED_VALUE"""),"Uncle Sams Cider (11/12/2021) 02")</f>
        <v>Uncle Sams Cider (11/12/2021) 02</v>
      </c>
      <c r="H5998" s="19"/>
    </row>
    <row r="5999">
      <c r="A5999" s="9"/>
      <c r="B5999" s="15"/>
      <c r="C5999" s="9">
        <f>IFERROR(__xludf.DUMMYFUNCTION("""COMPUTED_VALUE"""),44542.5004524421)</f>
        <v>44542.50045</v>
      </c>
      <c r="D5999" s="15">
        <f>IFERROR(__xludf.DUMMYFUNCTION("""COMPUTED_VALUE"""),1.025)</f>
        <v>1.025</v>
      </c>
      <c r="E5999" s="16">
        <f>IFERROR(__xludf.DUMMYFUNCTION("""COMPUTED_VALUE"""),65.0)</f>
        <v>65</v>
      </c>
      <c r="F5999" s="19" t="str">
        <f>IFERROR(__xludf.DUMMYFUNCTION("""COMPUTED_VALUE"""),"BLACK")</f>
        <v>BLACK</v>
      </c>
      <c r="G5999" s="20" t="str">
        <f>IFERROR(__xludf.DUMMYFUNCTION("""COMPUTED_VALUE"""),"Uncle Sams Cider (11/12/2021) 02")</f>
        <v>Uncle Sams Cider (11/12/2021) 02</v>
      </c>
      <c r="H5999" s="19"/>
    </row>
    <row r="6000">
      <c r="A6000" s="9"/>
      <c r="B6000" s="15"/>
      <c r="C6000" s="9">
        <f>IFERROR(__xludf.DUMMYFUNCTION("""COMPUTED_VALUE"""),44542.4899942824)</f>
        <v>44542.48999</v>
      </c>
      <c r="D6000" s="15">
        <f>IFERROR(__xludf.DUMMYFUNCTION("""COMPUTED_VALUE"""),1.025)</f>
        <v>1.025</v>
      </c>
      <c r="E6000" s="16">
        <f>IFERROR(__xludf.DUMMYFUNCTION("""COMPUTED_VALUE"""),65.0)</f>
        <v>65</v>
      </c>
      <c r="F6000" s="19" t="str">
        <f>IFERROR(__xludf.DUMMYFUNCTION("""COMPUTED_VALUE"""),"BLACK")</f>
        <v>BLACK</v>
      </c>
      <c r="G6000" s="20" t="str">
        <f>IFERROR(__xludf.DUMMYFUNCTION("""COMPUTED_VALUE"""),"Uncle Sams Cider (11/12/2021) 02")</f>
        <v>Uncle Sams Cider (11/12/2021) 02</v>
      </c>
      <c r="H6000" s="19"/>
    </row>
    <row r="6001">
      <c r="A6001" s="9"/>
      <c r="B6001" s="15"/>
      <c r="C6001" s="9">
        <f>IFERROR(__xludf.DUMMYFUNCTION("""COMPUTED_VALUE"""),44542.4795611111)</f>
        <v>44542.47956</v>
      </c>
      <c r="D6001" s="15">
        <f>IFERROR(__xludf.DUMMYFUNCTION("""COMPUTED_VALUE"""),1.025)</f>
        <v>1.025</v>
      </c>
      <c r="E6001" s="16">
        <f>IFERROR(__xludf.DUMMYFUNCTION("""COMPUTED_VALUE"""),65.0)</f>
        <v>65</v>
      </c>
      <c r="F6001" s="19" t="str">
        <f>IFERROR(__xludf.DUMMYFUNCTION("""COMPUTED_VALUE"""),"BLACK")</f>
        <v>BLACK</v>
      </c>
      <c r="G6001" s="20" t="str">
        <f>IFERROR(__xludf.DUMMYFUNCTION("""COMPUTED_VALUE"""),"Uncle Sams Cider (11/12/2021) 02")</f>
        <v>Uncle Sams Cider (11/12/2021) 02</v>
      </c>
      <c r="H6001" s="19"/>
    </row>
    <row r="6002">
      <c r="A6002" s="9"/>
      <c r="B6002" s="15"/>
      <c r="C6002" s="9">
        <f>IFERROR(__xludf.DUMMYFUNCTION("""COMPUTED_VALUE"""),44542.4691163078)</f>
        <v>44542.46912</v>
      </c>
      <c r="D6002" s="15">
        <f>IFERROR(__xludf.DUMMYFUNCTION("""COMPUTED_VALUE"""),1.025)</f>
        <v>1.025</v>
      </c>
      <c r="E6002" s="16">
        <f>IFERROR(__xludf.DUMMYFUNCTION("""COMPUTED_VALUE"""),65.0)</f>
        <v>65</v>
      </c>
      <c r="F6002" s="19" t="str">
        <f>IFERROR(__xludf.DUMMYFUNCTION("""COMPUTED_VALUE"""),"BLACK")</f>
        <v>BLACK</v>
      </c>
      <c r="G6002" s="20" t="str">
        <f>IFERROR(__xludf.DUMMYFUNCTION("""COMPUTED_VALUE"""),"Uncle Sams Cider (11/12/2021) 02")</f>
        <v>Uncle Sams Cider (11/12/2021) 02</v>
      </c>
      <c r="H6002" s="19"/>
    </row>
    <row r="6003">
      <c r="A6003" s="9"/>
      <c r="B6003" s="15"/>
      <c r="C6003" s="9">
        <f>IFERROR(__xludf.DUMMYFUNCTION("""COMPUTED_VALUE"""),44542.4586818518)</f>
        <v>44542.45868</v>
      </c>
      <c r="D6003" s="15">
        <f>IFERROR(__xludf.DUMMYFUNCTION("""COMPUTED_VALUE"""),1.025)</f>
        <v>1.025</v>
      </c>
      <c r="E6003" s="16">
        <f>IFERROR(__xludf.DUMMYFUNCTION("""COMPUTED_VALUE"""),65.0)</f>
        <v>65</v>
      </c>
      <c r="F6003" s="19" t="str">
        <f>IFERROR(__xludf.DUMMYFUNCTION("""COMPUTED_VALUE"""),"BLACK")</f>
        <v>BLACK</v>
      </c>
      <c r="G6003" s="20" t="str">
        <f>IFERROR(__xludf.DUMMYFUNCTION("""COMPUTED_VALUE"""),"Uncle Sams Cider (11/12/2021) 02")</f>
        <v>Uncle Sams Cider (11/12/2021) 02</v>
      </c>
      <c r="H6003" s="19"/>
    </row>
    <row r="6004">
      <c r="A6004" s="9"/>
      <c r="B6004" s="15"/>
      <c r="C6004" s="9">
        <f>IFERROR(__xludf.DUMMYFUNCTION("""COMPUTED_VALUE"""),44542.4482585069)</f>
        <v>44542.44826</v>
      </c>
      <c r="D6004" s="15">
        <f>IFERROR(__xludf.DUMMYFUNCTION("""COMPUTED_VALUE"""),1.025)</f>
        <v>1.025</v>
      </c>
      <c r="E6004" s="16">
        <f>IFERROR(__xludf.DUMMYFUNCTION("""COMPUTED_VALUE"""),65.0)</f>
        <v>65</v>
      </c>
      <c r="F6004" s="19" t="str">
        <f>IFERROR(__xludf.DUMMYFUNCTION("""COMPUTED_VALUE"""),"BLACK")</f>
        <v>BLACK</v>
      </c>
      <c r="G6004" s="20" t="str">
        <f>IFERROR(__xludf.DUMMYFUNCTION("""COMPUTED_VALUE"""),"Uncle Sams Cider (11/12/2021) 02")</f>
        <v>Uncle Sams Cider (11/12/2021) 02</v>
      </c>
      <c r="H6004" s="19"/>
    </row>
    <row r="6005">
      <c r="A6005" s="9"/>
      <c r="B6005" s="15"/>
      <c r="C6005" s="9">
        <f>IFERROR(__xludf.DUMMYFUNCTION("""COMPUTED_VALUE"""),44542.4378255324)</f>
        <v>44542.43783</v>
      </c>
      <c r="D6005" s="15">
        <f>IFERROR(__xludf.DUMMYFUNCTION("""COMPUTED_VALUE"""),1.025)</f>
        <v>1.025</v>
      </c>
      <c r="E6005" s="16">
        <f>IFERROR(__xludf.DUMMYFUNCTION("""COMPUTED_VALUE"""),65.0)</f>
        <v>65</v>
      </c>
      <c r="F6005" s="19" t="str">
        <f>IFERROR(__xludf.DUMMYFUNCTION("""COMPUTED_VALUE"""),"BLACK")</f>
        <v>BLACK</v>
      </c>
      <c r="G6005" s="20" t="str">
        <f>IFERROR(__xludf.DUMMYFUNCTION("""COMPUTED_VALUE"""),"Uncle Sams Cider (11/12/2021) 02")</f>
        <v>Uncle Sams Cider (11/12/2021) 02</v>
      </c>
      <c r="H6005" s="19"/>
    </row>
    <row r="6006">
      <c r="A6006" s="9"/>
      <c r="B6006" s="15"/>
      <c r="C6006" s="9">
        <f>IFERROR(__xludf.DUMMYFUNCTION("""COMPUTED_VALUE"""),44542.4273688773)</f>
        <v>44542.42737</v>
      </c>
      <c r="D6006" s="15">
        <f>IFERROR(__xludf.DUMMYFUNCTION("""COMPUTED_VALUE"""),1.025)</f>
        <v>1.025</v>
      </c>
      <c r="E6006" s="16">
        <f>IFERROR(__xludf.DUMMYFUNCTION("""COMPUTED_VALUE"""),65.0)</f>
        <v>65</v>
      </c>
      <c r="F6006" s="19" t="str">
        <f>IFERROR(__xludf.DUMMYFUNCTION("""COMPUTED_VALUE"""),"BLACK")</f>
        <v>BLACK</v>
      </c>
      <c r="G6006" s="20" t="str">
        <f>IFERROR(__xludf.DUMMYFUNCTION("""COMPUTED_VALUE"""),"Uncle Sams Cider (11/12/2021) 02")</f>
        <v>Uncle Sams Cider (11/12/2021) 02</v>
      </c>
      <c r="H6006" s="19"/>
    </row>
    <row r="6007">
      <c r="A6007" s="9"/>
      <c r="B6007" s="15"/>
      <c r="C6007" s="9">
        <f>IFERROR(__xludf.DUMMYFUNCTION("""COMPUTED_VALUE"""),44542.4169498726)</f>
        <v>44542.41695</v>
      </c>
      <c r="D6007" s="15">
        <f>IFERROR(__xludf.DUMMYFUNCTION("""COMPUTED_VALUE"""),1.025)</f>
        <v>1.025</v>
      </c>
      <c r="E6007" s="16">
        <f>IFERROR(__xludf.DUMMYFUNCTION("""COMPUTED_VALUE"""),65.0)</f>
        <v>65</v>
      </c>
      <c r="F6007" s="19" t="str">
        <f>IFERROR(__xludf.DUMMYFUNCTION("""COMPUTED_VALUE"""),"BLACK")</f>
        <v>BLACK</v>
      </c>
      <c r="G6007" s="20" t="str">
        <f>IFERROR(__xludf.DUMMYFUNCTION("""COMPUTED_VALUE"""),"Uncle Sams Cider (11/12/2021) 02")</f>
        <v>Uncle Sams Cider (11/12/2021) 02</v>
      </c>
      <c r="H6007" s="19"/>
    </row>
    <row r="6008">
      <c r="A6008" s="9"/>
      <c r="B6008" s="15"/>
      <c r="C6008" s="9">
        <f>IFERROR(__xludf.DUMMYFUNCTION("""COMPUTED_VALUE"""),44542.4065046064)</f>
        <v>44542.4065</v>
      </c>
      <c r="D6008" s="15">
        <f>IFERROR(__xludf.DUMMYFUNCTION("""COMPUTED_VALUE"""),1.025)</f>
        <v>1.025</v>
      </c>
      <c r="E6008" s="16">
        <f>IFERROR(__xludf.DUMMYFUNCTION("""COMPUTED_VALUE"""),65.0)</f>
        <v>65</v>
      </c>
      <c r="F6008" s="19" t="str">
        <f>IFERROR(__xludf.DUMMYFUNCTION("""COMPUTED_VALUE"""),"BLACK")</f>
        <v>BLACK</v>
      </c>
      <c r="G6008" s="20" t="str">
        <f>IFERROR(__xludf.DUMMYFUNCTION("""COMPUTED_VALUE"""),"Uncle Sams Cider (11/12/2021) 02")</f>
        <v>Uncle Sams Cider (11/12/2021) 02</v>
      </c>
      <c r="H6008" s="19"/>
    </row>
    <row r="6009">
      <c r="A6009" s="9"/>
      <c r="B6009" s="15"/>
      <c r="C6009" s="9">
        <f>IFERROR(__xludf.DUMMYFUNCTION("""COMPUTED_VALUE"""),44542.3960249074)</f>
        <v>44542.39602</v>
      </c>
      <c r="D6009" s="15">
        <f>IFERROR(__xludf.DUMMYFUNCTION("""COMPUTED_VALUE"""),1.025)</f>
        <v>1.025</v>
      </c>
      <c r="E6009" s="16">
        <f>IFERROR(__xludf.DUMMYFUNCTION("""COMPUTED_VALUE"""),65.0)</f>
        <v>65</v>
      </c>
      <c r="F6009" s="19" t="str">
        <f>IFERROR(__xludf.DUMMYFUNCTION("""COMPUTED_VALUE"""),"BLACK")</f>
        <v>BLACK</v>
      </c>
      <c r="G6009" s="20" t="str">
        <f>IFERROR(__xludf.DUMMYFUNCTION("""COMPUTED_VALUE"""),"Uncle Sams Cider (11/12/2021) 02")</f>
        <v>Uncle Sams Cider (11/12/2021) 02</v>
      </c>
      <c r="H6009" s="19"/>
    </row>
    <row r="6010">
      <c r="A6010" s="9"/>
      <c r="B6010" s="15"/>
      <c r="C6010" s="9">
        <f>IFERROR(__xludf.DUMMYFUNCTION("""COMPUTED_VALUE"""),44542.3856031828)</f>
        <v>44542.3856</v>
      </c>
      <c r="D6010" s="15">
        <f>IFERROR(__xludf.DUMMYFUNCTION("""COMPUTED_VALUE"""),1.025)</f>
        <v>1.025</v>
      </c>
      <c r="E6010" s="16">
        <f>IFERROR(__xludf.DUMMYFUNCTION("""COMPUTED_VALUE"""),65.0)</f>
        <v>65</v>
      </c>
      <c r="F6010" s="19" t="str">
        <f>IFERROR(__xludf.DUMMYFUNCTION("""COMPUTED_VALUE"""),"BLACK")</f>
        <v>BLACK</v>
      </c>
      <c r="G6010" s="20" t="str">
        <f>IFERROR(__xludf.DUMMYFUNCTION("""COMPUTED_VALUE"""),"Uncle Sams Cider (11/12/2021) 02")</f>
        <v>Uncle Sams Cider (11/12/2021) 02</v>
      </c>
      <c r="H6010" s="19"/>
    </row>
    <row r="6011">
      <c r="A6011" s="9"/>
      <c r="B6011" s="15"/>
      <c r="C6011" s="9">
        <f>IFERROR(__xludf.DUMMYFUNCTION("""COMPUTED_VALUE"""),44542.3751719097)</f>
        <v>44542.37517</v>
      </c>
      <c r="D6011" s="15">
        <f>IFERROR(__xludf.DUMMYFUNCTION("""COMPUTED_VALUE"""),1.025)</f>
        <v>1.025</v>
      </c>
      <c r="E6011" s="16">
        <f>IFERROR(__xludf.DUMMYFUNCTION("""COMPUTED_VALUE"""),65.0)</f>
        <v>65</v>
      </c>
      <c r="F6011" s="19" t="str">
        <f>IFERROR(__xludf.DUMMYFUNCTION("""COMPUTED_VALUE"""),"BLACK")</f>
        <v>BLACK</v>
      </c>
      <c r="G6011" s="20" t="str">
        <f>IFERROR(__xludf.DUMMYFUNCTION("""COMPUTED_VALUE"""),"Uncle Sams Cider (11/12/2021) 02")</f>
        <v>Uncle Sams Cider (11/12/2021) 02</v>
      </c>
      <c r="H6011" s="19"/>
    </row>
    <row r="6012">
      <c r="A6012" s="9"/>
      <c r="B6012" s="15"/>
      <c r="C6012" s="9">
        <f>IFERROR(__xludf.DUMMYFUNCTION("""COMPUTED_VALUE"""),44542.364750405)</f>
        <v>44542.36475</v>
      </c>
      <c r="D6012" s="15">
        <f>IFERROR(__xludf.DUMMYFUNCTION("""COMPUTED_VALUE"""),1.025)</f>
        <v>1.025</v>
      </c>
      <c r="E6012" s="16">
        <f>IFERROR(__xludf.DUMMYFUNCTION("""COMPUTED_VALUE"""),65.0)</f>
        <v>65</v>
      </c>
      <c r="F6012" s="19" t="str">
        <f>IFERROR(__xludf.DUMMYFUNCTION("""COMPUTED_VALUE"""),"BLACK")</f>
        <v>BLACK</v>
      </c>
      <c r="G6012" s="20" t="str">
        <f>IFERROR(__xludf.DUMMYFUNCTION("""COMPUTED_VALUE"""),"Uncle Sams Cider (11/12/2021) 02")</f>
        <v>Uncle Sams Cider (11/12/2021) 02</v>
      </c>
      <c r="H6012" s="19"/>
    </row>
    <row r="6013">
      <c r="A6013" s="9"/>
      <c r="B6013" s="15"/>
      <c r="C6013" s="9">
        <f>IFERROR(__xludf.DUMMYFUNCTION("""COMPUTED_VALUE"""),44542.3543178009)</f>
        <v>44542.35432</v>
      </c>
      <c r="D6013" s="15">
        <f>IFERROR(__xludf.DUMMYFUNCTION("""COMPUTED_VALUE"""),1.025)</f>
        <v>1.025</v>
      </c>
      <c r="E6013" s="16">
        <f>IFERROR(__xludf.DUMMYFUNCTION("""COMPUTED_VALUE"""),65.0)</f>
        <v>65</v>
      </c>
      <c r="F6013" s="19" t="str">
        <f>IFERROR(__xludf.DUMMYFUNCTION("""COMPUTED_VALUE"""),"BLACK")</f>
        <v>BLACK</v>
      </c>
      <c r="G6013" s="20" t="str">
        <f>IFERROR(__xludf.DUMMYFUNCTION("""COMPUTED_VALUE"""),"Uncle Sams Cider (11/12/2021) 02")</f>
        <v>Uncle Sams Cider (11/12/2021) 02</v>
      </c>
      <c r="H6013" s="19"/>
    </row>
    <row r="6014">
      <c r="A6014" s="9"/>
      <c r="B6014" s="15"/>
      <c r="C6014" s="9">
        <f>IFERROR(__xludf.DUMMYFUNCTION("""COMPUTED_VALUE"""),44542.3438842592)</f>
        <v>44542.34388</v>
      </c>
      <c r="D6014" s="15">
        <f>IFERROR(__xludf.DUMMYFUNCTION("""COMPUTED_VALUE"""),1.025)</f>
        <v>1.025</v>
      </c>
      <c r="E6014" s="16">
        <f>IFERROR(__xludf.DUMMYFUNCTION("""COMPUTED_VALUE"""),65.0)</f>
        <v>65</v>
      </c>
      <c r="F6014" s="19" t="str">
        <f>IFERROR(__xludf.DUMMYFUNCTION("""COMPUTED_VALUE"""),"BLACK")</f>
        <v>BLACK</v>
      </c>
      <c r="G6014" s="20" t="str">
        <f>IFERROR(__xludf.DUMMYFUNCTION("""COMPUTED_VALUE"""),"Uncle Sams Cider (11/12/2021) 02")</f>
        <v>Uncle Sams Cider (11/12/2021) 02</v>
      </c>
      <c r="H6014" s="19"/>
    </row>
    <row r="6015">
      <c r="A6015" s="9"/>
      <c r="B6015" s="15"/>
      <c r="C6015" s="9">
        <f>IFERROR(__xludf.DUMMYFUNCTION("""COMPUTED_VALUE"""),44542.3334641087)</f>
        <v>44542.33346</v>
      </c>
      <c r="D6015" s="15">
        <f>IFERROR(__xludf.DUMMYFUNCTION("""COMPUTED_VALUE"""),1.025)</f>
        <v>1.025</v>
      </c>
      <c r="E6015" s="16">
        <f>IFERROR(__xludf.DUMMYFUNCTION("""COMPUTED_VALUE"""),65.0)</f>
        <v>65</v>
      </c>
      <c r="F6015" s="19" t="str">
        <f>IFERROR(__xludf.DUMMYFUNCTION("""COMPUTED_VALUE"""),"BLACK")</f>
        <v>BLACK</v>
      </c>
      <c r="G6015" s="20" t="str">
        <f>IFERROR(__xludf.DUMMYFUNCTION("""COMPUTED_VALUE"""),"Uncle Sams Cider (11/12/2021) 02")</f>
        <v>Uncle Sams Cider (11/12/2021) 02</v>
      </c>
      <c r="H6015" s="19"/>
    </row>
    <row r="6016">
      <c r="A6016" s="9"/>
      <c r="B6016" s="15"/>
      <c r="C6016" s="9">
        <f>IFERROR(__xludf.DUMMYFUNCTION("""COMPUTED_VALUE"""),44542.3230426736)</f>
        <v>44542.32304</v>
      </c>
      <c r="D6016" s="15">
        <f>IFERROR(__xludf.DUMMYFUNCTION("""COMPUTED_VALUE"""),1.025)</f>
        <v>1.025</v>
      </c>
      <c r="E6016" s="16">
        <f>IFERROR(__xludf.DUMMYFUNCTION("""COMPUTED_VALUE"""),66.0)</f>
        <v>66</v>
      </c>
      <c r="F6016" s="19" t="str">
        <f>IFERROR(__xludf.DUMMYFUNCTION("""COMPUTED_VALUE"""),"BLACK")</f>
        <v>BLACK</v>
      </c>
      <c r="G6016" s="20" t="str">
        <f>IFERROR(__xludf.DUMMYFUNCTION("""COMPUTED_VALUE"""),"Uncle Sams Cider (11/12/2021) 02")</f>
        <v>Uncle Sams Cider (11/12/2021) 02</v>
      </c>
      <c r="H6016" s="19"/>
    </row>
    <row r="6017">
      <c r="A6017" s="9"/>
      <c r="B6017" s="15"/>
      <c r="C6017" s="9">
        <f>IFERROR(__xludf.DUMMYFUNCTION("""COMPUTED_VALUE"""),44542.3126088541)</f>
        <v>44542.31261</v>
      </c>
      <c r="D6017" s="15">
        <f>IFERROR(__xludf.DUMMYFUNCTION("""COMPUTED_VALUE"""),1.025)</f>
        <v>1.025</v>
      </c>
      <c r="E6017" s="16">
        <f>IFERROR(__xludf.DUMMYFUNCTION("""COMPUTED_VALUE"""),65.0)</f>
        <v>65</v>
      </c>
      <c r="F6017" s="19" t="str">
        <f>IFERROR(__xludf.DUMMYFUNCTION("""COMPUTED_VALUE"""),"BLACK")</f>
        <v>BLACK</v>
      </c>
      <c r="G6017" s="20" t="str">
        <f>IFERROR(__xludf.DUMMYFUNCTION("""COMPUTED_VALUE"""),"Uncle Sams Cider (11/12/2021) 02")</f>
        <v>Uncle Sams Cider (11/12/2021) 02</v>
      </c>
      <c r="H6017" s="19"/>
    </row>
    <row r="6018">
      <c r="A6018" s="9"/>
      <c r="B6018" s="15"/>
      <c r="C6018" s="9">
        <f>IFERROR(__xludf.DUMMYFUNCTION("""COMPUTED_VALUE"""),44542.3021899421)</f>
        <v>44542.30219</v>
      </c>
      <c r="D6018" s="15">
        <f>IFERROR(__xludf.DUMMYFUNCTION("""COMPUTED_VALUE"""),1.025)</f>
        <v>1.025</v>
      </c>
      <c r="E6018" s="16">
        <f>IFERROR(__xludf.DUMMYFUNCTION("""COMPUTED_VALUE"""),66.0)</f>
        <v>66</v>
      </c>
      <c r="F6018" s="19" t="str">
        <f>IFERROR(__xludf.DUMMYFUNCTION("""COMPUTED_VALUE"""),"BLACK")</f>
        <v>BLACK</v>
      </c>
      <c r="G6018" s="20" t="str">
        <f>IFERROR(__xludf.DUMMYFUNCTION("""COMPUTED_VALUE"""),"Uncle Sams Cider (11/12/2021) 02")</f>
        <v>Uncle Sams Cider (11/12/2021) 02</v>
      </c>
      <c r="H6018" s="19"/>
    </row>
    <row r="6019">
      <c r="A6019" s="9"/>
      <c r="B6019" s="15"/>
      <c r="C6019" s="9">
        <f>IFERROR(__xludf.DUMMYFUNCTION("""COMPUTED_VALUE"""),44542.2917680902)</f>
        <v>44542.29177</v>
      </c>
      <c r="D6019" s="15">
        <f>IFERROR(__xludf.DUMMYFUNCTION("""COMPUTED_VALUE"""),1.025)</f>
        <v>1.025</v>
      </c>
      <c r="E6019" s="16">
        <f>IFERROR(__xludf.DUMMYFUNCTION("""COMPUTED_VALUE"""),65.0)</f>
        <v>65</v>
      </c>
      <c r="F6019" s="19" t="str">
        <f>IFERROR(__xludf.DUMMYFUNCTION("""COMPUTED_VALUE"""),"BLACK")</f>
        <v>BLACK</v>
      </c>
      <c r="G6019" s="20" t="str">
        <f>IFERROR(__xludf.DUMMYFUNCTION("""COMPUTED_VALUE"""),"Uncle Sams Cider (11/12/2021) 02")</f>
        <v>Uncle Sams Cider (11/12/2021) 02</v>
      </c>
      <c r="H6019" s="19"/>
    </row>
    <row r="6020">
      <c r="A6020" s="9"/>
      <c r="B6020" s="15"/>
      <c r="C6020" s="9">
        <f>IFERROR(__xludf.DUMMYFUNCTION("""COMPUTED_VALUE"""),44542.2813466203)</f>
        <v>44542.28135</v>
      </c>
      <c r="D6020" s="15">
        <f>IFERROR(__xludf.DUMMYFUNCTION("""COMPUTED_VALUE"""),1.025)</f>
        <v>1.025</v>
      </c>
      <c r="E6020" s="16">
        <f>IFERROR(__xludf.DUMMYFUNCTION("""COMPUTED_VALUE"""),66.0)</f>
        <v>66</v>
      </c>
      <c r="F6020" s="19" t="str">
        <f>IFERROR(__xludf.DUMMYFUNCTION("""COMPUTED_VALUE"""),"BLACK")</f>
        <v>BLACK</v>
      </c>
      <c r="G6020" s="20" t="str">
        <f>IFERROR(__xludf.DUMMYFUNCTION("""COMPUTED_VALUE"""),"Uncle Sams Cider (11/12/2021) 02")</f>
        <v>Uncle Sams Cider (11/12/2021) 02</v>
      </c>
      <c r="H6020" s="19"/>
    </row>
    <row r="6021">
      <c r="A6021" s="9"/>
      <c r="B6021" s="15"/>
      <c r="C6021" s="9">
        <f>IFERROR(__xludf.DUMMYFUNCTION("""COMPUTED_VALUE"""),44542.2708912847)</f>
        <v>44542.27089</v>
      </c>
      <c r="D6021" s="15">
        <f>IFERROR(__xludf.DUMMYFUNCTION("""COMPUTED_VALUE"""),1.025)</f>
        <v>1.025</v>
      </c>
      <c r="E6021" s="16">
        <f>IFERROR(__xludf.DUMMYFUNCTION("""COMPUTED_VALUE"""),65.0)</f>
        <v>65</v>
      </c>
      <c r="F6021" s="19" t="str">
        <f>IFERROR(__xludf.DUMMYFUNCTION("""COMPUTED_VALUE"""),"BLACK")</f>
        <v>BLACK</v>
      </c>
      <c r="G6021" s="20" t="str">
        <f>IFERROR(__xludf.DUMMYFUNCTION("""COMPUTED_VALUE"""),"Uncle Sams Cider (11/12/2021) 02")</f>
        <v>Uncle Sams Cider (11/12/2021) 02</v>
      </c>
      <c r="H6021" s="19"/>
    </row>
    <row r="6022">
      <c r="A6022" s="9"/>
      <c r="B6022" s="15"/>
      <c r="C6022" s="9">
        <f>IFERROR(__xludf.DUMMYFUNCTION("""COMPUTED_VALUE"""),44542.2604699305)</f>
        <v>44542.26047</v>
      </c>
      <c r="D6022" s="15">
        <f>IFERROR(__xludf.DUMMYFUNCTION("""COMPUTED_VALUE"""),1.025)</f>
        <v>1.025</v>
      </c>
      <c r="E6022" s="16">
        <f>IFERROR(__xludf.DUMMYFUNCTION("""COMPUTED_VALUE"""),66.0)</f>
        <v>66</v>
      </c>
      <c r="F6022" s="19" t="str">
        <f>IFERROR(__xludf.DUMMYFUNCTION("""COMPUTED_VALUE"""),"BLACK")</f>
        <v>BLACK</v>
      </c>
      <c r="G6022" s="20" t="str">
        <f>IFERROR(__xludf.DUMMYFUNCTION("""COMPUTED_VALUE"""),"Uncle Sams Cider (11/12/2021) 02")</f>
        <v>Uncle Sams Cider (11/12/2021) 02</v>
      </c>
      <c r="H6022" s="19"/>
    </row>
    <row r="6023">
      <c r="A6023" s="9"/>
      <c r="B6023" s="15"/>
      <c r="C6023" s="9">
        <f>IFERROR(__xludf.DUMMYFUNCTION("""COMPUTED_VALUE"""),44542.2500485648)</f>
        <v>44542.25005</v>
      </c>
      <c r="D6023" s="15">
        <f>IFERROR(__xludf.DUMMYFUNCTION("""COMPUTED_VALUE"""),1.025)</f>
        <v>1.025</v>
      </c>
      <c r="E6023" s="16">
        <f>IFERROR(__xludf.DUMMYFUNCTION("""COMPUTED_VALUE"""),66.0)</f>
        <v>66</v>
      </c>
      <c r="F6023" s="19" t="str">
        <f>IFERROR(__xludf.DUMMYFUNCTION("""COMPUTED_VALUE"""),"BLACK")</f>
        <v>BLACK</v>
      </c>
      <c r="G6023" s="20" t="str">
        <f>IFERROR(__xludf.DUMMYFUNCTION("""COMPUTED_VALUE"""),"Uncle Sams Cider (11/12/2021) 02")</f>
        <v>Uncle Sams Cider (11/12/2021) 02</v>
      </c>
      <c r="H6023" s="19"/>
    </row>
    <row r="6024">
      <c r="A6024" s="9"/>
      <c r="B6024" s="15"/>
      <c r="C6024" s="9">
        <f>IFERROR(__xludf.DUMMYFUNCTION("""COMPUTED_VALUE"""),44542.2395907291)</f>
        <v>44542.23959</v>
      </c>
      <c r="D6024" s="15">
        <f>IFERROR(__xludf.DUMMYFUNCTION("""COMPUTED_VALUE"""),1.025)</f>
        <v>1.025</v>
      </c>
      <c r="E6024" s="16">
        <f>IFERROR(__xludf.DUMMYFUNCTION("""COMPUTED_VALUE"""),66.0)</f>
        <v>66</v>
      </c>
      <c r="F6024" s="19" t="str">
        <f>IFERROR(__xludf.DUMMYFUNCTION("""COMPUTED_VALUE"""),"BLACK")</f>
        <v>BLACK</v>
      </c>
      <c r="G6024" s="20" t="str">
        <f>IFERROR(__xludf.DUMMYFUNCTION("""COMPUTED_VALUE"""),"Uncle Sams Cider (11/12/2021) 02")</f>
        <v>Uncle Sams Cider (11/12/2021) 02</v>
      </c>
      <c r="H6024" s="19"/>
    </row>
    <row r="6025">
      <c r="A6025" s="9"/>
      <c r="B6025" s="15"/>
      <c r="C6025" s="9">
        <f>IFERROR(__xludf.DUMMYFUNCTION("""COMPUTED_VALUE"""),44542.2291588888)</f>
        <v>44542.22916</v>
      </c>
      <c r="D6025" s="15">
        <f>IFERROR(__xludf.DUMMYFUNCTION("""COMPUTED_VALUE"""),1.025)</f>
        <v>1.025</v>
      </c>
      <c r="E6025" s="16">
        <f>IFERROR(__xludf.DUMMYFUNCTION("""COMPUTED_VALUE"""),66.0)</f>
        <v>66</v>
      </c>
      <c r="F6025" s="19" t="str">
        <f>IFERROR(__xludf.DUMMYFUNCTION("""COMPUTED_VALUE"""),"BLACK")</f>
        <v>BLACK</v>
      </c>
      <c r="G6025" s="20" t="str">
        <f>IFERROR(__xludf.DUMMYFUNCTION("""COMPUTED_VALUE"""),"Uncle Sams Cider (11/12/2021) 02")</f>
        <v>Uncle Sams Cider (11/12/2021) 02</v>
      </c>
      <c r="H6025" s="19"/>
    </row>
    <row r="6026">
      <c r="A6026" s="9"/>
      <c r="B6026" s="15"/>
      <c r="C6026" s="9">
        <f>IFERROR(__xludf.DUMMYFUNCTION("""COMPUTED_VALUE"""),44542.2187378472)</f>
        <v>44542.21874</v>
      </c>
      <c r="D6026" s="15">
        <f>IFERROR(__xludf.DUMMYFUNCTION("""COMPUTED_VALUE"""),1.025)</f>
        <v>1.025</v>
      </c>
      <c r="E6026" s="16">
        <f>IFERROR(__xludf.DUMMYFUNCTION("""COMPUTED_VALUE"""),66.0)</f>
        <v>66</v>
      </c>
      <c r="F6026" s="19" t="str">
        <f>IFERROR(__xludf.DUMMYFUNCTION("""COMPUTED_VALUE"""),"BLACK")</f>
        <v>BLACK</v>
      </c>
      <c r="G6026" s="20" t="str">
        <f>IFERROR(__xludf.DUMMYFUNCTION("""COMPUTED_VALUE"""),"Uncle Sams Cider (11/12/2021) 02")</f>
        <v>Uncle Sams Cider (11/12/2021) 02</v>
      </c>
      <c r="H6026" s="19"/>
    </row>
    <row r="6027">
      <c r="A6027" s="9"/>
      <c r="B6027" s="15"/>
      <c r="C6027" s="9">
        <f>IFERROR(__xludf.DUMMYFUNCTION("""COMPUTED_VALUE"""),44542.2082918865)</f>
        <v>44542.20829</v>
      </c>
      <c r="D6027" s="15">
        <f>IFERROR(__xludf.DUMMYFUNCTION("""COMPUTED_VALUE"""),1.025)</f>
        <v>1.025</v>
      </c>
      <c r="E6027" s="16">
        <f>IFERROR(__xludf.DUMMYFUNCTION("""COMPUTED_VALUE"""),66.0)</f>
        <v>66</v>
      </c>
      <c r="F6027" s="19" t="str">
        <f>IFERROR(__xludf.DUMMYFUNCTION("""COMPUTED_VALUE"""),"BLACK")</f>
        <v>BLACK</v>
      </c>
      <c r="G6027" s="20" t="str">
        <f>IFERROR(__xludf.DUMMYFUNCTION("""COMPUTED_VALUE"""),"Uncle Sams Cider (11/12/2021) 02")</f>
        <v>Uncle Sams Cider (11/12/2021) 02</v>
      </c>
      <c r="H6027" s="19"/>
    </row>
    <row r="6028">
      <c r="A6028" s="9"/>
      <c r="B6028" s="15"/>
      <c r="C6028" s="9">
        <f>IFERROR(__xludf.DUMMYFUNCTION("""COMPUTED_VALUE"""),44542.1978705902)</f>
        <v>44542.19787</v>
      </c>
      <c r="D6028" s="15">
        <f>IFERROR(__xludf.DUMMYFUNCTION("""COMPUTED_VALUE"""),1.025)</f>
        <v>1.025</v>
      </c>
      <c r="E6028" s="16">
        <f>IFERROR(__xludf.DUMMYFUNCTION("""COMPUTED_VALUE"""),66.0)</f>
        <v>66</v>
      </c>
      <c r="F6028" s="19" t="str">
        <f>IFERROR(__xludf.DUMMYFUNCTION("""COMPUTED_VALUE"""),"BLACK")</f>
        <v>BLACK</v>
      </c>
      <c r="G6028" s="20" t="str">
        <f>IFERROR(__xludf.DUMMYFUNCTION("""COMPUTED_VALUE"""),"Uncle Sams Cider (11/12/2021) 02")</f>
        <v>Uncle Sams Cider (11/12/2021) 02</v>
      </c>
      <c r="H6028" s="19"/>
    </row>
    <row r="6029">
      <c r="A6029" s="9"/>
      <c r="B6029" s="15"/>
      <c r="C6029" s="9">
        <f>IFERROR(__xludf.DUMMYFUNCTION("""COMPUTED_VALUE"""),44542.1874498148)</f>
        <v>44542.18745</v>
      </c>
      <c r="D6029" s="15">
        <f>IFERROR(__xludf.DUMMYFUNCTION("""COMPUTED_VALUE"""),1.025)</f>
        <v>1.025</v>
      </c>
      <c r="E6029" s="16">
        <f>IFERROR(__xludf.DUMMYFUNCTION("""COMPUTED_VALUE"""),66.0)</f>
        <v>66</v>
      </c>
      <c r="F6029" s="19" t="str">
        <f>IFERROR(__xludf.DUMMYFUNCTION("""COMPUTED_VALUE"""),"BLACK")</f>
        <v>BLACK</v>
      </c>
      <c r="G6029" s="20" t="str">
        <f>IFERROR(__xludf.DUMMYFUNCTION("""COMPUTED_VALUE"""),"Uncle Sams Cider (11/12/2021) 02")</f>
        <v>Uncle Sams Cider (11/12/2021) 02</v>
      </c>
      <c r="H6029" s="19"/>
    </row>
    <row r="6030">
      <c r="A6030" s="9"/>
      <c r="B6030" s="15"/>
      <c r="C6030" s="9">
        <f>IFERROR(__xludf.DUMMYFUNCTION("""COMPUTED_VALUE"""),44542.1770278819)</f>
        <v>44542.17703</v>
      </c>
      <c r="D6030" s="15">
        <f>IFERROR(__xludf.DUMMYFUNCTION("""COMPUTED_VALUE"""),1.025)</f>
        <v>1.025</v>
      </c>
      <c r="E6030" s="16">
        <f>IFERROR(__xludf.DUMMYFUNCTION("""COMPUTED_VALUE"""),66.0)</f>
        <v>66</v>
      </c>
      <c r="F6030" s="19" t="str">
        <f>IFERROR(__xludf.DUMMYFUNCTION("""COMPUTED_VALUE"""),"BLACK")</f>
        <v>BLACK</v>
      </c>
      <c r="G6030" s="20" t="str">
        <f>IFERROR(__xludf.DUMMYFUNCTION("""COMPUTED_VALUE"""),"Uncle Sams Cider (11/12/2021) 02")</f>
        <v>Uncle Sams Cider (11/12/2021) 02</v>
      </c>
      <c r="H6030" s="19"/>
    </row>
    <row r="6031">
      <c r="A6031" s="9"/>
      <c r="B6031" s="15"/>
      <c r="C6031" s="9">
        <f>IFERROR(__xludf.DUMMYFUNCTION("""COMPUTED_VALUE"""),44542.166571574)</f>
        <v>44542.16657</v>
      </c>
      <c r="D6031" s="15">
        <f>IFERROR(__xludf.DUMMYFUNCTION("""COMPUTED_VALUE"""),1.025)</f>
        <v>1.025</v>
      </c>
      <c r="E6031" s="16">
        <f>IFERROR(__xludf.DUMMYFUNCTION("""COMPUTED_VALUE"""),66.0)</f>
        <v>66</v>
      </c>
      <c r="F6031" s="19" t="str">
        <f>IFERROR(__xludf.DUMMYFUNCTION("""COMPUTED_VALUE"""),"BLACK")</f>
        <v>BLACK</v>
      </c>
      <c r="G6031" s="20" t="str">
        <f>IFERROR(__xludf.DUMMYFUNCTION("""COMPUTED_VALUE"""),"Uncle Sams Cider (11/12/2021) 02")</f>
        <v>Uncle Sams Cider (11/12/2021) 02</v>
      </c>
      <c r="H6031" s="19"/>
    </row>
    <row r="6032">
      <c r="A6032" s="9"/>
      <c r="B6032" s="15"/>
      <c r="C6032" s="9">
        <f>IFERROR(__xludf.DUMMYFUNCTION("""COMPUTED_VALUE"""),44542.1561494444)</f>
        <v>44542.15615</v>
      </c>
      <c r="D6032" s="15">
        <f>IFERROR(__xludf.DUMMYFUNCTION("""COMPUTED_VALUE"""),1.025)</f>
        <v>1.025</v>
      </c>
      <c r="E6032" s="16">
        <f>IFERROR(__xludf.DUMMYFUNCTION("""COMPUTED_VALUE"""),66.0)</f>
        <v>66</v>
      </c>
      <c r="F6032" s="19" t="str">
        <f>IFERROR(__xludf.DUMMYFUNCTION("""COMPUTED_VALUE"""),"BLACK")</f>
        <v>BLACK</v>
      </c>
      <c r="G6032" s="20" t="str">
        <f>IFERROR(__xludf.DUMMYFUNCTION("""COMPUTED_VALUE"""),"Uncle Sams Cider (11/12/2021) 02")</f>
        <v>Uncle Sams Cider (11/12/2021) 02</v>
      </c>
      <c r="H6032" s="19"/>
    </row>
    <row r="6033">
      <c r="A6033" s="9"/>
      <c r="B6033" s="15"/>
      <c r="C6033" s="9">
        <f>IFERROR(__xludf.DUMMYFUNCTION("""COMPUTED_VALUE"""),44542.1457163541)</f>
        <v>44542.14572</v>
      </c>
      <c r="D6033" s="15">
        <f>IFERROR(__xludf.DUMMYFUNCTION("""COMPUTED_VALUE"""),1.025)</f>
        <v>1.025</v>
      </c>
      <c r="E6033" s="16">
        <f>IFERROR(__xludf.DUMMYFUNCTION("""COMPUTED_VALUE"""),66.0)</f>
        <v>66</v>
      </c>
      <c r="F6033" s="19" t="str">
        <f>IFERROR(__xludf.DUMMYFUNCTION("""COMPUTED_VALUE"""),"BLACK")</f>
        <v>BLACK</v>
      </c>
      <c r="G6033" s="20" t="str">
        <f>IFERROR(__xludf.DUMMYFUNCTION("""COMPUTED_VALUE"""),"Uncle Sams Cider (11/12/2021) 02")</f>
        <v>Uncle Sams Cider (11/12/2021) 02</v>
      </c>
      <c r="H6033" s="19"/>
    </row>
    <row r="6034">
      <c r="A6034" s="9"/>
      <c r="B6034" s="15"/>
      <c r="C6034" s="9">
        <f>IFERROR(__xludf.DUMMYFUNCTION("""COMPUTED_VALUE"""),44542.1352961458)</f>
        <v>44542.1353</v>
      </c>
      <c r="D6034" s="15">
        <f>IFERROR(__xludf.DUMMYFUNCTION("""COMPUTED_VALUE"""),1.025)</f>
        <v>1.025</v>
      </c>
      <c r="E6034" s="16">
        <f>IFERROR(__xludf.DUMMYFUNCTION("""COMPUTED_VALUE"""),66.0)</f>
        <v>66</v>
      </c>
      <c r="F6034" s="19" t="str">
        <f>IFERROR(__xludf.DUMMYFUNCTION("""COMPUTED_VALUE"""),"BLACK")</f>
        <v>BLACK</v>
      </c>
      <c r="G6034" s="20" t="str">
        <f>IFERROR(__xludf.DUMMYFUNCTION("""COMPUTED_VALUE"""),"Uncle Sams Cider (11/12/2021) 02")</f>
        <v>Uncle Sams Cider (11/12/2021) 02</v>
      </c>
      <c r="H6034" s="19"/>
    </row>
    <row r="6035">
      <c r="A6035" s="9"/>
      <c r="B6035" s="15"/>
      <c r="C6035" s="9">
        <f>IFERROR(__xludf.DUMMYFUNCTION("""COMPUTED_VALUE"""),44542.124874155)</f>
        <v>44542.12487</v>
      </c>
      <c r="D6035" s="15">
        <f>IFERROR(__xludf.DUMMYFUNCTION("""COMPUTED_VALUE"""),1.025)</f>
        <v>1.025</v>
      </c>
      <c r="E6035" s="16">
        <f>IFERROR(__xludf.DUMMYFUNCTION("""COMPUTED_VALUE"""),66.0)</f>
        <v>66</v>
      </c>
      <c r="F6035" s="19" t="str">
        <f>IFERROR(__xludf.DUMMYFUNCTION("""COMPUTED_VALUE"""),"BLACK")</f>
        <v>BLACK</v>
      </c>
      <c r="G6035" s="20" t="str">
        <f>IFERROR(__xludf.DUMMYFUNCTION("""COMPUTED_VALUE"""),"Uncle Sams Cider (11/12/2021) 02")</f>
        <v>Uncle Sams Cider (11/12/2021) 02</v>
      </c>
      <c r="H6035" s="19"/>
    </row>
    <row r="6036">
      <c r="A6036" s="9"/>
      <c r="B6036" s="15"/>
      <c r="C6036" s="9">
        <f>IFERROR(__xludf.DUMMYFUNCTION("""COMPUTED_VALUE"""),44542.1144296296)</f>
        <v>44542.11443</v>
      </c>
      <c r="D6036" s="15">
        <f>IFERROR(__xludf.DUMMYFUNCTION("""COMPUTED_VALUE"""),1.025)</f>
        <v>1.025</v>
      </c>
      <c r="E6036" s="16">
        <f>IFERROR(__xludf.DUMMYFUNCTION("""COMPUTED_VALUE"""),66.0)</f>
        <v>66</v>
      </c>
      <c r="F6036" s="19" t="str">
        <f>IFERROR(__xludf.DUMMYFUNCTION("""COMPUTED_VALUE"""),"BLACK")</f>
        <v>BLACK</v>
      </c>
      <c r="G6036" s="20" t="str">
        <f>IFERROR(__xludf.DUMMYFUNCTION("""COMPUTED_VALUE"""),"Uncle Sams Cider (11/12/2021) 02")</f>
        <v>Uncle Sams Cider (11/12/2021) 02</v>
      </c>
      <c r="H6036" s="19"/>
    </row>
    <row r="6037">
      <c r="A6037" s="9"/>
      <c r="B6037" s="15"/>
      <c r="C6037" s="9">
        <f>IFERROR(__xludf.DUMMYFUNCTION("""COMPUTED_VALUE"""),44542.1039979976)</f>
        <v>44542.104</v>
      </c>
      <c r="D6037" s="15">
        <f>IFERROR(__xludf.DUMMYFUNCTION("""COMPUTED_VALUE"""),1.025)</f>
        <v>1.025</v>
      </c>
      <c r="E6037" s="16">
        <f>IFERROR(__xludf.DUMMYFUNCTION("""COMPUTED_VALUE"""),66.0)</f>
        <v>66</v>
      </c>
      <c r="F6037" s="19" t="str">
        <f>IFERROR(__xludf.DUMMYFUNCTION("""COMPUTED_VALUE"""),"BLACK")</f>
        <v>BLACK</v>
      </c>
      <c r="G6037" s="20" t="str">
        <f>IFERROR(__xludf.DUMMYFUNCTION("""COMPUTED_VALUE"""),"Uncle Sams Cider (11/12/2021) 02")</f>
        <v>Uncle Sams Cider (11/12/2021) 02</v>
      </c>
      <c r="H6037" s="19"/>
    </row>
    <row r="6038">
      <c r="A6038" s="9"/>
      <c r="B6038" s="15"/>
      <c r="C6038" s="9">
        <f>IFERROR(__xludf.DUMMYFUNCTION("""COMPUTED_VALUE"""),44542.0935423611)</f>
        <v>44542.09354</v>
      </c>
      <c r="D6038" s="15">
        <f>IFERROR(__xludf.DUMMYFUNCTION("""COMPUTED_VALUE"""),1.025)</f>
        <v>1.025</v>
      </c>
      <c r="E6038" s="16">
        <f>IFERROR(__xludf.DUMMYFUNCTION("""COMPUTED_VALUE"""),66.0)</f>
        <v>66</v>
      </c>
      <c r="F6038" s="19" t="str">
        <f>IFERROR(__xludf.DUMMYFUNCTION("""COMPUTED_VALUE"""),"BLACK")</f>
        <v>BLACK</v>
      </c>
      <c r="G6038" s="20" t="str">
        <f>IFERROR(__xludf.DUMMYFUNCTION("""COMPUTED_VALUE"""),"Uncle Sams Cider (11/12/2021) 02")</f>
        <v>Uncle Sams Cider (11/12/2021) 02</v>
      </c>
      <c r="H6038" s="19"/>
    </row>
    <row r="6039">
      <c r="A6039" s="9"/>
      <c r="B6039" s="15"/>
      <c r="C6039" s="9">
        <f>IFERROR(__xludf.DUMMYFUNCTION("""COMPUTED_VALUE"""),44542.0831199189)</f>
        <v>44542.08312</v>
      </c>
      <c r="D6039" s="15">
        <f>IFERROR(__xludf.DUMMYFUNCTION("""COMPUTED_VALUE"""),1.025)</f>
        <v>1.025</v>
      </c>
      <c r="E6039" s="16">
        <f>IFERROR(__xludf.DUMMYFUNCTION("""COMPUTED_VALUE"""),66.0)</f>
        <v>66</v>
      </c>
      <c r="F6039" s="19" t="str">
        <f>IFERROR(__xludf.DUMMYFUNCTION("""COMPUTED_VALUE"""),"BLACK")</f>
        <v>BLACK</v>
      </c>
      <c r="G6039" s="20" t="str">
        <f>IFERROR(__xludf.DUMMYFUNCTION("""COMPUTED_VALUE"""),"Uncle Sams Cider (11/12/2021) 02")</f>
        <v>Uncle Sams Cider (11/12/2021) 02</v>
      </c>
      <c r="H6039" s="19"/>
    </row>
    <row r="6040">
      <c r="A6040" s="9"/>
      <c r="B6040" s="15"/>
      <c r="C6040" s="9">
        <f>IFERROR(__xludf.DUMMYFUNCTION("""COMPUTED_VALUE"""),44542.0726883333)</f>
        <v>44542.07269</v>
      </c>
      <c r="D6040" s="15">
        <f>IFERROR(__xludf.DUMMYFUNCTION("""COMPUTED_VALUE"""),1.025)</f>
        <v>1.025</v>
      </c>
      <c r="E6040" s="16">
        <f>IFERROR(__xludf.DUMMYFUNCTION("""COMPUTED_VALUE"""),66.0)</f>
        <v>66</v>
      </c>
      <c r="F6040" s="19" t="str">
        <f>IFERROR(__xludf.DUMMYFUNCTION("""COMPUTED_VALUE"""),"BLACK")</f>
        <v>BLACK</v>
      </c>
      <c r="G6040" s="20" t="str">
        <f>IFERROR(__xludf.DUMMYFUNCTION("""COMPUTED_VALUE"""),"Uncle Sams Cider (11/12/2021) 02")</f>
        <v>Uncle Sams Cider (11/12/2021) 02</v>
      </c>
      <c r="H6040" s="19"/>
    </row>
    <row r="6041">
      <c r="A6041" s="9"/>
      <c r="B6041" s="15"/>
      <c r="C6041" s="9">
        <f>IFERROR(__xludf.DUMMYFUNCTION("""COMPUTED_VALUE"""),44542.0622552662)</f>
        <v>44542.06226</v>
      </c>
      <c r="D6041" s="15">
        <f>IFERROR(__xludf.DUMMYFUNCTION("""COMPUTED_VALUE"""),1.025)</f>
        <v>1.025</v>
      </c>
      <c r="E6041" s="16">
        <f>IFERROR(__xludf.DUMMYFUNCTION("""COMPUTED_VALUE"""),66.0)</f>
        <v>66</v>
      </c>
      <c r="F6041" s="19" t="str">
        <f>IFERROR(__xludf.DUMMYFUNCTION("""COMPUTED_VALUE"""),"BLACK")</f>
        <v>BLACK</v>
      </c>
      <c r="G6041" s="20" t="str">
        <f>IFERROR(__xludf.DUMMYFUNCTION("""COMPUTED_VALUE"""),"Uncle Sams Cider (11/12/2021) 02")</f>
        <v>Uncle Sams Cider (11/12/2021) 02</v>
      </c>
      <c r="H6041" s="19"/>
    </row>
    <row r="6042">
      <c r="A6042" s="9"/>
      <c r="B6042" s="15"/>
      <c r="C6042" s="9">
        <f>IFERROR(__xludf.DUMMYFUNCTION("""COMPUTED_VALUE"""),44542.0517757523)</f>
        <v>44542.05178</v>
      </c>
      <c r="D6042" s="15">
        <f>IFERROR(__xludf.DUMMYFUNCTION("""COMPUTED_VALUE"""),1.025)</f>
        <v>1.025</v>
      </c>
      <c r="E6042" s="16">
        <f>IFERROR(__xludf.DUMMYFUNCTION("""COMPUTED_VALUE"""),66.0)</f>
        <v>66</v>
      </c>
      <c r="F6042" s="19" t="str">
        <f>IFERROR(__xludf.DUMMYFUNCTION("""COMPUTED_VALUE"""),"BLACK")</f>
        <v>BLACK</v>
      </c>
      <c r="G6042" s="20" t="str">
        <f>IFERROR(__xludf.DUMMYFUNCTION("""COMPUTED_VALUE"""),"Uncle Sams Cider (11/12/2021) 02")</f>
        <v>Uncle Sams Cider (11/12/2021) 02</v>
      </c>
      <c r="H6042" s="19"/>
    </row>
    <row r="6043">
      <c r="A6043" s="9"/>
      <c r="B6043" s="15"/>
      <c r="C6043" s="9">
        <f>IFERROR(__xludf.DUMMYFUNCTION("""COMPUTED_VALUE"""),44542.0413429166)</f>
        <v>44542.04134</v>
      </c>
      <c r="D6043" s="15">
        <f>IFERROR(__xludf.DUMMYFUNCTION("""COMPUTED_VALUE"""),1.025)</f>
        <v>1.025</v>
      </c>
      <c r="E6043" s="16">
        <f>IFERROR(__xludf.DUMMYFUNCTION("""COMPUTED_VALUE"""),66.0)</f>
        <v>66</v>
      </c>
      <c r="F6043" s="19" t="str">
        <f>IFERROR(__xludf.DUMMYFUNCTION("""COMPUTED_VALUE"""),"BLACK")</f>
        <v>BLACK</v>
      </c>
      <c r="G6043" s="20" t="str">
        <f>IFERROR(__xludf.DUMMYFUNCTION("""COMPUTED_VALUE"""),"Uncle Sams Cider (11/12/2021) 02")</f>
        <v>Uncle Sams Cider (11/12/2021) 02</v>
      </c>
      <c r="H6043" s="19"/>
    </row>
    <row r="6044">
      <c r="A6044" s="9"/>
      <c r="B6044" s="15"/>
      <c r="C6044" s="9">
        <f>IFERROR(__xludf.DUMMYFUNCTION("""COMPUTED_VALUE"""),44542.0309089236)</f>
        <v>44542.03091</v>
      </c>
      <c r="D6044" s="15">
        <f>IFERROR(__xludf.DUMMYFUNCTION("""COMPUTED_VALUE"""),1.025)</f>
        <v>1.025</v>
      </c>
      <c r="E6044" s="16">
        <f>IFERROR(__xludf.DUMMYFUNCTION("""COMPUTED_VALUE"""),66.0)</f>
        <v>66</v>
      </c>
      <c r="F6044" s="19" t="str">
        <f>IFERROR(__xludf.DUMMYFUNCTION("""COMPUTED_VALUE"""),"BLACK")</f>
        <v>BLACK</v>
      </c>
      <c r="G6044" s="20" t="str">
        <f>IFERROR(__xludf.DUMMYFUNCTION("""COMPUTED_VALUE"""),"Uncle Sams Cider (11/12/2021) 02")</f>
        <v>Uncle Sams Cider (11/12/2021) 02</v>
      </c>
      <c r="H6044" s="19"/>
    </row>
    <row r="6045">
      <c r="A6045" s="9"/>
      <c r="B6045" s="15"/>
      <c r="C6045" s="9">
        <f>IFERROR(__xludf.DUMMYFUNCTION("""COMPUTED_VALUE"""),44542.0204880902)</f>
        <v>44542.02049</v>
      </c>
      <c r="D6045" s="15">
        <f>IFERROR(__xludf.DUMMYFUNCTION("""COMPUTED_VALUE"""),1.025)</f>
        <v>1.025</v>
      </c>
      <c r="E6045" s="16">
        <f>IFERROR(__xludf.DUMMYFUNCTION("""COMPUTED_VALUE"""),66.0)</f>
        <v>66</v>
      </c>
      <c r="F6045" s="19" t="str">
        <f>IFERROR(__xludf.DUMMYFUNCTION("""COMPUTED_VALUE"""),"BLACK")</f>
        <v>BLACK</v>
      </c>
      <c r="G6045" s="20" t="str">
        <f>IFERROR(__xludf.DUMMYFUNCTION("""COMPUTED_VALUE"""),"Uncle Sams Cider (11/12/2021) 02")</f>
        <v>Uncle Sams Cider (11/12/2021) 02</v>
      </c>
      <c r="H6045" s="19"/>
    </row>
    <row r="6046">
      <c r="A6046" s="9"/>
      <c r="B6046" s="15"/>
      <c r="C6046" s="9">
        <f>IFERROR(__xludf.DUMMYFUNCTION("""COMPUTED_VALUE"""),44542.0100560416)</f>
        <v>44542.01006</v>
      </c>
      <c r="D6046" s="15">
        <f>IFERROR(__xludf.DUMMYFUNCTION("""COMPUTED_VALUE"""),1.025)</f>
        <v>1.025</v>
      </c>
      <c r="E6046" s="16">
        <f>IFERROR(__xludf.DUMMYFUNCTION("""COMPUTED_VALUE"""),66.0)</f>
        <v>66</v>
      </c>
      <c r="F6046" s="19" t="str">
        <f>IFERROR(__xludf.DUMMYFUNCTION("""COMPUTED_VALUE"""),"BLACK")</f>
        <v>BLACK</v>
      </c>
      <c r="G6046" s="20" t="str">
        <f>IFERROR(__xludf.DUMMYFUNCTION("""COMPUTED_VALUE"""),"Uncle Sams Cider (11/12/2021) 02")</f>
        <v>Uncle Sams Cider (11/12/2021) 02</v>
      </c>
      <c r="H6046" s="19"/>
    </row>
    <row r="6047">
      <c r="A6047" s="9"/>
      <c r="B6047" s="15"/>
      <c r="C6047" s="9">
        <f>IFERROR(__xludf.DUMMYFUNCTION("""COMPUTED_VALUE"""),44541.9996327199)</f>
        <v>44541.99963</v>
      </c>
      <c r="D6047" s="15">
        <f>IFERROR(__xludf.DUMMYFUNCTION("""COMPUTED_VALUE"""),1.025)</f>
        <v>1.025</v>
      </c>
      <c r="E6047" s="16">
        <f>IFERROR(__xludf.DUMMYFUNCTION("""COMPUTED_VALUE"""),66.0)</f>
        <v>66</v>
      </c>
      <c r="F6047" s="19" t="str">
        <f>IFERROR(__xludf.DUMMYFUNCTION("""COMPUTED_VALUE"""),"BLACK")</f>
        <v>BLACK</v>
      </c>
      <c r="G6047" s="20" t="str">
        <f>IFERROR(__xludf.DUMMYFUNCTION("""COMPUTED_VALUE"""),"Uncle Sams Cider (11/12/2021) 02")</f>
        <v>Uncle Sams Cider (11/12/2021) 02</v>
      </c>
      <c r="H6047" s="19"/>
    </row>
    <row r="6048">
      <c r="A6048" s="9"/>
      <c r="B6048" s="15"/>
      <c r="C6048" s="9">
        <f>IFERROR(__xludf.DUMMYFUNCTION("""COMPUTED_VALUE"""),44541.9891988657)</f>
        <v>44541.9892</v>
      </c>
      <c r="D6048" s="15">
        <f>IFERROR(__xludf.DUMMYFUNCTION("""COMPUTED_VALUE"""),1.025)</f>
        <v>1.025</v>
      </c>
      <c r="E6048" s="16">
        <f>IFERROR(__xludf.DUMMYFUNCTION("""COMPUTED_VALUE"""),66.0)</f>
        <v>66</v>
      </c>
      <c r="F6048" s="19" t="str">
        <f>IFERROR(__xludf.DUMMYFUNCTION("""COMPUTED_VALUE"""),"BLACK")</f>
        <v>BLACK</v>
      </c>
      <c r="G6048" s="20" t="str">
        <f>IFERROR(__xludf.DUMMYFUNCTION("""COMPUTED_VALUE"""),"Uncle Sams Cider (11/12/2021) 02")</f>
        <v>Uncle Sams Cider (11/12/2021) 02</v>
      </c>
      <c r="H6048" s="19"/>
    </row>
    <row r="6049">
      <c r="A6049" s="9"/>
      <c r="B6049" s="15"/>
      <c r="C6049" s="9">
        <f>IFERROR(__xludf.DUMMYFUNCTION("""COMPUTED_VALUE"""),44541.9787529976)</f>
        <v>44541.97875</v>
      </c>
      <c r="D6049" s="15">
        <f>IFERROR(__xludf.DUMMYFUNCTION("""COMPUTED_VALUE"""),1.025)</f>
        <v>1.025</v>
      </c>
      <c r="E6049" s="16">
        <f>IFERROR(__xludf.DUMMYFUNCTION("""COMPUTED_VALUE"""),66.0)</f>
        <v>66</v>
      </c>
      <c r="F6049" s="19" t="str">
        <f>IFERROR(__xludf.DUMMYFUNCTION("""COMPUTED_VALUE"""),"BLACK")</f>
        <v>BLACK</v>
      </c>
      <c r="G6049" s="20" t="str">
        <f>IFERROR(__xludf.DUMMYFUNCTION("""COMPUTED_VALUE"""),"Uncle Sams Cider (11/12/2021) 02")</f>
        <v>Uncle Sams Cider (11/12/2021) 02</v>
      </c>
      <c r="H6049" s="19"/>
    </row>
    <row r="6050">
      <c r="A6050" s="9"/>
      <c r="B6050" s="15"/>
      <c r="C6050" s="9">
        <f>IFERROR(__xludf.DUMMYFUNCTION("""COMPUTED_VALUE"""),44541.9683194444)</f>
        <v>44541.96832</v>
      </c>
      <c r="D6050" s="15">
        <f>IFERROR(__xludf.DUMMYFUNCTION("""COMPUTED_VALUE"""),1.025)</f>
        <v>1.025</v>
      </c>
      <c r="E6050" s="16">
        <f>IFERROR(__xludf.DUMMYFUNCTION("""COMPUTED_VALUE"""),66.0)</f>
        <v>66</v>
      </c>
      <c r="F6050" s="19" t="str">
        <f>IFERROR(__xludf.DUMMYFUNCTION("""COMPUTED_VALUE"""),"BLACK")</f>
        <v>BLACK</v>
      </c>
      <c r="G6050" s="20" t="str">
        <f>IFERROR(__xludf.DUMMYFUNCTION("""COMPUTED_VALUE"""),"Uncle Sams Cider (11/12/2021) 02")</f>
        <v>Uncle Sams Cider (11/12/2021) 02</v>
      </c>
      <c r="H6050" s="19"/>
    </row>
    <row r="6051">
      <c r="A6051" s="9"/>
      <c r="B6051" s="15"/>
      <c r="C6051" s="9">
        <f>IFERROR(__xludf.DUMMYFUNCTION("""COMPUTED_VALUE"""),44541.9578981365)</f>
        <v>44541.9579</v>
      </c>
      <c r="D6051" s="15">
        <f>IFERROR(__xludf.DUMMYFUNCTION("""COMPUTED_VALUE"""),1.025)</f>
        <v>1.025</v>
      </c>
      <c r="E6051" s="16">
        <f>IFERROR(__xludf.DUMMYFUNCTION("""COMPUTED_VALUE"""),66.0)</f>
        <v>66</v>
      </c>
      <c r="F6051" s="19" t="str">
        <f>IFERROR(__xludf.DUMMYFUNCTION("""COMPUTED_VALUE"""),"BLACK")</f>
        <v>BLACK</v>
      </c>
      <c r="G6051" s="20" t="str">
        <f>IFERROR(__xludf.DUMMYFUNCTION("""COMPUTED_VALUE"""),"Uncle Sams Cider (11/12/2021) 02")</f>
        <v>Uncle Sams Cider (11/12/2021) 02</v>
      </c>
      <c r="H6051" s="19"/>
    </row>
    <row r="6052">
      <c r="A6052" s="9"/>
      <c r="B6052" s="15"/>
      <c r="C6052" s="9">
        <f>IFERROR(__xludf.DUMMYFUNCTION("""COMPUTED_VALUE"""),44541.947465243)</f>
        <v>44541.94747</v>
      </c>
      <c r="D6052" s="15">
        <f>IFERROR(__xludf.DUMMYFUNCTION("""COMPUTED_VALUE"""),1.025)</f>
        <v>1.025</v>
      </c>
      <c r="E6052" s="16">
        <f>IFERROR(__xludf.DUMMYFUNCTION("""COMPUTED_VALUE"""),66.0)</f>
        <v>66</v>
      </c>
      <c r="F6052" s="19" t="str">
        <f>IFERROR(__xludf.DUMMYFUNCTION("""COMPUTED_VALUE"""),"BLACK")</f>
        <v>BLACK</v>
      </c>
      <c r="G6052" s="20" t="str">
        <f>IFERROR(__xludf.DUMMYFUNCTION("""COMPUTED_VALUE"""),"Uncle Sams Cider (11/12/2021) 02")</f>
        <v>Uncle Sams Cider (11/12/2021) 02</v>
      </c>
      <c r="H6052" s="19"/>
    </row>
    <row r="6053">
      <c r="A6053" s="9"/>
      <c r="B6053" s="15"/>
      <c r="C6053" s="9">
        <f>IFERROR(__xludf.DUMMYFUNCTION("""COMPUTED_VALUE"""),44541.937046412)</f>
        <v>44541.93705</v>
      </c>
      <c r="D6053" s="15">
        <f>IFERROR(__xludf.DUMMYFUNCTION("""COMPUTED_VALUE"""),1.025)</f>
        <v>1.025</v>
      </c>
      <c r="E6053" s="16">
        <f>IFERROR(__xludf.DUMMYFUNCTION("""COMPUTED_VALUE"""),66.0)</f>
        <v>66</v>
      </c>
      <c r="F6053" s="19" t="str">
        <f>IFERROR(__xludf.DUMMYFUNCTION("""COMPUTED_VALUE"""),"BLACK")</f>
        <v>BLACK</v>
      </c>
      <c r="G6053" s="20" t="str">
        <f>IFERROR(__xludf.DUMMYFUNCTION("""COMPUTED_VALUE"""),"Uncle Sams Cider (11/12/2021) 02")</f>
        <v>Uncle Sams Cider (11/12/2021) 02</v>
      </c>
      <c r="H6053" s="19"/>
    </row>
    <row r="6054">
      <c r="A6054" s="9"/>
      <c r="B6054" s="15"/>
      <c r="C6054" s="9">
        <f>IFERROR(__xludf.DUMMYFUNCTION("""COMPUTED_VALUE"""),44541.926624456)</f>
        <v>44541.92662</v>
      </c>
      <c r="D6054" s="15">
        <f>IFERROR(__xludf.DUMMYFUNCTION("""COMPUTED_VALUE"""),1.025)</f>
        <v>1.025</v>
      </c>
      <c r="E6054" s="16">
        <f>IFERROR(__xludf.DUMMYFUNCTION("""COMPUTED_VALUE"""),66.0)</f>
        <v>66</v>
      </c>
      <c r="F6054" s="19" t="str">
        <f>IFERROR(__xludf.DUMMYFUNCTION("""COMPUTED_VALUE"""),"BLACK")</f>
        <v>BLACK</v>
      </c>
      <c r="G6054" s="20" t="str">
        <f>IFERROR(__xludf.DUMMYFUNCTION("""COMPUTED_VALUE"""),"Uncle Sams Cider (11/12/2021) 02")</f>
        <v>Uncle Sams Cider (11/12/2021) 02</v>
      </c>
      <c r="H6054" s="19"/>
    </row>
    <row r="6055">
      <c r="A6055" s="9"/>
      <c r="B6055" s="15"/>
      <c r="C6055" s="9">
        <f>IFERROR(__xludf.DUMMYFUNCTION("""COMPUTED_VALUE"""),44541.9161923379)</f>
        <v>44541.91619</v>
      </c>
      <c r="D6055" s="15">
        <f>IFERROR(__xludf.DUMMYFUNCTION("""COMPUTED_VALUE"""),1.025)</f>
        <v>1.025</v>
      </c>
      <c r="E6055" s="16">
        <f>IFERROR(__xludf.DUMMYFUNCTION("""COMPUTED_VALUE"""),66.0)</f>
        <v>66</v>
      </c>
      <c r="F6055" s="19" t="str">
        <f>IFERROR(__xludf.DUMMYFUNCTION("""COMPUTED_VALUE"""),"BLACK")</f>
        <v>BLACK</v>
      </c>
      <c r="G6055" s="20" t="str">
        <f>IFERROR(__xludf.DUMMYFUNCTION("""COMPUTED_VALUE"""),"Uncle Sams Cider (11/12/2021) 02")</f>
        <v>Uncle Sams Cider (11/12/2021) 02</v>
      </c>
      <c r="H6055" s="19"/>
    </row>
    <row r="6056">
      <c r="A6056" s="9"/>
      <c r="B6056" s="15"/>
      <c r="C6056" s="9">
        <f>IFERROR(__xludf.DUMMYFUNCTION("""COMPUTED_VALUE"""),44541.9057603472)</f>
        <v>44541.90576</v>
      </c>
      <c r="D6056" s="15">
        <f>IFERROR(__xludf.DUMMYFUNCTION("""COMPUTED_VALUE"""),1.025)</f>
        <v>1.025</v>
      </c>
      <c r="E6056" s="16">
        <f>IFERROR(__xludf.DUMMYFUNCTION("""COMPUTED_VALUE"""),66.0)</f>
        <v>66</v>
      </c>
      <c r="F6056" s="19" t="str">
        <f>IFERROR(__xludf.DUMMYFUNCTION("""COMPUTED_VALUE"""),"BLACK")</f>
        <v>BLACK</v>
      </c>
      <c r="G6056" s="20" t="str">
        <f>IFERROR(__xludf.DUMMYFUNCTION("""COMPUTED_VALUE"""),"Uncle Sams Cider (11/12/2021) 02")</f>
        <v>Uncle Sams Cider (11/12/2021) 02</v>
      </c>
      <c r="H6056" s="19"/>
    </row>
    <row r="6057">
      <c r="A6057" s="9"/>
      <c r="B6057" s="15"/>
      <c r="C6057" s="9">
        <f>IFERROR(__xludf.DUMMYFUNCTION("""COMPUTED_VALUE"""),44541.8953154282)</f>
        <v>44541.89532</v>
      </c>
      <c r="D6057" s="15">
        <f>IFERROR(__xludf.DUMMYFUNCTION("""COMPUTED_VALUE"""),1.025)</f>
        <v>1.025</v>
      </c>
      <c r="E6057" s="16">
        <f>IFERROR(__xludf.DUMMYFUNCTION("""COMPUTED_VALUE"""),66.0)</f>
        <v>66</v>
      </c>
      <c r="F6057" s="19" t="str">
        <f>IFERROR(__xludf.DUMMYFUNCTION("""COMPUTED_VALUE"""),"BLACK")</f>
        <v>BLACK</v>
      </c>
      <c r="G6057" s="20" t="str">
        <f>IFERROR(__xludf.DUMMYFUNCTION("""COMPUTED_VALUE"""),"Uncle Sams Cider (11/12/2021) 02")</f>
        <v>Uncle Sams Cider (11/12/2021) 02</v>
      </c>
      <c r="H6057" s="19"/>
    </row>
    <row r="6058">
      <c r="A6058" s="9"/>
      <c r="B6058" s="15"/>
      <c r="C6058" s="9">
        <f>IFERROR(__xludf.DUMMYFUNCTION("""COMPUTED_VALUE"""),44541.8848934722)</f>
        <v>44541.88489</v>
      </c>
      <c r="D6058" s="15">
        <f>IFERROR(__xludf.DUMMYFUNCTION("""COMPUTED_VALUE"""),1.025)</f>
        <v>1.025</v>
      </c>
      <c r="E6058" s="16">
        <f>IFERROR(__xludf.DUMMYFUNCTION("""COMPUTED_VALUE"""),66.0)</f>
        <v>66</v>
      </c>
      <c r="F6058" s="19" t="str">
        <f>IFERROR(__xludf.DUMMYFUNCTION("""COMPUTED_VALUE"""),"BLACK")</f>
        <v>BLACK</v>
      </c>
      <c r="G6058" s="20" t="str">
        <f>IFERROR(__xludf.DUMMYFUNCTION("""COMPUTED_VALUE"""),"Uncle Sams Cider (11/12/2021) 02")</f>
        <v>Uncle Sams Cider (11/12/2021) 02</v>
      </c>
      <c r="H6058" s="19"/>
    </row>
    <row r="6059">
      <c r="A6059" s="9"/>
      <c r="B6059" s="15"/>
      <c r="C6059" s="9">
        <f>IFERROR(__xludf.DUMMYFUNCTION("""COMPUTED_VALUE"""),44541.8744725231)</f>
        <v>44541.87447</v>
      </c>
      <c r="D6059" s="15">
        <f>IFERROR(__xludf.DUMMYFUNCTION("""COMPUTED_VALUE"""),1.025)</f>
        <v>1.025</v>
      </c>
      <c r="E6059" s="16">
        <f>IFERROR(__xludf.DUMMYFUNCTION("""COMPUTED_VALUE"""),66.0)</f>
        <v>66</v>
      </c>
      <c r="F6059" s="19" t="str">
        <f>IFERROR(__xludf.DUMMYFUNCTION("""COMPUTED_VALUE"""),"BLACK")</f>
        <v>BLACK</v>
      </c>
      <c r="G6059" s="20" t="str">
        <f>IFERROR(__xludf.DUMMYFUNCTION("""COMPUTED_VALUE"""),"Uncle Sams Cider (11/12/2021) 02")</f>
        <v>Uncle Sams Cider (11/12/2021) 02</v>
      </c>
      <c r="H6059" s="19"/>
    </row>
    <row r="6060">
      <c r="A6060" s="9"/>
      <c r="B6060" s="15"/>
      <c r="C6060" s="9">
        <f>IFERROR(__xludf.DUMMYFUNCTION("""COMPUTED_VALUE"""),44541.8640161689)</f>
        <v>44541.86402</v>
      </c>
      <c r="D6060" s="15">
        <f>IFERROR(__xludf.DUMMYFUNCTION("""COMPUTED_VALUE"""),1.025)</f>
        <v>1.025</v>
      </c>
      <c r="E6060" s="16">
        <f>IFERROR(__xludf.DUMMYFUNCTION("""COMPUTED_VALUE"""),66.0)</f>
        <v>66</v>
      </c>
      <c r="F6060" s="19" t="str">
        <f>IFERROR(__xludf.DUMMYFUNCTION("""COMPUTED_VALUE"""),"BLACK")</f>
        <v>BLACK</v>
      </c>
      <c r="G6060" s="20" t="str">
        <f>IFERROR(__xludf.DUMMYFUNCTION("""COMPUTED_VALUE"""),"Uncle Sams Cider (11/12/2021) 02")</f>
        <v>Uncle Sams Cider (11/12/2021) 02</v>
      </c>
      <c r="H6060" s="19"/>
    </row>
    <row r="6061">
      <c r="A6061" s="9"/>
      <c r="B6061" s="15"/>
      <c r="C6061" s="9">
        <f>IFERROR(__xludf.DUMMYFUNCTION("""COMPUTED_VALUE"""),44541.8535951851)</f>
        <v>44541.8536</v>
      </c>
      <c r="D6061" s="15">
        <f>IFERROR(__xludf.DUMMYFUNCTION("""COMPUTED_VALUE"""),1.025)</f>
        <v>1.025</v>
      </c>
      <c r="E6061" s="16">
        <f>IFERROR(__xludf.DUMMYFUNCTION("""COMPUTED_VALUE"""),66.0)</f>
        <v>66</v>
      </c>
      <c r="F6061" s="19" t="str">
        <f>IFERROR(__xludf.DUMMYFUNCTION("""COMPUTED_VALUE"""),"BLACK")</f>
        <v>BLACK</v>
      </c>
      <c r="G6061" s="20" t="str">
        <f>IFERROR(__xludf.DUMMYFUNCTION("""COMPUTED_VALUE"""),"Uncle Sams Cider (11/12/2021) 02")</f>
        <v>Uncle Sams Cider (11/12/2021) 02</v>
      </c>
      <c r="H6061" s="19"/>
    </row>
    <row r="6062">
      <c r="A6062" s="9"/>
      <c r="B6062" s="15"/>
      <c r="C6062" s="9">
        <f>IFERROR(__xludf.DUMMYFUNCTION("""COMPUTED_VALUE"""),44541.8431412615)</f>
        <v>44541.84314</v>
      </c>
      <c r="D6062" s="15">
        <f>IFERROR(__xludf.DUMMYFUNCTION("""COMPUTED_VALUE"""),1.025)</f>
        <v>1.025</v>
      </c>
      <c r="E6062" s="16">
        <f>IFERROR(__xludf.DUMMYFUNCTION("""COMPUTED_VALUE"""),66.0)</f>
        <v>66</v>
      </c>
      <c r="F6062" s="19" t="str">
        <f>IFERROR(__xludf.DUMMYFUNCTION("""COMPUTED_VALUE"""),"BLACK")</f>
        <v>BLACK</v>
      </c>
      <c r="G6062" s="20" t="str">
        <f>IFERROR(__xludf.DUMMYFUNCTION("""COMPUTED_VALUE"""),"Uncle Sams Cider (11/12/2021) 02")</f>
        <v>Uncle Sams Cider (11/12/2021) 02</v>
      </c>
      <c r="H6062" s="19"/>
    </row>
    <row r="6063">
      <c r="A6063" s="9"/>
      <c r="B6063" s="15"/>
      <c r="C6063" s="9">
        <f>IFERROR(__xludf.DUMMYFUNCTION("""COMPUTED_VALUE"""),44541.8326864236)</f>
        <v>44541.83269</v>
      </c>
      <c r="D6063" s="15">
        <f>IFERROR(__xludf.DUMMYFUNCTION("""COMPUTED_VALUE"""),1.025)</f>
        <v>1.025</v>
      </c>
      <c r="E6063" s="16">
        <f>IFERROR(__xludf.DUMMYFUNCTION("""COMPUTED_VALUE"""),66.0)</f>
        <v>66</v>
      </c>
      <c r="F6063" s="19" t="str">
        <f>IFERROR(__xludf.DUMMYFUNCTION("""COMPUTED_VALUE"""),"BLACK")</f>
        <v>BLACK</v>
      </c>
      <c r="G6063" s="20" t="str">
        <f>IFERROR(__xludf.DUMMYFUNCTION("""COMPUTED_VALUE"""),"Uncle Sams Cider (11/12/2021) 02")</f>
        <v>Uncle Sams Cider (11/12/2021) 02</v>
      </c>
      <c r="H6063" s="19"/>
    </row>
    <row r="6064">
      <c r="A6064" s="9"/>
      <c r="B6064" s="15"/>
      <c r="C6064" s="9">
        <f>IFERROR(__xludf.DUMMYFUNCTION("""COMPUTED_VALUE"""),44541.822265787)</f>
        <v>44541.82227</v>
      </c>
      <c r="D6064" s="15">
        <f>IFERROR(__xludf.DUMMYFUNCTION("""COMPUTED_VALUE"""),1.025)</f>
        <v>1.025</v>
      </c>
      <c r="E6064" s="16">
        <f>IFERROR(__xludf.DUMMYFUNCTION("""COMPUTED_VALUE"""),66.0)</f>
        <v>66</v>
      </c>
      <c r="F6064" s="19" t="str">
        <f>IFERROR(__xludf.DUMMYFUNCTION("""COMPUTED_VALUE"""),"BLACK")</f>
        <v>BLACK</v>
      </c>
      <c r="G6064" s="20" t="str">
        <f>IFERROR(__xludf.DUMMYFUNCTION("""COMPUTED_VALUE"""),"Uncle Sams Cider (11/12/2021) 02")</f>
        <v>Uncle Sams Cider (11/12/2021) 02</v>
      </c>
      <c r="H6064" s="19"/>
    </row>
    <row r="6065">
      <c r="A6065" s="9"/>
      <c r="B6065" s="15"/>
      <c r="C6065" s="9">
        <f>IFERROR(__xludf.DUMMYFUNCTION("""COMPUTED_VALUE"""),44541.8118463657)</f>
        <v>44541.81185</v>
      </c>
      <c r="D6065" s="15">
        <f>IFERROR(__xludf.DUMMYFUNCTION("""COMPUTED_VALUE"""),1.025)</f>
        <v>1.025</v>
      </c>
      <c r="E6065" s="16">
        <f>IFERROR(__xludf.DUMMYFUNCTION("""COMPUTED_VALUE"""),66.0)</f>
        <v>66</v>
      </c>
      <c r="F6065" s="19" t="str">
        <f>IFERROR(__xludf.DUMMYFUNCTION("""COMPUTED_VALUE"""),"BLACK")</f>
        <v>BLACK</v>
      </c>
      <c r="G6065" s="20" t="str">
        <f>IFERROR(__xludf.DUMMYFUNCTION("""COMPUTED_VALUE"""),"Uncle Sams Cider (11/12/2021) 02")</f>
        <v>Uncle Sams Cider (11/12/2021) 02</v>
      </c>
      <c r="H6065" s="19"/>
    </row>
    <row r="6066">
      <c r="A6066" s="9"/>
      <c r="B6066" s="15"/>
      <c r="C6066" s="9">
        <f>IFERROR(__xludf.DUMMYFUNCTION("""COMPUTED_VALUE"""),44541.8014130902)</f>
        <v>44541.80141</v>
      </c>
      <c r="D6066" s="15">
        <f>IFERROR(__xludf.DUMMYFUNCTION("""COMPUTED_VALUE"""),1.025)</f>
        <v>1.025</v>
      </c>
      <c r="E6066" s="16">
        <f>IFERROR(__xludf.DUMMYFUNCTION("""COMPUTED_VALUE"""),66.0)</f>
        <v>66</v>
      </c>
      <c r="F6066" s="19" t="str">
        <f>IFERROR(__xludf.DUMMYFUNCTION("""COMPUTED_VALUE"""),"BLACK")</f>
        <v>BLACK</v>
      </c>
      <c r="G6066" s="20" t="str">
        <f>IFERROR(__xludf.DUMMYFUNCTION("""COMPUTED_VALUE"""),"Uncle Sams Cider (11/12/2021) 02")</f>
        <v>Uncle Sams Cider (11/12/2021) 02</v>
      </c>
      <c r="H6066" s="19"/>
    </row>
    <row r="6067">
      <c r="A6067" s="9"/>
      <c r="B6067" s="15"/>
      <c r="C6067" s="9">
        <f>IFERROR(__xludf.DUMMYFUNCTION("""COMPUTED_VALUE"""),44541.7909688425)</f>
        <v>44541.79097</v>
      </c>
      <c r="D6067" s="15">
        <f>IFERROR(__xludf.DUMMYFUNCTION("""COMPUTED_VALUE"""),1.025)</f>
        <v>1.025</v>
      </c>
      <c r="E6067" s="16">
        <f>IFERROR(__xludf.DUMMYFUNCTION("""COMPUTED_VALUE"""),66.0)</f>
        <v>66</v>
      </c>
      <c r="F6067" s="19" t="str">
        <f>IFERROR(__xludf.DUMMYFUNCTION("""COMPUTED_VALUE"""),"BLACK")</f>
        <v>BLACK</v>
      </c>
      <c r="G6067" s="20" t="str">
        <f>IFERROR(__xludf.DUMMYFUNCTION("""COMPUTED_VALUE"""),"Uncle Sams Cider (11/12/2021) 02")</f>
        <v>Uncle Sams Cider (11/12/2021) 02</v>
      </c>
      <c r="H6067" s="19"/>
    </row>
    <row r="6068">
      <c r="A6068" s="9"/>
      <c r="B6068" s="15"/>
      <c r="C6068" s="9">
        <f>IFERROR(__xludf.DUMMYFUNCTION("""COMPUTED_VALUE"""),44541.7805481944)</f>
        <v>44541.78055</v>
      </c>
      <c r="D6068" s="15">
        <f>IFERROR(__xludf.DUMMYFUNCTION("""COMPUTED_VALUE"""),1.025)</f>
        <v>1.025</v>
      </c>
      <c r="E6068" s="16">
        <f>IFERROR(__xludf.DUMMYFUNCTION("""COMPUTED_VALUE"""),66.0)</f>
        <v>66</v>
      </c>
      <c r="F6068" s="19" t="str">
        <f>IFERROR(__xludf.DUMMYFUNCTION("""COMPUTED_VALUE"""),"BLACK")</f>
        <v>BLACK</v>
      </c>
      <c r="G6068" s="20" t="str">
        <f>IFERROR(__xludf.DUMMYFUNCTION("""COMPUTED_VALUE"""),"Uncle Sams Cider (11/12/2021) 02")</f>
        <v>Uncle Sams Cider (11/12/2021) 02</v>
      </c>
      <c r="H6068" s="19"/>
    </row>
    <row r="6069">
      <c r="A6069" s="9"/>
      <c r="B6069" s="15"/>
      <c r="C6069" s="9">
        <f>IFERROR(__xludf.DUMMYFUNCTION("""COMPUTED_VALUE"""),44541.7701138888)</f>
        <v>44541.77011</v>
      </c>
      <c r="D6069" s="15">
        <f>IFERROR(__xludf.DUMMYFUNCTION("""COMPUTED_VALUE"""),1.025)</f>
        <v>1.025</v>
      </c>
      <c r="E6069" s="16">
        <f>IFERROR(__xludf.DUMMYFUNCTION("""COMPUTED_VALUE"""),66.0)</f>
        <v>66</v>
      </c>
      <c r="F6069" s="19" t="str">
        <f>IFERROR(__xludf.DUMMYFUNCTION("""COMPUTED_VALUE"""),"BLACK")</f>
        <v>BLACK</v>
      </c>
      <c r="G6069" s="20" t="str">
        <f>IFERROR(__xludf.DUMMYFUNCTION("""COMPUTED_VALUE"""),"Uncle Sams Cider (11/12/2021) 02")</f>
        <v>Uncle Sams Cider (11/12/2021) 02</v>
      </c>
      <c r="H6069" s="19"/>
    </row>
    <row r="6070">
      <c r="A6070" s="9"/>
      <c r="B6070" s="15"/>
      <c r="C6070" s="9">
        <f>IFERROR(__xludf.DUMMYFUNCTION("""COMPUTED_VALUE"""),44541.7596912152)</f>
        <v>44541.75969</v>
      </c>
      <c r="D6070" s="15">
        <f>IFERROR(__xludf.DUMMYFUNCTION("""COMPUTED_VALUE"""),1.025)</f>
        <v>1.025</v>
      </c>
      <c r="E6070" s="16">
        <f>IFERROR(__xludf.DUMMYFUNCTION("""COMPUTED_VALUE"""),66.0)</f>
        <v>66</v>
      </c>
      <c r="F6070" s="19" t="str">
        <f>IFERROR(__xludf.DUMMYFUNCTION("""COMPUTED_VALUE"""),"BLACK")</f>
        <v>BLACK</v>
      </c>
      <c r="G6070" s="20" t="str">
        <f>IFERROR(__xludf.DUMMYFUNCTION("""COMPUTED_VALUE"""),"Uncle Sams Cider (11/12/2021) 02")</f>
        <v>Uncle Sams Cider (11/12/2021) 02</v>
      </c>
      <c r="H6070" s="19"/>
    </row>
    <row r="6071">
      <c r="A6071" s="9"/>
      <c r="B6071" s="15"/>
      <c r="C6071" s="9">
        <f>IFERROR(__xludf.DUMMYFUNCTION("""COMPUTED_VALUE"""),44541.7492577546)</f>
        <v>44541.74926</v>
      </c>
      <c r="D6071" s="15">
        <f>IFERROR(__xludf.DUMMYFUNCTION("""COMPUTED_VALUE"""),1.025)</f>
        <v>1.025</v>
      </c>
      <c r="E6071" s="16">
        <f>IFERROR(__xludf.DUMMYFUNCTION("""COMPUTED_VALUE"""),66.0)</f>
        <v>66</v>
      </c>
      <c r="F6071" s="19" t="str">
        <f>IFERROR(__xludf.DUMMYFUNCTION("""COMPUTED_VALUE"""),"BLACK")</f>
        <v>BLACK</v>
      </c>
      <c r="G6071" s="20" t="str">
        <f>IFERROR(__xludf.DUMMYFUNCTION("""COMPUTED_VALUE"""),"Uncle Sams Cider (11/12/2021) 02")</f>
        <v>Uncle Sams Cider (11/12/2021) 02</v>
      </c>
      <c r="H6071" s="19"/>
    </row>
    <row r="6072">
      <c r="A6072" s="9"/>
      <c r="B6072" s="15"/>
      <c r="C6072" s="9">
        <f>IFERROR(__xludf.DUMMYFUNCTION("""COMPUTED_VALUE"""),44541.7387886342)</f>
        <v>44541.73879</v>
      </c>
      <c r="D6072" s="15">
        <f>IFERROR(__xludf.DUMMYFUNCTION("""COMPUTED_VALUE"""),1.025)</f>
        <v>1.025</v>
      </c>
      <c r="E6072" s="16">
        <f>IFERROR(__xludf.DUMMYFUNCTION("""COMPUTED_VALUE"""),66.0)</f>
        <v>66</v>
      </c>
      <c r="F6072" s="19" t="str">
        <f>IFERROR(__xludf.DUMMYFUNCTION("""COMPUTED_VALUE"""),"BLACK")</f>
        <v>BLACK</v>
      </c>
      <c r="G6072" s="20" t="str">
        <f>IFERROR(__xludf.DUMMYFUNCTION("""COMPUTED_VALUE"""),"Uncle Sams Cider (11/12/2021) 02")</f>
        <v>Uncle Sams Cider (11/12/2021) 02</v>
      </c>
      <c r="H6072" s="19"/>
    </row>
    <row r="6073">
      <c r="A6073" s="9"/>
      <c r="B6073" s="15"/>
      <c r="C6073" s="9">
        <f>IFERROR(__xludf.DUMMYFUNCTION("""COMPUTED_VALUE"""),44541.7283314814)</f>
        <v>44541.72833</v>
      </c>
      <c r="D6073" s="15">
        <f>IFERROR(__xludf.DUMMYFUNCTION("""COMPUTED_VALUE"""),1.025)</f>
        <v>1.025</v>
      </c>
      <c r="E6073" s="16">
        <f>IFERROR(__xludf.DUMMYFUNCTION("""COMPUTED_VALUE"""),66.0)</f>
        <v>66</v>
      </c>
      <c r="F6073" s="19" t="str">
        <f>IFERROR(__xludf.DUMMYFUNCTION("""COMPUTED_VALUE"""),"BLACK")</f>
        <v>BLACK</v>
      </c>
      <c r="G6073" s="20" t="str">
        <f>IFERROR(__xludf.DUMMYFUNCTION("""COMPUTED_VALUE"""),"Uncle Sams Cider (11/12/2021) 02")</f>
        <v>Uncle Sams Cider (11/12/2021) 02</v>
      </c>
      <c r="H6073" s="19"/>
    </row>
    <row r="6074">
      <c r="A6074" s="9"/>
      <c r="B6074" s="15"/>
      <c r="C6074" s="9">
        <f>IFERROR(__xludf.DUMMYFUNCTION("""COMPUTED_VALUE"""),44541.7178990625)</f>
        <v>44541.7179</v>
      </c>
      <c r="D6074" s="15">
        <f>IFERROR(__xludf.DUMMYFUNCTION("""COMPUTED_VALUE"""),1.026)</f>
        <v>1.026</v>
      </c>
      <c r="E6074" s="16">
        <f>IFERROR(__xludf.DUMMYFUNCTION("""COMPUTED_VALUE"""),66.0)</f>
        <v>66</v>
      </c>
      <c r="F6074" s="19" t="str">
        <f>IFERROR(__xludf.DUMMYFUNCTION("""COMPUTED_VALUE"""),"BLACK")</f>
        <v>BLACK</v>
      </c>
      <c r="G6074" s="20" t="str">
        <f>IFERROR(__xludf.DUMMYFUNCTION("""COMPUTED_VALUE"""),"Uncle Sams Cider (11/12/2021) 02")</f>
        <v>Uncle Sams Cider (11/12/2021) 02</v>
      </c>
      <c r="H6074" s="19"/>
    </row>
    <row r="6075">
      <c r="A6075" s="9"/>
      <c r="B6075" s="15"/>
      <c r="C6075" s="9">
        <f>IFERROR(__xludf.DUMMYFUNCTION("""COMPUTED_VALUE"""),44541.7074674768)</f>
        <v>44541.70747</v>
      </c>
      <c r="D6075" s="15">
        <f>IFERROR(__xludf.DUMMYFUNCTION("""COMPUTED_VALUE"""),1.026)</f>
        <v>1.026</v>
      </c>
      <c r="E6075" s="16">
        <f>IFERROR(__xludf.DUMMYFUNCTION("""COMPUTED_VALUE"""),66.0)</f>
        <v>66</v>
      </c>
      <c r="F6075" s="19" t="str">
        <f>IFERROR(__xludf.DUMMYFUNCTION("""COMPUTED_VALUE"""),"BLACK")</f>
        <v>BLACK</v>
      </c>
      <c r="G6075" s="20" t="str">
        <f>IFERROR(__xludf.DUMMYFUNCTION("""COMPUTED_VALUE"""),"Uncle Sams Cider (11/12/2021) 02")</f>
        <v>Uncle Sams Cider (11/12/2021) 02</v>
      </c>
      <c r="H6075" s="19"/>
    </row>
    <row r="6076">
      <c r="A6076" s="9"/>
      <c r="B6076" s="15"/>
      <c r="C6076" s="9">
        <f>IFERROR(__xludf.DUMMYFUNCTION("""COMPUTED_VALUE"""),44541.6970449421)</f>
        <v>44541.69704</v>
      </c>
      <c r="D6076" s="15">
        <f>IFERROR(__xludf.DUMMYFUNCTION("""COMPUTED_VALUE"""),1.025)</f>
        <v>1.025</v>
      </c>
      <c r="E6076" s="16">
        <f>IFERROR(__xludf.DUMMYFUNCTION("""COMPUTED_VALUE"""),66.0)</f>
        <v>66</v>
      </c>
      <c r="F6076" s="19" t="str">
        <f>IFERROR(__xludf.DUMMYFUNCTION("""COMPUTED_VALUE"""),"BLACK")</f>
        <v>BLACK</v>
      </c>
      <c r="G6076" s="20" t="str">
        <f>IFERROR(__xludf.DUMMYFUNCTION("""COMPUTED_VALUE"""),"Uncle Sams Cider (11/12/2021) 02")</f>
        <v>Uncle Sams Cider (11/12/2021) 02</v>
      </c>
      <c r="H6076" s="19"/>
    </row>
    <row r="6077">
      <c r="A6077" s="9"/>
      <c r="B6077" s="15"/>
      <c r="C6077" s="9">
        <f>IFERROR(__xludf.DUMMYFUNCTION("""COMPUTED_VALUE"""),44541.6865537384)</f>
        <v>44541.68655</v>
      </c>
      <c r="D6077" s="15">
        <f>IFERROR(__xludf.DUMMYFUNCTION("""COMPUTED_VALUE"""),1.025)</f>
        <v>1.025</v>
      </c>
      <c r="E6077" s="16">
        <f>IFERROR(__xludf.DUMMYFUNCTION("""COMPUTED_VALUE"""),66.0)</f>
        <v>66</v>
      </c>
      <c r="F6077" s="19" t="str">
        <f>IFERROR(__xludf.DUMMYFUNCTION("""COMPUTED_VALUE"""),"BLACK")</f>
        <v>BLACK</v>
      </c>
      <c r="G6077" s="20" t="str">
        <f>IFERROR(__xludf.DUMMYFUNCTION("""COMPUTED_VALUE"""),"Uncle Sams Cider (11/12/2021) 02")</f>
        <v>Uncle Sams Cider (11/12/2021) 02</v>
      </c>
      <c r="H6077" s="19"/>
    </row>
    <row r="6078">
      <c r="A6078" s="9"/>
      <c r="B6078" s="15"/>
      <c r="C6078" s="9">
        <f>IFERROR(__xludf.DUMMYFUNCTION("""COMPUTED_VALUE"""),44541.6761217476)</f>
        <v>44541.67612</v>
      </c>
      <c r="D6078" s="15">
        <f>IFERROR(__xludf.DUMMYFUNCTION("""COMPUTED_VALUE"""),1.025)</f>
        <v>1.025</v>
      </c>
      <c r="E6078" s="16">
        <f>IFERROR(__xludf.DUMMYFUNCTION("""COMPUTED_VALUE"""),66.0)</f>
        <v>66</v>
      </c>
      <c r="F6078" s="19" t="str">
        <f>IFERROR(__xludf.DUMMYFUNCTION("""COMPUTED_VALUE"""),"BLACK")</f>
        <v>BLACK</v>
      </c>
      <c r="G6078" s="20" t="str">
        <f>IFERROR(__xludf.DUMMYFUNCTION("""COMPUTED_VALUE"""),"Uncle Sams Cider (11/12/2021) 02")</f>
        <v>Uncle Sams Cider (11/12/2021) 02</v>
      </c>
      <c r="H6078" s="19"/>
    </row>
    <row r="6079">
      <c r="A6079" s="9"/>
      <c r="B6079" s="15"/>
      <c r="C6079" s="9">
        <f>IFERROR(__xludf.DUMMYFUNCTION("""COMPUTED_VALUE"""),44541.6656653587)</f>
        <v>44541.66567</v>
      </c>
      <c r="D6079" s="15">
        <f>IFERROR(__xludf.DUMMYFUNCTION("""COMPUTED_VALUE"""),1.025)</f>
        <v>1.025</v>
      </c>
      <c r="E6079" s="16">
        <f>IFERROR(__xludf.DUMMYFUNCTION("""COMPUTED_VALUE"""),66.0)</f>
        <v>66</v>
      </c>
      <c r="F6079" s="19" t="str">
        <f>IFERROR(__xludf.DUMMYFUNCTION("""COMPUTED_VALUE"""),"BLACK")</f>
        <v>BLACK</v>
      </c>
      <c r="G6079" s="20" t="str">
        <f>IFERROR(__xludf.DUMMYFUNCTION("""COMPUTED_VALUE"""),"Uncle Sams Cider (11/12/2021) 02")</f>
        <v>Uncle Sams Cider (11/12/2021) 02</v>
      </c>
      <c r="H6079" s="19"/>
    </row>
    <row r="6080">
      <c r="A6080" s="9"/>
      <c r="B6080" s="15"/>
      <c r="C6080" s="9">
        <f>IFERROR(__xludf.DUMMYFUNCTION("""COMPUTED_VALUE"""),44541.6552329398)</f>
        <v>44541.65523</v>
      </c>
      <c r="D6080" s="15">
        <f>IFERROR(__xludf.DUMMYFUNCTION("""COMPUTED_VALUE"""),1.025)</f>
        <v>1.025</v>
      </c>
      <c r="E6080" s="16">
        <f>IFERROR(__xludf.DUMMYFUNCTION("""COMPUTED_VALUE"""),66.0)</f>
        <v>66</v>
      </c>
      <c r="F6080" s="19" t="str">
        <f>IFERROR(__xludf.DUMMYFUNCTION("""COMPUTED_VALUE"""),"BLACK")</f>
        <v>BLACK</v>
      </c>
      <c r="G6080" s="20" t="str">
        <f>IFERROR(__xludf.DUMMYFUNCTION("""COMPUTED_VALUE"""),"Uncle Sams Cider (11/12/2021) 02")</f>
        <v>Uncle Sams Cider (11/12/2021) 02</v>
      </c>
      <c r="H6080" s="19"/>
    </row>
    <row r="6081">
      <c r="A6081" s="9"/>
      <c r="B6081" s="15"/>
      <c r="C6081" s="9">
        <f>IFERROR(__xludf.DUMMYFUNCTION("""COMPUTED_VALUE"""),44541.644810949)</f>
        <v>44541.64481</v>
      </c>
      <c r="D6081" s="15">
        <f>IFERROR(__xludf.DUMMYFUNCTION("""COMPUTED_VALUE"""),1.026)</f>
        <v>1.026</v>
      </c>
      <c r="E6081" s="16">
        <f>IFERROR(__xludf.DUMMYFUNCTION("""COMPUTED_VALUE"""),66.0)</f>
        <v>66</v>
      </c>
      <c r="F6081" s="19" t="str">
        <f>IFERROR(__xludf.DUMMYFUNCTION("""COMPUTED_VALUE"""),"BLACK")</f>
        <v>BLACK</v>
      </c>
      <c r="G6081" s="20" t="str">
        <f>IFERROR(__xludf.DUMMYFUNCTION("""COMPUTED_VALUE"""),"Uncle Sams Cider (11/12/2021) 02")</f>
        <v>Uncle Sams Cider (11/12/2021) 02</v>
      </c>
      <c r="H6081" s="19"/>
    </row>
    <row r="6082">
      <c r="A6082" s="9"/>
      <c r="B6082" s="15"/>
      <c r="C6082" s="9">
        <f>IFERROR(__xludf.DUMMYFUNCTION("""COMPUTED_VALUE"""),44541.6343784722)</f>
        <v>44541.63438</v>
      </c>
      <c r="D6082" s="15">
        <f>IFERROR(__xludf.DUMMYFUNCTION("""COMPUTED_VALUE"""),1.025)</f>
        <v>1.025</v>
      </c>
      <c r="E6082" s="16">
        <f>IFERROR(__xludf.DUMMYFUNCTION("""COMPUTED_VALUE"""),66.0)</f>
        <v>66</v>
      </c>
      <c r="F6082" s="19" t="str">
        <f>IFERROR(__xludf.DUMMYFUNCTION("""COMPUTED_VALUE"""),"BLACK")</f>
        <v>BLACK</v>
      </c>
      <c r="G6082" s="20" t="str">
        <f>IFERROR(__xludf.DUMMYFUNCTION("""COMPUTED_VALUE"""),"Uncle Sams Cider (11/12/2021) 02")</f>
        <v>Uncle Sams Cider (11/12/2021) 02</v>
      </c>
      <c r="H6082" s="19"/>
    </row>
    <row r="6083">
      <c r="A6083" s="9"/>
      <c r="B6083" s="15"/>
      <c r="C6083" s="9">
        <f>IFERROR(__xludf.DUMMYFUNCTION("""COMPUTED_VALUE"""),44541.6239436111)</f>
        <v>44541.62394</v>
      </c>
      <c r="D6083" s="15">
        <f>IFERROR(__xludf.DUMMYFUNCTION("""COMPUTED_VALUE"""),1.025)</f>
        <v>1.025</v>
      </c>
      <c r="E6083" s="16">
        <f>IFERROR(__xludf.DUMMYFUNCTION("""COMPUTED_VALUE"""),66.0)</f>
        <v>66</v>
      </c>
      <c r="F6083" s="19" t="str">
        <f>IFERROR(__xludf.DUMMYFUNCTION("""COMPUTED_VALUE"""),"BLACK")</f>
        <v>BLACK</v>
      </c>
      <c r="G6083" s="20" t="str">
        <f>IFERROR(__xludf.DUMMYFUNCTION("""COMPUTED_VALUE"""),"Uncle Sams Cider (11/12/2021) 02")</f>
        <v>Uncle Sams Cider (11/12/2021) 02</v>
      </c>
      <c r="H6083" s="19"/>
    </row>
    <row r="6084">
      <c r="A6084" s="9"/>
      <c r="B6084" s="15"/>
      <c r="C6084" s="9">
        <f>IFERROR(__xludf.DUMMYFUNCTION("""COMPUTED_VALUE"""),44541.6135237152)</f>
        <v>44541.61352</v>
      </c>
      <c r="D6084" s="15">
        <f>IFERROR(__xludf.DUMMYFUNCTION("""COMPUTED_VALUE"""),1.026)</f>
        <v>1.026</v>
      </c>
      <c r="E6084" s="16">
        <f>IFERROR(__xludf.DUMMYFUNCTION("""COMPUTED_VALUE"""),66.0)</f>
        <v>66</v>
      </c>
      <c r="F6084" s="19" t="str">
        <f>IFERROR(__xludf.DUMMYFUNCTION("""COMPUTED_VALUE"""),"BLACK")</f>
        <v>BLACK</v>
      </c>
      <c r="G6084" s="20" t="str">
        <f>IFERROR(__xludf.DUMMYFUNCTION("""COMPUTED_VALUE"""),"Uncle Sams Cider (11/12/2021) 02")</f>
        <v>Uncle Sams Cider (11/12/2021) 02</v>
      </c>
      <c r="H6084" s="19"/>
    </row>
    <row r="6085">
      <c r="A6085" s="9"/>
      <c r="B6085" s="15"/>
      <c r="C6085" s="9">
        <f>IFERROR(__xludf.DUMMYFUNCTION("""COMPUTED_VALUE"""),44541.6031022222)</f>
        <v>44541.6031</v>
      </c>
      <c r="D6085" s="15">
        <f>IFERROR(__xludf.DUMMYFUNCTION("""COMPUTED_VALUE"""),1.026)</f>
        <v>1.026</v>
      </c>
      <c r="E6085" s="16">
        <f>IFERROR(__xludf.DUMMYFUNCTION("""COMPUTED_VALUE"""),66.0)</f>
        <v>66</v>
      </c>
      <c r="F6085" s="19" t="str">
        <f>IFERROR(__xludf.DUMMYFUNCTION("""COMPUTED_VALUE"""),"BLACK")</f>
        <v>BLACK</v>
      </c>
      <c r="G6085" s="20" t="str">
        <f>IFERROR(__xludf.DUMMYFUNCTION("""COMPUTED_VALUE"""),"Uncle Sams Cider (11/12/2021) 02")</f>
        <v>Uncle Sams Cider (11/12/2021) 02</v>
      </c>
      <c r="H6085" s="19"/>
    </row>
    <row r="6086">
      <c r="A6086" s="9"/>
      <c r="B6086" s="15"/>
      <c r="C6086" s="9">
        <f>IFERROR(__xludf.DUMMYFUNCTION("""COMPUTED_VALUE"""),44541.592658368)</f>
        <v>44541.59266</v>
      </c>
      <c r="D6086" s="15">
        <f>IFERROR(__xludf.DUMMYFUNCTION("""COMPUTED_VALUE"""),1.026)</f>
        <v>1.026</v>
      </c>
      <c r="E6086" s="16">
        <f>IFERROR(__xludf.DUMMYFUNCTION("""COMPUTED_VALUE"""),66.0)</f>
        <v>66</v>
      </c>
      <c r="F6086" s="19" t="str">
        <f>IFERROR(__xludf.DUMMYFUNCTION("""COMPUTED_VALUE"""),"BLACK")</f>
        <v>BLACK</v>
      </c>
      <c r="G6086" s="20" t="str">
        <f>IFERROR(__xludf.DUMMYFUNCTION("""COMPUTED_VALUE"""),"Uncle Sams Cider (11/12/2021) 02")</f>
        <v>Uncle Sams Cider (11/12/2021) 02</v>
      </c>
      <c r="H6086" s="19"/>
    </row>
    <row r="6087">
      <c r="A6087" s="9"/>
      <c r="B6087" s="15"/>
      <c r="C6087" s="9">
        <f>IFERROR(__xludf.DUMMYFUNCTION("""COMPUTED_VALUE"""),44541.582238449)</f>
        <v>44541.58224</v>
      </c>
      <c r="D6087" s="15">
        <f>IFERROR(__xludf.DUMMYFUNCTION("""COMPUTED_VALUE"""),1.026)</f>
        <v>1.026</v>
      </c>
      <c r="E6087" s="16">
        <f>IFERROR(__xludf.DUMMYFUNCTION("""COMPUTED_VALUE"""),66.0)</f>
        <v>66</v>
      </c>
      <c r="F6087" s="19" t="str">
        <f>IFERROR(__xludf.DUMMYFUNCTION("""COMPUTED_VALUE"""),"BLACK")</f>
        <v>BLACK</v>
      </c>
      <c r="G6087" s="20" t="str">
        <f>IFERROR(__xludf.DUMMYFUNCTION("""COMPUTED_VALUE"""),"Uncle Sams Cider (11/12/2021) 02")</f>
        <v>Uncle Sams Cider (11/12/2021) 02</v>
      </c>
      <c r="H6087" s="19"/>
    </row>
    <row r="6088">
      <c r="A6088" s="9"/>
      <c r="B6088" s="15"/>
      <c r="C6088" s="9">
        <f>IFERROR(__xludf.DUMMYFUNCTION("""COMPUTED_VALUE"""),44541.5718049999)</f>
        <v>44541.5718</v>
      </c>
      <c r="D6088" s="15">
        <f>IFERROR(__xludf.DUMMYFUNCTION("""COMPUTED_VALUE"""),1.026)</f>
        <v>1.026</v>
      </c>
      <c r="E6088" s="16">
        <f>IFERROR(__xludf.DUMMYFUNCTION("""COMPUTED_VALUE"""),66.0)</f>
        <v>66</v>
      </c>
      <c r="F6088" s="19" t="str">
        <f>IFERROR(__xludf.DUMMYFUNCTION("""COMPUTED_VALUE"""),"BLACK")</f>
        <v>BLACK</v>
      </c>
      <c r="G6088" s="20" t="str">
        <f>IFERROR(__xludf.DUMMYFUNCTION("""COMPUTED_VALUE"""),"Uncle Sams Cider (11/12/2021) 02")</f>
        <v>Uncle Sams Cider (11/12/2021) 02</v>
      </c>
      <c r="H6088" s="19"/>
    </row>
    <row r="6089">
      <c r="A6089" s="9"/>
      <c r="B6089" s="15"/>
      <c r="C6089" s="9">
        <f>IFERROR(__xludf.DUMMYFUNCTION("""COMPUTED_VALUE"""),44541.5613718981)</f>
        <v>44541.56137</v>
      </c>
      <c r="D6089" s="15">
        <f>IFERROR(__xludf.DUMMYFUNCTION("""COMPUTED_VALUE"""),1.026)</f>
        <v>1.026</v>
      </c>
      <c r="E6089" s="16">
        <f>IFERROR(__xludf.DUMMYFUNCTION("""COMPUTED_VALUE"""),66.0)</f>
        <v>66</v>
      </c>
      <c r="F6089" s="19" t="str">
        <f>IFERROR(__xludf.DUMMYFUNCTION("""COMPUTED_VALUE"""),"BLACK")</f>
        <v>BLACK</v>
      </c>
      <c r="G6089" s="20" t="str">
        <f>IFERROR(__xludf.DUMMYFUNCTION("""COMPUTED_VALUE"""),"Uncle Sams Cider (11/12/2021) 02")</f>
        <v>Uncle Sams Cider (11/12/2021) 02</v>
      </c>
      <c r="H6089" s="19"/>
    </row>
    <row r="6090">
      <c r="A6090" s="9"/>
      <c r="B6090" s="15"/>
      <c r="C6090" s="9">
        <f>IFERROR(__xludf.DUMMYFUNCTION("""COMPUTED_VALUE"""),44541.5509513657)</f>
        <v>44541.55095</v>
      </c>
      <c r="D6090" s="15">
        <f>IFERROR(__xludf.DUMMYFUNCTION("""COMPUTED_VALUE"""),1.026)</f>
        <v>1.026</v>
      </c>
      <c r="E6090" s="16">
        <f>IFERROR(__xludf.DUMMYFUNCTION("""COMPUTED_VALUE"""),66.0)</f>
        <v>66</v>
      </c>
      <c r="F6090" s="19" t="str">
        <f>IFERROR(__xludf.DUMMYFUNCTION("""COMPUTED_VALUE"""),"BLACK")</f>
        <v>BLACK</v>
      </c>
      <c r="G6090" s="20" t="str">
        <f>IFERROR(__xludf.DUMMYFUNCTION("""COMPUTED_VALUE"""),"Uncle Sams Cider (11/12/2021) 02")</f>
        <v>Uncle Sams Cider (11/12/2021) 02</v>
      </c>
      <c r="H6090" s="19"/>
    </row>
    <row r="6091">
      <c r="A6091" s="9"/>
      <c r="B6091" s="15"/>
      <c r="C6091" s="9">
        <f>IFERROR(__xludf.DUMMYFUNCTION("""COMPUTED_VALUE"""),44541.5405297106)</f>
        <v>44541.54053</v>
      </c>
      <c r="D6091" s="15">
        <f>IFERROR(__xludf.DUMMYFUNCTION("""COMPUTED_VALUE"""),1.026)</f>
        <v>1.026</v>
      </c>
      <c r="E6091" s="16">
        <f>IFERROR(__xludf.DUMMYFUNCTION("""COMPUTED_VALUE"""),66.0)</f>
        <v>66</v>
      </c>
      <c r="F6091" s="19" t="str">
        <f>IFERROR(__xludf.DUMMYFUNCTION("""COMPUTED_VALUE"""),"BLACK")</f>
        <v>BLACK</v>
      </c>
      <c r="G6091" s="20" t="str">
        <f>IFERROR(__xludf.DUMMYFUNCTION("""COMPUTED_VALUE"""),"Uncle Sams Cider (11/12/2021) 02")</f>
        <v>Uncle Sams Cider (11/12/2021) 02</v>
      </c>
      <c r="H6091" s="19"/>
    </row>
    <row r="6092">
      <c r="A6092" s="9"/>
      <c r="B6092" s="15"/>
      <c r="C6092" s="9">
        <f>IFERROR(__xludf.DUMMYFUNCTION("""COMPUTED_VALUE"""),44541.5301080092)</f>
        <v>44541.53011</v>
      </c>
      <c r="D6092" s="15">
        <f>IFERROR(__xludf.DUMMYFUNCTION("""COMPUTED_VALUE"""),1.026)</f>
        <v>1.026</v>
      </c>
      <c r="E6092" s="16">
        <f>IFERROR(__xludf.DUMMYFUNCTION("""COMPUTED_VALUE"""),67.0)</f>
        <v>67</v>
      </c>
      <c r="F6092" s="19" t="str">
        <f>IFERROR(__xludf.DUMMYFUNCTION("""COMPUTED_VALUE"""),"BLACK")</f>
        <v>BLACK</v>
      </c>
      <c r="G6092" s="20" t="str">
        <f>IFERROR(__xludf.DUMMYFUNCTION("""COMPUTED_VALUE"""),"Uncle Sams Cider (11/12/2021) 02")</f>
        <v>Uncle Sams Cider (11/12/2021) 02</v>
      </c>
      <c r="H6092" s="19"/>
    </row>
    <row r="6093">
      <c r="A6093" s="9"/>
      <c r="B6093" s="15"/>
      <c r="C6093" s="9">
        <f>IFERROR(__xludf.DUMMYFUNCTION("""COMPUTED_VALUE"""),44541.5196868518)</f>
        <v>44541.51969</v>
      </c>
      <c r="D6093" s="15">
        <f>IFERROR(__xludf.DUMMYFUNCTION("""COMPUTED_VALUE"""),1.025)</f>
        <v>1.025</v>
      </c>
      <c r="E6093" s="16">
        <f>IFERROR(__xludf.DUMMYFUNCTION("""COMPUTED_VALUE"""),66.0)</f>
        <v>66</v>
      </c>
      <c r="F6093" s="19" t="str">
        <f>IFERROR(__xludf.DUMMYFUNCTION("""COMPUTED_VALUE"""),"BLACK")</f>
        <v>BLACK</v>
      </c>
      <c r="G6093" s="20" t="str">
        <f>IFERROR(__xludf.DUMMYFUNCTION("""COMPUTED_VALUE"""),"Uncle Sams Cider (11/12/2021) 02")</f>
        <v>Uncle Sams Cider (11/12/2021) 02</v>
      </c>
      <c r="H6093" s="19"/>
    </row>
    <row r="6094">
      <c r="A6094" s="9"/>
      <c r="B6094" s="15"/>
      <c r="C6094" s="9">
        <f>IFERROR(__xludf.DUMMYFUNCTION("""COMPUTED_VALUE"""),44541.5092668749)</f>
        <v>44541.50927</v>
      </c>
      <c r="D6094" s="15">
        <f>IFERROR(__xludf.DUMMYFUNCTION("""COMPUTED_VALUE"""),1.026)</f>
        <v>1.026</v>
      </c>
      <c r="E6094" s="16">
        <f>IFERROR(__xludf.DUMMYFUNCTION("""COMPUTED_VALUE"""),66.0)</f>
        <v>66</v>
      </c>
      <c r="F6094" s="19" t="str">
        <f>IFERROR(__xludf.DUMMYFUNCTION("""COMPUTED_VALUE"""),"BLACK")</f>
        <v>BLACK</v>
      </c>
      <c r="G6094" s="20" t="str">
        <f>IFERROR(__xludf.DUMMYFUNCTION("""COMPUTED_VALUE"""),"Uncle Sams Cider (11/12/2021) 02")</f>
        <v>Uncle Sams Cider (11/12/2021) 02</v>
      </c>
      <c r="H6094" s="19"/>
    </row>
    <row r="6095">
      <c r="A6095" s="9"/>
      <c r="B6095" s="15"/>
      <c r="C6095" s="9">
        <f>IFERROR(__xludf.DUMMYFUNCTION("""COMPUTED_VALUE"""),44541.4988453009)</f>
        <v>44541.49885</v>
      </c>
      <c r="D6095" s="15">
        <f>IFERROR(__xludf.DUMMYFUNCTION("""COMPUTED_VALUE"""),1.026)</f>
        <v>1.026</v>
      </c>
      <c r="E6095" s="16">
        <f>IFERROR(__xludf.DUMMYFUNCTION("""COMPUTED_VALUE"""),66.0)</f>
        <v>66</v>
      </c>
      <c r="F6095" s="19" t="str">
        <f>IFERROR(__xludf.DUMMYFUNCTION("""COMPUTED_VALUE"""),"BLACK")</f>
        <v>BLACK</v>
      </c>
      <c r="G6095" s="20" t="str">
        <f>IFERROR(__xludf.DUMMYFUNCTION("""COMPUTED_VALUE"""),"Uncle Sams Cider (11/12/2021) 02")</f>
        <v>Uncle Sams Cider (11/12/2021) 02</v>
      </c>
      <c r="H6095" s="19"/>
    </row>
    <row r="6096">
      <c r="A6096" s="9"/>
      <c r="B6096" s="15"/>
      <c r="C6096" s="9">
        <f>IFERROR(__xludf.DUMMYFUNCTION("""COMPUTED_VALUE"""),44541.4884248148)</f>
        <v>44541.48842</v>
      </c>
      <c r="D6096" s="15">
        <f>IFERROR(__xludf.DUMMYFUNCTION("""COMPUTED_VALUE"""),1.026)</f>
        <v>1.026</v>
      </c>
      <c r="E6096" s="16">
        <f>IFERROR(__xludf.DUMMYFUNCTION("""COMPUTED_VALUE"""),66.0)</f>
        <v>66</v>
      </c>
      <c r="F6096" s="19" t="str">
        <f>IFERROR(__xludf.DUMMYFUNCTION("""COMPUTED_VALUE"""),"BLACK")</f>
        <v>BLACK</v>
      </c>
      <c r="G6096" s="20" t="str">
        <f>IFERROR(__xludf.DUMMYFUNCTION("""COMPUTED_VALUE"""),"Uncle Sams Cider (11/12/2021) 02")</f>
        <v>Uncle Sams Cider (11/12/2021) 02</v>
      </c>
      <c r="H6096" s="19"/>
    </row>
    <row r="6097">
      <c r="A6097" s="9"/>
      <c r="B6097" s="15"/>
      <c r="C6097" s="9">
        <f>IFERROR(__xludf.DUMMYFUNCTION("""COMPUTED_VALUE"""),44541.477990949)</f>
        <v>44541.47799</v>
      </c>
      <c r="D6097" s="15">
        <f>IFERROR(__xludf.DUMMYFUNCTION("""COMPUTED_VALUE"""),1.026)</f>
        <v>1.026</v>
      </c>
      <c r="E6097" s="16">
        <f>IFERROR(__xludf.DUMMYFUNCTION("""COMPUTED_VALUE"""),67.0)</f>
        <v>67</v>
      </c>
      <c r="F6097" s="19" t="str">
        <f>IFERROR(__xludf.DUMMYFUNCTION("""COMPUTED_VALUE"""),"BLACK")</f>
        <v>BLACK</v>
      </c>
      <c r="G6097" s="20" t="str">
        <f>IFERROR(__xludf.DUMMYFUNCTION("""COMPUTED_VALUE"""),"Uncle Sams Cider (11/12/2021) 02")</f>
        <v>Uncle Sams Cider (11/12/2021) 02</v>
      </c>
      <c r="H6097" s="19"/>
    </row>
    <row r="6098">
      <c r="A6098" s="9"/>
      <c r="B6098" s="15"/>
      <c r="C6098" s="9">
        <f>IFERROR(__xludf.DUMMYFUNCTION("""COMPUTED_VALUE"""),44541.4675467013)</f>
        <v>44541.46755</v>
      </c>
      <c r="D6098" s="15">
        <f>IFERROR(__xludf.DUMMYFUNCTION("""COMPUTED_VALUE"""),1.025)</f>
        <v>1.025</v>
      </c>
      <c r="E6098" s="16">
        <f>IFERROR(__xludf.DUMMYFUNCTION("""COMPUTED_VALUE"""),67.0)</f>
        <v>67</v>
      </c>
      <c r="F6098" s="19" t="str">
        <f>IFERROR(__xludf.DUMMYFUNCTION("""COMPUTED_VALUE"""),"BLACK")</f>
        <v>BLACK</v>
      </c>
      <c r="G6098" s="20" t="str">
        <f>IFERROR(__xludf.DUMMYFUNCTION("""COMPUTED_VALUE"""),"Uncle Sams Cider (11/12/2021) 02")</f>
        <v>Uncle Sams Cider (11/12/2021) 02</v>
      </c>
      <c r="H6098" s="19"/>
    </row>
    <row r="6099">
      <c r="A6099" s="9"/>
      <c r="B6099" s="15"/>
      <c r="C6099" s="9">
        <f>IFERROR(__xludf.DUMMYFUNCTION("""COMPUTED_VALUE"""),44541.4571258449)</f>
        <v>44541.45713</v>
      </c>
      <c r="D6099" s="15">
        <f>IFERROR(__xludf.DUMMYFUNCTION("""COMPUTED_VALUE"""),1.026)</f>
        <v>1.026</v>
      </c>
      <c r="E6099" s="16">
        <f>IFERROR(__xludf.DUMMYFUNCTION("""COMPUTED_VALUE"""),67.0)</f>
        <v>67</v>
      </c>
      <c r="F6099" s="19" t="str">
        <f>IFERROR(__xludf.DUMMYFUNCTION("""COMPUTED_VALUE"""),"BLACK")</f>
        <v>BLACK</v>
      </c>
      <c r="G6099" s="20" t="str">
        <f>IFERROR(__xludf.DUMMYFUNCTION("""COMPUTED_VALUE"""),"Uncle Sams Cider (11/12/2021) 02")</f>
        <v>Uncle Sams Cider (11/12/2021) 02</v>
      </c>
      <c r="H6099" s="19"/>
    </row>
    <row r="6100">
      <c r="A6100" s="9"/>
      <c r="B6100" s="15"/>
      <c r="C6100" s="9">
        <f>IFERROR(__xludf.DUMMYFUNCTION("""COMPUTED_VALUE"""),44541.4467033333)</f>
        <v>44541.4467</v>
      </c>
      <c r="D6100" s="15">
        <f>IFERROR(__xludf.DUMMYFUNCTION("""COMPUTED_VALUE"""),1.026)</f>
        <v>1.026</v>
      </c>
      <c r="E6100" s="16">
        <f>IFERROR(__xludf.DUMMYFUNCTION("""COMPUTED_VALUE"""),67.0)</f>
        <v>67</v>
      </c>
      <c r="F6100" s="19" t="str">
        <f>IFERROR(__xludf.DUMMYFUNCTION("""COMPUTED_VALUE"""),"BLACK")</f>
        <v>BLACK</v>
      </c>
      <c r="G6100" s="20" t="str">
        <f>IFERROR(__xludf.DUMMYFUNCTION("""COMPUTED_VALUE"""),"Uncle Sams Cider (11/12/2021) 02")</f>
        <v>Uncle Sams Cider (11/12/2021) 02</v>
      </c>
      <c r="H6100" s="19"/>
    </row>
    <row r="6101">
      <c r="A6101" s="9"/>
      <c r="B6101" s="15"/>
      <c r="C6101" s="9">
        <f>IFERROR(__xludf.DUMMYFUNCTION("""COMPUTED_VALUE"""),44541.4362845717)</f>
        <v>44541.43628</v>
      </c>
      <c r="D6101" s="15">
        <f>IFERROR(__xludf.DUMMYFUNCTION("""COMPUTED_VALUE"""),1.026)</f>
        <v>1.026</v>
      </c>
      <c r="E6101" s="16">
        <f>IFERROR(__xludf.DUMMYFUNCTION("""COMPUTED_VALUE"""),67.0)</f>
        <v>67</v>
      </c>
      <c r="F6101" s="19" t="str">
        <f>IFERROR(__xludf.DUMMYFUNCTION("""COMPUTED_VALUE"""),"BLACK")</f>
        <v>BLACK</v>
      </c>
      <c r="G6101" s="20" t="str">
        <f>IFERROR(__xludf.DUMMYFUNCTION("""COMPUTED_VALUE"""),"Uncle Sams Cider (11/12/2021) 02")</f>
        <v>Uncle Sams Cider (11/12/2021) 02</v>
      </c>
      <c r="H6101" s="19"/>
    </row>
    <row r="6102">
      <c r="A6102" s="9"/>
      <c r="B6102" s="15"/>
      <c r="C6102" s="9">
        <f>IFERROR(__xludf.DUMMYFUNCTION("""COMPUTED_VALUE"""),44541.4258529976)</f>
        <v>44541.42585</v>
      </c>
      <c r="D6102" s="15">
        <f>IFERROR(__xludf.DUMMYFUNCTION("""COMPUTED_VALUE"""),1.026)</f>
        <v>1.026</v>
      </c>
      <c r="E6102" s="16">
        <f>IFERROR(__xludf.DUMMYFUNCTION("""COMPUTED_VALUE"""),67.0)</f>
        <v>67</v>
      </c>
      <c r="F6102" s="19" t="str">
        <f>IFERROR(__xludf.DUMMYFUNCTION("""COMPUTED_VALUE"""),"BLACK")</f>
        <v>BLACK</v>
      </c>
      <c r="G6102" s="20" t="str">
        <f>IFERROR(__xludf.DUMMYFUNCTION("""COMPUTED_VALUE"""),"Uncle Sams Cider (11/12/2021) 02")</f>
        <v>Uncle Sams Cider (11/12/2021) 02</v>
      </c>
      <c r="H6102" s="19"/>
    </row>
    <row r="6103">
      <c r="A6103" s="9"/>
      <c r="B6103" s="15"/>
      <c r="C6103" s="9">
        <f>IFERROR(__xludf.DUMMYFUNCTION("""COMPUTED_VALUE"""),44541.4154317245)</f>
        <v>44541.41543</v>
      </c>
      <c r="D6103" s="15">
        <f>IFERROR(__xludf.DUMMYFUNCTION("""COMPUTED_VALUE"""),1.026)</f>
        <v>1.026</v>
      </c>
      <c r="E6103" s="16">
        <f>IFERROR(__xludf.DUMMYFUNCTION("""COMPUTED_VALUE"""),67.0)</f>
        <v>67</v>
      </c>
      <c r="F6103" s="19" t="str">
        <f>IFERROR(__xludf.DUMMYFUNCTION("""COMPUTED_VALUE"""),"BLACK")</f>
        <v>BLACK</v>
      </c>
      <c r="G6103" s="20" t="str">
        <f>IFERROR(__xludf.DUMMYFUNCTION("""COMPUTED_VALUE"""),"Uncle Sams Cider (11/12/2021) 02")</f>
        <v>Uncle Sams Cider (11/12/2021) 02</v>
      </c>
      <c r="H6103" s="19"/>
    </row>
    <row r="6104">
      <c r="A6104" s="9"/>
      <c r="B6104" s="15"/>
      <c r="C6104" s="9">
        <f>IFERROR(__xludf.DUMMYFUNCTION("""COMPUTED_VALUE"""),44541.4049978819)</f>
        <v>44541.405</v>
      </c>
      <c r="D6104" s="15">
        <f>IFERROR(__xludf.DUMMYFUNCTION("""COMPUTED_VALUE"""),1.026)</f>
        <v>1.026</v>
      </c>
      <c r="E6104" s="16">
        <f>IFERROR(__xludf.DUMMYFUNCTION("""COMPUTED_VALUE"""),67.0)</f>
        <v>67</v>
      </c>
      <c r="F6104" s="19" t="str">
        <f>IFERROR(__xludf.DUMMYFUNCTION("""COMPUTED_VALUE"""),"BLACK")</f>
        <v>BLACK</v>
      </c>
      <c r="G6104" s="20" t="str">
        <f>IFERROR(__xludf.DUMMYFUNCTION("""COMPUTED_VALUE"""),"Uncle Sams Cider (11/12/2021) 02")</f>
        <v>Uncle Sams Cider (11/12/2021) 02</v>
      </c>
      <c r="H6104" s="19"/>
    </row>
    <row r="6105">
      <c r="A6105" s="9"/>
      <c r="B6105" s="15"/>
      <c r="C6105" s="9">
        <f>IFERROR(__xludf.DUMMYFUNCTION("""COMPUTED_VALUE"""),44541.3945765277)</f>
        <v>44541.39458</v>
      </c>
      <c r="D6105" s="15">
        <f>IFERROR(__xludf.DUMMYFUNCTION("""COMPUTED_VALUE"""),1.026)</f>
        <v>1.026</v>
      </c>
      <c r="E6105" s="16">
        <f>IFERROR(__xludf.DUMMYFUNCTION("""COMPUTED_VALUE"""),67.0)</f>
        <v>67</v>
      </c>
      <c r="F6105" s="19" t="str">
        <f>IFERROR(__xludf.DUMMYFUNCTION("""COMPUTED_VALUE"""),"BLACK")</f>
        <v>BLACK</v>
      </c>
      <c r="G6105" s="20" t="str">
        <f>IFERROR(__xludf.DUMMYFUNCTION("""COMPUTED_VALUE"""),"Uncle Sams Cider (11/12/2021) 02")</f>
        <v>Uncle Sams Cider (11/12/2021) 02</v>
      </c>
      <c r="H6105" s="19"/>
    </row>
    <row r="6106">
      <c r="A6106" s="9"/>
      <c r="B6106" s="15"/>
      <c r="C6106" s="9">
        <f>IFERROR(__xludf.DUMMYFUNCTION("""COMPUTED_VALUE"""),44541.3841449189)</f>
        <v>44541.38414</v>
      </c>
      <c r="D6106" s="15">
        <f>IFERROR(__xludf.DUMMYFUNCTION("""COMPUTED_VALUE"""),1.026)</f>
        <v>1.026</v>
      </c>
      <c r="E6106" s="16">
        <f>IFERROR(__xludf.DUMMYFUNCTION("""COMPUTED_VALUE"""),67.0)</f>
        <v>67</v>
      </c>
      <c r="F6106" s="19" t="str">
        <f>IFERROR(__xludf.DUMMYFUNCTION("""COMPUTED_VALUE"""),"BLACK")</f>
        <v>BLACK</v>
      </c>
      <c r="G6106" s="20" t="str">
        <f>IFERROR(__xludf.DUMMYFUNCTION("""COMPUTED_VALUE"""),"Uncle Sams Cider (11/12/2021) 02")</f>
        <v>Uncle Sams Cider (11/12/2021) 02</v>
      </c>
      <c r="H6106" s="19"/>
    </row>
    <row r="6107">
      <c r="A6107" s="9"/>
      <c r="B6107" s="15"/>
      <c r="C6107" s="9">
        <f>IFERROR(__xludf.DUMMYFUNCTION("""COMPUTED_VALUE"""),44541.3737223263)</f>
        <v>44541.37372</v>
      </c>
      <c r="D6107" s="15">
        <f>IFERROR(__xludf.DUMMYFUNCTION("""COMPUTED_VALUE"""),1.026)</f>
        <v>1.026</v>
      </c>
      <c r="E6107" s="16">
        <f>IFERROR(__xludf.DUMMYFUNCTION("""COMPUTED_VALUE"""),67.0)</f>
        <v>67</v>
      </c>
      <c r="F6107" s="19" t="str">
        <f>IFERROR(__xludf.DUMMYFUNCTION("""COMPUTED_VALUE"""),"BLACK")</f>
        <v>BLACK</v>
      </c>
      <c r="G6107" s="20" t="str">
        <f>IFERROR(__xludf.DUMMYFUNCTION("""COMPUTED_VALUE"""),"Uncle Sams Cider (11/12/2021) 02")</f>
        <v>Uncle Sams Cider (11/12/2021) 02</v>
      </c>
      <c r="H6107" s="19"/>
    </row>
    <row r="6108">
      <c r="A6108" s="9"/>
      <c r="B6108" s="15"/>
      <c r="C6108" s="9">
        <f>IFERROR(__xludf.DUMMYFUNCTION("""COMPUTED_VALUE"""),44541.3632992013)</f>
        <v>44541.3633</v>
      </c>
      <c r="D6108" s="15">
        <f>IFERROR(__xludf.DUMMYFUNCTION("""COMPUTED_VALUE"""),1.026)</f>
        <v>1.026</v>
      </c>
      <c r="E6108" s="16">
        <f>IFERROR(__xludf.DUMMYFUNCTION("""COMPUTED_VALUE"""),67.0)</f>
        <v>67</v>
      </c>
      <c r="F6108" s="19" t="str">
        <f>IFERROR(__xludf.DUMMYFUNCTION("""COMPUTED_VALUE"""),"BLACK")</f>
        <v>BLACK</v>
      </c>
      <c r="G6108" s="20" t="str">
        <f>IFERROR(__xludf.DUMMYFUNCTION("""COMPUTED_VALUE"""),"Uncle Sams Cider (11/12/2021) 02")</f>
        <v>Uncle Sams Cider (11/12/2021) 02</v>
      </c>
      <c r="H6108" s="19"/>
    </row>
    <row r="6109">
      <c r="A6109" s="9"/>
      <c r="B6109" s="15"/>
      <c r="C6109" s="9">
        <f>IFERROR(__xludf.DUMMYFUNCTION("""COMPUTED_VALUE"""),44541.3528777083)</f>
        <v>44541.35288</v>
      </c>
      <c r="D6109" s="15">
        <f>IFERROR(__xludf.DUMMYFUNCTION("""COMPUTED_VALUE"""),1.026)</f>
        <v>1.026</v>
      </c>
      <c r="E6109" s="16">
        <f>IFERROR(__xludf.DUMMYFUNCTION("""COMPUTED_VALUE"""),67.0)</f>
        <v>67</v>
      </c>
      <c r="F6109" s="19" t="str">
        <f>IFERROR(__xludf.DUMMYFUNCTION("""COMPUTED_VALUE"""),"BLACK")</f>
        <v>BLACK</v>
      </c>
      <c r="G6109" s="20" t="str">
        <f>IFERROR(__xludf.DUMMYFUNCTION("""COMPUTED_VALUE"""),"Uncle Sams Cider (11/12/2021) 02")</f>
        <v>Uncle Sams Cider (11/12/2021) 02</v>
      </c>
      <c r="H6109" s="19"/>
    </row>
    <row r="6110">
      <c r="A6110" s="9"/>
      <c r="B6110" s="15"/>
      <c r="C6110" s="9">
        <f>IFERROR(__xludf.DUMMYFUNCTION("""COMPUTED_VALUE"""),44541.3424452662)</f>
        <v>44541.34245</v>
      </c>
      <c r="D6110" s="15">
        <f>IFERROR(__xludf.DUMMYFUNCTION("""COMPUTED_VALUE"""),1.026)</f>
        <v>1.026</v>
      </c>
      <c r="E6110" s="16">
        <f>IFERROR(__xludf.DUMMYFUNCTION("""COMPUTED_VALUE"""),67.0)</f>
        <v>67</v>
      </c>
      <c r="F6110" s="19" t="str">
        <f>IFERROR(__xludf.DUMMYFUNCTION("""COMPUTED_VALUE"""),"BLACK")</f>
        <v>BLACK</v>
      </c>
      <c r="G6110" s="20" t="str">
        <f>IFERROR(__xludf.DUMMYFUNCTION("""COMPUTED_VALUE"""),"Uncle Sams Cider (11/12/2021) 02")</f>
        <v>Uncle Sams Cider (11/12/2021) 02</v>
      </c>
      <c r="H6110" s="19"/>
    </row>
    <row r="6111">
      <c r="A6111" s="9"/>
      <c r="B6111" s="15"/>
      <c r="C6111" s="9">
        <f>IFERROR(__xludf.DUMMYFUNCTION("""COMPUTED_VALUE"""),44541.3320249884)</f>
        <v>44541.33202</v>
      </c>
      <c r="D6111" s="15">
        <f>IFERROR(__xludf.DUMMYFUNCTION("""COMPUTED_VALUE"""),1.026)</f>
        <v>1.026</v>
      </c>
      <c r="E6111" s="16">
        <f>IFERROR(__xludf.DUMMYFUNCTION("""COMPUTED_VALUE"""),67.0)</f>
        <v>67</v>
      </c>
      <c r="F6111" s="19" t="str">
        <f>IFERROR(__xludf.DUMMYFUNCTION("""COMPUTED_VALUE"""),"BLACK")</f>
        <v>BLACK</v>
      </c>
      <c r="G6111" s="20" t="str">
        <f>IFERROR(__xludf.DUMMYFUNCTION("""COMPUTED_VALUE"""),"Uncle Sams Cider (11/12/2021) 02")</f>
        <v>Uncle Sams Cider (11/12/2021) 02</v>
      </c>
      <c r="H6111" s="19"/>
    </row>
    <row r="6112">
      <c r="A6112" s="9"/>
      <c r="B6112" s="15"/>
      <c r="C6112" s="9">
        <f>IFERROR(__xludf.DUMMYFUNCTION("""COMPUTED_VALUE"""),44541.3215908912)</f>
        <v>44541.32159</v>
      </c>
      <c r="D6112" s="15">
        <f>IFERROR(__xludf.DUMMYFUNCTION("""COMPUTED_VALUE"""),1.026)</f>
        <v>1.026</v>
      </c>
      <c r="E6112" s="16">
        <f>IFERROR(__xludf.DUMMYFUNCTION("""COMPUTED_VALUE"""),67.0)</f>
        <v>67</v>
      </c>
      <c r="F6112" s="19" t="str">
        <f>IFERROR(__xludf.DUMMYFUNCTION("""COMPUTED_VALUE"""),"BLACK")</f>
        <v>BLACK</v>
      </c>
      <c r="G6112" s="20" t="str">
        <f>IFERROR(__xludf.DUMMYFUNCTION("""COMPUTED_VALUE"""),"Uncle Sams Cider (11/12/2021) 02")</f>
        <v>Uncle Sams Cider (11/12/2021) 02</v>
      </c>
      <c r="H6112" s="19"/>
    </row>
    <row r="6113">
      <c r="A6113" s="9"/>
      <c r="B6113" s="15"/>
      <c r="C6113" s="9">
        <f>IFERROR(__xludf.DUMMYFUNCTION("""COMPUTED_VALUE"""),44541.3111699999)</f>
        <v>44541.31117</v>
      </c>
      <c r="D6113" s="15">
        <f>IFERROR(__xludf.DUMMYFUNCTION("""COMPUTED_VALUE"""),1.026)</f>
        <v>1.026</v>
      </c>
      <c r="E6113" s="16">
        <f>IFERROR(__xludf.DUMMYFUNCTION("""COMPUTED_VALUE"""),67.0)</f>
        <v>67</v>
      </c>
      <c r="F6113" s="19" t="str">
        <f>IFERROR(__xludf.DUMMYFUNCTION("""COMPUTED_VALUE"""),"BLACK")</f>
        <v>BLACK</v>
      </c>
      <c r="G6113" s="20" t="str">
        <f>IFERROR(__xludf.DUMMYFUNCTION("""COMPUTED_VALUE"""),"Uncle Sams Cider (11/12/2021) 02")</f>
        <v>Uncle Sams Cider (11/12/2021) 02</v>
      </c>
      <c r="H6113" s="19"/>
    </row>
    <row r="6114">
      <c r="A6114" s="9"/>
      <c r="B6114" s="15"/>
      <c r="C6114" s="9">
        <f>IFERROR(__xludf.DUMMYFUNCTION("""COMPUTED_VALUE"""),44541.300749537)</f>
        <v>44541.30075</v>
      </c>
      <c r="D6114" s="15">
        <f>IFERROR(__xludf.DUMMYFUNCTION("""COMPUTED_VALUE"""),1.026)</f>
        <v>1.026</v>
      </c>
      <c r="E6114" s="16">
        <f>IFERROR(__xludf.DUMMYFUNCTION("""COMPUTED_VALUE"""),67.0)</f>
        <v>67</v>
      </c>
      <c r="F6114" s="19" t="str">
        <f>IFERROR(__xludf.DUMMYFUNCTION("""COMPUTED_VALUE"""),"BLACK")</f>
        <v>BLACK</v>
      </c>
      <c r="G6114" s="20" t="str">
        <f>IFERROR(__xludf.DUMMYFUNCTION("""COMPUTED_VALUE"""),"Uncle Sams Cider (11/12/2021) 02")</f>
        <v>Uncle Sams Cider (11/12/2021) 02</v>
      </c>
      <c r="H6114" s="19"/>
    </row>
    <row r="6115">
      <c r="A6115" s="9"/>
      <c r="B6115" s="15"/>
      <c r="C6115" s="9">
        <f>IFERROR(__xludf.DUMMYFUNCTION("""COMPUTED_VALUE"""),44541.2903279282)</f>
        <v>44541.29033</v>
      </c>
      <c r="D6115" s="15">
        <f>IFERROR(__xludf.DUMMYFUNCTION("""COMPUTED_VALUE"""),1.026)</f>
        <v>1.026</v>
      </c>
      <c r="E6115" s="16">
        <f>IFERROR(__xludf.DUMMYFUNCTION("""COMPUTED_VALUE"""),67.0)</f>
        <v>67</v>
      </c>
      <c r="F6115" s="19" t="str">
        <f>IFERROR(__xludf.DUMMYFUNCTION("""COMPUTED_VALUE"""),"BLACK")</f>
        <v>BLACK</v>
      </c>
      <c r="G6115" s="20" t="str">
        <f>IFERROR(__xludf.DUMMYFUNCTION("""COMPUTED_VALUE"""),"Uncle Sams Cider (11/12/2021) 02")</f>
        <v>Uncle Sams Cider (11/12/2021) 02</v>
      </c>
      <c r="H6115" s="19"/>
    </row>
    <row r="6116">
      <c r="A6116" s="9"/>
      <c r="B6116" s="15"/>
      <c r="C6116" s="9">
        <f>IFERROR(__xludf.DUMMYFUNCTION("""COMPUTED_VALUE"""),44541.2799071759)</f>
        <v>44541.27991</v>
      </c>
      <c r="D6116" s="15">
        <f>IFERROR(__xludf.DUMMYFUNCTION("""COMPUTED_VALUE"""),1.026)</f>
        <v>1.026</v>
      </c>
      <c r="E6116" s="16">
        <f>IFERROR(__xludf.DUMMYFUNCTION("""COMPUTED_VALUE"""),67.0)</f>
        <v>67</v>
      </c>
      <c r="F6116" s="19" t="str">
        <f>IFERROR(__xludf.DUMMYFUNCTION("""COMPUTED_VALUE"""),"BLACK")</f>
        <v>BLACK</v>
      </c>
      <c r="G6116" s="20" t="str">
        <f>IFERROR(__xludf.DUMMYFUNCTION("""COMPUTED_VALUE"""),"Uncle Sams Cider (11/12/2021) 02")</f>
        <v>Uncle Sams Cider (11/12/2021) 02</v>
      </c>
      <c r="H6116" s="19"/>
    </row>
    <row r="6117">
      <c r="A6117" s="9"/>
      <c r="B6117" s="15"/>
      <c r="C6117" s="9">
        <f>IFERROR(__xludf.DUMMYFUNCTION("""COMPUTED_VALUE"""),44541.2694866435)</f>
        <v>44541.26949</v>
      </c>
      <c r="D6117" s="15">
        <f>IFERROR(__xludf.DUMMYFUNCTION("""COMPUTED_VALUE"""),1.026)</f>
        <v>1.026</v>
      </c>
      <c r="E6117" s="16">
        <f>IFERROR(__xludf.DUMMYFUNCTION("""COMPUTED_VALUE"""),67.0)</f>
        <v>67</v>
      </c>
      <c r="F6117" s="19" t="str">
        <f>IFERROR(__xludf.DUMMYFUNCTION("""COMPUTED_VALUE"""),"BLACK")</f>
        <v>BLACK</v>
      </c>
      <c r="G6117" s="20" t="str">
        <f>IFERROR(__xludf.DUMMYFUNCTION("""COMPUTED_VALUE"""),"Uncle Sams Cider (11/12/2021) 02")</f>
        <v>Uncle Sams Cider (11/12/2021) 02</v>
      </c>
      <c r="H6117" s="19"/>
    </row>
    <row r="6118">
      <c r="A6118" s="9"/>
      <c r="B6118" s="15"/>
      <c r="C6118" s="9">
        <f>IFERROR(__xludf.DUMMYFUNCTION("""COMPUTED_VALUE"""),44541.2590655555)</f>
        <v>44541.25907</v>
      </c>
      <c r="D6118" s="15">
        <f>IFERROR(__xludf.DUMMYFUNCTION("""COMPUTED_VALUE"""),1.026)</f>
        <v>1.026</v>
      </c>
      <c r="E6118" s="16">
        <f>IFERROR(__xludf.DUMMYFUNCTION("""COMPUTED_VALUE"""),67.0)</f>
        <v>67</v>
      </c>
      <c r="F6118" s="19" t="str">
        <f>IFERROR(__xludf.DUMMYFUNCTION("""COMPUTED_VALUE"""),"BLACK")</f>
        <v>BLACK</v>
      </c>
      <c r="G6118" s="20" t="str">
        <f>IFERROR(__xludf.DUMMYFUNCTION("""COMPUTED_VALUE"""),"Uncle Sams Cider (11/12/2021) 02")</f>
        <v>Uncle Sams Cider (11/12/2021) 02</v>
      </c>
      <c r="H6118" s="19"/>
    </row>
    <row r="6119">
      <c r="A6119" s="9"/>
      <c r="B6119" s="15"/>
      <c r="C6119" s="9">
        <f>IFERROR(__xludf.DUMMYFUNCTION("""COMPUTED_VALUE"""),44541.2486454166)</f>
        <v>44541.24865</v>
      </c>
      <c r="D6119" s="15">
        <f>IFERROR(__xludf.DUMMYFUNCTION("""COMPUTED_VALUE"""),1.026)</f>
        <v>1.026</v>
      </c>
      <c r="E6119" s="16">
        <f>IFERROR(__xludf.DUMMYFUNCTION("""COMPUTED_VALUE"""),67.0)</f>
        <v>67</v>
      </c>
      <c r="F6119" s="19" t="str">
        <f>IFERROR(__xludf.DUMMYFUNCTION("""COMPUTED_VALUE"""),"BLACK")</f>
        <v>BLACK</v>
      </c>
      <c r="G6119" s="20" t="str">
        <f>IFERROR(__xludf.DUMMYFUNCTION("""COMPUTED_VALUE"""),"Uncle Sams Cider (11/12/2021) 02")</f>
        <v>Uncle Sams Cider (11/12/2021) 02</v>
      </c>
      <c r="H6119" s="19"/>
    </row>
    <row r="6120">
      <c r="A6120" s="9"/>
      <c r="B6120" s="15"/>
      <c r="C6120" s="9">
        <f>IFERROR(__xludf.DUMMYFUNCTION("""COMPUTED_VALUE"""),44541.2382102777)</f>
        <v>44541.23821</v>
      </c>
      <c r="D6120" s="15">
        <f>IFERROR(__xludf.DUMMYFUNCTION("""COMPUTED_VALUE"""),1.026)</f>
        <v>1.026</v>
      </c>
      <c r="E6120" s="16">
        <f>IFERROR(__xludf.DUMMYFUNCTION("""COMPUTED_VALUE"""),67.0)</f>
        <v>67</v>
      </c>
      <c r="F6120" s="19" t="str">
        <f>IFERROR(__xludf.DUMMYFUNCTION("""COMPUTED_VALUE"""),"BLACK")</f>
        <v>BLACK</v>
      </c>
      <c r="G6120" s="20" t="str">
        <f>IFERROR(__xludf.DUMMYFUNCTION("""COMPUTED_VALUE"""),"Uncle Sams Cider (11/12/2021) 02")</f>
        <v>Uncle Sams Cider (11/12/2021) 02</v>
      </c>
      <c r="H6120" s="19"/>
    </row>
    <row r="6121">
      <c r="A6121" s="9"/>
      <c r="B6121" s="15"/>
      <c r="C6121" s="9">
        <f>IFERROR(__xludf.DUMMYFUNCTION("""COMPUTED_VALUE"""),44541.2277774189)</f>
        <v>44541.22778</v>
      </c>
      <c r="D6121" s="15">
        <f>IFERROR(__xludf.DUMMYFUNCTION("""COMPUTED_VALUE"""),1.026)</f>
        <v>1.026</v>
      </c>
      <c r="E6121" s="16">
        <f>IFERROR(__xludf.DUMMYFUNCTION("""COMPUTED_VALUE"""),67.0)</f>
        <v>67</v>
      </c>
      <c r="F6121" s="19" t="str">
        <f>IFERROR(__xludf.DUMMYFUNCTION("""COMPUTED_VALUE"""),"BLACK")</f>
        <v>BLACK</v>
      </c>
      <c r="G6121" s="20" t="str">
        <f>IFERROR(__xludf.DUMMYFUNCTION("""COMPUTED_VALUE"""),"Uncle Sams Cider (11/12/2021) 02")</f>
        <v>Uncle Sams Cider (11/12/2021) 02</v>
      </c>
      <c r="H6121" s="19"/>
    </row>
    <row r="6122">
      <c r="A6122" s="9"/>
      <c r="B6122" s="15"/>
      <c r="C6122" s="9">
        <f>IFERROR(__xludf.DUMMYFUNCTION("""COMPUTED_VALUE"""),44541.217345405)</f>
        <v>44541.21735</v>
      </c>
      <c r="D6122" s="15">
        <f>IFERROR(__xludf.DUMMYFUNCTION("""COMPUTED_VALUE"""),1.026)</f>
        <v>1.026</v>
      </c>
      <c r="E6122" s="16">
        <f>IFERROR(__xludf.DUMMYFUNCTION("""COMPUTED_VALUE"""),67.0)</f>
        <v>67</v>
      </c>
      <c r="F6122" s="19" t="str">
        <f>IFERROR(__xludf.DUMMYFUNCTION("""COMPUTED_VALUE"""),"BLACK")</f>
        <v>BLACK</v>
      </c>
      <c r="G6122" s="20" t="str">
        <f>IFERROR(__xludf.DUMMYFUNCTION("""COMPUTED_VALUE"""),"Uncle Sams Cider (11/12/2021) 02")</f>
        <v>Uncle Sams Cider (11/12/2021) 02</v>
      </c>
      <c r="H6122" s="19"/>
    </row>
    <row r="6123">
      <c r="A6123" s="9"/>
      <c r="B6123" s="15"/>
      <c r="C6123" s="9">
        <f>IFERROR(__xludf.DUMMYFUNCTION("""COMPUTED_VALUE"""),44541.2069143287)</f>
        <v>44541.20691</v>
      </c>
      <c r="D6123" s="15">
        <f>IFERROR(__xludf.DUMMYFUNCTION("""COMPUTED_VALUE"""),1.026)</f>
        <v>1.026</v>
      </c>
      <c r="E6123" s="16">
        <f>IFERROR(__xludf.DUMMYFUNCTION("""COMPUTED_VALUE"""),67.0)</f>
        <v>67</v>
      </c>
      <c r="F6123" s="19" t="str">
        <f>IFERROR(__xludf.DUMMYFUNCTION("""COMPUTED_VALUE"""),"BLACK")</f>
        <v>BLACK</v>
      </c>
      <c r="G6123" s="20" t="str">
        <f>IFERROR(__xludf.DUMMYFUNCTION("""COMPUTED_VALUE"""),"Uncle Sams Cider (11/12/2021) 02")</f>
        <v>Uncle Sams Cider (11/12/2021) 02</v>
      </c>
      <c r="H6123" s="19"/>
    </row>
    <row r="6124">
      <c r="A6124" s="9"/>
      <c r="B6124" s="15"/>
      <c r="C6124" s="9">
        <f>IFERROR(__xludf.DUMMYFUNCTION("""COMPUTED_VALUE"""),44541.1964959143)</f>
        <v>44541.1965</v>
      </c>
      <c r="D6124" s="15">
        <f>IFERROR(__xludf.DUMMYFUNCTION("""COMPUTED_VALUE"""),1.026)</f>
        <v>1.026</v>
      </c>
      <c r="E6124" s="16">
        <f>IFERROR(__xludf.DUMMYFUNCTION("""COMPUTED_VALUE"""),67.0)</f>
        <v>67</v>
      </c>
      <c r="F6124" s="19" t="str">
        <f>IFERROR(__xludf.DUMMYFUNCTION("""COMPUTED_VALUE"""),"BLACK")</f>
        <v>BLACK</v>
      </c>
      <c r="G6124" s="20" t="str">
        <f>IFERROR(__xludf.DUMMYFUNCTION("""COMPUTED_VALUE"""),"Uncle Sams Cider (11/12/2021) 02")</f>
        <v>Uncle Sams Cider (11/12/2021) 02</v>
      </c>
      <c r="H6124" s="19"/>
    </row>
    <row r="6125">
      <c r="A6125" s="9"/>
      <c r="B6125" s="15"/>
      <c r="C6125" s="9">
        <f>IFERROR(__xludf.DUMMYFUNCTION("""COMPUTED_VALUE"""),44541.1860736458)</f>
        <v>44541.18607</v>
      </c>
      <c r="D6125" s="15">
        <f>IFERROR(__xludf.DUMMYFUNCTION("""COMPUTED_VALUE"""),1.026)</f>
        <v>1.026</v>
      </c>
      <c r="E6125" s="16">
        <f>IFERROR(__xludf.DUMMYFUNCTION("""COMPUTED_VALUE"""),67.0)</f>
        <v>67</v>
      </c>
      <c r="F6125" s="19" t="str">
        <f>IFERROR(__xludf.DUMMYFUNCTION("""COMPUTED_VALUE"""),"BLACK")</f>
        <v>BLACK</v>
      </c>
      <c r="G6125" s="20" t="str">
        <f>IFERROR(__xludf.DUMMYFUNCTION("""COMPUTED_VALUE"""),"Uncle Sams Cider (11/12/2021) 02")</f>
        <v>Uncle Sams Cider (11/12/2021) 02</v>
      </c>
      <c r="H6125" s="19"/>
    </row>
    <row r="6126">
      <c r="A6126" s="9"/>
      <c r="B6126" s="15"/>
      <c r="C6126" s="9">
        <f>IFERROR(__xludf.DUMMYFUNCTION("""COMPUTED_VALUE"""),44541.1756517361)</f>
        <v>44541.17565</v>
      </c>
      <c r="D6126" s="15">
        <f>IFERROR(__xludf.DUMMYFUNCTION("""COMPUTED_VALUE"""),1.026)</f>
        <v>1.026</v>
      </c>
      <c r="E6126" s="16">
        <f>IFERROR(__xludf.DUMMYFUNCTION("""COMPUTED_VALUE"""),67.0)</f>
        <v>67</v>
      </c>
      <c r="F6126" s="19" t="str">
        <f>IFERROR(__xludf.DUMMYFUNCTION("""COMPUTED_VALUE"""),"BLACK")</f>
        <v>BLACK</v>
      </c>
      <c r="G6126" s="20" t="str">
        <f>IFERROR(__xludf.DUMMYFUNCTION("""COMPUTED_VALUE"""),"Uncle Sams Cider (11/12/2021) 02")</f>
        <v>Uncle Sams Cider (11/12/2021) 02</v>
      </c>
      <c r="H6126" s="19"/>
    </row>
    <row r="6127">
      <c r="A6127" s="9"/>
      <c r="B6127" s="15"/>
      <c r="C6127" s="9">
        <f>IFERROR(__xludf.DUMMYFUNCTION("""COMPUTED_VALUE"""),44541.165218912)</f>
        <v>44541.16522</v>
      </c>
      <c r="D6127" s="15">
        <f>IFERROR(__xludf.DUMMYFUNCTION("""COMPUTED_VALUE"""),1.026)</f>
        <v>1.026</v>
      </c>
      <c r="E6127" s="16">
        <f>IFERROR(__xludf.DUMMYFUNCTION("""COMPUTED_VALUE"""),67.0)</f>
        <v>67</v>
      </c>
      <c r="F6127" s="19" t="str">
        <f>IFERROR(__xludf.DUMMYFUNCTION("""COMPUTED_VALUE"""),"BLACK")</f>
        <v>BLACK</v>
      </c>
      <c r="G6127" s="20" t="str">
        <f>IFERROR(__xludf.DUMMYFUNCTION("""COMPUTED_VALUE"""),"Uncle Sams Cider (11/12/2021) 02")</f>
        <v>Uncle Sams Cider (11/12/2021) 02</v>
      </c>
      <c r="H6127" s="19"/>
    </row>
    <row r="6128">
      <c r="A6128" s="9"/>
      <c r="B6128" s="15"/>
      <c r="C6128" s="9">
        <f>IFERROR(__xludf.DUMMYFUNCTION("""COMPUTED_VALUE"""),44541.1547757175)</f>
        <v>44541.15478</v>
      </c>
      <c r="D6128" s="15">
        <f>IFERROR(__xludf.DUMMYFUNCTION("""COMPUTED_VALUE"""),1.026)</f>
        <v>1.026</v>
      </c>
      <c r="E6128" s="16">
        <f>IFERROR(__xludf.DUMMYFUNCTION("""COMPUTED_VALUE"""),67.0)</f>
        <v>67</v>
      </c>
      <c r="F6128" s="19" t="str">
        <f>IFERROR(__xludf.DUMMYFUNCTION("""COMPUTED_VALUE"""),"BLACK")</f>
        <v>BLACK</v>
      </c>
      <c r="G6128" s="20" t="str">
        <f>IFERROR(__xludf.DUMMYFUNCTION("""COMPUTED_VALUE"""),"Uncle Sams Cider (11/12/2021) 02")</f>
        <v>Uncle Sams Cider (11/12/2021) 02</v>
      </c>
      <c r="H6128" s="19"/>
    </row>
    <row r="6129">
      <c r="A6129" s="9"/>
      <c r="B6129" s="15"/>
      <c r="C6129" s="9">
        <f>IFERROR(__xludf.DUMMYFUNCTION("""COMPUTED_VALUE"""),44541.1443536226)</f>
        <v>44541.14435</v>
      </c>
      <c r="D6129" s="15">
        <f>IFERROR(__xludf.DUMMYFUNCTION("""COMPUTED_VALUE"""),1.026)</f>
        <v>1.026</v>
      </c>
      <c r="E6129" s="16">
        <f>IFERROR(__xludf.DUMMYFUNCTION("""COMPUTED_VALUE"""),67.0)</f>
        <v>67</v>
      </c>
      <c r="F6129" s="19" t="str">
        <f>IFERROR(__xludf.DUMMYFUNCTION("""COMPUTED_VALUE"""),"BLACK")</f>
        <v>BLACK</v>
      </c>
      <c r="G6129" s="20" t="str">
        <f>IFERROR(__xludf.DUMMYFUNCTION("""COMPUTED_VALUE"""),"Uncle Sams Cider (11/12/2021) 02")</f>
        <v>Uncle Sams Cider (11/12/2021) 02</v>
      </c>
      <c r="H6129" s="19"/>
    </row>
    <row r="6130">
      <c r="A6130" s="9"/>
      <c r="B6130" s="15"/>
      <c r="C6130" s="9">
        <f>IFERROR(__xludf.DUMMYFUNCTION("""COMPUTED_VALUE"""),44541.1339308796)</f>
        <v>44541.13393</v>
      </c>
      <c r="D6130" s="15">
        <f>IFERROR(__xludf.DUMMYFUNCTION("""COMPUTED_VALUE"""),1.026)</f>
        <v>1.026</v>
      </c>
      <c r="E6130" s="16">
        <f>IFERROR(__xludf.DUMMYFUNCTION("""COMPUTED_VALUE"""),67.0)</f>
        <v>67</v>
      </c>
      <c r="F6130" s="19" t="str">
        <f>IFERROR(__xludf.DUMMYFUNCTION("""COMPUTED_VALUE"""),"BLACK")</f>
        <v>BLACK</v>
      </c>
      <c r="G6130" s="20" t="str">
        <f>IFERROR(__xludf.DUMMYFUNCTION("""COMPUTED_VALUE"""),"Uncle Sams Cider (11/12/2021) 02")</f>
        <v>Uncle Sams Cider (11/12/2021) 02</v>
      </c>
      <c r="H6130" s="19"/>
    </row>
    <row r="6131">
      <c r="A6131" s="9"/>
      <c r="B6131" s="15"/>
      <c r="C6131" s="9">
        <f>IFERROR(__xludf.DUMMYFUNCTION("""COMPUTED_VALUE"""),44541.1234985416)</f>
        <v>44541.1235</v>
      </c>
      <c r="D6131" s="15">
        <f>IFERROR(__xludf.DUMMYFUNCTION("""COMPUTED_VALUE"""),1.026)</f>
        <v>1.026</v>
      </c>
      <c r="E6131" s="16">
        <f>IFERROR(__xludf.DUMMYFUNCTION("""COMPUTED_VALUE"""),67.0)</f>
        <v>67</v>
      </c>
      <c r="F6131" s="19" t="str">
        <f>IFERROR(__xludf.DUMMYFUNCTION("""COMPUTED_VALUE"""),"BLACK")</f>
        <v>BLACK</v>
      </c>
      <c r="G6131" s="20" t="str">
        <f>IFERROR(__xludf.DUMMYFUNCTION("""COMPUTED_VALUE"""),"Uncle Sams Cider (11/12/2021) 02")</f>
        <v>Uncle Sams Cider (11/12/2021) 02</v>
      </c>
      <c r="H6131" s="19"/>
    </row>
    <row r="6132">
      <c r="A6132" s="9"/>
      <c r="B6132" s="15"/>
      <c r="C6132" s="9">
        <f>IFERROR(__xludf.DUMMYFUNCTION("""COMPUTED_VALUE"""),44541.113065162)</f>
        <v>44541.11307</v>
      </c>
      <c r="D6132" s="15">
        <f>IFERROR(__xludf.DUMMYFUNCTION("""COMPUTED_VALUE"""),1.026)</f>
        <v>1.026</v>
      </c>
      <c r="E6132" s="16">
        <f>IFERROR(__xludf.DUMMYFUNCTION("""COMPUTED_VALUE"""),67.0)</f>
        <v>67</v>
      </c>
      <c r="F6132" s="19" t="str">
        <f>IFERROR(__xludf.DUMMYFUNCTION("""COMPUTED_VALUE"""),"BLACK")</f>
        <v>BLACK</v>
      </c>
      <c r="G6132" s="20" t="str">
        <f>IFERROR(__xludf.DUMMYFUNCTION("""COMPUTED_VALUE"""),"Uncle Sams Cider (11/12/2021) 02")</f>
        <v>Uncle Sams Cider (11/12/2021) 02</v>
      </c>
      <c r="H6132" s="19"/>
    </row>
    <row r="6133">
      <c r="A6133" s="9"/>
      <c r="B6133" s="15"/>
      <c r="C6133" s="9">
        <f>IFERROR(__xludf.DUMMYFUNCTION("""COMPUTED_VALUE"""),44541.1026427893)</f>
        <v>44541.10264</v>
      </c>
      <c r="D6133" s="15">
        <f>IFERROR(__xludf.DUMMYFUNCTION("""COMPUTED_VALUE"""),1.026)</f>
        <v>1.026</v>
      </c>
      <c r="E6133" s="16">
        <f>IFERROR(__xludf.DUMMYFUNCTION("""COMPUTED_VALUE"""),67.0)</f>
        <v>67</v>
      </c>
      <c r="F6133" s="19" t="str">
        <f>IFERROR(__xludf.DUMMYFUNCTION("""COMPUTED_VALUE"""),"BLACK")</f>
        <v>BLACK</v>
      </c>
      <c r="G6133" s="20" t="str">
        <f>IFERROR(__xludf.DUMMYFUNCTION("""COMPUTED_VALUE"""),"Uncle Sams Cider (11/12/2021) 02")</f>
        <v>Uncle Sams Cider (11/12/2021) 02</v>
      </c>
      <c r="H6133" s="19"/>
    </row>
    <row r="6134">
      <c r="A6134" s="9"/>
      <c r="B6134" s="15"/>
      <c r="C6134" s="9">
        <f>IFERROR(__xludf.DUMMYFUNCTION("""COMPUTED_VALUE"""),44541.092220324)</f>
        <v>44541.09222</v>
      </c>
      <c r="D6134" s="15">
        <f>IFERROR(__xludf.DUMMYFUNCTION("""COMPUTED_VALUE"""),1.026)</f>
        <v>1.026</v>
      </c>
      <c r="E6134" s="16">
        <f>IFERROR(__xludf.DUMMYFUNCTION("""COMPUTED_VALUE"""),67.0)</f>
        <v>67</v>
      </c>
      <c r="F6134" s="19" t="str">
        <f>IFERROR(__xludf.DUMMYFUNCTION("""COMPUTED_VALUE"""),"BLACK")</f>
        <v>BLACK</v>
      </c>
      <c r="G6134" s="20" t="str">
        <f>IFERROR(__xludf.DUMMYFUNCTION("""COMPUTED_VALUE"""),"Uncle Sams Cider (11/12/2021) 02")</f>
        <v>Uncle Sams Cider (11/12/2021) 02</v>
      </c>
      <c r="H6134" s="19"/>
    </row>
    <row r="6135">
      <c r="A6135" s="9"/>
      <c r="B6135" s="15"/>
      <c r="C6135" s="9">
        <f>IFERROR(__xludf.DUMMYFUNCTION("""COMPUTED_VALUE"""),44541.0817993865)</f>
        <v>44541.0818</v>
      </c>
      <c r="D6135" s="15">
        <f>IFERROR(__xludf.DUMMYFUNCTION("""COMPUTED_VALUE"""),1.026)</f>
        <v>1.026</v>
      </c>
      <c r="E6135" s="16">
        <f>IFERROR(__xludf.DUMMYFUNCTION("""COMPUTED_VALUE"""),67.0)</f>
        <v>67</v>
      </c>
      <c r="F6135" s="19" t="str">
        <f>IFERROR(__xludf.DUMMYFUNCTION("""COMPUTED_VALUE"""),"BLACK")</f>
        <v>BLACK</v>
      </c>
      <c r="G6135" s="20" t="str">
        <f>IFERROR(__xludf.DUMMYFUNCTION("""COMPUTED_VALUE"""),"Uncle Sams Cider (11/12/2021) 02")</f>
        <v>Uncle Sams Cider (11/12/2021) 02</v>
      </c>
      <c r="H6135" s="19"/>
    </row>
    <row r="6136">
      <c r="A6136" s="9"/>
      <c r="B6136" s="15"/>
      <c r="C6136" s="9">
        <f>IFERROR(__xludf.DUMMYFUNCTION("""COMPUTED_VALUE"""),44541.071366331)</f>
        <v>44541.07137</v>
      </c>
      <c r="D6136" s="15">
        <f>IFERROR(__xludf.DUMMYFUNCTION("""COMPUTED_VALUE"""),1.026)</f>
        <v>1.026</v>
      </c>
      <c r="E6136" s="16">
        <f>IFERROR(__xludf.DUMMYFUNCTION("""COMPUTED_VALUE"""),67.0)</f>
        <v>67</v>
      </c>
      <c r="F6136" s="19" t="str">
        <f>IFERROR(__xludf.DUMMYFUNCTION("""COMPUTED_VALUE"""),"BLACK")</f>
        <v>BLACK</v>
      </c>
      <c r="G6136" s="20" t="str">
        <f>IFERROR(__xludf.DUMMYFUNCTION("""COMPUTED_VALUE"""),"Uncle Sams Cider (11/12/2021) 02")</f>
        <v>Uncle Sams Cider (11/12/2021) 02</v>
      </c>
      <c r="H6136" s="19"/>
    </row>
    <row r="6137">
      <c r="A6137" s="9"/>
      <c r="B6137" s="15"/>
      <c r="C6137" s="9">
        <f>IFERROR(__xludf.DUMMYFUNCTION("""COMPUTED_VALUE"""),44541.060944537)</f>
        <v>44541.06094</v>
      </c>
      <c r="D6137" s="15">
        <f>IFERROR(__xludf.DUMMYFUNCTION("""COMPUTED_VALUE"""),1.026)</f>
        <v>1.026</v>
      </c>
      <c r="E6137" s="16">
        <f>IFERROR(__xludf.DUMMYFUNCTION("""COMPUTED_VALUE"""),67.0)</f>
        <v>67</v>
      </c>
      <c r="F6137" s="19" t="str">
        <f>IFERROR(__xludf.DUMMYFUNCTION("""COMPUTED_VALUE"""),"BLACK")</f>
        <v>BLACK</v>
      </c>
      <c r="G6137" s="20" t="str">
        <f>IFERROR(__xludf.DUMMYFUNCTION("""COMPUTED_VALUE"""),"Uncle Sams Cider (11/12/2021) 02")</f>
        <v>Uncle Sams Cider (11/12/2021) 02</v>
      </c>
      <c r="H6137" s="19"/>
    </row>
    <row r="6138">
      <c r="A6138" s="9"/>
      <c r="B6138" s="15"/>
      <c r="C6138" s="9">
        <f>IFERROR(__xludf.DUMMYFUNCTION("""COMPUTED_VALUE"""),44541.0505230324)</f>
        <v>44541.05052</v>
      </c>
      <c r="D6138" s="15">
        <f>IFERROR(__xludf.DUMMYFUNCTION("""COMPUTED_VALUE"""),1.026)</f>
        <v>1.026</v>
      </c>
      <c r="E6138" s="16">
        <f>IFERROR(__xludf.DUMMYFUNCTION("""COMPUTED_VALUE"""),67.0)</f>
        <v>67</v>
      </c>
      <c r="F6138" s="19" t="str">
        <f>IFERROR(__xludf.DUMMYFUNCTION("""COMPUTED_VALUE"""),"BLACK")</f>
        <v>BLACK</v>
      </c>
      <c r="G6138" s="20" t="str">
        <f>IFERROR(__xludf.DUMMYFUNCTION("""COMPUTED_VALUE"""),"Uncle Sams Cider (11/12/2021) 02")</f>
        <v>Uncle Sams Cider (11/12/2021) 02</v>
      </c>
      <c r="H6138" s="19"/>
    </row>
    <row r="6139">
      <c r="A6139" s="9"/>
      <c r="B6139" s="15"/>
      <c r="C6139" s="9">
        <f>IFERROR(__xludf.DUMMYFUNCTION("""COMPUTED_VALUE"""),44541.0401027199)</f>
        <v>44541.0401</v>
      </c>
      <c r="D6139" s="15">
        <f>IFERROR(__xludf.DUMMYFUNCTION("""COMPUTED_VALUE"""),1.026)</f>
        <v>1.026</v>
      </c>
      <c r="E6139" s="16">
        <f>IFERROR(__xludf.DUMMYFUNCTION("""COMPUTED_VALUE"""),67.0)</f>
        <v>67</v>
      </c>
      <c r="F6139" s="19" t="str">
        <f>IFERROR(__xludf.DUMMYFUNCTION("""COMPUTED_VALUE"""),"BLACK")</f>
        <v>BLACK</v>
      </c>
      <c r="G6139" s="20" t="str">
        <f>IFERROR(__xludf.DUMMYFUNCTION("""COMPUTED_VALUE"""),"Uncle Sams Cider (11/12/2021) 02")</f>
        <v>Uncle Sams Cider (11/12/2021) 02</v>
      </c>
      <c r="H6139" s="19"/>
    </row>
    <row r="6140">
      <c r="A6140" s="9"/>
      <c r="B6140" s="15"/>
      <c r="C6140" s="9">
        <f>IFERROR(__xludf.DUMMYFUNCTION("""COMPUTED_VALUE"""),44541.0296810532)</f>
        <v>44541.02968</v>
      </c>
      <c r="D6140" s="15">
        <f>IFERROR(__xludf.DUMMYFUNCTION("""COMPUTED_VALUE"""),1.026)</f>
        <v>1.026</v>
      </c>
      <c r="E6140" s="16">
        <f>IFERROR(__xludf.DUMMYFUNCTION("""COMPUTED_VALUE"""),67.0)</f>
        <v>67</v>
      </c>
      <c r="F6140" s="19" t="str">
        <f>IFERROR(__xludf.DUMMYFUNCTION("""COMPUTED_VALUE"""),"BLACK")</f>
        <v>BLACK</v>
      </c>
      <c r="G6140" s="20" t="str">
        <f>IFERROR(__xludf.DUMMYFUNCTION("""COMPUTED_VALUE"""),"Uncle Sams Cider (11/12/2021) 02")</f>
        <v>Uncle Sams Cider (11/12/2021) 02</v>
      </c>
      <c r="H6140" s="19"/>
    </row>
    <row r="6141">
      <c r="A6141" s="9"/>
      <c r="B6141" s="15"/>
      <c r="C6141" s="9">
        <f>IFERROR(__xludf.DUMMYFUNCTION("""COMPUTED_VALUE"""),44541.0192589236)</f>
        <v>44541.01926</v>
      </c>
      <c r="D6141" s="15">
        <f>IFERROR(__xludf.DUMMYFUNCTION("""COMPUTED_VALUE"""),1.026)</f>
        <v>1.026</v>
      </c>
      <c r="E6141" s="16">
        <f>IFERROR(__xludf.DUMMYFUNCTION("""COMPUTED_VALUE"""),67.0)</f>
        <v>67</v>
      </c>
      <c r="F6141" s="19" t="str">
        <f>IFERROR(__xludf.DUMMYFUNCTION("""COMPUTED_VALUE"""),"BLACK")</f>
        <v>BLACK</v>
      </c>
      <c r="G6141" s="20" t="str">
        <f>IFERROR(__xludf.DUMMYFUNCTION("""COMPUTED_VALUE"""),"Uncle Sams Cider (11/12/2021) 02")</f>
        <v>Uncle Sams Cider (11/12/2021) 02</v>
      </c>
      <c r="H6141" s="19"/>
    </row>
    <row r="6142">
      <c r="A6142" s="9"/>
      <c r="B6142" s="15"/>
      <c r="C6142" s="9">
        <f>IFERROR(__xludf.DUMMYFUNCTION("""COMPUTED_VALUE"""),44541.0088256018)</f>
        <v>44541.00883</v>
      </c>
      <c r="D6142" s="15">
        <f>IFERROR(__xludf.DUMMYFUNCTION("""COMPUTED_VALUE"""),1.026)</f>
        <v>1.026</v>
      </c>
      <c r="E6142" s="16">
        <f>IFERROR(__xludf.DUMMYFUNCTION("""COMPUTED_VALUE"""),67.0)</f>
        <v>67</v>
      </c>
      <c r="F6142" s="19" t="str">
        <f>IFERROR(__xludf.DUMMYFUNCTION("""COMPUTED_VALUE"""),"BLACK")</f>
        <v>BLACK</v>
      </c>
      <c r="G6142" s="20" t="str">
        <f>IFERROR(__xludf.DUMMYFUNCTION("""COMPUTED_VALUE"""),"Uncle Sams Cider (11/12/2021) 02")</f>
        <v>Uncle Sams Cider (11/12/2021) 02</v>
      </c>
      <c r="H6142" s="19"/>
    </row>
    <row r="6143">
      <c r="A6143" s="9"/>
      <c r="B6143" s="15"/>
      <c r="C6143" s="9">
        <f>IFERROR(__xludf.DUMMYFUNCTION("""COMPUTED_VALUE"""),44540.9984030092)</f>
        <v>44540.9984</v>
      </c>
      <c r="D6143" s="15">
        <f>IFERROR(__xludf.DUMMYFUNCTION("""COMPUTED_VALUE"""),1.026)</f>
        <v>1.026</v>
      </c>
      <c r="E6143" s="16">
        <f>IFERROR(__xludf.DUMMYFUNCTION("""COMPUTED_VALUE"""),67.0)</f>
        <v>67</v>
      </c>
      <c r="F6143" s="19" t="str">
        <f>IFERROR(__xludf.DUMMYFUNCTION("""COMPUTED_VALUE"""),"BLACK")</f>
        <v>BLACK</v>
      </c>
      <c r="G6143" s="20" t="str">
        <f>IFERROR(__xludf.DUMMYFUNCTION("""COMPUTED_VALUE"""),"Uncle Sams Cider (11/12/2021) 02")</f>
        <v>Uncle Sams Cider (11/12/2021) 02</v>
      </c>
      <c r="H6143" s="19"/>
    </row>
    <row r="6144">
      <c r="A6144" s="9"/>
      <c r="B6144" s="15"/>
      <c r="C6144" s="9">
        <f>IFERROR(__xludf.DUMMYFUNCTION("""COMPUTED_VALUE"""),44540.9879700347)</f>
        <v>44540.98797</v>
      </c>
      <c r="D6144" s="15">
        <f>IFERROR(__xludf.DUMMYFUNCTION("""COMPUTED_VALUE"""),1.026)</f>
        <v>1.026</v>
      </c>
      <c r="E6144" s="16">
        <f>IFERROR(__xludf.DUMMYFUNCTION("""COMPUTED_VALUE"""),67.0)</f>
        <v>67</v>
      </c>
      <c r="F6144" s="19" t="str">
        <f>IFERROR(__xludf.DUMMYFUNCTION("""COMPUTED_VALUE"""),"BLACK")</f>
        <v>BLACK</v>
      </c>
      <c r="G6144" s="20" t="str">
        <f>IFERROR(__xludf.DUMMYFUNCTION("""COMPUTED_VALUE"""),"Uncle Sams Cider (11/12/2021) 02")</f>
        <v>Uncle Sams Cider (11/12/2021) 02</v>
      </c>
      <c r="H6144" s="19"/>
    </row>
    <row r="6145">
      <c r="A6145" s="9"/>
      <c r="B6145" s="15"/>
      <c r="C6145" s="9">
        <f>IFERROR(__xludf.DUMMYFUNCTION("""COMPUTED_VALUE"""),44540.9775487963)</f>
        <v>44540.97755</v>
      </c>
      <c r="D6145" s="15">
        <f>IFERROR(__xludf.DUMMYFUNCTION("""COMPUTED_VALUE"""),1.026)</f>
        <v>1.026</v>
      </c>
      <c r="E6145" s="16">
        <f>IFERROR(__xludf.DUMMYFUNCTION("""COMPUTED_VALUE"""),67.0)</f>
        <v>67</v>
      </c>
      <c r="F6145" s="19" t="str">
        <f>IFERROR(__xludf.DUMMYFUNCTION("""COMPUTED_VALUE"""),"BLACK")</f>
        <v>BLACK</v>
      </c>
      <c r="G6145" s="20" t="str">
        <f>IFERROR(__xludf.DUMMYFUNCTION("""COMPUTED_VALUE"""),"Uncle Sams Cider (11/12/2021) 02")</f>
        <v>Uncle Sams Cider (11/12/2021) 02</v>
      </c>
      <c r="H6145" s="19"/>
    </row>
    <row r="6146">
      <c r="A6146" s="9"/>
      <c r="B6146" s="15"/>
      <c r="C6146" s="9">
        <f>IFERROR(__xludf.DUMMYFUNCTION("""COMPUTED_VALUE"""),44540.9671149189)</f>
        <v>44540.96711</v>
      </c>
      <c r="D6146" s="15">
        <f>IFERROR(__xludf.DUMMYFUNCTION("""COMPUTED_VALUE"""),1.026)</f>
        <v>1.026</v>
      </c>
      <c r="E6146" s="16">
        <f>IFERROR(__xludf.DUMMYFUNCTION("""COMPUTED_VALUE"""),67.0)</f>
        <v>67</v>
      </c>
      <c r="F6146" s="19" t="str">
        <f>IFERROR(__xludf.DUMMYFUNCTION("""COMPUTED_VALUE"""),"BLACK")</f>
        <v>BLACK</v>
      </c>
      <c r="G6146" s="20" t="str">
        <f>IFERROR(__xludf.DUMMYFUNCTION("""COMPUTED_VALUE"""),"Uncle Sams Cider (11/12/2021) 02")</f>
        <v>Uncle Sams Cider (11/12/2021) 02</v>
      </c>
      <c r="H6146" s="19"/>
    </row>
    <row r="6147">
      <c r="A6147" s="9"/>
      <c r="B6147" s="15"/>
      <c r="C6147" s="9">
        <f>IFERROR(__xludf.DUMMYFUNCTION("""COMPUTED_VALUE"""),44540.9566938657)</f>
        <v>44540.95669</v>
      </c>
      <c r="D6147" s="15">
        <f>IFERROR(__xludf.DUMMYFUNCTION("""COMPUTED_VALUE"""),1.026)</f>
        <v>1.026</v>
      </c>
      <c r="E6147" s="16">
        <f>IFERROR(__xludf.DUMMYFUNCTION("""COMPUTED_VALUE"""),67.0)</f>
        <v>67</v>
      </c>
      <c r="F6147" s="19" t="str">
        <f>IFERROR(__xludf.DUMMYFUNCTION("""COMPUTED_VALUE"""),"BLACK")</f>
        <v>BLACK</v>
      </c>
      <c r="G6147" s="20" t="str">
        <f>IFERROR(__xludf.DUMMYFUNCTION("""COMPUTED_VALUE"""),"Uncle Sams Cider (11/12/2021) 02")</f>
        <v>Uncle Sams Cider (11/12/2021) 02</v>
      </c>
      <c r="H6147" s="19"/>
    </row>
    <row r="6148">
      <c r="A6148" s="9"/>
      <c r="B6148" s="15"/>
      <c r="C6148" s="9">
        <f>IFERROR(__xludf.DUMMYFUNCTION("""COMPUTED_VALUE"""),44540.9462611805)</f>
        <v>44540.94626</v>
      </c>
      <c r="D6148" s="15">
        <f>IFERROR(__xludf.DUMMYFUNCTION("""COMPUTED_VALUE"""),1.026)</f>
        <v>1.026</v>
      </c>
      <c r="E6148" s="16">
        <f>IFERROR(__xludf.DUMMYFUNCTION("""COMPUTED_VALUE"""),67.0)</f>
        <v>67</v>
      </c>
      <c r="F6148" s="19" t="str">
        <f>IFERROR(__xludf.DUMMYFUNCTION("""COMPUTED_VALUE"""),"BLACK")</f>
        <v>BLACK</v>
      </c>
      <c r="G6148" s="20" t="str">
        <f>IFERROR(__xludf.DUMMYFUNCTION("""COMPUTED_VALUE"""),"Uncle Sams Cider (11/12/2021) 02")</f>
        <v>Uncle Sams Cider (11/12/2021) 02</v>
      </c>
      <c r="H6148" s="19"/>
    </row>
    <row r="6149">
      <c r="A6149" s="9"/>
      <c r="B6149" s="15"/>
      <c r="C6149" s="9">
        <f>IFERROR(__xludf.DUMMYFUNCTION("""COMPUTED_VALUE"""),44540.935840625)</f>
        <v>44540.93584</v>
      </c>
      <c r="D6149" s="15">
        <f>IFERROR(__xludf.DUMMYFUNCTION("""COMPUTED_VALUE"""),1.026)</f>
        <v>1.026</v>
      </c>
      <c r="E6149" s="16">
        <f>IFERROR(__xludf.DUMMYFUNCTION("""COMPUTED_VALUE"""),67.0)</f>
        <v>67</v>
      </c>
      <c r="F6149" s="19" t="str">
        <f>IFERROR(__xludf.DUMMYFUNCTION("""COMPUTED_VALUE"""),"BLACK")</f>
        <v>BLACK</v>
      </c>
      <c r="G6149" s="20" t="str">
        <f>IFERROR(__xludf.DUMMYFUNCTION("""COMPUTED_VALUE"""),"Uncle Sams Cider (11/12/2021) 02")</f>
        <v>Uncle Sams Cider (11/12/2021) 02</v>
      </c>
      <c r="H6149" s="19"/>
    </row>
    <row r="6150">
      <c r="A6150" s="9"/>
      <c r="B6150" s="15"/>
      <c r="C6150" s="9">
        <f>IFERROR(__xludf.DUMMYFUNCTION("""COMPUTED_VALUE"""),44540.9254184953)</f>
        <v>44540.92542</v>
      </c>
      <c r="D6150" s="15">
        <f>IFERROR(__xludf.DUMMYFUNCTION("""COMPUTED_VALUE"""),1.026)</f>
        <v>1.026</v>
      </c>
      <c r="E6150" s="16">
        <f>IFERROR(__xludf.DUMMYFUNCTION("""COMPUTED_VALUE"""),67.0)</f>
        <v>67</v>
      </c>
      <c r="F6150" s="19" t="str">
        <f>IFERROR(__xludf.DUMMYFUNCTION("""COMPUTED_VALUE"""),"BLACK")</f>
        <v>BLACK</v>
      </c>
      <c r="G6150" s="20" t="str">
        <f>IFERROR(__xludf.DUMMYFUNCTION("""COMPUTED_VALUE"""),"Uncle Sams Cider (11/12/2021) 02")</f>
        <v>Uncle Sams Cider (11/12/2021) 02</v>
      </c>
      <c r="H6150" s="19"/>
    </row>
    <row r="6151">
      <c r="A6151" s="9"/>
      <c r="B6151" s="15"/>
      <c r="C6151" s="9">
        <f>IFERROR(__xludf.DUMMYFUNCTION("""COMPUTED_VALUE"""),44540.9149974768)</f>
        <v>44540.915</v>
      </c>
      <c r="D6151" s="15">
        <f>IFERROR(__xludf.DUMMYFUNCTION("""COMPUTED_VALUE"""),1.026)</f>
        <v>1.026</v>
      </c>
      <c r="E6151" s="16">
        <f>IFERROR(__xludf.DUMMYFUNCTION("""COMPUTED_VALUE"""),68.0)</f>
        <v>68</v>
      </c>
      <c r="F6151" s="19" t="str">
        <f>IFERROR(__xludf.DUMMYFUNCTION("""COMPUTED_VALUE"""),"BLACK")</f>
        <v>BLACK</v>
      </c>
      <c r="G6151" s="20" t="str">
        <f>IFERROR(__xludf.DUMMYFUNCTION("""COMPUTED_VALUE"""),"Uncle Sams Cider (11/12/2021) 02")</f>
        <v>Uncle Sams Cider (11/12/2021) 02</v>
      </c>
      <c r="H6151" s="19"/>
    </row>
    <row r="6152">
      <c r="A6152" s="9"/>
      <c r="B6152" s="15"/>
      <c r="C6152" s="9">
        <f>IFERROR(__xludf.DUMMYFUNCTION("""COMPUTED_VALUE"""),44540.9045780671)</f>
        <v>44540.90458</v>
      </c>
      <c r="D6152" s="15">
        <f>IFERROR(__xludf.DUMMYFUNCTION("""COMPUTED_VALUE"""),1.026)</f>
        <v>1.026</v>
      </c>
      <c r="E6152" s="16">
        <f>IFERROR(__xludf.DUMMYFUNCTION("""COMPUTED_VALUE"""),68.0)</f>
        <v>68</v>
      </c>
      <c r="F6152" s="19" t="str">
        <f>IFERROR(__xludf.DUMMYFUNCTION("""COMPUTED_VALUE"""),"BLACK")</f>
        <v>BLACK</v>
      </c>
      <c r="G6152" s="20" t="str">
        <f>IFERROR(__xludf.DUMMYFUNCTION("""COMPUTED_VALUE"""),"Uncle Sams Cider (11/12/2021) 02")</f>
        <v>Uncle Sams Cider (11/12/2021) 02</v>
      </c>
      <c r="H6152" s="19"/>
    </row>
    <row r="6153">
      <c r="A6153" s="9"/>
      <c r="B6153" s="15"/>
      <c r="C6153" s="9">
        <f>IFERROR(__xludf.DUMMYFUNCTION("""COMPUTED_VALUE"""),44540.8941473842)</f>
        <v>44540.89415</v>
      </c>
      <c r="D6153" s="15">
        <f>IFERROR(__xludf.DUMMYFUNCTION("""COMPUTED_VALUE"""),1.026)</f>
        <v>1.026</v>
      </c>
      <c r="E6153" s="16">
        <f>IFERROR(__xludf.DUMMYFUNCTION("""COMPUTED_VALUE"""),68.0)</f>
        <v>68</v>
      </c>
      <c r="F6153" s="19" t="str">
        <f>IFERROR(__xludf.DUMMYFUNCTION("""COMPUTED_VALUE"""),"BLACK")</f>
        <v>BLACK</v>
      </c>
      <c r="G6153" s="20" t="str">
        <f>IFERROR(__xludf.DUMMYFUNCTION("""COMPUTED_VALUE"""),"Uncle Sams Cider (11/12/2021) 02")</f>
        <v>Uncle Sams Cider (11/12/2021) 02</v>
      </c>
      <c r="H6153" s="19"/>
    </row>
    <row r="6154">
      <c r="A6154" s="9"/>
      <c r="B6154" s="15"/>
      <c r="C6154" s="9">
        <f>IFERROR(__xludf.DUMMYFUNCTION("""COMPUTED_VALUE"""),44540.883725)</f>
        <v>44540.88373</v>
      </c>
      <c r="D6154" s="15">
        <f>IFERROR(__xludf.DUMMYFUNCTION("""COMPUTED_VALUE"""),1.026)</f>
        <v>1.026</v>
      </c>
      <c r="E6154" s="16">
        <f>IFERROR(__xludf.DUMMYFUNCTION("""COMPUTED_VALUE"""),68.0)</f>
        <v>68</v>
      </c>
      <c r="F6154" s="19" t="str">
        <f>IFERROR(__xludf.DUMMYFUNCTION("""COMPUTED_VALUE"""),"BLACK")</f>
        <v>BLACK</v>
      </c>
      <c r="G6154" s="20" t="str">
        <f>IFERROR(__xludf.DUMMYFUNCTION("""COMPUTED_VALUE"""),"Uncle Sams Cider (11/12/2021) 02")</f>
        <v>Uncle Sams Cider (11/12/2021) 02</v>
      </c>
      <c r="H6154" s="19"/>
    </row>
    <row r="6155">
      <c r="A6155" s="9"/>
      <c r="B6155" s="15"/>
      <c r="C6155" s="9">
        <f>IFERROR(__xludf.DUMMYFUNCTION("""COMPUTED_VALUE"""),44540.8733023032)</f>
        <v>44540.8733</v>
      </c>
      <c r="D6155" s="15">
        <f>IFERROR(__xludf.DUMMYFUNCTION("""COMPUTED_VALUE"""),1.026)</f>
        <v>1.026</v>
      </c>
      <c r="E6155" s="16">
        <f>IFERROR(__xludf.DUMMYFUNCTION("""COMPUTED_VALUE"""),68.0)</f>
        <v>68</v>
      </c>
      <c r="F6155" s="19" t="str">
        <f>IFERROR(__xludf.DUMMYFUNCTION("""COMPUTED_VALUE"""),"BLACK")</f>
        <v>BLACK</v>
      </c>
      <c r="G6155" s="20" t="str">
        <f>IFERROR(__xludf.DUMMYFUNCTION("""COMPUTED_VALUE"""),"Uncle Sams Cider (11/12/2021) 02")</f>
        <v>Uncle Sams Cider (11/12/2021) 02</v>
      </c>
      <c r="H6155" s="19"/>
    </row>
    <row r="6156">
      <c r="A6156" s="9"/>
      <c r="B6156" s="15"/>
      <c r="C6156" s="9">
        <f>IFERROR(__xludf.DUMMYFUNCTION("""COMPUTED_VALUE"""),44540.8628820717)</f>
        <v>44540.86288</v>
      </c>
      <c r="D6156" s="15">
        <f>IFERROR(__xludf.DUMMYFUNCTION("""COMPUTED_VALUE"""),1.026)</f>
        <v>1.026</v>
      </c>
      <c r="E6156" s="16">
        <f>IFERROR(__xludf.DUMMYFUNCTION("""COMPUTED_VALUE"""),68.0)</f>
        <v>68</v>
      </c>
      <c r="F6156" s="19" t="str">
        <f>IFERROR(__xludf.DUMMYFUNCTION("""COMPUTED_VALUE"""),"BLACK")</f>
        <v>BLACK</v>
      </c>
      <c r="G6156" s="20" t="str">
        <f>IFERROR(__xludf.DUMMYFUNCTION("""COMPUTED_VALUE"""),"Uncle Sams Cider (11/12/2021) 02")</f>
        <v>Uncle Sams Cider (11/12/2021) 02</v>
      </c>
      <c r="H6156" s="19"/>
    </row>
    <row r="6157">
      <c r="A6157" s="9"/>
      <c r="B6157" s="15"/>
      <c r="C6157" s="9">
        <f>IFERROR(__xludf.DUMMYFUNCTION("""COMPUTED_VALUE"""),44540.8524605092)</f>
        <v>44540.85246</v>
      </c>
      <c r="D6157" s="15">
        <f>IFERROR(__xludf.DUMMYFUNCTION("""COMPUTED_VALUE"""),1.026)</f>
        <v>1.026</v>
      </c>
      <c r="E6157" s="16">
        <f>IFERROR(__xludf.DUMMYFUNCTION("""COMPUTED_VALUE"""),68.0)</f>
        <v>68</v>
      </c>
      <c r="F6157" s="19" t="str">
        <f>IFERROR(__xludf.DUMMYFUNCTION("""COMPUTED_VALUE"""),"BLACK")</f>
        <v>BLACK</v>
      </c>
      <c r="G6157" s="20" t="str">
        <f>IFERROR(__xludf.DUMMYFUNCTION("""COMPUTED_VALUE"""),"Uncle Sams Cider (11/12/2021) 02")</f>
        <v>Uncle Sams Cider (11/12/2021) 02</v>
      </c>
      <c r="H6157" s="19"/>
    </row>
    <row r="6158">
      <c r="A6158" s="9"/>
      <c r="B6158" s="15"/>
      <c r="C6158" s="9">
        <f>IFERROR(__xludf.DUMMYFUNCTION("""COMPUTED_VALUE"""),44540.8420376851)</f>
        <v>44540.84204</v>
      </c>
      <c r="D6158" s="15">
        <f>IFERROR(__xludf.DUMMYFUNCTION("""COMPUTED_VALUE"""),1.026)</f>
        <v>1.026</v>
      </c>
      <c r="E6158" s="16">
        <f>IFERROR(__xludf.DUMMYFUNCTION("""COMPUTED_VALUE"""),68.0)</f>
        <v>68</v>
      </c>
      <c r="F6158" s="19" t="str">
        <f>IFERROR(__xludf.DUMMYFUNCTION("""COMPUTED_VALUE"""),"BLACK")</f>
        <v>BLACK</v>
      </c>
      <c r="G6158" s="20" t="str">
        <f>IFERROR(__xludf.DUMMYFUNCTION("""COMPUTED_VALUE"""),"Uncle Sams Cider (11/12/2021) 02")</f>
        <v>Uncle Sams Cider (11/12/2021) 02</v>
      </c>
      <c r="H6158" s="19"/>
    </row>
    <row r="6159">
      <c r="A6159" s="9"/>
      <c r="B6159" s="15"/>
      <c r="C6159" s="9">
        <f>IFERROR(__xludf.DUMMYFUNCTION("""COMPUTED_VALUE"""),44540.8316146874)</f>
        <v>44540.83161</v>
      </c>
      <c r="D6159" s="15">
        <f>IFERROR(__xludf.DUMMYFUNCTION("""COMPUTED_VALUE"""),1.026)</f>
        <v>1.026</v>
      </c>
      <c r="E6159" s="16">
        <f>IFERROR(__xludf.DUMMYFUNCTION("""COMPUTED_VALUE"""),68.0)</f>
        <v>68</v>
      </c>
      <c r="F6159" s="19" t="str">
        <f>IFERROR(__xludf.DUMMYFUNCTION("""COMPUTED_VALUE"""),"BLACK")</f>
        <v>BLACK</v>
      </c>
      <c r="G6159" s="20" t="str">
        <f>IFERROR(__xludf.DUMMYFUNCTION("""COMPUTED_VALUE"""),"Uncle Sams Cider (11/12/2021) 02")</f>
        <v>Uncle Sams Cider (11/12/2021) 02</v>
      </c>
      <c r="H6159" s="19"/>
    </row>
    <row r="6160">
      <c r="A6160" s="9"/>
      <c r="B6160" s="15"/>
      <c r="C6160" s="9">
        <f>IFERROR(__xludf.DUMMYFUNCTION("""COMPUTED_VALUE"""),44540.8211807175)</f>
        <v>44540.82118</v>
      </c>
      <c r="D6160" s="15">
        <f>IFERROR(__xludf.DUMMYFUNCTION("""COMPUTED_VALUE"""),1.026)</f>
        <v>1.026</v>
      </c>
      <c r="E6160" s="16">
        <f>IFERROR(__xludf.DUMMYFUNCTION("""COMPUTED_VALUE"""),68.0)</f>
        <v>68</v>
      </c>
      <c r="F6160" s="19" t="str">
        <f>IFERROR(__xludf.DUMMYFUNCTION("""COMPUTED_VALUE"""),"BLACK")</f>
        <v>BLACK</v>
      </c>
      <c r="G6160" s="20" t="str">
        <f>IFERROR(__xludf.DUMMYFUNCTION("""COMPUTED_VALUE"""),"Uncle Sams Cider (11/12/2021) 02")</f>
        <v>Uncle Sams Cider (11/12/2021) 02</v>
      </c>
      <c r="H6160" s="19"/>
    </row>
    <row r="6161">
      <c r="A6161" s="9"/>
      <c r="B6161" s="15"/>
      <c r="C6161" s="9">
        <f>IFERROR(__xludf.DUMMYFUNCTION("""COMPUTED_VALUE"""),44540.8107341435)</f>
        <v>44540.81073</v>
      </c>
      <c r="D6161" s="15">
        <f>IFERROR(__xludf.DUMMYFUNCTION("""COMPUTED_VALUE"""),1.027)</f>
        <v>1.027</v>
      </c>
      <c r="E6161" s="16">
        <f>IFERROR(__xludf.DUMMYFUNCTION("""COMPUTED_VALUE"""),68.0)</f>
        <v>68</v>
      </c>
      <c r="F6161" s="19" t="str">
        <f>IFERROR(__xludf.DUMMYFUNCTION("""COMPUTED_VALUE"""),"BLACK")</f>
        <v>BLACK</v>
      </c>
      <c r="G6161" s="20" t="str">
        <f>IFERROR(__xludf.DUMMYFUNCTION("""COMPUTED_VALUE"""),"Uncle Sams Cider (11/12/2021) 02")</f>
        <v>Uncle Sams Cider (11/12/2021) 02</v>
      </c>
      <c r="H6161" s="19"/>
    </row>
    <row r="6162">
      <c r="A6162" s="9"/>
      <c r="B6162" s="15"/>
      <c r="C6162" s="9">
        <f>IFERROR(__xludf.DUMMYFUNCTION("""COMPUTED_VALUE"""),44540.8003133217)</f>
        <v>44540.80031</v>
      </c>
      <c r="D6162" s="15">
        <f>IFERROR(__xludf.DUMMYFUNCTION("""COMPUTED_VALUE"""),1.026)</f>
        <v>1.026</v>
      </c>
      <c r="E6162" s="16">
        <f>IFERROR(__xludf.DUMMYFUNCTION("""COMPUTED_VALUE"""),68.0)</f>
        <v>68</v>
      </c>
      <c r="F6162" s="19" t="str">
        <f>IFERROR(__xludf.DUMMYFUNCTION("""COMPUTED_VALUE"""),"BLACK")</f>
        <v>BLACK</v>
      </c>
      <c r="G6162" s="20" t="str">
        <f>IFERROR(__xludf.DUMMYFUNCTION("""COMPUTED_VALUE"""),"Uncle Sams Cider (11/12/2021) 02")</f>
        <v>Uncle Sams Cider (11/12/2021) 02</v>
      </c>
      <c r="H6162" s="19"/>
    </row>
    <row r="6163">
      <c r="A6163" s="9"/>
      <c r="B6163" s="15"/>
      <c r="C6163" s="9">
        <f>IFERROR(__xludf.DUMMYFUNCTION("""COMPUTED_VALUE"""),44540.7898806597)</f>
        <v>44540.78988</v>
      </c>
      <c r="D6163" s="15">
        <f>IFERROR(__xludf.DUMMYFUNCTION("""COMPUTED_VALUE"""),1.026)</f>
        <v>1.026</v>
      </c>
      <c r="E6163" s="16">
        <f>IFERROR(__xludf.DUMMYFUNCTION("""COMPUTED_VALUE"""),68.0)</f>
        <v>68</v>
      </c>
      <c r="F6163" s="19" t="str">
        <f>IFERROR(__xludf.DUMMYFUNCTION("""COMPUTED_VALUE"""),"BLACK")</f>
        <v>BLACK</v>
      </c>
      <c r="G6163" s="20" t="str">
        <f>IFERROR(__xludf.DUMMYFUNCTION("""COMPUTED_VALUE"""),"Uncle Sams Cider (11/12/2021) 02")</f>
        <v>Uncle Sams Cider (11/12/2021) 02</v>
      </c>
      <c r="H6163" s="19"/>
    </row>
    <row r="6164">
      <c r="A6164" s="9"/>
      <c r="B6164" s="15"/>
      <c r="C6164" s="9">
        <f>IFERROR(__xludf.DUMMYFUNCTION("""COMPUTED_VALUE"""),44540.7794599537)</f>
        <v>44540.77946</v>
      </c>
      <c r="D6164" s="15">
        <f>IFERROR(__xludf.DUMMYFUNCTION("""COMPUTED_VALUE"""),1.026)</f>
        <v>1.026</v>
      </c>
      <c r="E6164" s="16">
        <f>IFERROR(__xludf.DUMMYFUNCTION("""COMPUTED_VALUE"""),68.0)</f>
        <v>68</v>
      </c>
      <c r="F6164" s="19" t="str">
        <f>IFERROR(__xludf.DUMMYFUNCTION("""COMPUTED_VALUE"""),"BLACK")</f>
        <v>BLACK</v>
      </c>
      <c r="G6164" s="20" t="str">
        <f>IFERROR(__xludf.DUMMYFUNCTION("""COMPUTED_VALUE"""),"Uncle Sams Cider (11/12/2021) 02")</f>
        <v>Uncle Sams Cider (11/12/2021) 02</v>
      </c>
      <c r="H6164" s="19"/>
    </row>
    <row r="6165">
      <c r="A6165" s="9"/>
      <c r="B6165" s="15"/>
      <c r="C6165" s="9">
        <f>IFERROR(__xludf.DUMMYFUNCTION("""COMPUTED_VALUE"""),44540.7690411689)</f>
        <v>44540.76904</v>
      </c>
      <c r="D6165" s="15">
        <f>IFERROR(__xludf.DUMMYFUNCTION("""COMPUTED_VALUE"""),1.026)</f>
        <v>1.026</v>
      </c>
      <c r="E6165" s="16">
        <f>IFERROR(__xludf.DUMMYFUNCTION("""COMPUTED_VALUE"""),68.0)</f>
        <v>68</v>
      </c>
      <c r="F6165" s="19" t="str">
        <f>IFERROR(__xludf.DUMMYFUNCTION("""COMPUTED_VALUE"""),"BLACK")</f>
        <v>BLACK</v>
      </c>
      <c r="G6165" s="20" t="str">
        <f>IFERROR(__xludf.DUMMYFUNCTION("""COMPUTED_VALUE"""),"Uncle Sams Cider (11/12/2021) 02")</f>
        <v>Uncle Sams Cider (11/12/2021) 02</v>
      </c>
      <c r="H6165" s="19"/>
    </row>
    <row r="6166">
      <c r="A6166" s="9"/>
      <c r="B6166" s="15"/>
      <c r="C6166" s="9">
        <f>IFERROR(__xludf.DUMMYFUNCTION("""COMPUTED_VALUE"""),44540.7586206597)</f>
        <v>44540.75862</v>
      </c>
      <c r="D6166" s="15">
        <f>IFERROR(__xludf.DUMMYFUNCTION("""COMPUTED_VALUE"""),1.026)</f>
        <v>1.026</v>
      </c>
      <c r="E6166" s="16">
        <f>IFERROR(__xludf.DUMMYFUNCTION("""COMPUTED_VALUE"""),68.0)</f>
        <v>68</v>
      </c>
      <c r="F6166" s="19" t="str">
        <f>IFERROR(__xludf.DUMMYFUNCTION("""COMPUTED_VALUE"""),"BLACK")</f>
        <v>BLACK</v>
      </c>
      <c r="G6166" s="20" t="str">
        <f>IFERROR(__xludf.DUMMYFUNCTION("""COMPUTED_VALUE"""),"Uncle Sams Cider (11/12/2021) 02")</f>
        <v>Uncle Sams Cider (11/12/2021) 02</v>
      </c>
      <c r="H6166" s="19"/>
    </row>
    <row r="6167">
      <c r="A6167" s="9"/>
      <c r="B6167" s="15"/>
      <c r="C6167" s="9">
        <f>IFERROR(__xludf.DUMMYFUNCTION("""COMPUTED_VALUE"""),44540.7481745254)</f>
        <v>44540.74817</v>
      </c>
      <c r="D6167" s="15">
        <f>IFERROR(__xludf.DUMMYFUNCTION("""COMPUTED_VALUE"""),1.027)</f>
        <v>1.027</v>
      </c>
      <c r="E6167" s="16">
        <f>IFERROR(__xludf.DUMMYFUNCTION("""COMPUTED_VALUE"""),68.0)</f>
        <v>68</v>
      </c>
      <c r="F6167" s="19" t="str">
        <f>IFERROR(__xludf.DUMMYFUNCTION("""COMPUTED_VALUE"""),"BLACK")</f>
        <v>BLACK</v>
      </c>
      <c r="G6167" s="20" t="str">
        <f>IFERROR(__xludf.DUMMYFUNCTION("""COMPUTED_VALUE"""),"Uncle Sams Cider (11/12/2021) 02")</f>
        <v>Uncle Sams Cider (11/12/2021) 02</v>
      </c>
      <c r="H6167" s="19"/>
    </row>
    <row r="6168">
      <c r="A6168" s="9"/>
      <c r="B6168" s="15"/>
      <c r="C6168" s="9">
        <f>IFERROR(__xludf.DUMMYFUNCTION("""COMPUTED_VALUE"""),44540.7377416087)</f>
        <v>44540.73774</v>
      </c>
      <c r="D6168" s="15">
        <f>IFERROR(__xludf.DUMMYFUNCTION("""COMPUTED_VALUE"""),1.027)</f>
        <v>1.027</v>
      </c>
      <c r="E6168" s="16">
        <f>IFERROR(__xludf.DUMMYFUNCTION("""COMPUTED_VALUE"""),68.0)</f>
        <v>68</v>
      </c>
      <c r="F6168" s="19" t="str">
        <f>IFERROR(__xludf.DUMMYFUNCTION("""COMPUTED_VALUE"""),"BLACK")</f>
        <v>BLACK</v>
      </c>
      <c r="G6168" s="20" t="str">
        <f>IFERROR(__xludf.DUMMYFUNCTION("""COMPUTED_VALUE"""),"Uncle Sams Cider (11/12/2021) 02")</f>
        <v>Uncle Sams Cider (11/12/2021) 02</v>
      </c>
      <c r="H6168" s="19"/>
    </row>
    <row r="6169">
      <c r="A6169" s="9"/>
      <c r="B6169" s="15"/>
      <c r="C6169" s="9">
        <f>IFERROR(__xludf.DUMMYFUNCTION("""COMPUTED_VALUE"""),44540.72730875)</f>
        <v>44540.72731</v>
      </c>
      <c r="D6169" s="15">
        <f>IFERROR(__xludf.DUMMYFUNCTION("""COMPUTED_VALUE"""),1.027)</f>
        <v>1.027</v>
      </c>
      <c r="E6169" s="16">
        <f>IFERROR(__xludf.DUMMYFUNCTION("""COMPUTED_VALUE"""),68.0)</f>
        <v>68</v>
      </c>
      <c r="F6169" s="19" t="str">
        <f>IFERROR(__xludf.DUMMYFUNCTION("""COMPUTED_VALUE"""),"BLACK")</f>
        <v>BLACK</v>
      </c>
      <c r="G6169" s="20" t="str">
        <f>IFERROR(__xludf.DUMMYFUNCTION("""COMPUTED_VALUE"""),"Uncle Sams Cider (11/12/2021) 02")</f>
        <v>Uncle Sams Cider (11/12/2021) 02</v>
      </c>
      <c r="H6169" s="19"/>
    </row>
    <row r="6170">
      <c r="A6170" s="9"/>
      <c r="B6170" s="15"/>
      <c r="C6170" s="9">
        <f>IFERROR(__xludf.DUMMYFUNCTION("""COMPUTED_VALUE"""),44540.7168772685)</f>
        <v>44540.71688</v>
      </c>
      <c r="D6170" s="15">
        <f>IFERROR(__xludf.DUMMYFUNCTION("""COMPUTED_VALUE"""),1.027)</f>
        <v>1.027</v>
      </c>
      <c r="E6170" s="16">
        <f>IFERROR(__xludf.DUMMYFUNCTION("""COMPUTED_VALUE"""),68.0)</f>
        <v>68</v>
      </c>
      <c r="F6170" s="19" t="str">
        <f>IFERROR(__xludf.DUMMYFUNCTION("""COMPUTED_VALUE"""),"BLACK")</f>
        <v>BLACK</v>
      </c>
      <c r="G6170" s="20" t="str">
        <f>IFERROR(__xludf.DUMMYFUNCTION("""COMPUTED_VALUE"""),"Uncle Sams Cider (11/12/2021) 02")</f>
        <v>Uncle Sams Cider (11/12/2021) 02</v>
      </c>
      <c r="H6170" s="19"/>
    </row>
    <row r="6171">
      <c r="A6171" s="9"/>
      <c r="B6171" s="15"/>
      <c r="C6171" s="9">
        <f>IFERROR(__xludf.DUMMYFUNCTION("""COMPUTED_VALUE"""),44540.7064547569)</f>
        <v>44540.70645</v>
      </c>
      <c r="D6171" s="15">
        <f>IFERROR(__xludf.DUMMYFUNCTION("""COMPUTED_VALUE"""),1.027)</f>
        <v>1.027</v>
      </c>
      <c r="E6171" s="16">
        <f>IFERROR(__xludf.DUMMYFUNCTION("""COMPUTED_VALUE"""),68.0)</f>
        <v>68</v>
      </c>
      <c r="F6171" s="19" t="str">
        <f>IFERROR(__xludf.DUMMYFUNCTION("""COMPUTED_VALUE"""),"BLACK")</f>
        <v>BLACK</v>
      </c>
      <c r="G6171" s="20" t="str">
        <f>IFERROR(__xludf.DUMMYFUNCTION("""COMPUTED_VALUE"""),"Uncle Sams Cider (11/12/2021) 02")</f>
        <v>Uncle Sams Cider (11/12/2021) 02</v>
      </c>
      <c r="H6171" s="19"/>
    </row>
    <row r="6172">
      <c r="A6172" s="9"/>
      <c r="B6172" s="15"/>
      <c r="C6172" s="9">
        <f>IFERROR(__xludf.DUMMYFUNCTION("""COMPUTED_VALUE"""),44540.6960353703)</f>
        <v>44540.69604</v>
      </c>
      <c r="D6172" s="15">
        <f>IFERROR(__xludf.DUMMYFUNCTION("""COMPUTED_VALUE"""),1.026)</f>
        <v>1.026</v>
      </c>
      <c r="E6172" s="16">
        <f>IFERROR(__xludf.DUMMYFUNCTION("""COMPUTED_VALUE"""),68.0)</f>
        <v>68</v>
      </c>
      <c r="F6172" s="19" t="str">
        <f>IFERROR(__xludf.DUMMYFUNCTION("""COMPUTED_VALUE"""),"BLACK")</f>
        <v>BLACK</v>
      </c>
      <c r="G6172" s="20" t="str">
        <f>IFERROR(__xludf.DUMMYFUNCTION("""COMPUTED_VALUE"""),"Uncle Sams Cider (11/12/2021) 02")</f>
        <v>Uncle Sams Cider (11/12/2021) 02</v>
      </c>
      <c r="H6172" s="19"/>
    </row>
    <row r="6173">
      <c r="A6173" s="9"/>
      <c r="B6173" s="15"/>
      <c r="C6173" s="9">
        <f>IFERROR(__xludf.DUMMYFUNCTION("""COMPUTED_VALUE"""),44540.6856134027)</f>
        <v>44540.68561</v>
      </c>
      <c r="D6173" s="15">
        <f>IFERROR(__xludf.DUMMYFUNCTION("""COMPUTED_VALUE"""),1.027)</f>
        <v>1.027</v>
      </c>
      <c r="E6173" s="16">
        <f>IFERROR(__xludf.DUMMYFUNCTION("""COMPUTED_VALUE"""),68.0)</f>
        <v>68</v>
      </c>
      <c r="F6173" s="19" t="str">
        <f>IFERROR(__xludf.DUMMYFUNCTION("""COMPUTED_VALUE"""),"BLACK")</f>
        <v>BLACK</v>
      </c>
      <c r="G6173" s="20" t="str">
        <f>IFERROR(__xludf.DUMMYFUNCTION("""COMPUTED_VALUE"""),"Uncle Sams Cider (11/12/2021) 02")</f>
        <v>Uncle Sams Cider (11/12/2021) 02</v>
      </c>
      <c r="H6173" s="19"/>
    </row>
    <row r="6174">
      <c r="A6174" s="9"/>
      <c r="B6174" s="15"/>
      <c r="C6174" s="9">
        <f>IFERROR(__xludf.DUMMYFUNCTION("""COMPUTED_VALUE"""),44540.6751786689)</f>
        <v>44540.67518</v>
      </c>
      <c r="D6174" s="15">
        <f>IFERROR(__xludf.DUMMYFUNCTION("""COMPUTED_VALUE"""),1.027)</f>
        <v>1.027</v>
      </c>
      <c r="E6174" s="16">
        <f>IFERROR(__xludf.DUMMYFUNCTION("""COMPUTED_VALUE"""),68.0)</f>
        <v>68</v>
      </c>
      <c r="F6174" s="19" t="str">
        <f>IFERROR(__xludf.DUMMYFUNCTION("""COMPUTED_VALUE"""),"BLACK")</f>
        <v>BLACK</v>
      </c>
      <c r="G6174" s="20" t="str">
        <f>IFERROR(__xludf.DUMMYFUNCTION("""COMPUTED_VALUE"""),"Uncle Sams Cider (11/12/2021) 02")</f>
        <v>Uncle Sams Cider (11/12/2021) 02</v>
      </c>
      <c r="H6174" s="19"/>
    </row>
    <row r="6175">
      <c r="A6175" s="9"/>
      <c r="B6175" s="15"/>
      <c r="C6175" s="9">
        <f>IFERROR(__xludf.DUMMYFUNCTION("""COMPUTED_VALUE"""),44540.6647571875)</f>
        <v>44540.66476</v>
      </c>
      <c r="D6175" s="15">
        <f>IFERROR(__xludf.DUMMYFUNCTION("""COMPUTED_VALUE"""),1.027)</f>
        <v>1.027</v>
      </c>
      <c r="E6175" s="16">
        <f>IFERROR(__xludf.DUMMYFUNCTION("""COMPUTED_VALUE"""),68.0)</f>
        <v>68</v>
      </c>
      <c r="F6175" s="19" t="str">
        <f>IFERROR(__xludf.DUMMYFUNCTION("""COMPUTED_VALUE"""),"BLACK")</f>
        <v>BLACK</v>
      </c>
      <c r="G6175" s="20" t="str">
        <f>IFERROR(__xludf.DUMMYFUNCTION("""COMPUTED_VALUE"""),"Uncle Sams Cider (11/12/2021) 02")</f>
        <v>Uncle Sams Cider (11/12/2021) 02</v>
      </c>
      <c r="H6175" s="19"/>
    </row>
    <row r="6176">
      <c r="A6176" s="9"/>
      <c r="B6176" s="15"/>
      <c r="C6176" s="9">
        <f>IFERROR(__xludf.DUMMYFUNCTION("""COMPUTED_VALUE"""),44540.6543362731)</f>
        <v>44540.65434</v>
      </c>
      <c r="D6176" s="15">
        <f>IFERROR(__xludf.DUMMYFUNCTION("""COMPUTED_VALUE"""),1.026)</f>
        <v>1.026</v>
      </c>
      <c r="E6176" s="16">
        <f>IFERROR(__xludf.DUMMYFUNCTION("""COMPUTED_VALUE"""),67.0)</f>
        <v>67</v>
      </c>
      <c r="F6176" s="19" t="str">
        <f>IFERROR(__xludf.DUMMYFUNCTION("""COMPUTED_VALUE"""),"BLACK")</f>
        <v>BLACK</v>
      </c>
      <c r="G6176" s="20" t="str">
        <f>IFERROR(__xludf.DUMMYFUNCTION("""COMPUTED_VALUE"""),"Uncle Sams Cider (11/12/2021) 02")</f>
        <v>Uncle Sams Cider (11/12/2021) 02</v>
      </c>
      <c r="H6176" s="19"/>
    </row>
    <row r="6177">
      <c r="A6177" s="9"/>
      <c r="B6177" s="15"/>
      <c r="C6177" s="9">
        <f>IFERROR(__xludf.DUMMYFUNCTION("""COMPUTED_VALUE"""),44540.6439157638)</f>
        <v>44540.64392</v>
      </c>
      <c r="D6177" s="15">
        <f>IFERROR(__xludf.DUMMYFUNCTION("""COMPUTED_VALUE"""),1.027)</f>
        <v>1.027</v>
      </c>
      <c r="E6177" s="16">
        <f>IFERROR(__xludf.DUMMYFUNCTION("""COMPUTED_VALUE"""),67.0)</f>
        <v>67</v>
      </c>
      <c r="F6177" s="19" t="str">
        <f>IFERROR(__xludf.DUMMYFUNCTION("""COMPUTED_VALUE"""),"BLACK")</f>
        <v>BLACK</v>
      </c>
      <c r="G6177" s="20" t="str">
        <f>IFERROR(__xludf.DUMMYFUNCTION("""COMPUTED_VALUE"""),"Uncle Sams Cider (11/12/2021) 02")</f>
        <v>Uncle Sams Cider (11/12/2021) 02</v>
      </c>
      <c r="H6177" s="19"/>
    </row>
    <row r="6178">
      <c r="A6178" s="9"/>
      <c r="B6178" s="15"/>
      <c r="C6178" s="9">
        <f>IFERROR(__xludf.DUMMYFUNCTION("""COMPUTED_VALUE"""),44540.6334944444)</f>
        <v>44540.63349</v>
      </c>
      <c r="D6178" s="15">
        <f>IFERROR(__xludf.DUMMYFUNCTION("""COMPUTED_VALUE"""),1.027)</f>
        <v>1.027</v>
      </c>
      <c r="E6178" s="16">
        <f>IFERROR(__xludf.DUMMYFUNCTION("""COMPUTED_VALUE"""),66.0)</f>
        <v>66</v>
      </c>
      <c r="F6178" s="19" t="str">
        <f>IFERROR(__xludf.DUMMYFUNCTION("""COMPUTED_VALUE"""),"BLACK")</f>
        <v>BLACK</v>
      </c>
      <c r="G6178" s="20" t="str">
        <f>IFERROR(__xludf.DUMMYFUNCTION("""COMPUTED_VALUE"""),"Uncle Sams Cider (11/12/2021) 02")</f>
        <v>Uncle Sams Cider (11/12/2021) 02</v>
      </c>
      <c r="H6178" s="19"/>
    </row>
    <row r="6179">
      <c r="A6179" s="9"/>
      <c r="B6179" s="15"/>
      <c r="C6179" s="9">
        <f>IFERROR(__xludf.DUMMYFUNCTION("""COMPUTED_VALUE"""),44540.6230739004)</f>
        <v>44540.62307</v>
      </c>
      <c r="D6179" s="15">
        <f>IFERROR(__xludf.DUMMYFUNCTION("""COMPUTED_VALUE"""),1.027)</f>
        <v>1.027</v>
      </c>
      <c r="E6179" s="16">
        <f>IFERROR(__xludf.DUMMYFUNCTION("""COMPUTED_VALUE"""),66.0)</f>
        <v>66</v>
      </c>
      <c r="F6179" s="19" t="str">
        <f>IFERROR(__xludf.DUMMYFUNCTION("""COMPUTED_VALUE"""),"BLACK")</f>
        <v>BLACK</v>
      </c>
      <c r="G6179" s="20" t="str">
        <f>IFERROR(__xludf.DUMMYFUNCTION("""COMPUTED_VALUE"""),"Uncle Sams Cider (11/12/2021) 02")</f>
        <v>Uncle Sams Cider (11/12/2021) 02</v>
      </c>
      <c r="H6179" s="19"/>
    </row>
    <row r="6180">
      <c r="A6180" s="9"/>
      <c r="B6180" s="15"/>
      <c r="C6180" s="9">
        <f>IFERROR(__xludf.DUMMYFUNCTION("""COMPUTED_VALUE"""),44540.6126411226)</f>
        <v>44540.61264</v>
      </c>
      <c r="D6180" s="15">
        <f>IFERROR(__xludf.DUMMYFUNCTION("""COMPUTED_VALUE"""),1.026)</f>
        <v>1.026</v>
      </c>
      <c r="E6180" s="16">
        <f>IFERROR(__xludf.DUMMYFUNCTION("""COMPUTED_VALUE"""),66.0)</f>
        <v>66</v>
      </c>
      <c r="F6180" s="19" t="str">
        <f>IFERROR(__xludf.DUMMYFUNCTION("""COMPUTED_VALUE"""),"BLACK")</f>
        <v>BLACK</v>
      </c>
      <c r="G6180" s="20" t="str">
        <f>IFERROR(__xludf.DUMMYFUNCTION("""COMPUTED_VALUE"""),"Uncle Sams Cider (11/12/2021) 02")</f>
        <v>Uncle Sams Cider (11/12/2021) 02</v>
      </c>
      <c r="H6180" s="19"/>
    </row>
    <row r="6181">
      <c r="A6181" s="9"/>
      <c r="B6181" s="15"/>
      <c r="C6181" s="9">
        <f>IFERROR(__xludf.DUMMYFUNCTION("""COMPUTED_VALUE"""),44540.6022085648)</f>
        <v>44540.60221</v>
      </c>
      <c r="D6181" s="15">
        <f>IFERROR(__xludf.DUMMYFUNCTION("""COMPUTED_VALUE"""),1.027)</f>
        <v>1.027</v>
      </c>
      <c r="E6181" s="16">
        <f>IFERROR(__xludf.DUMMYFUNCTION("""COMPUTED_VALUE"""),65.0)</f>
        <v>65</v>
      </c>
      <c r="F6181" s="19" t="str">
        <f>IFERROR(__xludf.DUMMYFUNCTION("""COMPUTED_VALUE"""),"BLACK")</f>
        <v>BLACK</v>
      </c>
      <c r="G6181" s="20" t="str">
        <f>IFERROR(__xludf.DUMMYFUNCTION("""COMPUTED_VALUE"""),"Uncle Sams Cider (11/12/2021) 02")</f>
        <v>Uncle Sams Cider (11/12/2021) 02</v>
      </c>
      <c r="H6181" s="19"/>
    </row>
    <row r="6182">
      <c r="A6182" s="9"/>
      <c r="B6182" s="15"/>
      <c r="C6182" s="9">
        <f>IFERROR(__xludf.DUMMYFUNCTION("""COMPUTED_VALUE"""),44540.5917876967)</f>
        <v>44540.59179</v>
      </c>
      <c r="D6182" s="15">
        <f>IFERROR(__xludf.DUMMYFUNCTION("""COMPUTED_VALUE"""),1.027)</f>
        <v>1.027</v>
      </c>
      <c r="E6182" s="16">
        <f>IFERROR(__xludf.DUMMYFUNCTION("""COMPUTED_VALUE"""),65.0)</f>
        <v>65</v>
      </c>
      <c r="F6182" s="19" t="str">
        <f>IFERROR(__xludf.DUMMYFUNCTION("""COMPUTED_VALUE"""),"BLACK")</f>
        <v>BLACK</v>
      </c>
      <c r="G6182" s="20" t="str">
        <f>IFERROR(__xludf.DUMMYFUNCTION("""COMPUTED_VALUE"""),"Uncle Sams Cider (11/12/2021) 02")</f>
        <v>Uncle Sams Cider (11/12/2021) 02</v>
      </c>
      <c r="H6182" s="19"/>
    </row>
    <row r="6183">
      <c r="A6183" s="9"/>
      <c r="B6183" s="15"/>
      <c r="C6183" s="9">
        <f>IFERROR(__xludf.DUMMYFUNCTION("""COMPUTED_VALUE"""),44540.5813656597)</f>
        <v>44540.58137</v>
      </c>
      <c r="D6183" s="15">
        <f>IFERROR(__xludf.DUMMYFUNCTION("""COMPUTED_VALUE"""),1.027)</f>
        <v>1.027</v>
      </c>
      <c r="E6183" s="16">
        <f>IFERROR(__xludf.DUMMYFUNCTION("""COMPUTED_VALUE"""),64.0)</f>
        <v>64</v>
      </c>
      <c r="F6183" s="19" t="str">
        <f>IFERROR(__xludf.DUMMYFUNCTION("""COMPUTED_VALUE"""),"BLACK")</f>
        <v>BLACK</v>
      </c>
      <c r="G6183" s="20" t="str">
        <f>IFERROR(__xludf.DUMMYFUNCTION("""COMPUTED_VALUE"""),"Uncle Sams Cider (11/12/2021) 02")</f>
        <v>Uncle Sams Cider (11/12/2021) 02</v>
      </c>
      <c r="H6183" s="19"/>
    </row>
    <row r="6184">
      <c r="A6184" s="9"/>
      <c r="B6184" s="15"/>
      <c r="C6184" s="9">
        <f>IFERROR(__xludf.DUMMYFUNCTION("""COMPUTED_VALUE"""),44540.5709443634)</f>
        <v>44540.57094</v>
      </c>
      <c r="D6184" s="15">
        <f>IFERROR(__xludf.DUMMYFUNCTION("""COMPUTED_VALUE"""),1.027)</f>
        <v>1.027</v>
      </c>
      <c r="E6184" s="16">
        <f>IFERROR(__xludf.DUMMYFUNCTION("""COMPUTED_VALUE"""),64.0)</f>
        <v>64</v>
      </c>
      <c r="F6184" s="19" t="str">
        <f>IFERROR(__xludf.DUMMYFUNCTION("""COMPUTED_VALUE"""),"BLACK")</f>
        <v>BLACK</v>
      </c>
      <c r="G6184" s="20" t="str">
        <f>IFERROR(__xludf.DUMMYFUNCTION("""COMPUTED_VALUE"""),"Uncle Sams Cider (11/12/2021) 02")</f>
        <v>Uncle Sams Cider (11/12/2021) 02</v>
      </c>
      <c r="H6184" s="19"/>
    </row>
    <row r="6185">
      <c r="A6185" s="9"/>
      <c r="B6185" s="15"/>
      <c r="C6185" s="9">
        <f>IFERROR(__xludf.DUMMYFUNCTION("""COMPUTED_VALUE"""),44540.5605236574)</f>
        <v>44540.56052</v>
      </c>
      <c r="D6185" s="15">
        <f>IFERROR(__xludf.DUMMYFUNCTION("""COMPUTED_VALUE"""),1.027)</f>
        <v>1.027</v>
      </c>
      <c r="E6185" s="16">
        <f>IFERROR(__xludf.DUMMYFUNCTION("""COMPUTED_VALUE"""),63.0)</f>
        <v>63</v>
      </c>
      <c r="F6185" s="19" t="str">
        <f>IFERROR(__xludf.DUMMYFUNCTION("""COMPUTED_VALUE"""),"BLACK")</f>
        <v>BLACK</v>
      </c>
      <c r="G6185" s="20" t="str">
        <f>IFERROR(__xludf.DUMMYFUNCTION("""COMPUTED_VALUE"""),"Uncle Sams Cider (11/12/2021) 02")</f>
        <v>Uncle Sams Cider (11/12/2021) 02</v>
      </c>
      <c r="H6185" s="19"/>
    </row>
    <row r="6186">
      <c r="A6186" s="9"/>
      <c r="B6186" s="15"/>
      <c r="C6186" s="9">
        <f>IFERROR(__xludf.DUMMYFUNCTION("""COMPUTED_VALUE"""),44540.5500899305)</f>
        <v>44540.55009</v>
      </c>
      <c r="D6186" s="15">
        <f>IFERROR(__xludf.DUMMYFUNCTION("""COMPUTED_VALUE"""),1.027)</f>
        <v>1.027</v>
      </c>
      <c r="E6186" s="16">
        <f>IFERROR(__xludf.DUMMYFUNCTION("""COMPUTED_VALUE"""),63.0)</f>
        <v>63</v>
      </c>
      <c r="F6186" s="19" t="str">
        <f>IFERROR(__xludf.DUMMYFUNCTION("""COMPUTED_VALUE"""),"BLACK")</f>
        <v>BLACK</v>
      </c>
      <c r="G6186" s="20" t="str">
        <f>IFERROR(__xludf.DUMMYFUNCTION("""COMPUTED_VALUE"""),"Uncle Sams Cider (11/12/2021) 02")</f>
        <v>Uncle Sams Cider (11/12/2021) 02</v>
      </c>
      <c r="H6186" s="19"/>
    </row>
    <row r="6187">
      <c r="A6187" s="9"/>
      <c r="B6187" s="15"/>
      <c r="C6187" s="9">
        <f>IFERROR(__xludf.DUMMYFUNCTION("""COMPUTED_VALUE"""),44540.5396692939)</f>
        <v>44540.53967</v>
      </c>
      <c r="D6187" s="15">
        <f>IFERROR(__xludf.DUMMYFUNCTION("""COMPUTED_VALUE"""),1.027)</f>
        <v>1.027</v>
      </c>
      <c r="E6187" s="16">
        <f>IFERROR(__xludf.DUMMYFUNCTION("""COMPUTED_VALUE"""),63.0)</f>
        <v>63</v>
      </c>
      <c r="F6187" s="19" t="str">
        <f>IFERROR(__xludf.DUMMYFUNCTION("""COMPUTED_VALUE"""),"BLACK")</f>
        <v>BLACK</v>
      </c>
      <c r="G6187" s="20" t="str">
        <f>IFERROR(__xludf.DUMMYFUNCTION("""COMPUTED_VALUE"""),"Uncle Sams Cider (11/12/2021) 02")</f>
        <v>Uncle Sams Cider (11/12/2021) 02</v>
      </c>
      <c r="H6187" s="19"/>
    </row>
    <row r="6188">
      <c r="A6188" s="9"/>
      <c r="B6188" s="15"/>
      <c r="C6188" s="9">
        <f>IFERROR(__xludf.DUMMYFUNCTION("""COMPUTED_VALUE"""),44540.5292355671)</f>
        <v>44540.52924</v>
      </c>
      <c r="D6188" s="15">
        <f>IFERROR(__xludf.DUMMYFUNCTION("""COMPUTED_VALUE"""),1.027)</f>
        <v>1.027</v>
      </c>
      <c r="E6188" s="16">
        <f>IFERROR(__xludf.DUMMYFUNCTION("""COMPUTED_VALUE"""),63.0)</f>
        <v>63</v>
      </c>
      <c r="F6188" s="19" t="str">
        <f>IFERROR(__xludf.DUMMYFUNCTION("""COMPUTED_VALUE"""),"BLACK")</f>
        <v>BLACK</v>
      </c>
      <c r="G6188" s="20" t="str">
        <f>IFERROR(__xludf.DUMMYFUNCTION("""COMPUTED_VALUE"""),"Uncle Sams Cider (11/12/2021) 02")</f>
        <v>Uncle Sams Cider (11/12/2021) 02</v>
      </c>
      <c r="H6188" s="19"/>
    </row>
    <row r="6189">
      <c r="A6189" s="9"/>
      <c r="B6189" s="15"/>
      <c r="C6189" s="9">
        <f>IFERROR(__xludf.DUMMYFUNCTION("""COMPUTED_VALUE"""),44540.5188150347)</f>
        <v>44540.51882</v>
      </c>
      <c r="D6189" s="15">
        <f>IFERROR(__xludf.DUMMYFUNCTION("""COMPUTED_VALUE"""),1.027)</f>
        <v>1.027</v>
      </c>
      <c r="E6189" s="16">
        <f>IFERROR(__xludf.DUMMYFUNCTION("""COMPUTED_VALUE"""),63.0)</f>
        <v>63</v>
      </c>
      <c r="F6189" s="19" t="str">
        <f>IFERROR(__xludf.DUMMYFUNCTION("""COMPUTED_VALUE"""),"BLACK")</f>
        <v>BLACK</v>
      </c>
      <c r="G6189" s="20" t="str">
        <f>IFERROR(__xludf.DUMMYFUNCTION("""COMPUTED_VALUE"""),"Uncle Sams Cider (11/12/2021) 02")</f>
        <v>Uncle Sams Cider (11/12/2021) 02</v>
      </c>
      <c r="H6189" s="19"/>
    </row>
    <row r="6190">
      <c r="A6190" s="9"/>
      <c r="B6190" s="15"/>
      <c r="C6190" s="9">
        <f>IFERROR(__xludf.DUMMYFUNCTION("""COMPUTED_VALUE"""),44540.5083820833)</f>
        <v>44540.50838</v>
      </c>
      <c r="D6190" s="15">
        <f>IFERROR(__xludf.DUMMYFUNCTION("""COMPUTED_VALUE"""),1.027)</f>
        <v>1.027</v>
      </c>
      <c r="E6190" s="16">
        <f>IFERROR(__xludf.DUMMYFUNCTION("""COMPUTED_VALUE"""),63.0)</f>
        <v>63</v>
      </c>
      <c r="F6190" s="19" t="str">
        <f>IFERROR(__xludf.DUMMYFUNCTION("""COMPUTED_VALUE"""),"BLACK")</f>
        <v>BLACK</v>
      </c>
      <c r="G6190" s="20" t="str">
        <f>IFERROR(__xludf.DUMMYFUNCTION("""COMPUTED_VALUE"""),"Uncle Sams Cider (11/12/2021) 02")</f>
        <v>Uncle Sams Cider (11/12/2021) 02</v>
      </c>
      <c r="H6190" s="19"/>
    </row>
    <row r="6191">
      <c r="A6191" s="9"/>
      <c r="B6191" s="15"/>
      <c r="C6191" s="9">
        <f>IFERROR(__xludf.DUMMYFUNCTION("""COMPUTED_VALUE"""),44540.4979492824)</f>
        <v>44540.49795</v>
      </c>
      <c r="D6191" s="15">
        <f>IFERROR(__xludf.DUMMYFUNCTION("""COMPUTED_VALUE"""),1.027)</f>
        <v>1.027</v>
      </c>
      <c r="E6191" s="16">
        <f>IFERROR(__xludf.DUMMYFUNCTION("""COMPUTED_VALUE"""),63.0)</f>
        <v>63</v>
      </c>
      <c r="F6191" s="19" t="str">
        <f>IFERROR(__xludf.DUMMYFUNCTION("""COMPUTED_VALUE"""),"BLACK")</f>
        <v>BLACK</v>
      </c>
      <c r="G6191" s="20" t="str">
        <f>IFERROR(__xludf.DUMMYFUNCTION("""COMPUTED_VALUE"""),"Uncle Sams Cider (11/12/2021) 02")</f>
        <v>Uncle Sams Cider (11/12/2021) 02</v>
      </c>
      <c r="H6191" s="19"/>
    </row>
    <row r="6192">
      <c r="A6192" s="9"/>
      <c r="B6192" s="15"/>
      <c r="C6192" s="9">
        <f>IFERROR(__xludf.DUMMYFUNCTION("""COMPUTED_VALUE"""),44540.4875169328)</f>
        <v>44540.48752</v>
      </c>
      <c r="D6192" s="15">
        <f>IFERROR(__xludf.DUMMYFUNCTION("""COMPUTED_VALUE"""),1.027)</f>
        <v>1.027</v>
      </c>
      <c r="E6192" s="16">
        <f>IFERROR(__xludf.DUMMYFUNCTION("""COMPUTED_VALUE"""),63.0)</f>
        <v>63</v>
      </c>
      <c r="F6192" s="19" t="str">
        <f>IFERROR(__xludf.DUMMYFUNCTION("""COMPUTED_VALUE"""),"BLACK")</f>
        <v>BLACK</v>
      </c>
      <c r="G6192" s="20" t="str">
        <f>IFERROR(__xludf.DUMMYFUNCTION("""COMPUTED_VALUE"""),"Uncle Sams Cider (11/12/2021) 02")</f>
        <v>Uncle Sams Cider (11/12/2021) 02</v>
      </c>
      <c r="H6192" s="19"/>
    </row>
    <row r="6193">
      <c r="A6193" s="9"/>
      <c r="B6193" s="15"/>
      <c r="C6193" s="9">
        <f>IFERROR(__xludf.DUMMYFUNCTION("""COMPUTED_VALUE"""),44540.4770970254)</f>
        <v>44540.4771</v>
      </c>
      <c r="D6193" s="15">
        <f>IFERROR(__xludf.DUMMYFUNCTION("""COMPUTED_VALUE"""),1.027)</f>
        <v>1.027</v>
      </c>
      <c r="E6193" s="16">
        <f>IFERROR(__xludf.DUMMYFUNCTION("""COMPUTED_VALUE"""),63.0)</f>
        <v>63</v>
      </c>
      <c r="F6193" s="19" t="str">
        <f>IFERROR(__xludf.DUMMYFUNCTION("""COMPUTED_VALUE"""),"BLACK")</f>
        <v>BLACK</v>
      </c>
      <c r="G6193" s="20" t="str">
        <f>IFERROR(__xludf.DUMMYFUNCTION("""COMPUTED_VALUE"""),"Uncle Sams Cider (11/12/2021) 02")</f>
        <v>Uncle Sams Cider (11/12/2021) 02</v>
      </c>
      <c r="H6193" s="19"/>
    </row>
    <row r="6194">
      <c r="A6194" s="9"/>
      <c r="B6194" s="15"/>
      <c r="C6194" s="9">
        <f>IFERROR(__xludf.DUMMYFUNCTION("""COMPUTED_VALUE"""),44540.4666746296)</f>
        <v>44540.46667</v>
      </c>
      <c r="D6194" s="15">
        <f>IFERROR(__xludf.DUMMYFUNCTION("""COMPUTED_VALUE"""),1.027)</f>
        <v>1.027</v>
      </c>
      <c r="E6194" s="16">
        <f>IFERROR(__xludf.DUMMYFUNCTION("""COMPUTED_VALUE"""),63.0)</f>
        <v>63</v>
      </c>
      <c r="F6194" s="19" t="str">
        <f>IFERROR(__xludf.DUMMYFUNCTION("""COMPUTED_VALUE"""),"BLACK")</f>
        <v>BLACK</v>
      </c>
      <c r="G6194" s="20" t="str">
        <f>IFERROR(__xludf.DUMMYFUNCTION("""COMPUTED_VALUE"""),"Uncle Sams Cider (11/12/2021) 02")</f>
        <v>Uncle Sams Cider (11/12/2021) 02</v>
      </c>
      <c r="H6194" s="19"/>
    </row>
    <row r="6195">
      <c r="A6195" s="9"/>
      <c r="B6195" s="15"/>
      <c r="C6195" s="9">
        <f>IFERROR(__xludf.DUMMYFUNCTION("""COMPUTED_VALUE"""),44540.4562421759)</f>
        <v>44540.45624</v>
      </c>
      <c r="D6195" s="15">
        <f>IFERROR(__xludf.DUMMYFUNCTION("""COMPUTED_VALUE"""),1.027)</f>
        <v>1.027</v>
      </c>
      <c r="E6195" s="16">
        <f>IFERROR(__xludf.DUMMYFUNCTION("""COMPUTED_VALUE"""),63.0)</f>
        <v>63</v>
      </c>
      <c r="F6195" s="19" t="str">
        <f>IFERROR(__xludf.DUMMYFUNCTION("""COMPUTED_VALUE"""),"BLACK")</f>
        <v>BLACK</v>
      </c>
      <c r="G6195" s="20" t="str">
        <f>IFERROR(__xludf.DUMMYFUNCTION("""COMPUTED_VALUE"""),"Uncle Sams Cider (11/12/2021) 02")</f>
        <v>Uncle Sams Cider (11/12/2021) 02</v>
      </c>
      <c r="H6195" s="19"/>
    </row>
    <row r="6196">
      <c r="A6196" s="9"/>
      <c r="B6196" s="15"/>
      <c r="C6196" s="9">
        <f>IFERROR(__xludf.DUMMYFUNCTION("""COMPUTED_VALUE"""),44540.4457980787)</f>
        <v>44540.4458</v>
      </c>
      <c r="D6196" s="15">
        <f>IFERROR(__xludf.DUMMYFUNCTION("""COMPUTED_VALUE"""),1.027)</f>
        <v>1.027</v>
      </c>
      <c r="E6196" s="16">
        <f>IFERROR(__xludf.DUMMYFUNCTION("""COMPUTED_VALUE"""),63.0)</f>
        <v>63</v>
      </c>
      <c r="F6196" s="19" t="str">
        <f>IFERROR(__xludf.DUMMYFUNCTION("""COMPUTED_VALUE"""),"BLACK")</f>
        <v>BLACK</v>
      </c>
      <c r="G6196" s="20" t="str">
        <f>IFERROR(__xludf.DUMMYFUNCTION("""COMPUTED_VALUE"""),"Uncle Sams Cider (11/12/2021) 02")</f>
        <v>Uncle Sams Cider (11/12/2021) 02</v>
      </c>
      <c r="H6196" s="19"/>
    </row>
    <row r="6197">
      <c r="A6197" s="9"/>
      <c r="B6197" s="15"/>
      <c r="C6197" s="9">
        <f>IFERROR(__xludf.DUMMYFUNCTION("""COMPUTED_VALUE"""),44540.4353663541)</f>
        <v>44540.43537</v>
      </c>
      <c r="D6197" s="15">
        <f>IFERROR(__xludf.DUMMYFUNCTION("""COMPUTED_VALUE"""),1.027)</f>
        <v>1.027</v>
      </c>
      <c r="E6197" s="16">
        <f>IFERROR(__xludf.DUMMYFUNCTION("""COMPUTED_VALUE"""),63.0)</f>
        <v>63</v>
      </c>
      <c r="F6197" s="19" t="str">
        <f>IFERROR(__xludf.DUMMYFUNCTION("""COMPUTED_VALUE"""),"BLACK")</f>
        <v>BLACK</v>
      </c>
      <c r="G6197" s="20" t="str">
        <f>IFERROR(__xludf.DUMMYFUNCTION("""COMPUTED_VALUE"""),"Uncle Sams Cider (11/12/2021) 02")</f>
        <v>Uncle Sams Cider (11/12/2021) 02</v>
      </c>
      <c r="H6197" s="19"/>
    </row>
    <row r="6198">
      <c r="A6198" s="9"/>
      <c r="B6198" s="15"/>
      <c r="C6198" s="9">
        <f>IFERROR(__xludf.DUMMYFUNCTION("""COMPUTED_VALUE"""),44540.4249453703)</f>
        <v>44540.42495</v>
      </c>
      <c r="D6198" s="15">
        <f>IFERROR(__xludf.DUMMYFUNCTION("""COMPUTED_VALUE"""),1.027)</f>
        <v>1.027</v>
      </c>
      <c r="E6198" s="16">
        <f>IFERROR(__xludf.DUMMYFUNCTION("""COMPUTED_VALUE"""),63.0)</f>
        <v>63</v>
      </c>
      <c r="F6198" s="19" t="str">
        <f>IFERROR(__xludf.DUMMYFUNCTION("""COMPUTED_VALUE"""),"BLACK")</f>
        <v>BLACK</v>
      </c>
      <c r="G6198" s="20" t="str">
        <f>IFERROR(__xludf.DUMMYFUNCTION("""COMPUTED_VALUE"""),"Uncle Sams Cider (11/12/2021) 02")</f>
        <v>Uncle Sams Cider (11/12/2021) 02</v>
      </c>
      <c r="H6198" s="19"/>
    </row>
    <row r="6199">
      <c r="A6199" s="9"/>
      <c r="B6199" s="15"/>
      <c r="C6199" s="9">
        <f>IFERROR(__xludf.DUMMYFUNCTION("""COMPUTED_VALUE"""),44540.4144893287)</f>
        <v>44540.41449</v>
      </c>
      <c r="D6199" s="15">
        <f>IFERROR(__xludf.DUMMYFUNCTION("""COMPUTED_VALUE"""),1.027)</f>
        <v>1.027</v>
      </c>
      <c r="E6199" s="16">
        <f>IFERROR(__xludf.DUMMYFUNCTION("""COMPUTED_VALUE"""),63.0)</f>
        <v>63</v>
      </c>
      <c r="F6199" s="19" t="str">
        <f>IFERROR(__xludf.DUMMYFUNCTION("""COMPUTED_VALUE"""),"BLACK")</f>
        <v>BLACK</v>
      </c>
      <c r="G6199" s="20" t="str">
        <f>IFERROR(__xludf.DUMMYFUNCTION("""COMPUTED_VALUE"""),"Uncle Sams Cider (11/12/2021) 02")</f>
        <v>Uncle Sams Cider (11/12/2021) 02</v>
      </c>
      <c r="H6199" s="19"/>
    </row>
    <row r="6200">
      <c r="A6200" s="9"/>
      <c r="B6200" s="15"/>
      <c r="C6200" s="9">
        <f>IFERROR(__xludf.DUMMYFUNCTION("""COMPUTED_VALUE"""),44540.4040698842)</f>
        <v>44540.40407</v>
      </c>
      <c r="D6200" s="15">
        <f>IFERROR(__xludf.DUMMYFUNCTION("""COMPUTED_VALUE"""),1.027)</f>
        <v>1.027</v>
      </c>
      <c r="E6200" s="16">
        <f>IFERROR(__xludf.DUMMYFUNCTION("""COMPUTED_VALUE"""),63.0)</f>
        <v>63</v>
      </c>
      <c r="F6200" s="19" t="str">
        <f>IFERROR(__xludf.DUMMYFUNCTION("""COMPUTED_VALUE"""),"BLACK")</f>
        <v>BLACK</v>
      </c>
      <c r="G6200" s="20" t="str">
        <f>IFERROR(__xludf.DUMMYFUNCTION("""COMPUTED_VALUE"""),"Uncle Sams Cider (11/12/2021) 02")</f>
        <v>Uncle Sams Cider (11/12/2021) 02</v>
      </c>
      <c r="H6200" s="19"/>
    </row>
    <row r="6201">
      <c r="A6201" s="9"/>
      <c r="B6201" s="15"/>
      <c r="C6201" s="9">
        <f>IFERROR(__xludf.DUMMYFUNCTION("""COMPUTED_VALUE"""),44540.3936514699)</f>
        <v>44540.39365</v>
      </c>
      <c r="D6201" s="15">
        <f>IFERROR(__xludf.DUMMYFUNCTION("""COMPUTED_VALUE"""),1.027)</f>
        <v>1.027</v>
      </c>
      <c r="E6201" s="16">
        <f>IFERROR(__xludf.DUMMYFUNCTION("""COMPUTED_VALUE"""),63.0)</f>
        <v>63</v>
      </c>
      <c r="F6201" s="19" t="str">
        <f>IFERROR(__xludf.DUMMYFUNCTION("""COMPUTED_VALUE"""),"BLACK")</f>
        <v>BLACK</v>
      </c>
      <c r="G6201" s="20" t="str">
        <f>IFERROR(__xludf.DUMMYFUNCTION("""COMPUTED_VALUE"""),"Uncle Sams Cider (11/12/2021) 02")</f>
        <v>Uncle Sams Cider (11/12/2021) 02</v>
      </c>
      <c r="H6201" s="19"/>
    </row>
    <row r="6202">
      <c r="A6202" s="9"/>
      <c r="B6202" s="15"/>
      <c r="C6202" s="9">
        <f>IFERROR(__xludf.DUMMYFUNCTION("""COMPUTED_VALUE"""),44540.3832197338)</f>
        <v>44540.38322</v>
      </c>
      <c r="D6202" s="15">
        <f>IFERROR(__xludf.DUMMYFUNCTION("""COMPUTED_VALUE"""),1.027)</f>
        <v>1.027</v>
      </c>
      <c r="E6202" s="16">
        <f>IFERROR(__xludf.DUMMYFUNCTION("""COMPUTED_VALUE"""),63.0)</f>
        <v>63</v>
      </c>
      <c r="F6202" s="19" t="str">
        <f>IFERROR(__xludf.DUMMYFUNCTION("""COMPUTED_VALUE"""),"BLACK")</f>
        <v>BLACK</v>
      </c>
      <c r="G6202" s="20" t="str">
        <f>IFERROR(__xludf.DUMMYFUNCTION("""COMPUTED_VALUE"""),"Uncle Sams Cider (11/12/2021) 02")</f>
        <v>Uncle Sams Cider (11/12/2021) 02</v>
      </c>
      <c r="H6202" s="19"/>
    </row>
    <row r="6203">
      <c r="A6203" s="9"/>
      <c r="B6203" s="15"/>
      <c r="C6203" s="9">
        <f>IFERROR(__xludf.DUMMYFUNCTION("""COMPUTED_VALUE"""),44540.3727990856)</f>
        <v>44540.3728</v>
      </c>
      <c r="D6203" s="15">
        <f>IFERROR(__xludf.DUMMYFUNCTION("""COMPUTED_VALUE"""),1.027)</f>
        <v>1.027</v>
      </c>
      <c r="E6203" s="16">
        <f>IFERROR(__xludf.DUMMYFUNCTION("""COMPUTED_VALUE"""),63.0)</f>
        <v>63</v>
      </c>
      <c r="F6203" s="19" t="str">
        <f>IFERROR(__xludf.DUMMYFUNCTION("""COMPUTED_VALUE"""),"BLACK")</f>
        <v>BLACK</v>
      </c>
      <c r="G6203" s="20" t="str">
        <f>IFERROR(__xludf.DUMMYFUNCTION("""COMPUTED_VALUE"""),"Uncle Sams Cider (11/12/2021) 02")</f>
        <v>Uncle Sams Cider (11/12/2021) 02</v>
      </c>
      <c r="H6203" s="19"/>
    </row>
    <row r="6204">
      <c r="A6204" s="9"/>
      <c r="B6204" s="15"/>
      <c r="C6204" s="9">
        <f>IFERROR(__xludf.DUMMYFUNCTION("""COMPUTED_VALUE"""),44540.3623784953)</f>
        <v>44540.36238</v>
      </c>
      <c r="D6204" s="15">
        <f>IFERROR(__xludf.DUMMYFUNCTION("""COMPUTED_VALUE"""),1.027)</f>
        <v>1.027</v>
      </c>
      <c r="E6204" s="16">
        <f>IFERROR(__xludf.DUMMYFUNCTION("""COMPUTED_VALUE"""),63.0)</f>
        <v>63</v>
      </c>
      <c r="F6204" s="19" t="str">
        <f>IFERROR(__xludf.DUMMYFUNCTION("""COMPUTED_VALUE"""),"BLACK")</f>
        <v>BLACK</v>
      </c>
      <c r="G6204" s="20" t="str">
        <f>IFERROR(__xludf.DUMMYFUNCTION("""COMPUTED_VALUE"""),"Uncle Sams Cider (11/12/2021) 02")</f>
        <v>Uncle Sams Cider (11/12/2021) 02</v>
      </c>
      <c r="H6204" s="19"/>
    </row>
    <row r="6205">
      <c r="A6205" s="9"/>
      <c r="B6205" s="15"/>
      <c r="C6205" s="9">
        <f>IFERROR(__xludf.DUMMYFUNCTION("""COMPUTED_VALUE"""),44540.3519448263)</f>
        <v>44540.35194</v>
      </c>
      <c r="D6205" s="15">
        <f>IFERROR(__xludf.DUMMYFUNCTION("""COMPUTED_VALUE"""),1.027)</f>
        <v>1.027</v>
      </c>
      <c r="E6205" s="16">
        <f>IFERROR(__xludf.DUMMYFUNCTION("""COMPUTED_VALUE"""),63.0)</f>
        <v>63</v>
      </c>
      <c r="F6205" s="19" t="str">
        <f>IFERROR(__xludf.DUMMYFUNCTION("""COMPUTED_VALUE"""),"BLACK")</f>
        <v>BLACK</v>
      </c>
      <c r="G6205" s="20" t="str">
        <f>IFERROR(__xludf.DUMMYFUNCTION("""COMPUTED_VALUE"""),"Uncle Sams Cider (11/12/2021) 02")</f>
        <v>Uncle Sams Cider (11/12/2021) 02</v>
      </c>
      <c r="H6205" s="19"/>
    </row>
    <row r="6206">
      <c r="A6206" s="9"/>
      <c r="B6206" s="15"/>
      <c r="C6206" s="9">
        <f>IFERROR(__xludf.DUMMYFUNCTION("""COMPUTED_VALUE"""),44540.341523831)</f>
        <v>44540.34152</v>
      </c>
      <c r="D6206" s="15">
        <f>IFERROR(__xludf.DUMMYFUNCTION("""COMPUTED_VALUE"""),1.027)</f>
        <v>1.027</v>
      </c>
      <c r="E6206" s="16">
        <f>IFERROR(__xludf.DUMMYFUNCTION("""COMPUTED_VALUE"""),63.0)</f>
        <v>63</v>
      </c>
      <c r="F6206" s="19" t="str">
        <f>IFERROR(__xludf.DUMMYFUNCTION("""COMPUTED_VALUE"""),"BLACK")</f>
        <v>BLACK</v>
      </c>
      <c r="G6206" s="20" t="str">
        <f>IFERROR(__xludf.DUMMYFUNCTION("""COMPUTED_VALUE"""),"Uncle Sams Cider (11/12/2021) 02")</f>
        <v>Uncle Sams Cider (11/12/2021) 02</v>
      </c>
      <c r="H6206" s="19"/>
    </row>
    <row r="6207">
      <c r="A6207" s="9"/>
      <c r="B6207" s="15"/>
      <c r="C6207" s="9">
        <f>IFERROR(__xludf.DUMMYFUNCTION("""COMPUTED_VALUE"""),44540.3310689351)</f>
        <v>44540.33107</v>
      </c>
      <c r="D6207" s="15">
        <f>IFERROR(__xludf.DUMMYFUNCTION("""COMPUTED_VALUE"""),1.027)</f>
        <v>1.027</v>
      </c>
      <c r="E6207" s="16">
        <f>IFERROR(__xludf.DUMMYFUNCTION("""COMPUTED_VALUE"""),63.0)</f>
        <v>63</v>
      </c>
      <c r="F6207" s="19" t="str">
        <f>IFERROR(__xludf.DUMMYFUNCTION("""COMPUTED_VALUE"""),"BLACK")</f>
        <v>BLACK</v>
      </c>
      <c r="G6207" s="20" t="str">
        <f>IFERROR(__xludf.DUMMYFUNCTION("""COMPUTED_VALUE"""),"Uncle Sams Cider (11/12/2021) 02")</f>
        <v>Uncle Sams Cider (11/12/2021) 02</v>
      </c>
      <c r="H6207" s="19"/>
    </row>
    <row r="6208">
      <c r="A6208" s="9"/>
      <c r="B6208" s="15"/>
      <c r="C6208" s="9">
        <f>IFERROR(__xludf.DUMMYFUNCTION("""COMPUTED_VALUE"""),44540.32064875)</f>
        <v>44540.32065</v>
      </c>
      <c r="D6208" s="15">
        <f>IFERROR(__xludf.DUMMYFUNCTION("""COMPUTED_VALUE"""),1.027)</f>
        <v>1.027</v>
      </c>
      <c r="E6208" s="16">
        <f>IFERROR(__xludf.DUMMYFUNCTION("""COMPUTED_VALUE"""),63.0)</f>
        <v>63</v>
      </c>
      <c r="F6208" s="19" t="str">
        <f>IFERROR(__xludf.DUMMYFUNCTION("""COMPUTED_VALUE"""),"BLACK")</f>
        <v>BLACK</v>
      </c>
      <c r="G6208" s="20" t="str">
        <f>IFERROR(__xludf.DUMMYFUNCTION("""COMPUTED_VALUE"""),"Uncle Sams Cider (11/12/2021) 02")</f>
        <v>Uncle Sams Cider (11/12/2021) 02</v>
      </c>
      <c r="H6208" s="19"/>
    </row>
    <row r="6209">
      <c r="A6209" s="9"/>
      <c r="B6209" s="15"/>
      <c r="C6209" s="9">
        <f>IFERROR(__xludf.DUMMYFUNCTION("""COMPUTED_VALUE"""),44540.3102159722)</f>
        <v>44540.31022</v>
      </c>
      <c r="D6209" s="15">
        <f>IFERROR(__xludf.DUMMYFUNCTION("""COMPUTED_VALUE"""),1.027)</f>
        <v>1.027</v>
      </c>
      <c r="E6209" s="16">
        <f>IFERROR(__xludf.DUMMYFUNCTION("""COMPUTED_VALUE"""),63.0)</f>
        <v>63</v>
      </c>
      <c r="F6209" s="19" t="str">
        <f>IFERROR(__xludf.DUMMYFUNCTION("""COMPUTED_VALUE"""),"BLACK")</f>
        <v>BLACK</v>
      </c>
      <c r="G6209" s="20" t="str">
        <f>IFERROR(__xludf.DUMMYFUNCTION("""COMPUTED_VALUE"""),"Uncle Sams Cider (11/12/2021) 02")</f>
        <v>Uncle Sams Cider (11/12/2021) 02</v>
      </c>
      <c r="H6209" s="19"/>
    </row>
    <row r="6210">
      <c r="A6210" s="9"/>
      <c r="B6210" s="15"/>
      <c r="C6210" s="9">
        <f>IFERROR(__xludf.DUMMYFUNCTION("""COMPUTED_VALUE"""),44540.2997926388)</f>
        <v>44540.29979</v>
      </c>
      <c r="D6210" s="15">
        <f>IFERROR(__xludf.DUMMYFUNCTION("""COMPUTED_VALUE"""),1.027)</f>
        <v>1.027</v>
      </c>
      <c r="E6210" s="16">
        <f>IFERROR(__xludf.DUMMYFUNCTION("""COMPUTED_VALUE"""),63.0)</f>
        <v>63</v>
      </c>
      <c r="F6210" s="19" t="str">
        <f>IFERROR(__xludf.DUMMYFUNCTION("""COMPUTED_VALUE"""),"BLACK")</f>
        <v>BLACK</v>
      </c>
      <c r="G6210" s="20" t="str">
        <f>IFERROR(__xludf.DUMMYFUNCTION("""COMPUTED_VALUE"""),"Uncle Sams Cider (11/12/2021) 02")</f>
        <v>Uncle Sams Cider (11/12/2021) 02</v>
      </c>
      <c r="H6210" s="19"/>
    </row>
    <row r="6211">
      <c r="A6211" s="9"/>
      <c r="B6211" s="15"/>
      <c r="C6211" s="9">
        <f>IFERROR(__xludf.DUMMYFUNCTION("""COMPUTED_VALUE"""),44540.2893593634)</f>
        <v>44540.28936</v>
      </c>
      <c r="D6211" s="15">
        <f>IFERROR(__xludf.DUMMYFUNCTION("""COMPUTED_VALUE"""),1.027)</f>
        <v>1.027</v>
      </c>
      <c r="E6211" s="16">
        <f>IFERROR(__xludf.DUMMYFUNCTION("""COMPUTED_VALUE"""),63.0)</f>
        <v>63</v>
      </c>
      <c r="F6211" s="19" t="str">
        <f>IFERROR(__xludf.DUMMYFUNCTION("""COMPUTED_VALUE"""),"BLACK")</f>
        <v>BLACK</v>
      </c>
      <c r="G6211" s="20" t="str">
        <f>IFERROR(__xludf.DUMMYFUNCTION("""COMPUTED_VALUE"""),"Uncle Sams Cider (11/12/2021) 02")</f>
        <v>Uncle Sams Cider (11/12/2021) 02</v>
      </c>
      <c r="H6211" s="19"/>
    </row>
    <row r="6212">
      <c r="A6212" s="9"/>
      <c r="B6212" s="15"/>
      <c r="C6212" s="9">
        <f>IFERROR(__xludf.DUMMYFUNCTION("""COMPUTED_VALUE"""),44540.2789261574)</f>
        <v>44540.27893</v>
      </c>
      <c r="D6212" s="15">
        <f>IFERROR(__xludf.DUMMYFUNCTION("""COMPUTED_VALUE"""),1.027)</f>
        <v>1.027</v>
      </c>
      <c r="E6212" s="16">
        <f>IFERROR(__xludf.DUMMYFUNCTION("""COMPUTED_VALUE"""),63.0)</f>
        <v>63</v>
      </c>
      <c r="F6212" s="19" t="str">
        <f>IFERROR(__xludf.DUMMYFUNCTION("""COMPUTED_VALUE"""),"BLACK")</f>
        <v>BLACK</v>
      </c>
      <c r="G6212" s="20" t="str">
        <f>IFERROR(__xludf.DUMMYFUNCTION("""COMPUTED_VALUE"""),"Uncle Sams Cider (11/12/2021) 02")</f>
        <v>Uncle Sams Cider (11/12/2021) 02</v>
      </c>
      <c r="H6212" s="19"/>
    </row>
    <row r="6213">
      <c r="A6213" s="9"/>
      <c r="B6213" s="15"/>
      <c r="C6213" s="9">
        <f>IFERROR(__xludf.DUMMYFUNCTION("""COMPUTED_VALUE"""),44540.2684954282)</f>
        <v>44540.2685</v>
      </c>
      <c r="D6213" s="15">
        <f>IFERROR(__xludf.DUMMYFUNCTION("""COMPUTED_VALUE"""),1.027)</f>
        <v>1.027</v>
      </c>
      <c r="E6213" s="16">
        <f>IFERROR(__xludf.DUMMYFUNCTION("""COMPUTED_VALUE"""),63.0)</f>
        <v>63</v>
      </c>
      <c r="F6213" s="19" t="str">
        <f>IFERROR(__xludf.DUMMYFUNCTION("""COMPUTED_VALUE"""),"BLACK")</f>
        <v>BLACK</v>
      </c>
      <c r="G6213" s="20" t="str">
        <f>IFERROR(__xludf.DUMMYFUNCTION("""COMPUTED_VALUE"""),"Uncle Sams Cider (11/12/2021) 02")</f>
        <v>Uncle Sams Cider (11/12/2021) 02</v>
      </c>
      <c r="H6213" s="19"/>
    </row>
    <row r="6214">
      <c r="A6214" s="9"/>
      <c r="B6214" s="15"/>
      <c r="C6214" s="9">
        <f>IFERROR(__xludf.DUMMYFUNCTION("""COMPUTED_VALUE"""),44540.2580756365)</f>
        <v>44540.25808</v>
      </c>
      <c r="D6214" s="15">
        <f>IFERROR(__xludf.DUMMYFUNCTION("""COMPUTED_VALUE"""),1.027)</f>
        <v>1.027</v>
      </c>
      <c r="E6214" s="16">
        <f>IFERROR(__xludf.DUMMYFUNCTION("""COMPUTED_VALUE"""),63.0)</f>
        <v>63</v>
      </c>
      <c r="F6214" s="19" t="str">
        <f>IFERROR(__xludf.DUMMYFUNCTION("""COMPUTED_VALUE"""),"BLACK")</f>
        <v>BLACK</v>
      </c>
      <c r="G6214" s="20" t="str">
        <f>IFERROR(__xludf.DUMMYFUNCTION("""COMPUTED_VALUE"""),"Uncle Sams Cider (11/12/2021) 02")</f>
        <v>Uncle Sams Cider (11/12/2021) 02</v>
      </c>
      <c r="H6214" s="19"/>
    </row>
    <row r="6215">
      <c r="A6215" s="9"/>
      <c r="B6215" s="15"/>
      <c r="C6215" s="9">
        <f>IFERROR(__xludf.DUMMYFUNCTION("""COMPUTED_VALUE"""),44540.2476521759)</f>
        <v>44540.24765</v>
      </c>
      <c r="D6215" s="15">
        <f>IFERROR(__xludf.DUMMYFUNCTION("""COMPUTED_VALUE"""),1.027)</f>
        <v>1.027</v>
      </c>
      <c r="E6215" s="16">
        <f>IFERROR(__xludf.DUMMYFUNCTION("""COMPUTED_VALUE"""),63.0)</f>
        <v>63</v>
      </c>
      <c r="F6215" s="19" t="str">
        <f>IFERROR(__xludf.DUMMYFUNCTION("""COMPUTED_VALUE"""),"BLACK")</f>
        <v>BLACK</v>
      </c>
      <c r="G6215" s="20" t="str">
        <f>IFERROR(__xludf.DUMMYFUNCTION("""COMPUTED_VALUE"""),"Uncle Sams Cider (11/12/2021) 02")</f>
        <v>Uncle Sams Cider (11/12/2021) 02</v>
      </c>
      <c r="H6215" s="19"/>
    </row>
    <row r="6216">
      <c r="A6216" s="9"/>
      <c r="B6216" s="15"/>
      <c r="C6216" s="9">
        <f>IFERROR(__xludf.DUMMYFUNCTION("""COMPUTED_VALUE"""),44540.2372310069)</f>
        <v>44540.23723</v>
      </c>
      <c r="D6216" s="15">
        <f>IFERROR(__xludf.DUMMYFUNCTION("""COMPUTED_VALUE"""),1.027)</f>
        <v>1.027</v>
      </c>
      <c r="E6216" s="16">
        <f>IFERROR(__xludf.DUMMYFUNCTION("""COMPUTED_VALUE"""),63.0)</f>
        <v>63</v>
      </c>
      <c r="F6216" s="19" t="str">
        <f>IFERROR(__xludf.DUMMYFUNCTION("""COMPUTED_VALUE"""),"BLACK")</f>
        <v>BLACK</v>
      </c>
      <c r="G6216" s="20" t="str">
        <f>IFERROR(__xludf.DUMMYFUNCTION("""COMPUTED_VALUE"""),"Uncle Sams Cider (11/12/2021) 02")</f>
        <v>Uncle Sams Cider (11/12/2021) 02</v>
      </c>
      <c r="H6216" s="19"/>
    </row>
    <row r="6217">
      <c r="A6217" s="9"/>
      <c r="B6217" s="15"/>
      <c r="C6217" s="9">
        <f>IFERROR(__xludf.DUMMYFUNCTION("""COMPUTED_VALUE"""),44540.2268093981)</f>
        <v>44540.22681</v>
      </c>
      <c r="D6217" s="15">
        <f>IFERROR(__xludf.DUMMYFUNCTION("""COMPUTED_VALUE"""),1.027)</f>
        <v>1.027</v>
      </c>
      <c r="E6217" s="16">
        <f>IFERROR(__xludf.DUMMYFUNCTION("""COMPUTED_VALUE"""),63.0)</f>
        <v>63</v>
      </c>
      <c r="F6217" s="19" t="str">
        <f>IFERROR(__xludf.DUMMYFUNCTION("""COMPUTED_VALUE"""),"BLACK")</f>
        <v>BLACK</v>
      </c>
      <c r="G6217" s="20" t="str">
        <f>IFERROR(__xludf.DUMMYFUNCTION("""COMPUTED_VALUE"""),"Uncle Sams Cider (11/12/2021) 02")</f>
        <v>Uncle Sams Cider (11/12/2021) 02</v>
      </c>
      <c r="H6217" s="19"/>
    </row>
    <row r="6218">
      <c r="A6218" s="9"/>
      <c r="B6218" s="15"/>
      <c r="C6218" s="9">
        <f>IFERROR(__xludf.DUMMYFUNCTION("""COMPUTED_VALUE"""),44540.2163794097)</f>
        <v>44540.21638</v>
      </c>
      <c r="D6218" s="15">
        <f>IFERROR(__xludf.DUMMYFUNCTION("""COMPUTED_VALUE"""),1.027)</f>
        <v>1.027</v>
      </c>
      <c r="E6218" s="16">
        <f>IFERROR(__xludf.DUMMYFUNCTION("""COMPUTED_VALUE"""),63.0)</f>
        <v>63</v>
      </c>
      <c r="F6218" s="19" t="str">
        <f>IFERROR(__xludf.DUMMYFUNCTION("""COMPUTED_VALUE"""),"BLACK")</f>
        <v>BLACK</v>
      </c>
      <c r="G6218" s="20" t="str">
        <f>IFERROR(__xludf.DUMMYFUNCTION("""COMPUTED_VALUE"""),"Uncle Sams Cider (11/12/2021) 02")</f>
        <v>Uncle Sams Cider (11/12/2021) 02</v>
      </c>
      <c r="H6218" s="19"/>
    </row>
    <row r="6219">
      <c r="A6219" s="9"/>
      <c r="B6219" s="15"/>
      <c r="C6219" s="9">
        <f>IFERROR(__xludf.DUMMYFUNCTION("""COMPUTED_VALUE"""),44540.2059562962)</f>
        <v>44540.20596</v>
      </c>
      <c r="D6219" s="15">
        <f>IFERROR(__xludf.DUMMYFUNCTION("""COMPUTED_VALUE"""),1.027)</f>
        <v>1.027</v>
      </c>
      <c r="E6219" s="16">
        <f>IFERROR(__xludf.DUMMYFUNCTION("""COMPUTED_VALUE"""),63.0)</f>
        <v>63</v>
      </c>
      <c r="F6219" s="19" t="str">
        <f>IFERROR(__xludf.DUMMYFUNCTION("""COMPUTED_VALUE"""),"BLACK")</f>
        <v>BLACK</v>
      </c>
      <c r="G6219" s="20" t="str">
        <f>IFERROR(__xludf.DUMMYFUNCTION("""COMPUTED_VALUE"""),"Uncle Sams Cider (11/12/2021) 02")</f>
        <v>Uncle Sams Cider (11/12/2021) 02</v>
      </c>
      <c r="H6219" s="19"/>
    </row>
    <row r="6220">
      <c r="A6220" s="9"/>
      <c r="B6220" s="15"/>
      <c r="C6220" s="9">
        <f>IFERROR(__xludf.DUMMYFUNCTION("""COMPUTED_VALUE"""),44540.195524074)</f>
        <v>44540.19552</v>
      </c>
      <c r="D6220" s="15">
        <f>IFERROR(__xludf.DUMMYFUNCTION("""COMPUTED_VALUE"""),1.027)</f>
        <v>1.027</v>
      </c>
      <c r="E6220" s="16">
        <f>IFERROR(__xludf.DUMMYFUNCTION("""COMPUTED_VALUE"""),63.0)</f>
        <v>63</v>
      </c>
      <c r="F6220" s="19" t="str">
        <f>IFERROR(__xludf.DUMMYFUNCTION("""COMPUTED_VALUE"""),"BLACK")</f>
        <v>BLACK</v>
      </c>
      <c r="G6220" s="20" t="str">
        <f>IFERROR(__xludf.DUMMYFUNCTION("""COMPUTED_VALUE"""),"Uncle Sams Cider (11/12/2021) 02")</f>
        <v>Uncle Sams Cider (11/12/2021) 02</v>
      </c>
      <c r="H6220" s="19"/>
    </row>
    <row r="6221">
      <c r="A6221" s="9"/>
      <c r="B6221" s="15"/>
      <c r="C6221" s="9">
        <f>IFERROR(__xludf.DUMMYFUNCTION("""COMPUTED_VALUE"""),44540.1851026967)</f>
        <v>44540.1851</v>
      </c>
      <c r="D6221" s="15">
        <f>IFERROR(__xludf.DUMMYFUNCTION("""COMPUTED_VALUE"""),1.027)</f>
        <v>1.027</v>
      </c>
      <c r="E6221" s="16">
        <f>IFERROR(__xludf.DUMMYFUNCTION("""COMPUTED_VALUE"""),63.0)</f>
        <v>63</v>
      </c>
      <c r="F6221" s="19" t="str">
        <f>IFERROR(__xludf.DUMMYFUNCTION("""COMPUTED_VALUE"""),"BLACK")</f>
        <v>BLACK</v>
      </c>
      <c r="G6221" s="20" t="str">
        <f>IFERROR(__xludf.DUMMYFUNCTION("""COMPUTED_VALUE"""),"Uncle Sams Cider (11/12/2021) 02")</f>
        <v>Uncle Sams Cider (11/12/2021) 02</v>
      </c>
      <c r="H6221" s="19"/>
    </row>
    <row r="6222">
      <c r="A6222" s="9"/>
      <c r="B6222" s="15"/>
      <c r="C6222" s="9">
        <f>IFERROR(__xludf.DUMMYFUNCTION("""COMPUTED_VALUE"""),44540.174671331)</f>
        <v>44540.17467</v>
      </c>
      <c r="D6222" s="15">
        <f>IFERROR(__xludf.DUMMYFUNCTION("""COMPUTED_VALUE"""),1.027)</f>
        <v>1.027</v>
      </c>
      <c r="E6222" s="16">
        <f>IFERROR(__xludf.DUMMYFUNCTION("""COMPUTED_VALUE"""),63.0)</f>
        <v>63</v>
      </c>
      <c r="F6222" s="19" t="str">
        <f>IFERROR(__xludf.DUMMYFUNCTION("""COMPUTED_VALUE"""),"BLACK")</f>
        <v>BLACK</v>
      </c>
      <c r="G6222" s="20" t="str">
        <f>IFERROR(__xludf.DUMMYFUNCTION("""COMPUTED_VALUE"""),"Uncle Sams Cider (11/12/2021) 02")</f>
        <v>Uncle Sams Cider (11/12/2021) 02</v>
      </c>
      <c r="H6222" s="19"/>
    </row>
    <row r="6223">
      <c r="A6223" s="9"/>
      <c r="B6223" s="15"/>
      <c r="C6223" s="9">
        <f>IFERROR(__xludf.DUMMYFUNCTION("""COMPUTED_VALUE"""),44540.1642498032)</f>
        <v>44540.16425</v>
      </c>
      <c r="D6223" s="15">
        <f>IFERROR(__xludf.DUMMYFUNCTION("""COMPUTED_VALUE"""),1.027)</f>
        <v>1.027</v>
      </c>
      <c r="E6223" s="16">
        <f>IFERROR(__xludf.DUMMYFUNCTION("""COMPUTED_VALUE"""),63.0)</f>
        <v>63</v>
      </c>
      <c r="F6223" s="19" t="str">
        <f>IFERROR(__xludf.DUMMYFUNCTION("""COMPUTED_VALUE"""),"BLACK")</f>
        <v>BLACK</v>
      </c>
      <c r="G6223" s="20" t="str">
        <f>IFERROR(__xludf.DUMMYFUNCTION("""COMPUTED_VALUE"""),"Uncle Sams Cider (11/12/2021) 02")</f>
        <v>Uncle Sams Cider (11/12/2021) 02</v>
      </c>
      <c r="H6223" s="19"/>
    </row>
    <row r="6224">
      <c r="A6224" s="9"/>
      <c r="B6224" s="15"/>
      <c r="C6224" s="9">
        <f>IFERROR(__xludf.DUMMYFUNCTION("""COMPUTED_VALUE"""),44540.1537950578)</f>
        <v>44540.1538</v>
      </c>
      <c r="D6224" s="15">
        <f>IFERROR(__xludf.DUMMYFUNCTION("""COMPUTED_VALUE"""),1.027)</f>
        <v>1.027</v>
      </c>
      <c r="E6224" s="16">
        <f>IFERROR(__xludf.DUMMYFUNCTION("""COMPUTED_VALUE"""),63.0)</f>
        <v>63</v>
      </c>
      <c r="F6224" s="19" t="str">
        <f>IFERROR(__xludf.DUMMYFUNCTION("""COMPUTED_VALUE"""),"BLACK")</f>
        <v>BLACK</v>
      </c>
      <c r="G6224" s="20" t="str">
        <f>IFERROR(__xludf.DUMMYFUNCTION("""COMPUTED_VALUE"""),"Uncle Sams Cider (11/12/2021) 02")</f>
        <v>Uncle Sams Cider (11/12/2021) 02</v>
      </c>
      <c r="H6224" s="19"/>
    </row>
    <row r="6225">
      <c r="A6225" s="9"/>
      <c r="B6225" s="15"/>
      <c r="C6225" s="9">
        <f>IFERROR(__xludf.DUMMYFUNCTION("""COMPUTED_VALUE"""),44540.1433723148)</f>
        <v>44540.14337</v>
      </c>
      <c r="D6225" s="15">
        <f>IFERROR(__xludf.DUMMYFUNCTION("""COMPUTED_VALUE"""),1.027)</f>
        <v>1.027</v>
      </c>
      <c r="E6225" s="16">
        <f>IFERROR(__xludf.DUMMYFUNCTION("""COMPUTED_VALUE"""),63.0)</f>
        <v>63</v>
      </c>
      <c r="F6225" s="19" t="str">
        <f>IFERROR(__xludf.DUMMYFUNCTION("""COMPUTED_VALUE"""),"BLACK")</f>
        <v>BLACK</v>
      </c>
      <c r="G6225" s="20" t="str">
        <f>IFERROR(__xludf.DUMMYFUNCTION("""COMPUTED_VALUE"""),"Uncle Sams Cider (11/12/2021) 02")</f>
        <v>Uncle Sams Cider (11/12/2021) 02</v>
      </c>
      <c r="H6225" s="19"/>
    </row>
    <row r="6226">
      <c r="A6226" s="9"/>
      <c r="B6226" s="15"/>
      <c r="C6226" s="9">
        <f>IFERROR(__xludf.DUMMYFUNCTION("""COMPUTED_VALUE"""),44540.1329510416)</f>
        <v>44540.13295</v>
      </c>
      <c r="D6226" s="15">
        <f>IFERROR(__xludf.DUMMYFUNCTION("""COMPUTED_VALUE"""),1.027)</f>
        <v>1.027</v>
      </c>
      <c r="E6226" s="16">
        <f>IFERROR(__xludf.DUMMYFUNCTION("""COMPUTED_VALUE"""),63.0)</f>
        <v>63</v>
      </c>
      <c r="F6226" s="19" t="str">
        <f>IFERROR(__xludf.DUMMYFUNCTION("""COMPUTED_VALUE"""),"BLACK")</f>
        <v>BLACK</v>
      </c>
      <c r="G6226" s="20" t="str">
        <f>IFERROR(__xludf.DUMMYFUNCTION("""COMPUTED_VALUE"""),"Uncle Sams Cider (11/12/2021) 02")</f>
        <v>Uncle Sams Cider (11/12/2021) 02</v>
      </c>
      <c r="H6226" s="19"/>
    </row>
    <row r="6227">
      <c r="A6227" s="9"/>
      <c r="B6227" s="15"/>
      <c r="C6227" s="9">
        <f>IFERROR(__xludf.DUMMYFUNCTION("""COMPUTED_VALUE"""),44540.1225300231)</f>
        <v>44540.12253</v>
      </c>
      <c r="D6227" s="15">
        <f>IFERROR(__xludf.DUMMYFUNCTION("""COMPUTED_VALUE"""),1.027)</f>
        <v>1.027</v>
      </c>
      <c r="E6227" s="16">
        <f>IFERROR(__xludf.DUMMYFUNCTION("""COMPUTED_VALUE"""),63.0)</f>
        <v>63</v>
      </c>
      <c r="F6227" s="19" t="str">
        <f>IFERROR(__xludf.DUMMYFUNCTION("""COMPUTED_VALUE"""),"BLACK")</f>
        <v>BLACK</v>
      </c>
      <c r="G6227" s="20" t="str">
        <f>IFERROR(__xludf.DUMMYFUNCTION("""COMPUTED_VALUE"""),"Uncle Sams Cider (11/12/2021) 02")</f>
        <v>Uncle Sams Cider (11/12/2021) 02</v>
      </c>
      <c r="H6227" s="19"/>
    </row>
    <row r="6228">
      <c r="A6228" s="9"/>
      <c r="B6228" s="15"/>
      <c r="C6228" s="9">
        <f>IFERROR(__xludf.DUMMYFUNCTION("""COMPUTED_VALUE"""),44540.1121092592)</f>
        <v>44540.11211</v>
      </c>
      <c r="D6228" s="15">
        <f>IFERROR(__xludf.DUMMYFUNCTION("""COMPUTED_VALUE"""),1.027)</f>
        <v>1.027</v>
      </c>
      <c r="E6228" s="16">
        <f>IFERROR(__xludf.DUMMYFUNCTION("""COMPUTED_VALUE"""),63.0)</f>
        <v>63</v>
      </c>
      <c r="F6228" s="19" t="str">
        <f>IFERROR(__xludf.DUMMYFUNCTION("""COMPUTED_VALUE"""),"BLACK")</f>
        <v>BLACK</v>
      </c>
      <c r="G6228" s="20" t="str">
        <f>IFERROR(__xludf.DUMMYFUNCTION("""COMPUTED_VALUE"""),"Uncle Sams Cider (11/12/2021) 02")</f>
        <v>Uncle Sams Cider (11/12/2021) 02</v>
      </c>
      <c r="H6228" s="19"/>
    </row>
    <row r="6229">
      <c r="A6229" s="9"/>
      <c r="B6229" s="15"/>
      <c r="C6229" s="9">
        <f>IFERROR(__xludf.DUMMYFUNCTION("""COMPUTED_VALUE"""),44540.1016776273)</f>
        <v>44540.10168</v>
      </c>
      <c r="D6229" s="15">
        <f>IFERROR(__xludf.DUMMYFUNCTION("""COMPUTED_VALUE"""),1.028)</f>
        <v>1.028</v>
      </c>
      <c r="E6229" s="16">
        <f>IFERROR(__xludf.DUMMYFUNCTION("""COMPUTED_VALUE"""),63.0)</f>
        <v>63</v>
      </c>
      <c r="F6229" s="19" t="str">
        <f>IFERROR(__xludf.DUMMYFUNCTION("""COMPUTED_VALUE"""),"BLACK")</f>
        <v>BLACK</v>
      </c>
      <c r="G6229" s="20" t="str">
        <f>IFERROR(__xludf.DUMMYFUNCTION("""COMPUTED_VALUE"""),"Uncle Sams Cider (11/12/2021) 02")</f>
        <v>Uncle Sams Cider (11/12/2021) 02</v>
      </c>
      <c r="H6229" s="19"/>
    </row>
    <row r="6230">
      <c r="A6230" s="9"/>
      <c r="B6230" s="15"/>
      <c r="C6230" s="9">
        <f>IFERROR(__xludf.DUMMYFUNCTION("""COMPUTED_VALUE"""),44540.0912451157)</f>
        <v>44540.09125</v>
      </c>
      <c r="D6230" s="15">
        <f>IFERROR(__xludf.DUMMYFUNCTION("""COMPUTED_VALUE"""),1.027)</f>
        <v>1.027</v>
      </c>
      <c r="E6230" s="16">
        <f>IFERROR(__xludf.DUMMYFUNCTION("""COMPUTED_VALUE"""),63.0)</f>
        <v>63</v>
      </c>
      <c r="F6230" s="19" t="str">
        <f>IFERROR(__xludf.DUMMYFUNCTION("""COMPUTED_VALUE"""),"BLACK")</f>
        <v>BLACK</v>
      </c>
      <c r="G6230" s="20" t="str">
        <f>IFERROR(__xludf.DUMMYFUNCTION("""COMPUTED_VALUE"""),"Uncle Sams Cider (11/12/2021) 02")</f>
        <v>Uncle Sams Cider (11/12/2021) 02</v>
      </c>
      <c r="H6230" s="19"/>
    </row>
    <row r="6231">
      <c r="A6231" s="9"/>
      <c r="B6231" s="15"/>
      <c r="C6231" s="9">
        <f>IFERROR(__xludf.DUMMYFUNCTION("""COMPUTED_VALUE"""),44540.0808218287)</f>
        <v>44540.08082</v>
      </c>
      <c r="D6231" s="15">
        <f>IFERROR(__xludf.DUMMYFUNCTION("""COMPUTED_VALUE"""),1.027)</f>
        <v>1.027</v>
      </c>
      <c r="E6231" s="16">
        <f>IFERROR(__xludf.DUMMYFUNCTION("""COMPUTED_VALUE"""),63.0)</f>
        <v>63</v>
      </c>
      <c r="F6231" s="19" t="str">
        <f>IFERROR(__xludf.DUMMYFUNCTION("""COMPUTED_VALUE"""),"BLACK")</f>
        <v>BLACK</v>
      </c>
      <c r="G6231" s="20" t="str">
        <f>IFERROR(__xludf.DUMMYFUNCTION("""COMPUTED_VALUE"""),"Uncle Sams Cider (11/12/2021) 02")</f>
        <v>Uncle Sams Cider (11/12/2021) 02</v>
      </c>
      <c r="H6231" s="19"/>
    </row>
    <row r="6232">
      <c r="A6232" s="9"/>
      <c r="B6232" s="15"/>
      <c r="C6232" s="9">
        <f>IFERROR(__xludf.DUMMYFUNCTION("""COMPUTED_VALUE"""),44540.0703893634)</f>
        <v>44540.07039</v>
      </c>
      <c r="D6232" s="15">
        <f>IFERROR(__xludf.DUMMYFUNCTION("""COMPUTED_VALUE"""),1.027)</f>
        <v>1.027</v>
      </c>
      <c r="E6232" s="16">
        <f>IFERROR(__xludf.DUMMYFUNCTION("""COMPUTED_VALUE"""),63.0)</f>
        <v>63</v>
      </c>
      <c r="F6232" s="19" t="str">
        <f>IFERROR(__xludf.DUMMYFUNCTION("""COMPUTED_VALUE"""),"BLACK")</f>
        <v>BLACK</v>
      </c>
      <c r="G6232" s="20" t="str">
        <f>IFERROR(__xludf.DUMMYFUNCTION("""COMPUTED_VALUE"""),"Uncle Sams Cider (11/12/2021) 02")</f>
        <v>Uncle Sams Cider (11/12/2021) 02</v>
      </c>
      <c r="H6232" s="19"/>
    </row>
    <row r="6233">
      <c r="A6233" s="9"/>
      <c r="B6233" s="15"/>
      <c r="C6233" s="9">
        <f>IFERROR(__xludf.DUMMYFUNCTION("""COMPUTED_VALUE"""),44540.0599696064)</f>
        <v>44540.05997</v>
      </c>
      <c r="D6233" s="15">
        <f>IFERROR(__xludf.DUMMYFUNCTION("""COMPUTED_VALUE"""),1.027)</f>
        <v>1.027</v>
      </c>
      <c r="E6233" s="16">
        <f>IFERROR(__xludf.DUMMYFUNCTION("""COMPUTED_VALUE"""),63.0)</f>
        <v>63</v>
      </c>
      <c r="F6233" s="19" t="str">
        <f>IFERROR(__xludf.DUMMYFUNCTION("""COMPUTED_VALUE"""),"BLACK")</f>
        <v>BLACK</v>
      </c>
      <c r="G6233" s="20" t="str">
        <f>IFERROR(__xludf.DUMMYFUNCTION("""COMPUTED_VALUE"""),"Uncle Sams Cider (11/12/2021) 02")</f>
        <v>Uncle Sams Cider (11/12/2021) 02</v>
      </c>
      <c r="H6233" s="19"/>
    </row>
    <row r="6234">
      <c r="A6234" s="9"/>
      <c r="B6234" s="15"/>
      <c r="C6234" s="9">
        <f>IFERROR(__xludf.DUMMYFUNCTION("""COMPUTED_VALUE"""),44540.0495501388)</f>
        <v>44540.04955</v>
      </c>
      <c r="D6234" s="15">
        <f>IFERROR(__xludf.DUMMYFUNCTION("""COMPUTED_VALUE"""),1.027)</f>
        <v>1.027</v>
      </c>
      <c r="E6234" s="16">
        <f>IFERROR(__xludf.DUMMYFUNCTION("""COMPUTED_VALUE"""),63.0)</f>
        <v>63</v>
      </c>
      <c r="F6234" s="19" t="str">
        <f>IFERROR(__xludf.DUMMYFUNCTION("""COMPUTED_VALUE"""),"BLACK")</f>
        <v>BLACK</v>
      </c>
      <c r="G6234" s="20" t="str">
        <f>IFERROR(__xludf.DUMMYFUNCTION("""COMPUTED_VALUE"""),"Uncle Sams Cider (11/12/2021) 02")</f>
        <v>Uncle Sams Cider (11/12/2021) 02</v>
      </c>
      <c r="H6234" s="19"/>
    </row>
    <row r="6235">
      <c r="A6235" s="9"/>
      <c r="B6235" s="15"/>
      <c r="C6235" s="9">
        <f>IFERROR(__xludf.DUMMYFUNCTION("""COMPUTED_VALUE"""),44540.0391273032)</f>
        <v>44540.03913</v>
      </c>
      <c r="D6235" s="15">
        <f>IFERROR(__xludf.DUMMYFUNCTION("""COMPUTED_VALUE"""),1.027)</f>
        <v>1.027</v>
      </c>
      <c r="E6235" s="16">
        <f>IFERROR(__xludf.DUMMYFUNCTION("""COMPUTED_VALUE"""),63.0)</f>
        <v>63</v>
      </c>
      <c r="F6235" s="19" t="str">
        <f>IFERROR(__xludf.DUMMYFUNCTION("""COMPUTED_VALUE"""),"BLACK")</f>
        <v>BLACK</v>
      </c>
      <c r="G6235" s="20" t="str">
        <f>IFERROR(__xludf.DUMMYFUNCTION("""COMPUTED_VALUE"""),"Uncle Sams Cider (11/12/2021) 02")</f>
        <v>Uncle Sams Cider (11/12/2021) 02</v>
      </c>
      <c r="H6235" s="19"/>
    </row>
    <row r="6236">
      <c r="A6236" s="9"/>
      <c r="B6236" s="15"/>
      <c r="C6236" s="9">
        <f>IFERROR(__xludf.DUMMYFUNCTION("""COMPUTED_VALUE"""),44540.0287061458)</f>
        <v>44540.02871</v>
      </c>
      <c r="D6236" s="15">
        <f>IFERROR(__xludf.DUMMYFUNCTION("""COMPUTED_VALUE"""),1.027)</f>
        <v>1.027</v>
      </c>
      <c r="E6236" s="16">
        <f>IFERROR(__xludf.DUMMYFUNCTION("""COMPUTED_VALUE"""),63.0)</f>
        <v>63</v>
      </c>
      <c r="F6236" s="19" t="str">
        <f>IFERROR(__xludf.DUMMYFUNCTION("""COMPUTED_VALUE"""),"BLACK")</f>
        <v>BLACK</v>
      </c>
      <c r="G6236" s="20" t="str">
        <f>IFERROR(__xludf.DUMMYFUNCTION("""COMPUTED_VALUE"""),"Uncle Sams Cider (11/12/2021) 02")</f>
        <v>Uncle Sams Cider (11/12/2021) 02</v>
      </c>
      <c r="H6236" s="19"/>
    </row>
    <row r="6237">
      <c r="A6237" s="9"/>
      <c r="B6237" s="15"/>
      <c r="C6237" s="9">
        <f>IFERROR(__xludf.DUMMYFUNCTION("""COMPUTED_VALUE"""),44540.0182855671)</f>
        <v>44540.01829</v>
      </c>
      <c r="D6237" s="15">
        <f>IFERROR(__xludf.DUMMYFUNCTION("""COMPUTED_VALUE"""),1.027)</f>
        <v>1.027</v>
      </c>
      <c r="E6237" s="16">
        <f>IFERROR(__xludf.DUMMYFUNCTION("""COMPUTED_VALUE"""),63.0)</f>
        <v>63</v>
      </c>
      <c r="F6237" s="19" t="str">
        <f>IFERROR(__xludf.DUMMYFUNCTION("""COMPUTED_VALUE"""),"BLACK")</f>
        <v>BLACK</v>
      </c>
      <c r="G6237" s="20" t="str">
        <f>IFERROR(__xludf.DUMMYFUNCTION("""COMPUTED_VALUE"""),"Uncle Sams Cider (11/12/2021) 02")</f>
        <v>Uncle Sams Cider (11/12/2021) 02</v>
      </c>
      <c r="H6237" s="19"/>
    </row>
    <row r="6238">
      <c r="A6238" s="9"/>
      <c r="B6238" s="15"/>
      <c r="C6238" s="9">
        <f>IFERROR(__xludf.DUMMYFUNCTION("""COMPUTED_VALUE"""),44540.0078414467)</f>
        <v>44540.00784</v>
      </c>
      <c r="D6238" s="15">
        <f>IFERROR(__xludf.DUMMYFUNCTION("""COMPUTED_VALUE"""),1.028)</f>
        <v>1.028</v>
      </c>
      <c r="E6238" s="16">
        <f>IFERROR(__xludf.DUMMYFUNCTION("""COMPUTED_VALUE"""),63.0)</f>
        <v>63</v>
      </c>
      <c r="F6238" s="19" t="str">
        <f>IFERROR(__xludf.DUMMYFUNCTION("""COMPUTED_VALUE"""),"BLACK")</f>
        <v>BLACK</v>
      </c>
      <c r="G6238" s="20" t="str">
        <f>IFERROR(__xludf.DUMMYFUNCTION("""COMPUTED_VALUE"""),"Uncle Sams Cider (11/12/2021) 02")</f>
        <v>Uncle Sams Cider (11/12/2021) 02</v>
      </c>
      <c r="H6238" s="19"/>
    </row>
    <row r="6239">
      <c r="A6239" s="9"/>
      <c r="B6239" s="15"/>
      <c r="C6239" s="9">
        <f>IFERROR(__xludf.DUMMYFUNCTION("""COMPUTED_VALUE"""),44539.9973982175)</f>
        <v>44539.9974</v>
      </c>
      <c r="D6239" s="15">
        <f>IFERROR(__xludf.DUMMYFUNCTION("""COMPUTED_VALUE"""),1.027)</f>
        <v>1.027</v>
      </c>
      <c r="E6239" s="16">
        <f>IFERROR(__xludf.DUMMYFUNCTION("""COMPUTED_VALUE"""),63.0)</f>
        <v>63</v>
      </c>
      <c r="F6239" s="19" t="str">
        <f>IFERROR(__xludf.DUMMYFUNCTION("""COMPUTED_VALUE"""),"BLACK")</f>
        <v>BLACK</v>
      </c>
      <c r="G6239" s="20" t="str">
        <f>IFERROR(__xludf.DUMMYFUNCTION("""COMPUTED_VALUE"""),"Uncle Sams Cider (11/12/2021) 02")</f>
        <v>Uncle Sams Cider (11/12/2021) 02</v>
      </c>
      <c r="H6239" s="19"/>
    </row>
    <row r="6240">
      <c r="A6240" s="9"/>
      <c r="B6240" s="15"/>
      <c r="C6240" s="9">
        <f>IFERROR(__xludf.DUMMYFUNCTION("""COMPUTED_VALUE"""),44539.9869744444)</f>
        <v>44539.98697</v>
      </c>
      <c r="D6240" s="15">
        <f>IFERROR(__xludf.DUMMYFUNCTION("""COMPUTED_VALUE"""),1.027)</f>
        <v>1.027</v>
      </c>
      <c r="E6240" s="16">
        <f>IFERROR(__xludf.DUMMYFUNCTION("""COMPUTED_VALUE"""),63.0)</f>
        <v>63</v>
      </c>
      <c r="F6240" s="19" t="str">
        <f>IFERROR(__xludf.DUMMYFUNCTION("""COMPUTED_VALUE"""),"BLACK")</f>
        <v>BLACK</v>
      </c>
      <c r="G6240" s="20" t="str">
        <f>IFERROR(__xludf.DUMMYFUNCTION("""COMPUTED_VALUE"""),"Uncle Sams Cider (11/12/2021) 02")</f>
        <v>Uncle Sams Cider (11/12/2021) 02</v>
      </c>
      <c r="H6240" s="19"/>
    </row>
    <row r="6241">
      <c r="A6241" s="9"/>
      <c r="B6241" s="15"/>
      <c r="C6241" s="9">
        <f>IFERROR(__xludf.DUMMYFUNCTION("""COMPUTED_VALUE"""),44539.976553449)</f>
        <v>44539.97655</v>
      </c>
      <c r="D6241" s="15">
        <f>IFERROR(__xludf.DUMMYFUNCTION("""COMPUTED_VALUE"""),1.027)</f>
        <v>1.027</v>
      </c>
      <c r="E6241" s="16">
        <f>IFERROR(__xludf.DUMMYFUNCTION("""COMPUTED_VALUE"""),63.0)</f>
        <v>63</v>
      </c>
      <c r="F6241" s="19" t="str">
        <f>IFERROR(__xludf.DUMMYFUNCTION("""COMPUTED_VALUE"""),"BLACK")</f>
        <v>BLACK</v>
      </c>
      <c r="G6241" s="20" t="str">
        <f>IFERROR(__xludf.DUMMYFUNCTION("""COMPUTED_VALUE"""),"Uncle Sams Cider (11/12/2021) 02")</f>
        <v>Uncle Sams Cider (11/12/2021) 02</v>
      </c>
      <c r="H6241" s="19"/>
    </row>
    <row r="6242">
      <c r="A6242" s="9"/>
      <c r="B6242" s="15"/>
      <c r="C6242" s="9">
        <f>IFERROR(__xludf.DUMMYFUNCTION("""COMPUTED_VALUE"""),44539.9661307638)</f>
        <v>44539.96613</v>
      </c>
      <c r="D6242" s="15">
        <f>IFERROR(__xludf.DUMMYFUNCTION("""COMPUTED_VALUE"""),1.027)</f>
        <v>1.027</v>
      </c>
      <c r="E6242" s="16">
        <f>IFERROR(__xludf.DUMMYFUNCTION("""COMPUTED_VALUE"""),63.0)</f>
        <v>63</v>
      </c>
      <c r="F6242" s="19" t="str">
        <f>IFERROR(__xludf.DUMMYFUNCTION("""COMPUTED_VALUE"""),"BLACK")</f>
        <v>BLACK</v>
      </c>
      <c r="G6242" s="20" t="str">
        <f>IFERROR(__xludf.DUMMYFUNCTION("""COMPUTED_VALUE"""),"Uncle Sams Cider (11/12/2021) 02")</f>
        <v>Uncle Sams Cider (11/12/2021) 02</v>
      </c>
      <c r="H6242" s="19"/>
    </row>
    <row r="6243">
      <c r="A6243" s="9"/>
      <c r="B6243" s="15"/>
      <c r="C6243" s="9">
        <f>IFERROR(__xludf.DUMMYFUNCTION("""COMPUTED_VALUE"""),44539.9556993634)</f>
        <v>44539.9557</v>
      </c>
      <c r="D6243" s="15">
        <f>IFERROR(__xludf.DUMMYFUNCTION("""COMPUTED_VALUE"""),1.028)</f>
        <v>1.028</v>
      </c>
      <c r="E6243" s="16">
        <f>IFERROR(__xludf.DUMMYFUNCTION("""COMPUTED_VALUE"""),63.0)</f>
        <v>63</v>
      </c>
      <c r="F6243" s="19" t="str">
        <f>IFERROR(__xludf.DUMMYFUNCTION("""COMPUTED_VALUE"""),"BLACK")</f>
        <v>BLACK</v>
      </c>
      <c r="G6243" s="20" t="str">
        <f>IFERROR(__xludf.DUMMYFUNCTION("""COMPUTED_VALUE"""),"Uncle Sams Cider (11/12/2021) 02")</f>
        <v>Uncle Sams Cider (11/12/2021) 02</v>
      </c>
      <c r="H6243" s="19"/>
    </row>
    <row r="6244">
      <c r="A6244" s="9"/>
      <c r="B6244" s="15"/>
      <c r="C6244" s="9">
        <f>IFERROR(__xludf.DUMMYFUNCTION("""COMPUTED_VALUE"""),44539.945277581)</f>
        <v>44539.94528</v>
      </c>
      <c r="D6244" s="15">
        <f>IFERROR(__xludf.DUMMYFUNCTION("""COMPUTED_VALUE"""),1.027)</f>
        <v>1.027</v>
      </c>
      <c r="E6244" s="16">
        <f>IFERROR(__xludf.DUMMYFUNCTION("""COMPUTED_VALUE"""),63.0)</f>
        <v>63</v>
      </c>
      <c r="F6244" s="19" t="str">
        <f>IFERROR(__xludf.DUMMYFUNCTION("""COMPUTED_VALUE"""),"BLACK")</f>
        <v>BLACK</v>
      </c>
      <c r="G6244" s="20" t="str">
        <f>IFERROR(__xludf.DUMMYFUNCTION("""COMPUTED_VALUE"""),"Uncle Sams Cider (11/12/2021) 02")</f>
        <v>Uncle Sams Cider (11/12/2021) 02</v>
      </c>
      <c r="H6244" s="19"/>
    </row>
    <row r="6245">
      <c r="A6245" s="9"/>
      <c r="B6245" s="15"/>
      <c r="C6245" s="9">
        <f>IFERROR(__xludf.DUMMYFUNCTION("""COMPUTED_VALUE"""),44539.9348548032)</f>
        <v>44539.93485</v>
      </c>
      <c r="D6245" s="15">
        <f>IFERROR(__xludf.DUMMYFUNCTION("""COMPUTED_VALUE"""),1.027)</f>
        <v>1.027</v>
      </c>
      <c r="E6245" s="16">
        <f>IFERROR(__xludf.DUMMYFUNCTION("""COMPUTED_VALUE"""),63.0)</f>
        <v>63</v>
      </c>
      <c r="F6245" s="19" t="str">
        <f>IFERROR(__xludf.DUMMYFUNCTION("""COMPUTED_VALUE"""),"BLACK")</f>
        <v>BLACK</v>
      </c>
      <c r="G6245" s="20" t="str">
        <f>IFERROR(__xludf.DUMMYFUNCTION("""COMPUTED_VALUE"""),"Uncle Sams Cider (11/12/2021) 02")</f>
        <v>Uncle Sams Cider (11/12/2021) 02</v>
      </c>
      <c r="H6245" s="19"/>
    </row>
    <row r="6246">
      <c r="A6246" s="9"/>
      <c r="B6246" s="15"/>
      <c r="C6246" s="9">
        <f>IFERROR(__xludf.DUMMYFUNCTION("""COMPUTED_VALUE"""),44539.9244218055)</f>
        <v>44539.92442</v>
      </c>
      <c r="D6246" s="15">
        <f>IFERROR(__xludf.DUMMYFUNCTION("""COMPUTED_VALUE"""),1.027)</f>
        <v>1.027</v>
      </c>
      <c r="E6246" s="16">
        <f>IFERROR(__xludf.DUMMYFUNCTION("""COMPUTED_VALUE"""),63.0)</f>
        <v>63</v>
      </c>
      <c r="F6246" s="19" t="str">
        <f>IFERROR(__xludf.DUMMYFUNCTION("""COMPUTED_VALUE"""),"BLACK")</f>
        <v>BLACK</v>
      </c>
      <c r="G6246" s="20" t="str">
        <f>IFERROR(__xludf.DUMMYFUNCTION("""COMPUTED_VALUE"""),"Uncle Sams Cider (11/12/2021) 02")</f>
        <v>Uncle Sams Cider (11/12/2021) 02</v>
      </c>
      <c r="H6246" s="19"/>
    </row>
    <row r="6247">
      <c r="A6247" s="9"/>
      <c r="B6247" s="15"/>
      <c r="C6247" s="9">
        <f>IFERROR(__xludf.DUMMYFUNCTION("""COMPUTED_VALUE"""),44539.9140014467)</f>
        <v>44539.914</v>
      </c>
      <c r="D6247" s="15">
        <f>IFERROR(__xludf.DUMMYFUNCTION("""COMPUTED_VALUE"""),1.027)</f>
        <v>1.027</v>
      </c>
      <c r="E6247" s="16">
        <f>IFERROR(__xludf.DUMMYFUNCTION("""COMPUTED_VALUE"""),63.0)</f>
        <v>63</v>
      </c>
      <c r="F6247" s="19" t="str">
        <f>IFERROR(__xludf.DUMMYFUNCTION("""COMPUTED_VALUE"""),"BLACK")</f>
        <v>BLACK</v>
      </c>
      <c r="G6247" s="20" t="str">
        <f>IFERROR(__xludf.DUMMYFUNCTION("""COMPUTED_VALUE"""),"Uncle Sams Cider (11/12/2021) 02")</f>
        <v>Uncle Sams Cider (11/12/2021) 02</v>
      </c>
      <c r="H6247" s="19"/>
    </row>
    <row r="6248">
      <c r="A6248" s="9"/>
      <c r="B6248" s="15"/>
      <c r="C6248" s="9">
        <f>IFERROR(__xludf.DUMMYFUNCTION("""COMPUTED_VALUE"""),44539.9035703009)</f>
        <v>44539.90357</v>
      </c>
      <c r="D6248" s="15">
        <f>IFERROR(__xludf.DUMMYFUNCTION("""COMPUTED_VALUE"""),1.027)</f>
        <v>1.027</v>
      </c>
      <c r="E6248" s="16">
        <f>IFERROR(__xludf.DUMMYFUNCTION("""COMPUTED_VALUE"""),63.0)</f>
        <v>63</v>
      </c>
      <c r="F6248" s="19" t="str">
        <f>IFERROR(__xludf.DUMMYFUNCTION("""COMPUTED_VALUE"""),"BLACK")</f>
        <v>BLACK</v>
      </c>
      <c r="G6248" s="20" t="str">
        <f>IFERROR(__xludf.DUMMYFUNCTION("""COMPUTED_VALUE"""),"Uncle Sams Cider (11/12/2021) 02")</f>
        <v>Uncle Sams Cider (11/12/2021) 02</v>
      </c>
      <c r="H6248" s="19"/>
    </row>
    <row r="6249">
      <c r="A6249" s="9"/>
      <c r="B6249" s="15"/>
      <c r="C6249" s="9">
        <f>IFERROR(__xludf.DUMMYFUNCTION("""COMPUTED_VALUE"""),44539.8931385532)</f>
        <v>44539.89314</v>
      </c>
      <c r="D6249" s="15">
        <f>IFERROR(__xludf.DUMMYFUNCTION("""COMPUTED_VALUE"""),1.027)</f>
        <v>1.027</v>
      </c>
      <c r="E6249" s="16">
        <f>IFERROR(__xludf.DUMMYFUNCTION("""COMPUTED_VALUE"""),63.0)</f>
        <v>63</v>
      </c>
      <c r="F6249" s="19" t="str">
        <f>IFERROR(__xludf.DUMMYFUNCTION("""COMPUTED_VALUE"""),"BLACK")</f>
        <v>BLACK</v>
      </c>
      <c r="G6249" s="20" t="str">
        <f>IFERROR(__xludf.DUMMYFUNCTION("""COMPUTED_VALUE"""),"Uncle Sams Cider (11/12/2021) 02")</f>
        <v>Uncle Sams Cider (11/12/2021) 02</v>
      </c>
      <c r="H6249" s="19"/>
    </row>
    <row r="6250">
      <c r="A6250" s="9"/>
      <c r="B6250" s="15"/>
      <c r="C6250" s="9">
        <f>IFERROR(__xludf.DUMMYFUNCTION("""COMPUTED_VALUE"""),44539.8826840277)</f>
        <v>44539.88268</v>
      </c>
      <c r="D6250" s="15">
        <f>IFERROR(__xludf.DUMMYFUNCTION("""COMPUTED_VALUE"""),1.027)</f>
        <v>1.027</v>
      </c>
      <c r="E6250" s="16">
        <f>IFERROR(__xludf.DUMMYFUNCTION("""COMPUTED_VALUE"""),63.0)</f>
        <v>63</v>
      </c>
      <c r="F6250" s="19" t="str">
        <f>IFERROR(__xludf.DUMMYFUNCTION("""COMPUTED_VALUE"""),"BLACK")</f>
        <v>BLACK</v>
      </c>
      <c r="G6250" s="20" t="str">
        <f>IFERROR(__xludf.DUMMYFUNCTION("""COMPUTED_VALUE"""),"Uncle Sams Cider (11/12/2021) 02")</f>
        <v>Uncle Sams Cider (11/12/2021) 02</v>
      </c>
      <c r="H6250" s="19"/>
    </row>
    <row r="6251">
      <c r="A6251" s="9"/>
      <c r="B6251" s="15"/>
      <c r="C6251" s="9">
        <f>IFERROR(__xludf.DUMMYFUNCTION("""COMPUTED_VALUE"""),44539.8722515162)</f>
        <v>44539.87225</v>
      </c>
      <c r="D6251" s="15">
        <f>IFERROR(__xludf.DUMMYFUNCTION("""COMPUTED_VALUE"""),1.028)</f>
        <v>1.028</v>
      </c>
      <c r="E6251" s="16">
        <f>IFERROR(__xludf.DUMMYFUNCTION("""COMPUTED_VALUE"""),63.0)</f>
        <v>63</v>
      </c>
      <c r="F6251" s="19" t="str">
        <f>IFERROR(__xludf.DUMMYFUNCTION("""COMPUTED_VALUE"""),"BLACK")</f>
        <v>BLACK</v>
      </c>
      <c r="G6251" s="20" t="str">
        <f>IFERROR(__xludf.DUMMYFUNCTION("""COMPUTED_VALUE"""),"Uncle Sams Cider (11/12/2021) 02")</f>
        <v>Uncle Sams Cider (11/12/2021) 02</v>
      </c>
      <c r="H6251" s="19"/>
    </row>
    <row r="6252">
      <c r="A6252" s="9"/>
      <c r="B6252" s="15"/>
      <c r="C6252" s="9">
        <f>IFERROR(__xludf.DUMMYFUNCTION("""COMPUTED_VALUE"""),44539.8617937615)</f>
        <v>44539.86179</v>
      </c>
      <c r="D6252" s="15">
        <f>IFERROR(__xludf.DUMMYFUNCTION("""COMPUTED_VALUE"""),1.027)</f>
        <v>1.027</v>
      </c>
      <c r="E6252" s="16">
        <f>IFERROR(__xludf.DUMMYFUNCTION("""COMPUTED_VALUE"""),63.0)</f>
        <v>63</v>
      </c>
      <c r="F6252" s="19" t="str">
        <f>IFERROR(__xludf.DUMMYFUNCTION("""COMPUTED_VALUE"""),"BLACK")</f>
        <v>BLACK</v>
      </c>
      <c r="G6252" s="20" t="str">
        <f>IFERROR(__xludf.DUMMYFUNCTION("""COMPUTED_VALUE"""),"Uncle Sams Cider (11/12/2021) 02")</f>
        <v>Uncle Sams Cider (11/12/2021) 02</v>
      </c>
      <c r="H6252" s="19"/>
    </row>
    <row r="6253">
      <c r="A6253" s="9"/>
      <c r="B6253" s="15"/>
      <c r="C6253" s="9">
        <f>IFERROR(__xludf.DUMMYFUNCTION("""COMPUTED_VALUE"""),44539.8513601273)</f>
        <v>44539.85136</v>
      </c>
      <c r="D6253" s="15">
        <f>IFERROR(__xludf.DUMMYFUNCTION("""COMPUTED_VALUE"""),1.028)</f>
        <v>1.028</v>
      </c>
      <c r="E6253" s="16">
        <f>IFERROR(__xludf.DUMMYFUNCTION("""COMPUTED_VALUE"""),63.0)</f>
        <v>63</v>
      </c>
      <c r="F6253" s="19" t="str">
        <f>IFERROR(__xludf.DUMMYFUNCTION("""COMPUTED_VALUE"""),"BLACK")</f>
        <v>BLACK</v>
      </c>
      <c r="G6253" s="20" t="str">
        <f>IFERROR(__xludf.DUMMYFUNCTION("""COMPUTED_VALUE"""),"Uncle Sams Cider (11/12/2021) 02")</f>
        <v>Uncle Sams Cider (11/12/2021) 02</v>
      </c>
      <c r="H6253" s="19"/>
    </row>
    <row r="6254">
      <c r="A6254" s="9"/>
      <c r="B6254" s="15"/>
      <c r="C6254" s="9">
        <f>IFERROR(__xludf.DUMMYFUNCTION("""COMPUTED_VALUE"""),44539.8409385879)</f>
        <v>44539.84094</v>
      </c>
      <c r="D6254" s="15">
        <f>IFERROR(__xludf.DUMMYFUNCTION("""COMPUTED_VALUE"""),1.028)</f>
        <v>1.028</v>
      </c>
      <c r="E6254" s="16">
        <f>IFERROR(__xludf.DUMMYFUNCTION("""COMPUTED_VALUE"""),63.0)</f>
        <v>63</v>
      </c>
      <c r="F6254" s="19" t="str">
        <f>IFERROR(__xludf.DUMMYFUNCTION("""COMPUTED_VALUE"""),"BLACK")</f>
        <v>BLACK</v>
      </c>
      <c r="G6254" s="20" t="str">
        <f>IFERROR(__xludf.DUMMYFUNCTION("""COMPUTED_VALUE"""),"Uncle Sams Cider (11/12/2021) 02")</f>
        <v>Uncle Sams Cider (11/12/2021) 02</v>
      </c>
      <c r="H6254" s="19"/>
    </row>
    <row r="6255">
      <c r="A6255" s="9"/>
      <c r="B6255" s="15"/>
      <c r="C6255" s="9">
        <f>IFERROR(__xludf.DUMMYFUNCTION("""COMPUTED_VALUE"""),44539.8305049305)</f>
        <v>44539.8305</v>
      </c>
      <c r="D6255" s="15">
        <f>IFERROR(__xludf.DUMMYFUNCTION("""COMPUTED_VALUE"""),1.027)</f>
        <v>1.027</v>
      </c>
      <c r="E6255" s="16">
        <f>IFERROR(__xludf.DUMMYFUNCTION("""COMPUTED_VALUE"""),63.0)</f>
        <v>63</v>
      </c>
      <c r="F6255" s="19" t="str">
        <f>IFERROR(__xludf.DUMMYFUNCTION("""COMPUTED_VALUE"""),"BLACK")</f>
        <v>BLACK</v>
      </c>
      <c r="G6255" s="20" t="str">
        <f>IFERROR(__xludf.DUMMYFUNCTION("""COMPUTED_VALUE"""),"Uncle Sams Cider (11/12/2021) 02")</f>
        <v>Uncle Sams Cider (11/12/2021) 02</v>
      </c>
      <c r="H6255" s="19"/>
    </row>
    <row r="6256">
      <c r="A6256" s="9"/>
      <c r="B6256" s="15"/>
      <c r="C6256" s="9">
        <f>IFERROR(__xludf.DUMMYFUNCTION("""COMPUTED_VALUE"""),44539.8200837152)</f>
        <v>44539.82008</v>
      </c>
      <c r="D6256" s="15">
        <f>IFERROR(__xludf.DUMMYFUNCTION("""COMPUTED_VALUE"""),1.028)</f>
        <v>1.028</v>
      </c>
      <c r="E6256" s="16">
        <f>IFERROR(__xludf.DUMMYFUNCTION("""COMPUTED_VALUE"""),63.0)</f>
        <v>63</v>
      </c>
      <c r="F6256" s="19" t="str">
        <f>IFERROR(__xludf.DUMMYFUNCTION("""COMPUTED_VALUE"""),"BLACK")</f>
        <v>BLACK</v>
      </c>
      <c r="G6256" s="20" t="str">
        <f>IFERROR(__xludf.DUMMYFUNCTION("""COMPUTED_VALUE"""),"Uncle Sams Cider (11/12/2021) 02")</f>
        <v>Uncle Sams Cider (11/12/2021) 02</v>
      </c>
      <c r="H6256" s="19"/>
    </row>
    <row r="6257">
      <c r="A6257" s="9"/>
      <c r="B6257" s="15"/>
      <c r="C6257" s="9">
        <f>IFERROR(__xludf.DUMMYFUNCTION("""COMPUTED_VALUE"""),44539.8096635532)</f>
        <v>44539.80966</v>
      </c>
      <c r="D6257" s="15">
        <f>IFERROR(__xludf.DUMMYFUNCTION("""COMPUTED_VALUE"""),1.028)</f>
        <v>1.028</v>
      </c>
      <c r="E6257" s="16">
        <f>IFERROR(__xludf.DUMMYFUNCTION("""COMPUTED_VALUE"""),63.0)</f>
        <v>63</v>
      </c>
      <c r="F6257" s="19" t="str">
        <f>IFERROR(__xludf.DUMMYFUNCTION("""COMPUTED_VALUE"""),"BLACK")</f>
        <v>BLACK</v>
      </c>
      <c r="G6257" s="20" t="str">
        <f>IFERROR(__xludf.DUMMYFUNCTION("""COMPUTED_VALUE"""),"Uncle Sams Cider (11/12/2021) 02")</f>
        <v>Uncle Sams Cider (11/12/2021) 02</v>
      </c>
      <c r="H6257" s="19"/>
    </row>
    <row r="6258">
      <c r="A6258" s="9"/>
      <c r="B6258" s="15"/>
      <c r="C6258" s="9">
        <f>IFERROR(__xludf.DUMMYFUNCTION("""COMPUTED_VALUE"""),44539.799242824)</f>
        <v>44539.79924</v>
      </c>
      <c r="D6258" s="15">
        <f>IFERROR(__xludf.DUMMYFUNCTION("""COMPUTED_VALUE"""),1.028)</f>
        <v>1.028</v>
      </c>
      <c r="E6258" s="16">
        <f>IFERROR(__xludf.DUMMYFUNCTION("""COMPUTED_VALUE"""),63.0)</f>
        <v>63</v>
      </c>
      <c r="F6258" s="19" t="str">
        <f>IFERROR(__xludf.DUMMYFUNCTION("""COMPUTED_VALUE"""),"BLACK")</f>
        <v>BLACK</v>
      </c>
      <c r="G6258" s="20" t="str">
        <f>IFERROR(__xludf.DUMMYFUNCTION("""COMPUTED_VALUE"""),"Uncle Sams Cider (11/12/2021) 02")</f>
        <v>Uncle Sams Cider (11/12/2021) 02</v>
      </c>
      <c r="H6258" s="19"/>
    </row>
    <row r="6259">
      <c r="A6259" s="9"/>
      <c r="B6259" s="15"/>
      <c r="C6259" s="9">
        <f>IFERROR(__xludf.DUMMYFUNCTION("""COMPUTED_VALUE"""),44539.7888203472)</f>
        <v>44539.78882</v>
      </c>
      <c r="D6259" s="15">
        <f>IFERROR(__xludf.DUMMYFUNCTION("""COMPUTED_VALUE"""),1.027)</f>
        <v>1.027</v>
      </c>
      <c r="E6259" s="16">
        <f>IFERROR(__xludf.DUMMYFUNCTION("""COMPUTED_VALUE"""),63.0)</f>
        <v>63</v>
      </c>
      <c r="F6259" s="19" t="str">
        <f>IFERROR(__xludf.DUMMYFUNCTION("""COMPUTED_VALUE"""),"BLACK")</f>
        <v>BLACK</v>
      </c>
      <c r="G6259" s="20" t="str">
        <f>IFERROR(__xludf.DUMMYFUNCTION("""COMPUTED_VALUE"""),"Uncle Sams Cider (11/12/2021) 02")</f>
        <v>Uncle Sams Cider (11/12/2021) 02</v>
      </c>
      <c r="H6259" s="19"/>
    </row>
    <row r="6260">
      <c r="A6260" s="9"/>
      <c r="B6260" s="15"/>
      <c r="C6260" s="9">
        <f>IFERROR(__xludf.DUMMYFUNCTION("""COMPUTED_VALUE"""),44539.778388206)</f>
        <v>44539.77839</v>
      </c>
      <c r="D6260" s="15">
        <f>IFERROR(__xludf.DUMMYFUNCTION("""COMPUTED_VALUE"""),1.027)</f>
        <v>1.027</v>
      </c>
      <c r="E6260" s="16">
        <f>IFERROR(__xludf.DUMMYFUNCTION("""COMPUTED_VALUE"""),63.0)</f>
        <v>63</v>
      </c>
      <c r="F6260" s="19" t="str">
        <f>IFERROR(__xludf.DUMMYFUNCTION("""COMPUTED_VALUE"""),"BLACK")</f>
        <v>BLACK</v>
      </c>
      <c r="G6260" s="20" t="str">
        <f>IFERROR(__xludf.DUMMYFUNCTION("""COMPUTED_VALUE"""),"Uncle Sams Cider (11/12/2021) 02")</f>
        <v>Uncle Sams Cider (11/12/2021) 02</v>
      </c>
      <c r="H6260" s="19"/>
    </row>
    <row r="6261">
      <c r="A6261" s="9"/>
      <c r="B6261" s="15"/>
      <c r="C6261" s="9">
        <f>IFERROR(__xludf.DUMMYFUNCTION("""COMPUTED_VALUE"""),44539.7679683333)</f>
        <v>44539.76797</v>
      </c>
      <c r="D6261" s="15">
        <f>IFERROR(__xludf.DUMMYFUNCTION("""COMPUTED_VALUE"""),1.027)</f>
        <v>1.027</v>
      </c>
      <c r="E6261" s="16">
        <f>IFERROR(__xludf.DUMMYFUNCTION("""COMPUTED_VALUE"""),63.0)</f>
        <v>63</v>
      </c>
      <c r="F6261" s="19" t="str">
        <f>IFERROR(__xludf.DUMMYFUNCTION("""COMPUTED_VALUE"""),"BLACK")</f>
        <v>BLACK</v>
      </c>
      <c r="G6261" s="20" t="str">
        <f>IFERROR(__xludf.DUMMYFUNCTION("""COMPUTED_VALUE"""),"Uncle Sams Cider (11/12/2021) 02")</f>
        <v>Uncle Sams Cider (11/12/2021) 02</v>
      </c>
      <c r="H6261" s="19"/>
    </row>
    <row r="6262">
      <c r="A6262" s="9"/>
      <c r="B6262" s="15"/>
      <c r="C6262" s="9">
        <f>IFERROR(__xludf.DUMMYFUNCTION("""COMPUTED_VALUE"""),44539.7575467129)</f>
        <v>44539.75755</v>
      </c>
      <c r="D6262" s="15">
        <f>IFERROR(__xludf.DUMMYFUNCTION("""COMPUTED_VALUE"""),1.028)</f>
        <v>1.028</v>
      </c>
      <c r="E6262" s="16">
        <f>IFERROR(__xludf.DUMMYFUNCTION("""COMPUTED_VALUE"""),63.0)</f>
        <v>63</v>
      </c>
      <c r="F6262" s="19" t="str">
        <f>IFERROR(__xludf.DUMMYFUNCTION("""COMPUTED_VALUE"""),"BLACK")</f>
        <v>BLACK</v>
      </c>
      <c r="G6262" s="20" t="str">
        <f>IFERROR(__xludf.DUMMYFUNCTION("""COMPUTED_VALUE"""),"Uncle Sams Cider (11/12/2021) 02")</f>
        <v>Uncle Sams Cider (11/12/2021) 02</v>
      </c>
      <c r="H6262" s="19"/>
    </row>
    <row r="6263">
      <c r="A6263" s="9"/>
      <c r="B6263" s="15"/>
      <c r="C6263" s="9">
        <f>IFERROR(__xludf.DUMMYFUNCTION("""COMPUTED_VALUE"""),44539.747113449)</f>
        <v>44539.74711</v>
      </c>
      <c r="D6263" s="15">
        <f>IFERROR(__xludf.DUMMYFUNCTION("""COMPUTED_VALUE"""),1.028)</f>
        <v>1.028</v>
      </c>
      <c r="E6263" s="16">
        <f>IFERROR(__xludf.DUMMYFUNCTION("""COMPUTED_VALUE"""),63.0)</f>
        <v>63</v>
      </c>
      <c r="F6263" s="19" t="str">
        <f>IFERROR(__xludf.DUMMYFUNCTION("""COMPUTED_VALUE"""),"BLACK")</f>
        <v>BLACK</v>
      </c>
      <c r="G6263" s="20" t="str">
        <f>IFERROR(__xludf.DUMMYFUNCTION("""COMPUTED_VALUE"""),"Uncle Sams Cider (11/12/2021) 02")</f>
        <v>Uncle Sams Cider (11/12/2021) 02</v>
      </c>
      <c r="H6263" s="19"/>
    </row>
    <row r="6264">
      <c r="A6264" s="9"/>
      <c r="B6264" s="15"/>
      <c r="C6264" s="9">
        <f>IFERROR(__xludf.DUMMYFUNCTION("""COMPUTED_VALUE"""),44539.7366805555)</f>
        <v>44539.73668</v>
      </c>
      <c r="D6264" s="15">
        <f>IFERROR(__xludf.DUMMYFUNCTION("""COMPUTED_VALUE"""),1.028)</f>
        <v>1.028</v>
      </c>
      <c r="E6264" s="16">
        <f>IFERROR(__xludf.DUMMYFUNCTION("""COMPUTED_VALUE"""),63.0)</f>
        <v>63</v>
      </c>
      <c r="F6264" s="19" t="str">
        <f>IFERROR(__xludf.DUMMYFUNCTION("""COMPUTED_VALUE"""),"BLACK")</f>
        <v>BLACK</v>
      </c>
      <c r="G6264" s="20" t="str">
        <f>IFERROR(__xludf.DUMMYFUNCTION("""COMPUTED_VALUE"""),"Uncle Sams Cider (11/12/2021) 02")</f>
        <v>Uncle Sams Cider (11/12/2021) 02</v>
      </c>
      <c r="H6264" s="19"/>
    </row>
    <row r="6265">
      <c r="A6265" s="9"/>
      <c r="B6265" s="15"/>
      <c r="C6265" s="9">
        <f>IFERROR(__xludf.DUMMYFUNCTION("""COMPUTED_VALUE"""),44539.7262583101)</f>
        <v>44539.72626</v>
      </c>
      <c r="D6265" s="15">
        <f>IFERROR(__xludf.DUMMYFUNCTION("""COMPUTED_VALUE"""),1.027)</f>
        <v>1.027</v>
      </c>
      <c r="E6265" s="16">
        <f>IFERROR(__xludf.DUMMYFUNCTION("""COMPUTED_VALUE"""),63.0)</f>
        <v>63</v>
      </c>
      <c r="F6265" s="19" t="str">
        <f>IFERROR(__xludf.DUMMYFUNCTION("""COMPUTED_VALUE"""),"BLACK")</f>
        <v>BLACK</v>
      </c>
      <c r="G6265" s="20" t="str">
        <f>IFERROR(__xludf.DUMMYFUNCTION("""COMPUTED_VALUE"""),"Uncle Sams Cider (11/12/2021) 02")</f>
        <v>Uncle Sams Cider (11/12/2021) 02</v>
      </c>
      <c r="H6265" s="19"/>
    </row>
    <row r="6266">
      <c r="A6266" s="9"/>
      <c r="B6266" s="15"/>
      <c r="C6266" s="9">
        <f>IFERROR(__xludf.DUMMYFUNCTION("""COMPUTED_VALUE"""),44539.7158012615)</f>
        <v>44539.7158</v>
      </c>
      <c r="D6266" s="15">
        <f>IFERROR(__xludf.DUMMYFUNCTION("""COMPUTED_VALUE"""),1.028)</f>
        <v>1.028</v>
      </c>
      <c r="E6266" s="16">
        <f>IFERROR(__xludf.DUMMYFUNCTION("""COMPUTED_VALUE"""),63.0)</f>
        <v>63</v>
      </c>
      <c r="F6266" s="19" t="str">
        <f>IFERROR(__xludf.DUMMYFUNCTION("""COMPUTED_VALUE"""),"BLACK")</f>
        <v>BLACK</v>
      </c>
      <c r="G6266" s="20" t="str">
        <f>IFERROR(__xludf.DUMMYFUNCTION("""COMPUTED_VALUE"""),"Uncle Sams Cider (11/12/2021) 02")</f>
        <v>Uncle Sams Cider (11/12/2021) 02</v>
      </c>
      <c r="H6266" s="19"/>
    </row>
    <row r="6267">
      <c r="A6267" s="9"/>
      <c r="B6267" s="15"/>
      <c r="C6267" s="9">
        <f>IFERROR(__xludf.DUMMYFUNCTION("""COMPUTED_VALUE"""),44539.7053813888)</f>
        <v>44539.70538</v>
      </c>
      <c r="D6267" s="15">
        <f>IFERROR(__xludf.DUMMYFUNCTION("""COMPUTED_VALUE"""),1.027)</f>
        <v>1.027</v>
      </c>
      <c r="E6267" s="16">
        <f>IFERROR(__xludf.DUMMYFUNCTION("""COMPUTED_VALUE"""),63.0)</f>
        <v>63</v>
      </c>
      <c r="F6267" s="19" t="str">
        <f>IFERROR(__xludf.DUMMYFUNCTION("""COMPUTED_VALUE"""),"BLACK")</f>
        <v>BLACK</v>
      </c>
      <c r="G6267" s="20" t="str">
        <f>IFERROR(__xludf.DUMMYFUNCTION("""COMPUTED_VALUE"""),"Uncle Sams Cider (11/12/2021) 02")</f>
        <v>Uncle Sams Cider (11/12/2021) 02</v>
      </c>
      <c r="H6267" s="19"/>
    </row>
    <row r="6268">
      <c r="A6268" s="9"/>
      <c r="B6268" s="15"/>
      <c r="C6268" s="9">
        <f>IFERROR(__xludf.DUMMYFUNCTION("""COMPUTED_VALUE"""),44539.6949474768)</f>
        <v>44539.69495</v>
      </c>
      <c r="D6268" s="15">
        <f>IFERROR(__xludf.DUMMYFUNCTION("""COMPUTED_VALUE"""),1.028)</f>
        <v>1.028</v>
      </c>
      <c r="E6268" s="16">
        <f>IFERROR(__xludf.DUMMYFUNCTION("""COMPUTED_VALUE"""),63.0)</f>
        <v>63</v>
      </c>
      <c r="F6268" s="19" t="str">
        <f>IFERROR(__xludf.DUMMYFUNCTION("""COMPUTED_VALUE"""),"BLACK")</f>
        <v>BLACK</v>
      </c>
      <c r="G6268" s="20" t="str">
        <f>IFERROR(__xludf.DUMMYFUNCTION("""COMPUTED_VALUE"""),"Uncle Sams Cider (11/12/2021) 02")</f>
        <v>Uncle Sams Cider (11/12/2021) 02</v>
      </c>
      <c r="H6268" s="19"/>
    </row>
    <row r="6269">
      <c r="A6269" s="9"/>
      <c r="B6269" s="15"/>
      <c r="C6269" s="9">
        <f>IFERROR(__xludf.DUMMYFUNCTION("""COMPUTED_VALUE"""),44539.6845262152)</f>
        <v>44539.68453</v>
      </c>
      <c r="D6269" s="15">
        <f>IFERROR(__xludf.DUMMYFUNCTION("""COMPUTED_VALUE"""),1.027)</f>
        <v>1.027</v>
      </c>
      <c r="E6269" s="16">
        <f>IFERROR(__xludf.DUMMYFUNCTION("""COMPUTED_VALUE"""),63.0)</f>
        <v>63</v>
      </c>
      <c r="F6269" s="19" t="str">
        <f>IFERROR(__xludf.DUMMYFUNCTION("""COMPUTED_VALUE"""),"BLACK")</f>
        <v>BLACK</v>
      </c>
      <c r="G6269" s="20" t="str">
        <f>IFERROR(__xludf.DUMMYFUNCTION("""COMPUTED_VALUE"""),"Uncle Sams Cider (11/12/2021) 02")</f>
        <v>Uncle Sams Cider (11/12/2021) 02</v>
      </c>
      <c r="H6269" s="19"/>
    </row>
    <row r="6270">
      <c r="A6270" s="9"/>
      <c r="B6270" s="15"/>
      <c r="C6270" s="9">
        <f>IFERROR(__xludf.DUMMYFUNCTION("""COMPUTED_VALUE"""),44539.6740934722)</f>
        <v>44539.67409</v>
      </c>
      <c r="D6270" s="15">
        <f>IFERROR(__xludf.DUMMYFUNCTION("""COMPUTED_VALUE"""),1.027)</f>
        <v>1.027</v>
      </c>
      <c r="E6270" s="16">
        <f>IFERROR(__xludf.DUMMYFUNCTION("""COMPUTED_VALUE"""),63.0)</f>
        <v>63</v>
      </c>
      <c r="F6270" s="19" t="str">
        <f>IFERROR(__xludf.DUMMYFUNCTION("""COMPUTED_VALUE"""),"BLACK")</f>
        <v>BLACK</v>
      </c>
      <c r="G6270" s="20" t="str">
        <f>IFERROR(__xludf.DUMMYFUNCTION("""COMPUTED_VALUE"""),"Uncle Sams Cider (11/12/2021) 02")</f>
        <v>Uncle Sams Cider (11/12/2021) 02</v>
      </c>
      <c r="H6270" s="19"/>
    </row>
    <row r="6271">
      <c r="A6271" s="9"/>
      <c r="B6271" s="15"/>
      <c r="C6271" s="9">
        <f>IFERROR(__xludf.DUMMYFUNCTION("""COMPUTED_VALUE"""),44539.6636611342)</f>
        <v>44539.66366</v>
      </c>
      <c r="D6271" s="15">
        <f>IFERROR(__xludf.DUMMYFUNCTION("""COMPUTED_VALUE"""),1.028)</f>
        <v>1.028</v>
      </c>
      <c r="E6271" s="16">
        <f>IFERROR(__xludf.DUMMYFUNCTION("""COMPUTED_VALUE"""),63.0)</f>
        <v>63</v>
      </c>
      <c r="F6271" s="19" t="str">
        <f>IFERROR(__xludf.DUMMYFUNCTION("""COMPUTED_VALUE"""),"BLACK")</f>
        <v>BLACK</v>
      </c>
      <c r="G6271" s="20" t="str">
        <f>IFERROR(__xludf.DUMMYFUNCTION("""COMPUTED_VALUE"""),"Uncle Sams Cider (11/12/2021) 02")</f>
        <v>Uncle Sams Cider (11/12/2021) 02</v>
      </c>
      <c r="H6271" s="19"/>
    </row>
    <row r="6272">
      <c r="A6272" s="9"/>
      <c r="B6272" s="15"/>
      <c r="C6272" s="9">
        <f>IFERROR(__xludf.DUMMYFUNCTION("""COMPUTED_VALUE"""),44539.6532294444)</f>
        <v>44539.65323</v>
      </c>
      <c r="D6272" s="15">
        <f>IFERROR(__xludf.DUMMYFUNCTION("""COMPUTED_VALUE"""),1.028)</f>
        <v>1.028</v>
      </c>
      <c r="E6272" s="16">
        <f>IFERROR(__xludf.DUMMYFUNCTION("""COMPUTED_VALUE"""),63.0)</f>
        <v>63</v>
      </c>
      <c r="F6272" s="19" t="str">
        <f>IFERROR(__xludf.DUMMYFUNCTION("""COMPUTED_VALUE"""),"BLACK")</f>
        <v>BLACK</v>
      </c>
      <c r="G6272" s="20" t="str">
        <f>IFERROR(__xludf.DUMMYFUNCTION("""COMPUTED_VALUE"""),"Uncle Sams Cider (11/12/2021) 02")</f>
        <v>Uncle Sams Cider (11/12/2021) 02</v>
      </c>
      <c r="H6272" s="19"/>
    </row>
    <row r="6273">
      <c r="A6273" s="9"/>
      <c r="B6273" s="15"/>
      <c r="C6273" s="9">
        <f>IFERROR(__xludf.DUMMYFUNCTION("""COMPUTED_VALUE"""),44539.6427975925)</f>
        <v>44539.6428</v>
      </c>
      <c r="D6273" s="15">
        <f>IFERROR(__xludf.DUMMYFUNCTION("""COMPUTED_VALUE"""),1.028)</f>
        <v>1.028</v>
      </c>
      <c r="E6273" s="16">
        <f>IFERROR(__xludf.DUMMYFUNCTION("""COMPUTED_VALUE"""),63.0)</f>
        <v>63</v>
      </c>
      <c r="F6273" s="19" t="str">
        <f>IFERROR(__xludf.DUMMYFUNCTION("""COMPUTED_VALUE"""),"BLACK")</f>
        <v>BLACK</v>
      </c>
      <c r="G6273" s="20" t="str">
        <f>IFERROR(__xludf.DUMMYFUNCTION("""COMPUTED_VALUE"""),"Uncle Sams Cider (11/12/2021) 02")</f>
        <v>Uncle Sams Cider (11/12/2021) 02</v>
      </c>
      <c r="H6273" s="19"/>
    </row>
    <row r="6274">
      <c r="A6274" s="9"/>
      <c r="B6274" s="15"/>
      <c r="C6274" s="9">
        <f>IFERROR(__xludf.DUMMYFUNCTION("""COMPUTED_VALUE"""),44539.6323543402)</f>
        <v>44539.63235</v>
      </c>
      <c r="D6274" s="15">
        <f>IFERROR(__xludf.DUMMYFUNCTION("""COMPUTED_VALUE"""),1.028)</f>
        <v>1.028</v>
      </c>
      <c r="E6274" s="16">
        <f>IFERROR(__xludf.DUMMYFUNCTION("""COMPUTED_VALUE"""),63.0)</f>
        <v>63</v>
      </c>
      <c r="F6274" s="19" t="str">
        <f>IFERROR(__xludf.DUMMYFUNCTION("""COMPUTED_VALUE"""),"BLACK")</f>
        <v>BLACK</v>
      </c>
      <c r="G6274" s="20" t="str">
        <f>IFERROR(__xludf.DUMMYFUNCTION("""COMPUTED_VALUE"""),"Uncle Sams Cider (11/12/2021) 02")</f>
        <v>Uncle Sams Cider (11/12/2021) 02</v>
      </c>
      <c r="H6274" s="19"/>
    </row>
    <row r="6275">
      <c r="A6275" s="9"/>
      <c r="B6275" s="15"/>
      <c r="C6275" s="9">
        <f>IFERROR(__xludf.DUMMYFUNCTION("""COMPUTED_VALUE"""),44539.6219323611)</f>
        <v>44539.62193</v>
      </c>
      <c r="D6275" s="15">
        <f>IFERROR(__xludf.DUMMYFUNCTION("""COMPUTED_VALUE"""),1.028)</f>
        <v>1.028</v>
      </c>
      <c r="E6275" s="16">
        <f>IFERROR(__xludf.DUMMYFUNCTION("""COMPUTED_VALUE"""),63.0)</f>
        <v>63</v>
      </c>
      <c r="F6275" s="19" t="str">
        <f>IFERROR(__xludf.DUMMYFUNCTION("""COMPUTED_VALUE"""),"BLACK")</f>
        <v>BLACK</v>
      </c>
      <c r="G6275" s="20" t="str">
        <f>IFERROR(__xludf.DUMMYFUNCTION("""COMPUTED_VALUE"""),"Uncle Sams Cider (11/12/2021) 02")</f>
        <v>Uncle Sams Cider (11/12/2021) 02</v>
      </c>
      <c r="H6275" s="19"/>
    </row>
    <row r="6276">
      <c r="A6276" s="9"/>
      <c r="B6276" s="15"/>
      <c r="C6276" s="9">
        <f>IFERROR(__xludf.DUMMYFUNCTION("""COMPUTED_VALUE"""),44539.6115107754)</f>
        <v>44539.61151</v>
      </c>
      <c r="D6276" s="15">
        <f>IFERROR(__xludf.DUMMYFUNCTION("""COMPUTED_VALUE"""),1.028)</f>
        <v>1.028</v>
      </c>
      <c r="E6276" s="16">
        <f>IFERROR(__xludf.DUMMYFUNCTION("""COMPUTED_VALUE"""),63.0)</f>
        <v>63</v>
      </c>
      <c r="F6276" s="19" t="str">
        <f>IFERROR(__xludf.DUMMYFUNCTION("""COMPUTED_VALUE"""),"BLACK")</f>
        <v>BLACK</v>
      </c>
      <c r="G6276" s="20" t="str">
        <f>IFERROR(__xludf.DUMMYFUNCTION("""COMPUTED_VALUE"""),"Uncle Sams Cider (11/12/2021) 02")</f>
        <v>Uncle Sams Cider (11/12/2021) 02</v>
      </c>
      <c r="H6276" s="19"/>
    </row>
    <row r="6277">
      <c r="A6277" s="9"/>
      <c r="B6277" s="15"/>
      <c r="C6277" s="9">
        <f>IFERROR(__xludf.DUMMYFUNCTION("""COMPUTED_VALUE"""),44539.6010768287)</f>
        <v>44539.60108</v>
      </c>
      <c r="D6277" s="15">
        <f>IFERROR(__xludf.DUMMYFUNCTION("""COMPUTED_VALUE"""),1.028)</f>
        <v>1.028</v>
      </c>
      <c r="E6277" s="16">
        <f>IFERROR(__xludf.DUMMYFUNCTION("""COMPUTED_VALUE"""),63.0)</f>
        <v>63</v>
      </c>
      <c r="F6277" s="19" t="str">
        <f>IFERROR(__xludf.DUMMYFUNCTION("""COMPUTED_VALUE"""),"BLACK")</f>
        <v>BLACK</v>
      </c>
      <c r="G6277" s="20" t="str">
        <f>IFERROR(__xludf.DUMMYFUNCTION("""COMPUTED_VALUE"""),"Uncle Sams Cider (11/12/2021) 02")</f>
        <v>Uncle Sams Cider (11/12/2021) 02</v>
      </c>
      <c r="H6277" s="19"/>
    </row>
    <row r="6278">
      <c r="A6278" s="9"/>
      <c r="B6278" s="15"/>
      <c r="C6278" s="9">
        <f>IFERROR(__xludf.DUMMYFUNCTION("""COMPUTED_VALUE"""),44539.5906570138)</f>
        <v>44539.59066</v>
      </c>
      <c r="D6278" s="15">
        <f>IFERROR(__xludf.DUMMYFUNCTION("""COMPUTED_VALUE"""),1.028)</f>
        <v>1.028</v>
      </c>
      <c r="E6278" s="16">
        <f>IFERROR(__xludf.DUMMYFUNCTION("""COMPUTED_VALUE"""),63.0)</f>
        <v>63</v>
      </c>
      <c r="F6278" s="19" t="str">
        <f>IFERROR(__xludf.DUMMYFUNCTION("""COMPUTED_VALUE"""),"BLACK")</f>
        <v>BLACK</v>
      </c>
      <c r="G6278" s="20" t="str">
        <f>IFERROR(__xludf.DUMMYFUNCTION("""COMPUTED_VALUE"""),"Uncle Sams Cider (11/12/2021) 02")</f>
        <v>Uncle Sams Cider (11/12/2021) 02</v>
      </c>
      <c r="H6278" s="19"/>
    </row>
    <row r="6279">
      <c r="A6279" s="9"/>
      <c r="B6279" s="15"/>
      <c r="C6279" s="9">
        <f>IFERROR(__xludf.DUMMYFUNCTION("""COMPUTED_VALUE"""),44539.5802361689)</f>
        <v>44539.58024</v>
      </c>
      <c r="D6279" s="15">
        <f>IFERROR(__xludf.DUMMYFUNCTION("""COMPUTED_VALUE"""),1.028)</f>
        <v>1.028</v>
      </c>
      <c r="E6279" s="16">
        <f>IFERROR(__xludf.DUMMYFUNCTION("""COMPUTED_VALUE"""),63.0)</f>
        <v>63</v>
      </c>
      <c r="F6279" s="19" t="str">
        <f>IFERROR(__xludf.DUMMYFUNCTION("""COMPUTED_VALUE"""),"BLACK")</f>
        <v>BLACK</v>
      </c>
      <c r="G6279" s="20" t="str">
        <f>IFERROR(__xludf.DUMMYFUNCTION("""COMPUTED_VALUE"""),"Uncle Sams Cider (11/12/2021) 02")</f>
        <v>Uncle Sams Cider (11/12/2021) 02</v>
      </c>
      <c r="H6279" s="19"/>
    </row>
    <row r="6280">
      <c r="A6280" s="9"/>
      <c r="B6280" s="15"/>
      <c r="C6280" s="9">
        <f>IFERROR(__xludf.DUMMYFUNCTION("""COMPUTED_VALUE"""),44539.5698129629)</f>
        <v>44539.56981</v>
      </c>
      <c r="D6280" s="15">
        <f>IFERROR(__xludf.DUMMYFUNCTION("""COMPUTED_VALUE"""),1.028)</f>
        <v>1.028</v>
      </c>
      <c r="E6280" s="16">
        <f>IFERROR(__xludf.DUMMYFUNCTION("""COMPUTED_VALUE"""),63.0)</f>
        <v>63</v>
      </c>
      <c r="F6280" s="19" t="str">
        <f>IFERROR(__xludf.DUMMYFUNCTION("""COMPUTED_VALUE"""),"BLACK")</f>
        <v>BLACK</v>
      </c>
      <c r="G6280" s="20" t="str">
        <f>IFERROR(__xludf.DUMMYFUNCTION("""COMPUTED_VALUE"""),"Uncle Sams Cider (11/12/2021) 02")</f>
        <v>Uncle Sams Cider (11/12/2021) 02</v>
      </c>
      <c r="H6280" s="19"/>
    </row>
    <row r="6281">
      <c r="A6281" s="9"/>
      <c r="B6281" s="15"/>
      <c r="C6281" s="9">
        <f>IFERROR(__xludf.DUMMYFUNCTION("""COMPUTED_VALUE"""),44539.5593775463)</f>
        <v>44539.55938</v>
      </c>
      <c r="D6281" s="15">
        <f>IFERROR(__xludf.DUMMYFUNCTION("""COMPUTED_VALUE"""),1.028)</f>
        <v>1.028</v>
      </c>
      <c r="E6281" s="16">
        <f>IFERROR(__xludf.DUMMYFUNCTION("""COMPUTED_VALUE"""),63.0)</f>
        <v>63</v>
      </c>
      <c r="F6281" s="19" t="str">
        <f>IFERROR(__xludf.DUMMYFUNCTION("""COMPUTED_VALUE"""),"BLACK")</f>
        <v>BLACK</v>
      </c>
      <c r="G6281" s="20" t="str">
        <f>IFERROR(__xludf.DUMMYFUNCTION("""COMPUTED_VALUE"""),"Uncle Sams Cider (11/12/2021) 02")</f>
        <v>Uncle Sams Cider (11/12/2021) 02</v>
      </c>
      <c r="H6281" s="19"/>
    </row>
    <row r="6282">
      <c r="A6282" s="9"/>
      <c r="B6282" s="15"/>
      <c r="C6282" s="9">
        <f>IFERROR(__xludf.DUMMYFUNCTION("""COMPUTED_VALUE"""),44539.5489454745)</f>
        <v>44539.54895</v>
      </c>
      <c r="D6282" s="15">
        <f>IFERROR(__xludf.DUMMYFUNCTION("""COMPUTED_VALUE"""),1.028)</f>
        <v>1.028</v>
      </c>
      <c r="E6282" s="16">
        <f>IFERROR(__xludf.DUMMYFUNCTION("""COMPUTED_VALUE"""),63.0)</f>
        <v>63</v>
      </c>
      <c r="F6282" s="19" t="str">
        <f>IFERROR(__xludf.DUMMYFUNCTION("""COMPUTED_VALUE"""),"BLACK")</f>
        <v>BLACK</v>
      </c>
      <c r="G6282" s="20" t="str">
        <f>IFERROR(__xludf.DUMMYFUNCTION("""COMPUTED_VALUE"""),"Uncle Sams Cider (11/12/2021) 02")</f>
        <v>Uncle Sams Cider (11/12/2021) 02</v>
      </c>
      <c r="H6282" s="19"/>
    </row>
    <row r="6283">
      <c r="A6283" s="9"/>
      <c r="B6283" s="15"/>
      <c r="C6283" s="9">
        <f>IFERROR(__xludf.DUMMYFUNCTION("""COMPUTED_VALUE"""),44539.5385255787)</f>
        <v>44539.53853</v>
      </c>
      <c r="D6283" s="15">
        <f>IFERROR(__xludf.DUMMYFUNCTION("""COMPUTED_VALUE"""),1.028)</f>
        <v>1.028</v>
      </c>
      <c r="E6283" s="16">
        <f>IFERROR(__xludf.DUMMYFUNCTION("""COMPUTED_VALUE"""),63.0)</f>
        <v>63</v>
      </c>
      <c r="F6283" s="19" t="str">
        <f>IFERROR(__xludf.DUMMYFUNCTION("""COMPUTED_VALUE"""),"BLACK")</f>
        <v>BLACK</v>
      </c>
      <c r="G6283" s="20" t="str">
        <f>IFERROR(__xludf.DUMMYFUNCTION("""COMPUTED_VALUE"""),"Uncle Sams Cider (11/12/2021) 02")</f>
        <v>Uncle Sams Cider (11/12/2021) 02</v>
      </c>
      <c r="H6283" s="19"/>
    </row>
    <row r="6284">
      <c r="A6284" s="9"/>
      <c r="B6284" s="15"/>
      <c r="C6284" s="9">
        <f>IFERROR(__xludf.DUMMYFUNCTION("""COMPUTED_VALUE"""),44539.5281053587)</f>
        <v>44539.52811</v>
      </c>
      <c r="D6284" s="15">
        <f>IFERROR(__xludf.DUMMYFUNCTION("""COMPUTED_VALUE"""),1.028)</f>
        <v>1.028</v>
      </c>
      <c r="E6284" s="16">
        <f>IFERROR(__xludf.DUMMYFUNCTION("""COMPUTED_VALUE"""),63.0)</f>
        <v>63</v>
      </c>
      <c r="F6284" s="19" t="str">
        <f>IFERROR(__xludf.DUMMYFUNCTION("""COMPUTED_VALUE"""),"BLACK")</f>
        <v>BLACK</v>
      </c>
      <c r="G6284" s="20" t="str">
        <f>IFERROR(__xludf.DUMMYFUNCTION("""COMPUTED_VALUE"""),"Uncle Sams Cider (11/12/2021) 02")</f>
        <v>Uncle Sams Cider (11/12/2021) 02</v>
      </c>
      <c r="H6284" s="19"/>
    </row>
    <row r="6285">
      <c r="A6285" s="9"/>
      <c r="B6285" s="15"/>
      <c r="C6285" s="9">
        <f>IFERROR(__xludf.DUMMYFUNCTION("""COMPUTED_VALUE"""),44539.5176854629)</f>
        <v>44539.51769</v>
      </c>
      <c r="D6285" s="15">
        <f>IFERROR(__xludf.DUMMYFUNCTION("""COMPUTED_VALUE"""),1.028)</f>
        <v>1.028</v>
      </c>
      <c r="E6285" s="16">
        <f>IFERROR(__xludf.DUMMYFUNCTION("""COMPUTED_VALUE"""),63.0)</f>
        <v>63</v>
      </c>
      <c r="F6285" s="19" t="str">
        <f>IFERROR(__xludf.DUMMYFUNCTION("""COMPUTED_VALUE"""),"BLACK")</f>
        <v>BLACK</v>
      </c>
      <c r="G6285" s="20" t="str">
        <f>IFERROR(__xludf.DUMMYFUNCTION("""COMPUTED_VALUE"""),"Uncle Sams Cider (11/12/2021) 02")</f>
        <v>Uncle Sams Cider (11/12/2021) 02</v>
      </c>
      <c r="H6285" s="19"/>
    </row>
    <row r="6286">
      <c r="A6286" s="9"/>
      <c r="B6286" s="15"/>
      <c r="C6286" s="9">
        <f>IFERROR(__xludf.DUMMYFUNCTION("""COMPUTED_VALUE"""),44539.5072633912)</f>
        <v>44539.50726</v>
      </c>
      <c r="D6286" s="15">
        <f>IFERROR(__xludf.DUMMYFUNCTION("""COMPUTED_VALUE"""),1.028)</f>
        <v>1.028</v>
      </c>
      <c r="E6286" s="16">
        <f>IFERROR(__xludf.DUMMYFUNCTION("""COMPUTED_VALUE"""),63.0)</f>
        <v>63</v>
      </c>
      <c r="F6286" s="19" t="str">
        <f>IFERROR(__xludf.DUMMYFUNCTION("""COMPUTED_VALUE"""),"BLACK")</f>
        <v>BLACK</v>
      </c>
      <c r="G6286" s="20" t="str">
        <f>IFERROR(__xludf.DUMMYFUNCTION("""COMPUTED_VALUE"""),"Uncle Sams Cider (11/12/2021) 02")</f>
        <v>Uncle Sams Cider (11/12/2021) 02</v>
      </c>
      <c r="H6286" s="19"/>
    </row>
    <row r="6287">
      <c r="A6287" s="9"/>
      <c r="B6287" s="15"/>
      <c r="C6287" s="9">
        <f>IFERROR(__xludf.DUMMYFUNCTION("""COMPUTED_VALUE"""),44539.4968293634)</f>
        <v>44539.49683</v>
      </c>
      <c r="D6287" s="15">
        <f>IFERROR(__xludf.DUMMYFUNCTION("""COMPUTED_VALUE"""),1.028)</f>
        <v>1.028</v>
      </c>
      <c r="E6287" s="16">
        <f>IFERROR(__xludf.DUMMYFUNCTION("""COMPUTED_VALUE"""),63.0)</f>
        <v>63</v>
      </c>
      <c r="F6287" s="19" t="str">
        <f>IFERROR(__xludf.DUMMYFUNCTION("""COMPUTED_VALUE"""),"BLACK")</f>
        <v>BLACK</v>
      </c>
      <c r="G6287" s="20" t="str">
        <f>IFERROR(__xludf.DUMMYFUNCTION("""COMPUTED_VALUE"""),"Uncle Sams Cider (11/12/2021) 02")</f>
        <v>Uncle Sams Cider (11/12/2021) 02</v>
      </c>
      <c r="H6287" s="19"/>
    </row>
    <row r="6288">
      <c r="A6288" s="9"/>
      <c r="B6288" s="15"/>
      <c r="C6288" s="9">
        <f>IFERROR(__xludf.DUMMYFUNCTION("""COMPUTED_VALUE"""),44539.4863975231)</f>
        <v>44539.4864</v>
      </c>
      <c r="D6288" s="15">
        <f>IFERROR(__xludf.DUMMYFUNCTION("""COMPUTED_VALUE"""),1.028)</f>
        <v>1.028</v>
      </c>
      <c r="E6288" s="16">
        <f>IFERROR(__xludf.DUMMYFUNCTION("""COMPUTED_VALUE"""),63.0)</f>
        <v>63</v>
      </c>
      <c r="F6288" s="19" t="str">
        <f>IFERROR(__xludf.DUMMYFUNCTION("""COMPUTED_VALUE"""),"BLACK")</f>
        <v>BLACK</v>
      </c>
      <c r="G6288" s="20" t="str">
        <f>IFERROR(__xludf.DUMMYFUNCTION("""COMPUTED_VALUE"""),"Uncle Sams Cider (11/12/2021) 02")</f>
        <v>Uncle Sams Cider (11/12/2021) 02</v>
      </c>
      <c r="H6288" s="19"/>
    </row>
    <row r="6289">
      <c r="A6289" s="9"/>
      <c r="B6289" s="15"/>
      <c r="C6289" s="9">
        <f>IFERROR(__xludf.DUMMYFUNCTION("""COMPUTED_VALUE"""),44539.4759769791)</f>
        <v>44539.47598</v>
      </c>
      <c r="D6289" s="15">
        <f>IFERROR(__xludf.DUMMYFUNCTION("""COMPUTED_VALUE"""),1.028)</f>
        <v>1.028</v>
      </c>
      <c r="E6289" s="16">
        <f>IFERROR(__xludf.DUMMYFUNCTION("""COMPUTED_VALUE"""),63.0)</f>
        <v>63</v>
      </c>
      <c r="F6289" s="19" t="str">
        <f>IFERROR(__xludf.DUMMYFUNCTION("""COMPUTED_VALUE"""),"BLACK")</f>
        <v>BLACK</v>
      </c>
      <c r="G6289" s="20" t="str">
        <f>IFERROR(__xludf.DUMMYFUNCTION("""COMPUTED_VALUE"""),"Uncle Sams Cider (11/12/2021) 02")</f>
        <v>Uncle Sams Cider (11/12/2021) 02</v>
      </c>
      <c r="H6289" s="19"/>
    </row>
    <row r="6290">
      <c r="A6290" s="9"/>
      <c r="B6290" s="15"/>
      <c r="C6290" s="9">
        <f>IFERROR(__xludf.DUMMYFUNCTION("""COMPUTED_VALUE"""),44539.4655553356)</f>
        <v>44539.46556</v>
      </c>
      <c r="D6290" s="15">
        <f>IFERROR(__xludf.DUMMYFUNCTION("""COMPUTED_VALUE"""),1.028)</f>
        <v>1.028</v>
      </c>
      <c r="E6290" s="16">
        <f>IFERROR(__xludf.DUMMYFUNCTION("""COMPUTED_VALUE"""),63.0)</f>
        <v>63</v>
      </c>
      <c r="F6290" s="19" t="str">
        <f>IFERROR(__xludf.DUMMYFUNCTION("""COMPUTED_VALUE"""),"BLACK")</f>
        <v>BLACK</v>
      </c>
      <c r="G6290" s="20" t="str">
        <f>IFERROR(__xludf.DUMMYFUNCTION("""COMPUTED_VALUE"""),"Uncle Sams Cider (11/12/2021) 02")</f>
        <v>Uncle Sams Cider (11/12/2021) 02</v>
      </c>
      <c r="H6290" s="19"/>
    </row>
    <row r="6291">
      <c r="A6291" s="9"/>
      <c r="B6291" s="15"/>
      <c r="C6291" s="9">
        <f>IFERROR(__xludf.DUMMYFUNCTION("""COMPUTED_VALUE"""),44539.4551352314)</f>
        <v>44539.45514</v>
      </c>
      <c r="D6291" s="15">
        <f>IFERROR(__xludf.DUMMYFUNCTION("""COMPUTED_VALUE"""),1.028)</f>
        <v>1.028</v>
      </c>
      <c r="E6291" s="16">
        <f>IFERROR(__xludf.DUMMYFUNCTION("""COMPUTED_VALUE"""),63.0)</f>
        <v>63</v>
      </c>
      <c r="F6291" s="19" t="str">
        <f>IFERROR(__xludf.DUMMYFUNCTION("""COMPUTED_VALUE"""),"BLACK")</f>
        <v>BLACK</v>
      </c>
      <c r="G6291" s="20" t="str">
        <f>IFERROR(__xludf.DUMMYFUNCTION("""COMPUTED_VALUE"""),"Uncle Sams Cider (11/12/2021) 02")</f>
        <v>Uncle Sams Cider (11/12/2021) 02</v>
      </c>
      <c r="H6291" s="19"/>
    </row>
    <row r="6292">
      <c r="A6292" s="9"/>
      <c r="B6292" s="15"/>
      <c r="C6292" s="9">
        <f>IFERROR(__xludf.DUMMYFUNCTION("""COMPUTED_VALUE"""),44539.4447026273)</f>
        <v>44539.4447</v>
      </c>
      <c r="D6292" s="15">
        <f>IFERROR(__xludf.DUMMYFUNCTION("""COMPUTED_VALUE"""),1.028)</f>
        <v>1.028</v>
      </c>
      <c r="E6292" s="16">
        <f>IFERROR(__xludf.DUMMYFUNCTION("""COMPUTED_VALUE"""),63.0)</f>
        <v>63</v>
      </c>
      <c r="F6292" s="19" t="str">
        <f>IFERROR(__xludf.DUMMYFUNCTION("""COMPUTED_VALUE"""),"BLACK")</f>
        <v>BLACK</v>
      </c>
      <c r="G6292" s="20" t="str">
        <f>IFERROR(__xludf.DUMMYFUNCTION("""COMPUTED_VALUE"""),"Uncle Sams Cider (11/12/2021) 02")</f>
        <v>Uncle Sams Cider (11/12/2021) 02</v>
      </c>
      <c r="H6292" s="19"/>
    </row>
    <row r="6293">
      <c r="A6293" s="9"/>
      <c r="B6293" s="15"/>
      <c r="C6293" s="9">
        <f>IFERROR(__xludf.DUMMYFUNCTION("""COMPUTED_VALUE"""),44539.4342815277)</f>
        <v>44539.43428</v>
      </c>
      <c r="D6293" s="15">
        <f>IFERROR(__xludf.DUMMYFUNCTION("""COMPUTED_VALUE"""),1.028)</f>
        <v>1.028</v>
      </c>
      <c r="E6293" s="16">
        <f>IFERROR(__xludf.DUMMYFUNCTION("""COMPUTED_VALUE"""),63.0)</f>
        <v>63</v>
      </c>
      <c r="F6293" s="19" t="str">
        <f>IFERROR(__xludf.DUMMYFUNCTION("""COMPUTED_VALUE"""),"BLACK")</f>
        <v>BLACK</v>
      </c>
      <c r="G6293" s="20" t="str">
        <f>IFERROR(__xludf.DUMMYFUNCTION("""COMPUTED_VALUE"""),"Uncle Sams Cider (11/12/2021) 02")</f>
        <v>Uncle Sams Cider (11/12/2021) 02</v>
      </c>
      <c r="H6293" s="19"/>
    </row>
    <row r="6294">
      <c r="A6294" s="9"/>
      <c r="B6294" s="15"/>
      <c r="C6294" s="9">
        <f>IFERROR(__xludf.DUMMYFUNCTION("""COMPUTED_VALUE"""),44539.4238612615)</f>
        <v>44539.42386</v>
      </c>
      <c r="D6294" s="15">
        <f>IFERROR(__xludf.DUMMYFUNCTION("""COMPUTED_VALUE"""),1.028)</f>
        <v>1.028</v>
      </c>
      <c r="E6294" s="16">
        <f>IFERROR(__xludf.DUMMYFUNCTION("""COMPUTED_VALUE"""),63.0)</f>
        <v>63</v>
      </c>
      <c r="F6294" s="19" t="str">
        <f>IFERROR(__xludf.DUMMYFUNCTION("""COMPUTED_VALUE"""),"BLACK")</f>
        <v>BLACK</v>
      </c>
      <c r="G6294" s="20" t="str">
        <f>IFERROR(__xludf.DUMMYFUNCTION("""COMPUTED_VALUE"""),"Uncle Sams Cider (11/12/2021) 02")</f>
        <v>Uncle Sams Cider (11/12/2021) 02</v>
      </c>
      <c r="H6294" s="19"/>
    </row>
    <row r="6295">
      <c r="A6295" s="9"/>
      <c r="B6295" s="15"/>
      <c r="C6295" s="9">
        <f>IFERROR(__xludf.DUMMYFUNCTION("""COMPUTED_VALUE"""),44539.4134162731)</f>
        <v>44539.41342</v>
      </c>
      <c r="D6295" s="15">
        <f>IFERROR(__xludf.DUMMYFUNCTION("""COMPUTED_VALUE"""),1.028)</f>
        <v>1.028</v>
      </c>
      <c r="E6295" s="16">
        <f>IFERROR(__xludf.DUMMYFUNCTION("""COMPUTED_VALUE"""),63.0)</f>
        <v>63</v>
      </c>
      <c r="F6295" s="19" t="str">
        <f>IFERROR(__xludf.DUMMYFUNCTION("""COMPUTED_VALUE"""),"BLACK")</f>
        <v>BLACK</v>
      </c>
      <c r="G6295" s="20" t="str">
        <f>IFERROR(__xludf.DUMMYFUNCTION("""COMPUTED_VALUE"""),"Uncle Sams Cider (11/12/2021) 02")</f>
        <v>Uncle Sams Cider (11/12/2021) 02</v>
      </c>
      <c r="H6295" s="19"/>
    </row>
    <row r="6296">
      <c r="A6296" s="9"/>
      <c r="B6296" s="15"/>
      <c r="C6296" s="9">
        <f>IFERROR(__xludf.DUMMYFUNCTION("""COMPUTED_VALUE"""),44539.4029379513)</f>
        <v>44539.40294</v>
      </c>
      <c r="D6296" s="15">
        <f>IFERROR(__xludf.DUMMYFUNCTION("""COMPUTED_VALUE"""),1.028)</f>
        <v>1.028</v>
      </c>
      <c r="E6296" s="16">
        <f>IFERROR(__xludf.DUMMYFUNCTION("""COMPUTED_VALUE"""),63.0)</f>
        <v>63</v>
      </c>
      <c r="F6296" s="19" t="str">
        <f>IFERROR(__xludf.DUMMYFUNCTION("""COMPUTED_VALUE"""),"BLACK")</f>
        <v>BLACK</v>
      </c>
      <c r="G6296" s="20" t="str">
        <f>IFERROR(__xludf.DUMMYFUNCTION("""COMPUTED_VALUE"""),"Uncle Sams Cider (11/12/2021) 02")</f>
        <v>Uncle Sams Cider (11/12/2021) 02</v>
      </c>
      <c r="H6296" s="19"/>
    </row>
    <row r="6297">
      <c r="A6297" s="9"/>
      <c r="B6297" s="15"/>
      <c r="C6297" s="9">
        <f>IFERROR(__xludf.DUMMYFUNCTION("""COMPUTED_VALUE"""),44539.3925051967)</f>
        <v>44539.39251</v>
      </c>
      <c r="D6297" s="15">
        <f>IFERROR(__xludf.DUMMYFUNCTION("""COMPUTED_VALUE"""),1.028)</f>
        <v>1.028</v>
      </c>
      <c r="E6297" s="16">
        <f>IFERROR(__xludf.DUMMYFUNCTION("""COMPUTED_VALUE"""),63.0)</f>
        <v>63</v>
      </c>
      <c r="F6297" s="19" t="str">
        <f>IFERROR(__xludf.DUMMYFUNCTION("""COMPUTED_VALUE"""),"BLACK")</f>
        <v>BLACK</v>
      </c>
      <c r="G6297" s="20" t="str">
        <f>IFERROR(__xludf.DUMMYFUNCTION("""COMPUTED_VALUE"""),"Uncle Sams Cider (11/12/2021) 02")</f>
        <v>Uncle Sams Cider (11/12/2021) 02</v>
      </c>
      <c r="H6297" s="19"/>
    </row>
    <row r="6298">
      <c r="A6298" s="9"/>
      <c r="B6298" s="15"/>
      <c r="C6298" s="9">
        <f>IFERROR(__xludf.DUMMYFUNCTION("""COMPUTED_VALUE"""),44539.3820830092)</f>
        <v>44539.38208</v>
      </c>
      <c r="D6298" s="15">
        <f>IFERROR(__xludf.DUMMYFUNCTION("""COMPUTED_VALUE"""),1.028)</f>
        <v>1.028</v>
      </c>
      <c r="E6298" s="16">
        <f>IFERROR(__xludf.DUMMYFUNCTION("""COMPUTED_VALUE"""),63.0)</f>
        <v>63</v>
      </c>
      <c r="F6298" s="19" t="str">
        <f>IFERROR(__xludf.DUMMYFUNCTION("""COMPUTED_VALUE"""),"BLACK")</f>
        <v>BLACK</v>
      </c>
      <c r="G6298" s="20" t="str">
        <f>IFERROR(__xludf.DUMMYFUNCTION("""COMPUTED_VALUE"""),"Uncle Sams Cider (11/12/2021) 02")</f>
        <v>Uncle Sams Cider (11/12/2021) 02</v>
      </c>
      <c r="H6298" s="19"/>
    </row>
    <row r="6299">
      <c r="A6299" s="9"/>
      <c r="B6299" s="15"/>
      <c r="C6299" s="9">
        <f>IFERROR(__xludf.DUMMYFUNCTION("""COMPUTED_VALUE"""),44539.3716259606)</f>
        <v>44539.37163</v>
      </c>
      <c r="D6299" s="15">
        <f>IFERROR(__xludf.DUMMYFUNCTION("""COMPUTED_VALUE"""),1.028)</f>
        <v>1.028</v>
      </c>
      <c r="E6299" s="16">
        <f>IFERROR(__xludf.DUMMYFUNCTION("""COMPUTED_VALUE"""),63.0)</f>
        <v>63</v>
      </c>
      <c r="F6299" s="19" t="str">
        <f>IFERROR(__xludf.DUMMYFUNCTION("""COMPUTED_VALUE"""),"BLACK")</f>
        <v>BLACK</v>
      </c>
      <c r="G6299" s="20" t="str">
        <f>IFERROR(__xludf.DUMMYFUNCTION("""COMPUTED_VALUE"""),"Uncle Sams Cider (11/12/2021) 02")</f>
        <v>Uncle Sams Cider (11/12/2021) 02</v>
      </c>
      <c r="H6299" s="19"/>
    </row>
    <row r="6300">
      <c r="A6300" s="9"/>
      <c r="B6300" s="15"/>
      <c r="C6300" s="9">
        <f>IFERROR(__xludf.DUMMYFUNCTION("""COMPUTED_VALUE"""),44539.3611931018)</f>
        <v>44539.36119</v>
      </c>
      <c r="D6300" s="15">
        <f>IFERROR(__xludf.DUMMYFUNCTION("""COMPUTED_VALUE"""),1.028)</f>
        <v>1.028</v>
      </c>
      <c r="E6300" s="16">
        <f>IFERROR(__xludf.DUMMYFUNCTION("""COMPUTED_VALUE"""),63.0)</f>
        <v>63</v>
      </c>
      <c r="F6300" s="19" t="str">
        <f>IFERROR(__xludf.DUMMYFUNCTION("""COMPUTED_VALUE"""),"BLACK")</f>
        <v>BLACK</v>
      </c>
      <c r="G6300" s="20" t="str">
        <f>IFERROR(__xludf.DUMMYFUNCTION("""COMPUTED_VALUE"""),"Uncle Sams Cider (11/12/2021) 02")</f>
        <v>Uncle Sams Cider (11/12/2021) 02</v>
      </c>
      <c r="H6300" s="19"/>
    </row>
    <row r="6301">
      <c r="A6301" s="9"/>
      <c r="B6301" s="15"/>
      <c r="C6301" s="9">
        <f>IFERROR(__xludf.DUMMYFUNCTION("""COMPUTED_VALUE"""),44539.3507610648)</f>
        <v>44539.35076</v>
      </c>
      <c r="D6301" s="15">
        <f>IFERROR(__xludf.DUMMYFUNCTION("""COMPUTED_VALUE"""),1.028)</f>
        <v>1.028</v>
      </c>
      <c r="E6301" s="16">
        <f>IFERROR(__xludf.DUMMYFUNCTION("""COMPUTED_VALUE"""),63.0)</f>
        <v>63</v>
      </c>
      <c r="F6301" s="19" t="str">
        <f>IFERROR(__xludf.DUMMYFUNCTION("""COMPUTED_VALUE"""),"BLACK")</f>
        <v>BLACK</v>
      </c>
      <c r="G6301" s="20" t="str">
        <f>IFERROR(__xludf.DUMMYFUNCTION("""COMPUTED_VALUE"""),"Uncle Sams Cider (11/12/2021) 02")</f>
        <v>Uncle Sams Cider (11/12/2021) 02</v>
      </c>
      <c r="H6301" s="19"/>
    </row>
    <row r="6302">
      <c r="A6302" s="9"/>
      <c r="B6302" s="15"/>
      <c r="C6302" s="9">
        <f>IFERROR(__xludf.DUMMYFUNCTION("""COMPUTED_VALUE"""),44539.3403169328)</f>
        <v>44539.34032</v>
      </c>
      <c r="D6302" s="15">
        <f>IFERROR(__xludf.DUMMYFUNCTION("""COMPUTED_VALUE"""),1.028)</f>
        <v>1.028</v>
      </c>
      <c r="E6302" s="16">
        <f>IFERROR(__xludf.DUMMYFUNCTION("""COMPUTED_VALUE"""),63.0)</f>
        <v>63</v>
      </c>
      <c r="F6302" s="19" t="str">
        <f>IFERROR(__xludf.DUMMYFUNCTION("""COMPUTED_VALUE"""),"BLACK")</f>
        <v>BLACK</v>
      </c>
      <c r="G6302" s="20" t="str">
        <f>IFERROR(__xludf.DUMMYFUNCTION("""COMPUTED_VALUE"""),"Uncle Sams Cider (11/12/2021) 02")</f>
        <v>Uncle Sams Cider (11/12/2021) 02</v>
      </c>
      <c r="H6302" s="19"/>
    </row>
    <row r="6303">
      <c r="A6303" s="9"/>
      <c r="B6303" s="15"/>
      <c r="C6303" s="9">
        <f>IFERROR(__xludf.DUMMYFUNCTION("""COMPUTED_VALUE"""),44539.3298953703)</f>
        <v>44539.3299</v>
      </c>
      <c r="D6303" s="15">
        <f>IFERROR(__xludf.DUMMYFUNCTION("""COMPUTED_VALUE"""),1.028)</f>
        <v>1.028</v>
      </c>
      <c r="E6303" s="16">
        <f>IFERROR(__xludf.DUMMYFUNCTION("""COMPUTED_VALUE"""),63.0)</f>
        <v>63</v>
      </c>
      <c r="F6303" s="19" t="str">
        <f>IFERROR(__xludf.DUMMYFUNCTION("""COMPUTED_VALUE"""),"BLACK")</f>
        <v>BLACK</v>
      </c>
      <c r="G6303" s="20" t="str">
        <f>IFERROR(__xludf.DUMMYFUNCTION("""COMPUTED_VALUE"""),"Uncle Sams Cider (11/12/2021) 02")</f>
        <v>Uncle Sams Cider (11/12/2021) 02</v>
      </c>
      <c r="H6303" s="19"/>
    </row>
    <row r="6304">
      <c r="A6304" s="9"/>
      <c r="B6304" s="15"/>
      <c r="C6304" s="9">
        <f>IFERROR(__xludf.DUMMYFUNCTION("""COMPUTED_VALUE"""),44539.3194629166)</f>
        <v>44539.31946</v>
      </c>
      <c r="D6304" s="15">
        <f>IFERROR(__xludf.DUMMYFUNCTION("""COMPUTED_VALUE"""),1.028)</f>
        <v>1.028</v>
      </c>
      <c r="E6304" s="16">
        <f>IFERROR(__xludf.DUMMYFUNCTION("""COMPUTED_VALUE"""),63.0)</f>
        <v>63</v>
      </c>
      <c r="F6304" s="19" t="str">
        <f>IFERROR(__xludf.DUMMYFUNCTION("""COMPUTED_VALUE"""),"BLACK")</f>
        <v>BLACK</v>
      </c>
      <c r="G6304" s="20" t="str">
        <f>IFERROR(__xludf.DUMMYFUNCTION("""COMPUTED_VALUE"""),"Uncle Sams Cider (11/12/2021) 02")</f>
        <v>Uncle Sams Cider (11/12/2021) 02</v>
      </c>
      <c r="H6304" s="19"/>
    </row>
    <row r="6305">
      <c r="A6305" s="9"/>
      <c r="B6305" s="15"/>
      <c r="C6305" s="9">
        <f>IFERROR(__xludf.DUMMYFUNCTION("""COMPUTED_VALUE"""),44539.3090421527)</f>
        <v>44539.30904</v>
      </c>
      <c r="D6305" s="15">
        <f>IFERROR(__xludf.DUMMYFUNCTION("""COMPUTED_VALUE"""),1.028)</f>
        <v>1.028</v>
      </c>
      <c r="E6305" s="16">
        <f>IFERROR(__xludf.DUMMYFUNCTION("""COMPUTED_VALUE"""),63.0)</f>
        <v>63</v>
      </c>
      <c r="F6305" s="19" t="str">
        <f>IFERROR(__xludf.DUMMYFUNCTION("""COMPUTED_VALUE"""),"BLACK")</f>
        <v>BLACK</v>
      </c>
      <c r="G6305" s="20" t="str">
        <f>IFERROR(__xludf.DUMMYFUNCTION("""COMPUTED_VALUE"""),"Uncle Sams Cider (11/12/2021) 02")</f>
        <v>Uncle Sams Cider (11/12/2021) 02</v>
      </c>
      <c r="H6305" s="19"/>
    </row>
    <row r="6306">
      <c r="A6306" s="9"/>
      <c r="B6306" s="15"/>
      <c r="C6306" s="9">
        <f>IFERROR(__xludf.DUMMYFUNCTION("""COMPUTED_VALUE"""),44539.2986203125)</f>
        <v>44539.29862</v>
      </c>
      <c r="D6306" s="15">
        <f>IFERROR(__xludf.DUMMYFUNCTION("""COMPUTED_VALUE"""),1.028)</f>
        <v>1.028</v>
      </c>
      <c r="E6306" s="16">
        <f>IFERROR(__xludf.DUMMYFUNCTION("""COMPUTED_VALUE"""),63.0)</f>
        <v>63</v>
      </c>
      <c r="F6306" s="19" t="str">
        <f>IFERROR(__xludf.DUMMYFUNCTION("""COMPUTED_VALUE"""),"BLACK")</f>
        <v>BLACK</v>
      </c>
      <c r="G6306" s="20" t="str">
        <f>IFERROR(__xludf.DUMMYFUNCTION("""COMPUTED_VALUE"""),"Uncle Sams Cider (11/12/2021) 02")</f>
        <v>Uncle Sams Cider (11/12/2021) 02</v>
      </c>
      <c r="H6306" s="19"/>
    </row>
    <row r="6307">
      <c r="A6307" s="9"/>
      <c r="B6307" s="15"/>
      <c r="C6307" s="9">
        <f>IFERROR(__xludf.DUMMYFUNCTION("""COMPUTED_VALUE"""),44539.2881881712)</f>
        <v>44539.28819</v>
      </c>
      <c r="D6307" s="15">
        <f>IFERROR(__xludf.DUMMYFUNCTION("""COMPUTED_VALUE"""),1.028)</f>
        <v>1.028</v>
      </c>
      <c r="E6307" s="16">
        <f>IFERROR(__xludf.DUMMYFUNCTION("""COMPUTED_VALUE"""),63.0)</f>
        <v>63</v>
      </c>
      <c r="F6307" s="19" t="str">
        <f>IFERROR(__xludf.DUMMYFUNCTION("""COMPUTED_VALUE"""),"BLACK")</f>
        <v>BLACK</v>
      </c>
      <c r="G6307" s="20" t="str">
        <f>IFERROR(__xludf.DUMMYFUNCTION("""COMPUTED_VALUE"""),"Uncle Sams Cider (11/12/2021) 02")</f>
        <v>Uncle Sams Cider (11/12/2021) 02</v>
      </c>
      <c r="H6307" s="19"/>
    </row>
    <row r="6308">
      <c r="A6308" s="9"/>
      <c r="B6308" s="15"/>
      <c r="C6308" s="9">
        <f>IFERROR(__xludf.DUMMYFUNCTION("""COMPUTED_VALUE"""),44539.2777554282)</f>
        <v>44539.27776</v>
      </c>
      <c r="D6308" s="15">
        <f>IFERROR(__xludf.DUMMYFUNCTION("""COMPUTED_VALUE"""),1.028)</f>
        <v>1.028</v>
      </c>
      <c r="E6308" s="16">
        <f>IFERROR(__xludf.DUMMYFUNCTION("""COMPUTED_VALUE"""),63.0)</f>
        <v>63</v>
      </c>
      <c r="F6308" s="19" t="str">
        <f>IFERROR(__xludf.DUMMYFUNCTION("""COMPUTED_VALUE"""),"BLACK")</f>
        <v>BLACK</v>
      </c>
      <c r="G6308" s="20" t="str">
        <f>IFERROR(__xludf.DUMMYFUNCTION("""COMPUTED_VALUE"""),"Uncle Sams Cider (11/12/2021) 02")</f>
        <v>Uncle Sams Cider (11/12/2021) 02</v>
      </c>
      <c r="H6308" s="19"/>
    </row>
    <row r="6309">
      <c r="A6309" s="9"/>
      <c r="B6309" s="15"/>
      <c r="C6309" s="9">
        <f>IFERROR(__xludf.DUMMYFUNCTION("""COMPUTED_VALUE"""),44539.2673351967)</f>
        <v>44539.26734</v>
      </c>
      <c r="D6309" s="15">
        <f>IFERROR(__xludf.DUMMYFUNCTION("""COMPUTED_VALUE"""),1.028)</f>
        <v>1.028</v>
      </c>
      <c r="E6309" s="16">
        <f>IFERROR(__xludf.DUMMYFUNCTION("""COMPUTED_VALUE"""),63.0)</f>
        <v>63</v>
      </c>
      <c r="F6309" s="19" t="str">
        <f>IFERROR(__xludf.DUMMYFUNCTION("""COMPUTED_VALUE"""),"BLACK")</f>
        <v>BLACK</v>
      </c>
      <c r="G6309" s="20" t="str">
        <f>IFERROR(__xludf.DUMMYFUNCTION("""COMPUTED_VALUE"""),"Uncle Sams Cider (11/12/2021) 02")</f>
        <v>Uncle Sams Cider (11/12/2021) 02</v>
      </c>
      <c r="H6309" s="19"/>
    </row>
    <row r="6310">
      <c r="A6310" s="9"/>
      <c r="B6310" s="15"/>
      <c r="C6310" s="9">
        <f>IFERROR(__xludf.DUMMYFUNCTION("""COMPUTED_VALUE"""),44539.2569139583)</f>
        <v>44539.25691</v>
      </c>
      <c r="D6310" s="15">
        <f>IFERROR(__xludf.DUMMYFUNCTION("""COMPUTED_VALUE"""),1.028)</f>
        <v>1.028</v>
      </c>
      <c r="E6310" s="16">
        <f>IFERROR(__xludf.DUMMYFUNCTION("""COMPUTED_VALUE"""),63.0)</f>
        <v>63</v>
      </c>
      <c r="F6310" s="19" t="str">
        <f>IFERROR(__xludf.DUMMYFUNCTION("""COMPUTED_VALUE"""),"BLACK")</f>
        <v>BLACK</v>
      </c>
      <c r="G6310" s="20" t="str">
        <f>IFERROR(__xludf.DUMMYFUNCTION("""COMPUTED_VALUE"""),"Uncle Sams Cider (11/12/2021) 02")</f>
        <v>Uncle Sams Cider (11/12/2021) 02</v>
      </c>
      <c r="H6310" s="19"/>
    </row>
    <row r="6311">
      <c r="A6311" s="9"/>
      <c r="B6311" s="15"/>
      <c r="C6311" s="9">
        <f>IFERROR(__xludf.DUMMYFUNCTION("""COMPUTED_VALUE"""),44539.2464931713)</f>
        <v>44539.24649</v>
      </c>
      <c r="D6311" s="15">
        <f>IFERROR(__xludf.DUMMYFUNCTION("""COMPUTED_VALUE"""),1.028)</f>
        <v>1.028</v>
      </c>
      <c r="E6311" s="16">
        <f>IFERROR(__xludf.DUMMYFUNCTION("""COMPUTED_VALUE"""),63.0)</f>
        <v>63</v>
      </c>
      <c r="F6311" s="19" t="str">
        <f>IFERROR(__xludf.DUMMYFUNCTION("""COMPUTED_VALUE"""),"BLACK")</f>
        <v>BLACK</v>
      </c>
      <c r="G6311" s="20" t="str">
        <f>IFERROR(__xludf.DUMMYFUNCTION("""COMPUTED_VALUE"""),"Uncle Sams Cider (11/12/2021) 02")</f>
        <v>Uncle Sams Cider (11/12/2021) 02</v>
      </c>
      <c r="H6311" s="19"/>
    </row>
    <row r="6312">
      <c r="A6312" s="9"/>
      <c r="B6312" s="15"/>
      <c r="C6312" s="9">
        <f>IFERROR(__xludf.DUMMYFUNCTION("""COMPUTED_VALUE"""),44539.2360724189)</f>
        <v>44539.23607</v>
      </c>
      <c r="D6312" s="15">
        <f>IFERROR(__xludf.DUMMYFUNCTION("""COMPUTED_VALUE"""),1.028)</f>
        <v>1.028</v>
      </c>
      <c r="E6312" s="16">
        <f>IFERROR(__xludf.DUMMYFUNCTION("""COMPUTED_VALUE"""),63.0)</f>
        <v>63</v>
      </c>
      <c r="F6312" s="19" t="str">
        <f>IFERROR(__xludf.DUMMYFUNCTION("""COMPUTED_VALUE"""),"BLACK")</f>
        <v>BLACK</v>
      </c>
      <c r="G6312" s="20" t="str">
        <f>IFERROR(__xludf.DUMMYFUNCTION("""COMPUTED_VALUE"""),"Uncle Sams Cider (11/12/2021) 02")</f>
        <v>Uncle Sams Cider (11/12/2021) 02</v>
      </c>
      <c r="H6312" s="19"/>
    </row>
    <row r="6313">
      <c r="A6313" s="9"/>
      <c r="B6313" s="15"/>
      <c r="C6313" s="9">
        <f>IFERROR(__xludf.DUMMYFUNCTION("""COMPUTED_VALUE"""),44539.2256275462)</f>
        <v>44539.22563</v>
      </c>
      <c r="D6313" s="15">
        <f>IFERROR(__xludf.DUMMYFUNCTION("""COMPUTED_VALUE"""),1.028)</f>
        <v>1.028</v>
      </c>
      <c r="E6313" s="16">
        <f>IFERROR(__xludf.DUMMYFUNCTION("""COMPUTED_VALUE"""),63.0)</f>
        <v>63</v>
      </c>
      <c r="F6313" s="19" t="str">
        <f>IFERROR(__xludf.DUMMYFUNCTION("""COMPUTED_VALUE"""),"BLACK")</f>
        <v>BLACK</v>
      </c>
      <c r="G6313" s="20" t="str">
        <f>IFERROR(__xludf.DUMMYFUNCTION("""COMPUTED_VALUE"""),"Uncle Sams Cider (11/12/2021) 02")</f>
        <v>Uncle Sams Cider (11/12/2021) 02</v>
      </c>
      <c r="H6313" s="19"/>
    </row>
    <row r="6314">
      <c r="A6314" s="9"/>
      <c r="B6314" s="15"/>
      <c r="C6314" s="9">
        <f>IFERROR(__xludf.DUMMYFUNCTION("""COMPUTED_VALUE"""),44539.21520625)</f>
        <v>44539.21521</v>
      </c>
      <c r="D6314" s="15">
        <f>IFERROR(__xludf.DUMMYFUNCTION("""COMPUTED_VALUE"""),1.028)</f>
        <v>1.028</v>
      </c>
      <c r="E6314" s="16">
        <f>IFERROR(__xludf.DUMMYFUNCTION("""COMPUTED_VALUE"""),63.0)</f>
        <v>63</v>
      </c>
      <c r="F6314" s="19" t="str">
        <f>IFERROR(__xludf.DUMMYFUNCTION("""COMPUTED_VALUE"""),"BLACK")</f>
        <v>BLACK</v>
      </c>
      <c r="G6314" s="20" t="str">
        <f>IFERROR(__xludf.DUMMYFUNCTION("""COMPUTED_VALUE"""),"Uncle Sams Cider (11/12/2021) 02")</f>
        <v>Uncle Sams Cider (11/12/2021) 02</v>
      </c>
      <c r="H6314" s="19"/>
    </row>
    <row r="6315">
      <c r="A6315" s="9"/>
      <c r="B6315" s="15"/>
      <c r="C6315" s="9">
        <f>IFERROR(__xludf.DUMMYFUNCTION("""COMPUTED_VALUE"""),44539.2047853819)</f>
        <v>44539.20479</v>
      </c>
      <c r="D6315" s="15">
        <f>IFERROR(__xludf.DUMMYFUNCTION("""COMPUTED_VALUE"""),1.028)</f>
        <v>1.028</v>
      </c>
      <c r="E6315" s="16">
        <f>IFERROR(__xludf.DUMMYFUNCTION("""COMPUTED_VALUE"""),63.0)</f>
        <v>63</v>
      </c>
      <c r="F6315" s="19" t="str">
        <f>IFERROR(__xludf.DUMMYFUNCTION("""COMPUTED_VALUE"""),"BLACK")</f>
        <v>BLACK</v>
      </c>
      <c r="G6315" s="20" t="str">
        <f>IFERROR(__xludf.DUMMYFUNCTION("""COMPUTED_VALUE"""),"Uncle Sams Cider (11/12/2021) 02")</f>
        <v>Uncle Sams Cider (11/12/2021) 02</v>
      </c>
      <c r="H6315" s="19"/>
    </row>
    <row r="6316">
      <c r="A6316" s="9"/>
      <c r="B6316" s="15"/>
      <c r="C6316" s="9">
        <f>IFERROR(__xludf.DUMMYFUNCTION("""COMPUTED_VALUE"""),44539.1943631134)</f>
        <v>44539.19436</v>
      </c>
      <c r="D6316" s="15">
        <f>IFERROR(__xludf.DUMMYFUNCTION("""COMPUTED_VALUE"""),1.028)</f>
        <v>1.028</v>
      </c>
      <c r="E6316" s="16">
        <f>IFERROR(__xludf.DUMMYFUNCTION("""COMPUTED_VALUE"""),63.0)</f>
        <v>63</v>
      </c>
      <c r="F6316" s="19" t="str">
        <f>IFERROR(__xludf.DUMMYFUNCTION("""COMPUTED_VALUE"""),"BLACK")</f>
        <v>BLACK</v>
      </c>
      <c r="G6316" s="20" t="str">
        <f>IFERROR(__xludf.DUMMYFUNCTION("""COMPUTED_VALUE"""),"Uncle Sams Cider (11/12/2021) 02")</f>
        <v>Uncle Sams Cider (11/12/2021) 02</v>
      </c>
      <c r="H6316" s="19"/>
    </row>
    <row r="6317">
      <c r="A6317" s="9"/>
      <c r="B6317" s="15"/>
      <c r="C6317" s="9">
        <f>IFERROR(__xludf.DUMMYFUNCTION("""COMPUTED_VALUE"""),44539.1839303935)</f>
        <v>44539.18393</v>
      </c>
      <c r="D6317" s="15">
        <f>IFERROR(__xludf.DUMMYFUNCTION("""COMPUTED_VALUE"""),1.028)</f>
        <v>1.028</v>
      </c>
      <c r="E6317" s="16">
        <f>IFERROR(__xludf.DUMMYFUNCTION("""COMPUTED_VALUE"""),63.0)</f>
        <v>63</v>
      </c>
      <c r="F6317" s="19" t="str">
        <f>IFERROR(__xludf.DUMMYFUNCTION("""COMPUTED_VALUE"""),"BLACK")</f>
        <v>BLACK</v>
      </c>
      <c r="G6317" s="20" t="str">
        <f>IFERROR(__xludf.DUMMYFUNCTION("""COMPUTED_VALUE"""),"Uncle Sams Cider (11/12/2021) 02")</f>
        <v>Uncle Sams Cider (11/12/2021) 02</v>
      </c>
      <c r="H6317" s="19"/>
    </row>
    <row r="6318">
      <c r="A6318" s="9"/>
      <c r="B6318" s="15"/>
      <c r="C6318" s="9">
        <f>IFERROR(__xludf.DUMMYFUNCTION("""COMPUTED_VALUE"""),44539.1734983449)</f>
        <v>44539.1735</v>
      </c>
      <c r="D6318" s="15">
        <f>IFERROR(__xludf.DUMMYFUNCTION("""COMPUTED_VALUE"""),1.028)</f>
        <v>1.028</v>
      </c>
      <c r="E6318" s="16">
        <f>IFERROR(__xludf.DUMMYFUNCTION("""COMPUTED_VALUE"""),63.0)</f>
        <v>63</v>
      </c>
      <c r="F6318" s="19" t="str">
        <f>IFERROR(__xludf.DUMMYFUNCTION("""COMPUTED_VALUE"""),"BLACK")</f>
        <v>BLACK</v>
      </c>
      <c r="G6318" s="20" t="str">
        <f>IFERROR(__xludf.DUMMYFUNCTION("""COMPUTED_VALUE"""),"Uncle Sams Cider (11/12/2021) 02")</f>
        <v>Uncle Sams Cider (11/12/2021) 02</v>
      </c>
      <c r="H6318" s="19"/>
    </row>
    <row r="6319">
      <c r="A6319" s="9"/>
      <c r="B6319" s="15"/>
      <c r="C6319" s="9">
        <f>IFERROR(__xludf.DUMMYFUNCTION("""COMPUTED_VALUE"""),44539.1630770254)</f>
        <v>44539.16308</v>
      </c>
      <c r="D6319" s="15">
        <f>IFERROR(__xludf.DUMMYFUNCTION("""COMPUTED_VALUE"""),1.028)</f>
        <v>1.028</v>
      </c>
      <c r="E6319" s="16">
        <f>IFERROR(__xludf.DUMMYFUNCTION("""COMPUTED_VALUE"""),63.0)</f>
        <v>63</v>
      </c>
      <c r="F6319" s="19" t="str">
        <f>IFERROR(__xludf.DUMMYFUNCTION("""COMPUTED_VALUE"""),"BLACK")</f>
        <v>BLACK</v>
      </c>
      <c r="G6319" s="20" t="str">
        <f>IFERROR(__xludf.DUMMYFUNCTION("""COMPUTED_VALUE"""),"Uncle Sams Cider (11/12/2021) 02")</f>
        <v>Uncle Sams Cider (11/12/2021) 02</v>
      </c>
      <c r="H6319" s="19"/>
    </row>
    <row r="6320">
      <c r="A6320" s="9"/>
      <c r="B6320" s="15"/>
      <c r="C6320" s="9">
        <f>IFERROR(__xludf.DUMMYFUNCTION("""COMPUTED_VALUE"""),44539.1526439467)</f>
        <v>44539.15264</v>
      </c>
      <c r="D6320" s="15">
        <f>IFERROR(__xludf.DUMMYFUNCTION("""COMPUTED_VALUE"""),1.028)</f>
        <v>1.028</v>
      </c>
      <c r="E6320" s="16">
        <f>IFERROR(__xludf.DUMMYFUNCTION("""COMPUTED_VALUE"""),63.0)</f>
        <v>63</v>
      </c>
      <c r="F6320" s="19" t="str">
        <f>IFERROR(__xludf.DUMMYFUNCTION("""COMPUTED_VALUE"""),"BLACK")</f>
        <v>BLACK</v>
      </c>
      <c r="G6320" s="20" t="str">
        <f>IFERROR(__xludf.DUMMYFUNCTION("""COMPUTED_VALUE"""),"Uncle Sams Cider (11/12/2021) 02")</f>
        <v>Uncle Sams Cider (11/12/2021) 02</v>
      </c>
      <c r="H6320" s="19"/>
    </row>
    <row r="6321">
      <c r="A6321" s="9"/>
      <c r="B6321" s="15"/>
      <c r="C6321" s="9">
        <f>IFERROR(__xludf.DUMMYFUNCTION("""COMPUTED_VALUE"""),44539.1422114699)</f>
        <v>44539.14221</v>
      </c>
      <c r="D6321" s="15">
        <f>IFERROR(__xludf.DUMMYFUNCTION("""COMPUTED_VALUE"""),1.028)</f>
        <v>1.028</v>
      </c>
      <c r="E6321" s="16">
        <f>IFERROR(__xludf.DUMMYFUNCTION("""COMPUTED_VALUE"""),63.0)</f>
        <v>63</v>
      </c>
      <c r="F6321" s="19" t="str">
        <f>IFERROR(__xludf.DUMMYFUNCTION("""COMPUTED_VALUE"""),"BLACK")</f>
        <v>BLACK</v>
      </c>
      <c r="G6321" s="20" t="str">
        <f>IFERROR(__xludf.DUMMYFUNCTION("""COMPUTED_VALUE"""),"Uncle Sams Cider (11/12/2021) 02")</f>
        <v>Uncle Sams Cider (11/12/2021) 02</v>
      </c>
      <c r="H6321" s="19"/>
    </row>
    <row r="6322">
      <c r="A6322" s="9"/>
      <c r="B6322" s="15"/>
      <c r="C6322" s="9">
        <f>IFERROR(__xludf.DUMMYFUNCTION("""COMPUTED_VALUE"""),44539.1317795949)</f>
        <v>44539.13178</v>
      </c>
      <c r="D6322" s="15">
        <f>IFERROR(__xludf.DUMMYFUNCTION("""COMPUTED_VALUE"""),1.028)</f>
        <v>1.028</v>
      </c>
      <c r="E6322" s="16">
        <f>IFERROR(__xludf.DUMMYFUNCTION("""COMPUTED_VALUE"""),63.0)</f>
        <v>63</v>
      </c>
      <c r="F6322" s="19" t="str">
        <f>IFERROR(__xludf.DUMMYFUNCTION("""COMPUTED_VALUE"""),"BLACK")</f>
        <v>BLACK</v>
      </c>
      <c r="G6322" s="20" t="str">
        <f>IFERROR(__xludf.DUMMYFUNCTION("""COMPUTED_VALUE"""),"Uncle Sams Cider (11/12/2021) 02")</f>
        <v>Uncle Sams Cider (11/12/2021) 02</v>
      </c>
      <c r="H6322" s="19"/>
    </row>
    <row r="6323">
      <c r="A6323" s="9"/>
      <c r="B6323" s="15"/>
      <c r="C6323" s="9">
        <f>IFERROR(__xludf.DUMMYFUNCTION("""COMPUTED_VALUE"""),44539.1213462037)</f>
        <v>44539.12135</v>
      </c>
      <c r="D6323" s="15">
        <f>IFERROR(__xludf.DUMMYFUNCTION("""COMPUTED_VALUE"""),1.028)</f>
        <v>1.028</v>
      </c>
      <c r="E6323" s="16">
        <f>IFERROR(__xludf.DUMMYFUNCTION("""COMPUTED_VALUE"""),63.0)</f>
        <v>63</v>
      </c>
      <c r="F6323" s="19" t="str">
        <f>IFERROR(__xludf.DUMMYFUNCTION("""COMPUTED_VALUE"""),"BLACK")</f>
        <v>BLACK</v>
      </c>
      <c r="G6323" s="20" t="str">
        <f>IFERROR(__xludf.DUMMYFUNCTION("""COMPUTED_VALUE"""),"Uncle Sams Cider (11/12/2021) 02")</f>
        <v>Uncle Sams Cider (11/12/2021) 02</v>
      </c>
      <c r="H6323" s="19"/>
    </row>
    <row r="6324">
      <c r="A6324" s="9"/>
      <c r="B6324" s="15"/>
      <c r="C6324" s="9">
        <f>IFERROR(__xludf.DUMMYFUNCTION("""COMPUTED_VALUE"""),44539.1004788194)</f>
        <v>44539.10048</v>
      </c>
      <c r="D6324" s="15">
        <f>IFERROR(__xludf.DUMMYFUNCTION("""COMPUTED_VALUE"""),1.028)</f>
        <v>1.028</v>
      </c>
      <c r="E6324" s="16">
        <f>IFERROR(__xludf.DUMMYFUNCTION("""COMPUTED_VALUE"""),63.0)</f>
        <v>63</v>
      </c>
      <c r="F6324" s="19" t="str">
        <f>IFERROR(__xludf.DUMMYFUNCTION("""COMPUTED_VALUE"""),"BLACK")</f>
        <v>BLACK</v>
      </c>
      <c r="G6324" s="20" t="str">
        <f>IFERROR(__xludf.DUMMYFUNCTION("""COMPUTED_VALUE"""),"Uncle Sams Cider (11/12/2021) 02")</f>
        <v>Uncle Sams Cider (11/12/2021) 02</v>
      </c>
      <c r="H6324" s="19"/>
    </row>
    <row r="6325">
      <c r="A6325" s="9"/>
      <c r="B6325" s="15"/>
      <c r="C6325" s="9">
        <f>IFERROR(__xludf.DUMMYFUNCTION("""COMPUTED_VALUE"""),44539.0900566087)</f>
        <v>44539.09006</v>
      </c>
      <c r="D6325" s="15">
        <f>IFERROR(__xludf.DUMMYFUNCTION("""COMPUTED_VALUE"""),1.028)</f>
        <v>1.028</v>
      </c>
      <c r="E6325" s="16">
        <f>IFERROR(__xludf.DUMMYFUNCTION("""COMPUTED_VALUE"""),63.0)</f>
        <v>63</v>
      </c>
      <c r="F6325" s="19" t="str">
        <f>IFERROR(__xludf.DUMMYFUNCTION("""COMPUTED_VALUE"""),"BLACK")</f>
        <v>BLACK</v>
      </c>
      <c r="G6325" s="20" t="str">
        <f>IFERROR(__xludf.DUMMYFUNCTION("""COMPUTED_VALUE"""),"Uncle Sams Cider (11/12/2021) 02")</f>
        <v>Uncle Sams Cider (11/12/2021) 02</v>
      </c>
      <c r="H6325" s="19"/>
    </row>
    <row r="6326">
      <c r="A6326" s="9"/>
      <c r="B6326" s="15"/>
      <c r="C6326" s="9">
        <f>IFERROR(__xludf.DUMMYFUNCTION("""COMPUTED_VALUE"""),44539.0796257986)</f>
        <v>44539.07963</v>
      </c>
      <c r="D6326" s="15">
        <f>IFERROR(__xludf.DUMMYFUNCTION("""COMPUTED_VALUE"""),1.028)</f>
        <v>1.028</v>
      </c>
      <c r="E6326" s="16">
        <f>IFERROR(__xludf.DUMMYFUNCTION("""COMPUTED_VALUE"""),63.0)</f>
        <v>63</v>
      </c>
      <c r="F6326" s="19" t="str">
        <f>IFERROR(__xludf.DUMMYFUNCTION("""COMPUTED_VALUE"""),"BLACK")</f>
        <v>BLACK</v>
      </c>
      <c r="G6326" s="20" t="str">
        <f>IFERROR(__xludf.DUMMYFUNCTION("""COMPUTED_VALUE"""),"Uncle Sams Cider (11/12/2021) 02")</f>
        <v>Uncle Sams Cider (11/12/2021) 02</v>
      </c>
      <c r="H6326" s="19"/>
    </row>
    <row r="6327">
      <c r="A6327" s="9"/>
      <c r="B6327" s="15"/>
      <c r="C6327" s="9">
        <f>IFERROR(__xludf.DUMMYFUNCTION("""COMPUTED_VALUE"""),44539.0692032986)</f>
        <v>44539.0692</v>
      </c>
      <c r="D6327" s="15">
        <f>IFERROR(__xludf.DUMMYFUNCTION("""COMPUTED_VALUE"""),1.028)</f>
        <v>1.028</v>
      </c>
      <c r="E6327" s="16">
        <f>IFERROR(__xludf.DUMMYFUNCTION("""COMPUTED_VALUE"""),63.0)</f>
        <v>63</v>
      </c>
      <c r="F6327" s="19" t="str">
        <f>IFERROR(__xludf.DUMMYFUNCTION("""COMPUTED_VALUE"""),"BLACK")</f>
        <v>BLACK</v>
      </c>
      <c r="G6327" s="20" t="str">
        <f>IFERROR(__xludf.DUMMYFUNCTION("""COMPUTED_VALUE"""),"Uncle Sams Cider (11/12/2021) 02")</f>
        <v>Uncle Sams Cider (11/12/2021) 02</v>
      </c>
      <c r="H6327" s="19"/>
    </row>
    <row r="6328">
      <c r="A6328" s="9"/>
      <c r="B6328" s="15"/>
      <c r="C6328" s="9">
        <f>IFERROR(__xludf.DUMMYFUNCTION("""COMPUTED_VALUE"""),44539.0587704398)</f>
        <v>44539.05877</v>
      </c>
      <c r="D6328" s="15">
        <f>IFERROR(__xludf.DUMMYFUNCTION("""COMPUTED_VALUE"""),1.028)</f>
        <v>1.028</v>
      </c>
      <c r="E6328" s="16">
        <f>IFERROR(__xludf.DUMMYFUNCTION("""COMPUTED_VALUE"""),63.0)</f>
        <v>63</v>
      </c>
      <c r="F6328" s="19" t="str">
        <f>IFERROR(__xludf.DUMMYFUNCTION("""COMPUTED_VALUE"""),"BLACK")</f>
        <v>BLACK</v>
      </c>
      <c r="G6328" s="20" t="str">
        <f>IFERROR(__xludf.DUMMYFUNCTION("""COMPUTED_VALUE"""),"Uncle Sams Cider (11/12/2021) 02")</f>
        <v>Uncle Sams Cider (11/12/2021) 02</v>
      </c>
      <c r="H6328" s="19"/>
    </row>
    <row r="6329">
      <c r="A6329" s="9"/>
      <c r="B6329" s="15"/>
      <c r="C6329" s="9">
        <f>IFERROR(__xludf.DUMMYFUNCTION("""COMPUTED_VALUE"""),44539.0483263425)</f>
        <v>44539.04833</v>
      </c>
      <c r="D6329" s="15">
        <f>IFERROR(__xludf.DUMMYFUNCTION("""COMPUTED_VALUE"""),1.028)</f>
        <v>1.028</v>
      </c>
      <c r="E6329" s="16">
        <f>IFERROR(__xludf.DUMMYFUNCTION("""COMPUTED_VALUE"""),63.0)</f>
        <v>63</v>
      </c>
      <c r="F6329" s="19" t="str">
        <f>IFERROR(__xludf.DUMMYFUNCTION("""COMPUTED_VALUE"""),"BLACK")</f>
        <v>BLACK</v>
      </c>
      <c r="G6329" s="20" t="str">
        <f>IFERROR(__xludf.DUMMYFUNCTION("""COMPUTED_VALUE"""),"Uncle Sams Cider (11/12/2021) 02")</f>
        <v>Uncle Sams Cider (11/12/2021) 02</v>
      </c>
      <c r="H6329" s="19"/>
    </row>
    <row r="6330">
      <c r="A6330" s="9"/>
      <c r="B6330" s="15"/>
      <c r="C6330" s="9">
        <f>IFERROR(__xludf.DUMMYFUNCTION("""COMPUTED_VALUE"""),44539.0378935532)</f>
        <v>44539.03789</v>
      </c>
      <c r="D6330" s="15">
        <f>IFERROR(__xludf.DUMMYFUNCTION("""COMPUTED_VALUE"""),1.028)</f>
        <v>1.028</v>
      </c>
      <c r="E6330" s="16">
        <f>IFERROR(__xludf.DUMMYFUNCTION("""COMPUTED_VALUE"""),63.0)</f>
        <v>63</v>
      </c>
      <c r="F6330" s="19" t="str">
        <f>IFERROR(__xludf.DUMMYFUNCTION("""COMPUTED_VALUE"""),"BLACK")</f>
        <v>BLACK</v>
      </c>
      <c r="G6330" s="20" t="str">
        <f>IFERROR(__xludf.DUMMYFUNCTION("""COMPUTED_VALUE"""),"Uncle Sams Cider (11/12/2021) 02")</f>
        <v>Uncle Sams Cider (11/12/2021) 02</v>
      </c>
      <c r="H6330" s="19"/>
    </row>
    <row r="6331">
      <c r="A6331" s="9"/>
      <c r="B6331" s="15"/>
      <c r="C6331" s="9">
        <f>IFERROR(__xludf.DUMMYFUNCTION("""COMPUTED_VALUE"""),44539.0274612615)</f>
        <v>44539.02746</v>
      </c>
      <c r="D6331" s="15">
        <f>IFERROR(__xludf.DUMMYFUNCTION("""COMPUTED_VALUE"""),1.028)</f>
        <v>1.028</v>
      </c>
      <c r="E6331" s="16">
        <f>IFERROR(__xludf.DUMMYFUNCTION("""COMPUTED_VALUE"""),63.0)</f>
        <v>63</v>
      </c>
      <c r="F6331" s="19" t="str">
        <f>IFERROR(__xludf.DUMMYFUNCTION("""COMPUTED_VALUE"""),"BLACK")</f>
        <v>BLACK</v>
      </c>
      <c r="G6331" s="20" t="str">
        <f>IFERROR(__xludf.DUMMYFUNCTION("""COMPUTED_VALUE"""),"Uncle Sams Cider (11/12/2021) 02")</f>
        <v>Uncle Sams Cider (11/12/2021) 02</v>
      </c>
      <c r="H6331" s="19"/>
    </row>
    <row r="6332">
      <c r="A6332" s="9"/>
      <c r="B6332" s="15"/>
      <c r="C6332" s="9">
        <f>IFERROR(__xludf.DUMMYFUNCTION("""COMPUTED_VALUE"""),44539.0170404629)</f>
        <v>44539.01704</v>
      </c>
      <c r="D6332" s="15">
        <f>IFERROR(__xludf.DUMMYFUNCTION("""COMPUTED_VALUE"""),1.028)</f>
        <v>1.028</v>
      </c>
      <c r="E6332" s="16">
        <f>IFERROR(__xludf.DUMMYFUNCTION("""COMPUTED_VALUE"""),63.0)</f>
        <v>63</v>
      </c>
      <c r="F6332" s="19" t="str">
        <f>IFERROR(__xludf.DUMMYFUNCTION("""COMPUTED_VALUE"""),"BLACK")</f>
        <v>BLACK</v>
      </c>
      <c r="G6332" s="20" t="str">
        <f>IFERROR(__xludf.DUMMYFUNCTION("""COMPUTED_VALUE"""),"Uncle Sams Cider (11/12/2021) 02")</f>
        <v>Uncle Sams Cider (11/12/2021) 02</v>
      </c>
      <c r="H6332" s="19"/>
    </row>
    <row r="6333">
      <c r="A6333" s="9"/>
      <c r="B6333" s="15"/>
      <c r="C6333" s="9">
        <f>IFERROR(__xludf.DUMMYFUNCTION("""COMPUTED_VALUE"""),44539.006607824)</f>
        <v>44539.00661</v>
      </c>
      <c r="D6333" s="15">
        <f>IFERROR(__xludf.DUMMYFUNCTION("""COMPUTED_VALUE"""),1.028)</f>
        <v>1.028</v>
      </c>
      <c r="E6333" s="16">
        <f>IFERROR(__xludf.DUMMYFUNCTION("""COMPUTED_VALUE"""),63.0)</f>
        <v>63</v>
      </c>
      <c r="F6333" s="19" t="str">
        <f>IFERROR(__xludf.DUMMYFUNCTION("""COMPUTED_VALUE"""),"BLACK")</f>
        <v>BLACK</v>
      </c>
      <c r="G6333" s="20" t="str">
        <f>IFERROR(__xludf.DUMMYFUNCTION("""COMPUTED_VALUE"""),"Uncle Sams Cider (11/12/2021) 02")</f>
        <v>Uncle Sams Cider (11/12/2021) 02</v>
      </c>
      <c r="H6333" s="19"/>
    </row>
    <row r="6334">
      <c r="A6334" s="9"/>
      <c r="B6334" s="15"/>
      <c r="C6334" s="9">
        <f>IFERROR(__xludf.DUMMYFUNCTION("""COMPUTED_VALUE"""),44538.9961872453)</f>
        <v>44538.99619</v>
      </c>
      <c r="D6334" s="15">
        <f>IFERROR(__xludf.DUMMYFUNCTION("""COMPUTED_VALUE"""),1.028)</f>
        <v>1.028</v>
      </c>
      <c r="E6334" s="16">
        <f>IFERROR(__xludf.DUMMYFUNCTION("""COMPUTED_VALUE"""),63.0)</f>
        <v>63</v>
      </c>
      <c r="F6334" s="19" t="str">
        <f>IFERROR(__xludf.DUMMYFUNCTION("""COMPUTED_VALUE"""),"BLACK")</f>
        <v>BLACK</v>
      </c>
      <c r="G6334" s="20" t="str">
        <f>IFERROR(__xludf.DUMMYFUNCTION("""COMPUTED_VALUE"""),"Uncle Sams Cider (11/12/2021) 02")</f>
        <v>Uncle Sams Cider (11/12/2021) 02</v>
      </c>
      <c r="H6334" s="19"/>
    </row>
    <row r="6335">
      <c r="A6335" s="9"/>
      <c r="B6335" s="15"/>
      <c r="C6335" s="9">
        <f>IFERROR(__xludf.DUMMYFUNCTION("""COMPUTED_VALUE"""),44538.9857540393)</f>
        <v>44538.98575</v>
      </c>
      <c r="D6335" s="15">
        <f>IFERROR(__xludf.DUMMYFUNCTION("""COMPUTED_VALUE"""),1.028)</f>
        <v>1.028</v>
      </c>
      <c r="E6335" s="16">
        <f>IFERROR(__xludf.DUMMYFUNCTION("""COMPUTED_VALUE"""),63.0)</f>
        <v>63</v>
      </c>
      <c r="F6335" s="19" t="str">
        <f>IFERROR(__xludf.DUMMYFUNCTION("""COMPUTED_VALUE"""),"BLACK")</f>
        <v>BLACK</v>
      </c>
      <c r="G6335" s="20" t="str">
        <f>IFERROR(__xludf.DUMMYFUNCTION("""COMPUTED_VALUE"""),"Uncle Sams Cider (11/12/2021) 02")</f>
        <v>Uncle Sams Cider (11/12/2021) 02</v>
      </c>
      <c r="H6335" s="19"/>
    </row>
    <row r="6336">
      <c r="A6336" s="9"/>
      <c r="B6336" s="15"/>
      <c r="C6336" s="9">
        <f>IFERROR(__xludf.DUMMYFUNCTION("""COMPUTED_VALUE"""),44538.97532228)</f>
        <v>44538.97532</v>
      </c>
      <c r="D6336" s="15">
        <f>IFERROR(__xludf.DUMMYFUNCTION("""COMPUTED_VALUE"""),1.028)</f>
        <v>1.028</v>
      </c>
      <c r="E6336" s="16">
        <f>IFERROR(__xludf.DUMMYFUNCTION("""COMPUTED_VALUE"""),63.0)</f>
        <v>63</v>
      </c>
      <c r="F6336" s="19" t="str">
        <f>IFERROR(__xludf.DUMMYFUNCTION("""COMPUTED_VALUE"""),"BLACK")</f>
        <v>BLACK</v>
      </c>
      <c r="G6336" s="20" t="str">
        <f>IFERROR(__xludf.DUMMYFUNCTION("""COMPUTED_VALUE"""),"Uncle Sams Cider (11/12/2021) 02")</f>
        <v>Uncle Sams Cider (11/12/2021) 02</v>
      </c>
      <c r="H6336" s="19"/>
    </row>
    <row r="6337">
      <c r="A6337" s="9"/>
      <c r="B6337" s="15"/>
      <c r="C6337" s="9">
        <f>IFERROR(__xludf.DUMMYFUNCTION("""COMPUTED_VALUE"""),44538.9649006481)</f>
        <v>44538.9649</v>
      </c>
      <c r="D6337" s="15">
        <f>IFERROR(__xludf.DUMMYFUNCTION("""COMPUTED_VALUE"""),1.028)</f>
        <v>1.028</v>
      </c>
      <c r="E6337" s="16">
        <f>IFERROR(__xludf.DUMMYFUNCTION("""COMPUTED_VALUE"""),63.0)</f>
        <v>63</v>
      </c>
      <c r="F6337" s="19" t="str">
        <f>IFERROR(__xludf.DUMMYFUNCTION("""COMPUTED_VALUE"""),"BLACK")</f>
        <v>BLACK</v>
      </c>
      <c r="G6337" s="20" t="str">
        <f>IFERROR(__xludf.DUMMYFUNCTION("""COMPUTED_VALUE"""),"Uncle Sams Cider (11/12/2021) 02")</f>
        <v>Uncle Sams Cider (11/12/2021) 02</v>
      </c>
      <c r="H6337" s="19"/>
    </row>
    <row r="6338">
      <c r="A6338" s="9"/>
      <c r="B6338" s="15"/>
      <c r="C6338" s="9">
        <f>IFERROR(__xludf.DUMMYFUNCTION("""COMPUTED_VALUE"""),44538.9544574884)</f>
        <v>44538.95446</v>
      </c>
      <c r="D6338" s="15">
        <f>IFERROR(__xludf.DUMMYFUNCTION("""COMPUTED_VALUE"""),1.028)</f>
        <v>1.028</v>
      </c>
      <c r="E6338" s="16">
        <f>IFERROR(__xludf.DUMMYFUNCTION("""COMPUTED_VALUE"""),63.0)</f>
        <v>63</v>
      </c>
      <c r="F6338" s="19" t="str">
        <f>IFERROR(__xludf.DUMMYFUNCTION("""COMPUTED_VALUE"""),"BLACK")</f>
        <v>BLACK</v>
      </c>
      <c r="G6338" s="20" t="str">
        <f>IFERROR(__xludf.DUMMYFUNCTION("""COMPUTED_VALUE"""),"Uncle Sams Cider (11/12/2021) 02")</f>
        <v>Uncle Sams Cider (11/12/2021) 02</v>
      </c>
      <c r="H6338" s="19"/>
    </row>
    <row r="6339">
      <c r="A6339" s="9"/>
      <c r="B6339" s="15"/>
      <c r="C6339" s="9">
        <f>IFERROR(__xludf.DUMMYFUNCTION("""COMPUTED_VALUE"""),44538.9440354976)</f>
        <v>44538.94404</v>
      </c>
      <c r="D6339" s="15">
        <f>IFERROR(__xludf.DUMMYFUNCTION("""COMPUTED_VALUE"""),1.028)</f>
        <v>1.028</v>
      </c>
      <c r="E6339" s="16">
        <f>IFERROR(__xludf.DUMMYFUNCTION("""COMPUTED_VALUE"""),63.0)</f>
        <v>63</v>
      </c>
      <c r="F6339" s="19" t="str">
        <f>IFERROR(__xludf.DUMMYFUNCTION("""COMPUTED_VALUE"""),"BLACK")</f>
        <v>BLACK</v>
      </c>
      <c r="G6339" s="20" t="str">
        <f>IFERROR(__xludf.DUMMYFUNCTION("""COMPUTED_VALUE"""),"Uncle Sams Cider (11/12/2021) 02")</f>
        <v>Uncle Sams Cider (11/12/2021) 02</v>
      </c>
      <c r="H6339" s="19"/>
    </row>
    <row r="6340">
      <c r="A6340" s="9"/>
      <c r="B6340" s="15"/>
      <c r="C6340" s="9">
        <f>IFERROR(__xludf.DUMMYFUNCTION("""COMPUTED_VALUE"""),44538.9336149999)</f>
        <v>44538.93361</v>
      </c>
      <c r="D6340" s="15">
        <f>IFERROR(__xludf.DUMMYFUNCTION("""COMPUTED_VALUE"""),1.028)</f>
        <v>1.028</v>
      </c>
      <c r="E6340" s="16">
        <f>IFERROR(__xludf.DUMMYFUNCTION("""COMPUTED_VALUE"""),63.0)</f>
        <v>63</v>
      </c>
      <c r="F6340" s="19" t="str">
        <f>IFERROR(__xludf.DUMMYFUNCTION("""COMPUTED_VALUE"""),"BLACK")</f>
        <v>BLACK</v>
      </c>
      <c r="G6340" s="20" t="str">
        <f>IFERROR(__xludf.DUMMYFUNCTION("""COMPUTED_VALUE"""),"Uncle Sams Cider (11/12/2021) 02")</f>
        <v>Uncle Sams Cider (11/12/2021) 02</v>
      </c>
      <c r="H6340" s="19"/>
    </row>
    <row r="6341">
      <c r="A6341" s="9"/>
      <c r="B6341" s="15"/>
      <c r="C6341" s="9">
        <f>IFERROR(__xludf.DUMMYFUNCTION("""COMPUTED_VALUE"""),44538.9231812731)</f>
        <v>44538.92318</v>
      </c>
      <c r="D6341" s="15">
        <f>IFERROR(__xludf.DUMMYFUNCTION("""COMPUTED_VALUE"""),1.028)</f>
        <v>1.028</v>
      </c>
      <c r="E6341" s="16">
        <f>IFERROR(__xludf.DUMMYFUNCTION("""COMPUTED_VALUE"""),63.0)</f>
        <v>63</v>
      </c>
      <c r="F6341" s="19" t="str">
        <f>IFERROR(__xludf.DUMMYFUNCTION("""COMPUTED_VALUE"""),"BLACK")</f>
        <v>BLACK</v>
      </c>
      <c r="G6341" s="20" t="str">
        <f>IFERROR(__xludf.DUMMYFUNCTION("""COMPUTED_VALUE"""),"Uncle Sams Cider (11/12/2021) 02")</f>
        <v>Uncle Sams Cider (11/12/2021) 02</v>
      </c>
      <c r="H6341" s="19"/>
    </row>
    <row r="6342">
      <c r="A6342" s="9"/>
      <c r="B6342" s="15"/>
      <c r="C6342" s="9">
        <f>IFERROR(__xludf.DUMMYFUNCTION("""COMPUTED_VALUE"""),44538.9127257407)</f>
        <v>44538.91273</v>
      </c>
      <c r="D6342" s="15">
        <f>IFERROR(__xludf.DUMMYFUNCTION("""COMPUTED_VALUE"""),1.029)</f>
        <v>1.029</v>
      </c>
      <c r="E6342" s="16">
        <f>IFERROR(__xludf.DUMMYFUNCTION("""COMPUTED_VALUE"""),63.0)</f>
        <v>63</v>
      </c>
      <c r="F6342" s="19" t="str">
        <f>IFERROR(__xludf.DUMMYFUNCTION("""COMPUTED_VALUE"""),"BLACK")</f>
        <v>BLACK</v>
      </c>
      <c r="G6342" s="20" t="str">
        <f>IFERROR(__xludf.DUMMYFUNCTION("""COMPUTED_VALUE"""),"Uncle Sams Cider (11/12/2021) 02")</f>
        <v>Uncle Sams Cider (11/12/2021) 02</v>
      </c>
      <c r="H6342" s="19"/>
    </row>
    <row r="6343">
      <c r="A6343" s="9"/>
      <c r="B6343" s="15"/>
      <c r="C6343" s="9">
        <f>IFERROR(__xludf.DUMMYFUNCTION("""COMPUTED_VALUE"""),44538.9022937615)</f>
        <v>44538.90229</v>
      </c>
      <c r="D6343" s="15">
        <f>IFERROR(__xludf.DUMMYFUNCTION("""COMPUTED_VALUE"""),1.028)</f>
        <v>1.028</v>
      </c>
      <c r="E6343" s="16">
        <f>IFERROR(__xludf.DUMMYFUNCTION("""COMPUTED_VALUE"""),63.0)</f>
        <v>63</v>
      </c>
      <c r="F6343" s="19" t="str">
        <f>IFERROR(__xludf.DUMMYFUNCTION("""COMPUTED_VALUE"""),"BLACK")</f>
        <v>BLACK</v>
      </c>
      <c r="G6343" s="20" t="str">
        <f>IFERROR(__xludf.DUMMYFUNCTION("""COMPUTED_VALUE"""),"Uncle Sams Cider (11/12/2021) 02")</f>
        <v>Uncle Sams Cider (11/12/2021) 02</v>
      </c>
      <c r="H6343" s="19"/>
    </row>
    <row r="6344">
      <c r="A6344" s="9"/>
      <c r="B6344" s="15"/>
      <c r="C6344" s="9">
        <f>IFERROR(__xludf.DUMMYFUNCTION("""COMPUTED_VALUE"""),44538.8918722685)</f>
        <v>44538.89187</v>
      </c>
      <c r="D6344" s="15">
        <f>IFERROR(__xludf.DUMMYFUNCTION("""COMPUTED_VALUE"""),1.028)</f>
        <v>1.028</v>
      </c>
      <c r="E6344" s="16">
        <f>IFERROR(__xludf.DUMMYFUNCTION("""COMPUTED_VALUE"""),63.0)</f>
        <v>63</v>
      </c>
      <c r="F6344" s="19" t="str">
        <f>IFERROR(__xludf.DUMMYFUNCTION("""COMPUTED_VALUE"""),"BLACK")</f>
        <v>BLACK</v>
      </c>
      <c r="G6344" s="20" t="str">
        <f>IFERROR(__xludf.DUMMYFUNCTION("""COMPUTED_VALUE"""),"Uncle Sams Cider (11/12/2021) 02")</f>
        <v>Uncle Sams Cider (11/12/2021) 02</v>
      </c>
      <c r="H6344" s="19"/>
    </row>
    <row r="6345">
      <c r="A6345" s="9"/>
      <c r="B6345" s="15"/>
      <c r="C6345" s="9">
        <f>IFERROR(__xludf.DUMMYFUNCTION("""COMPUTED_VALUE"""),44538.8814512731)</f>
        <v>44538.88145</v>
      </c>
      <c r="D6345" s="15">
        <f>IFERROR(__xludf.DUMMYFUNCTION("""COMPUTED_VALUE"""),1.028)</f>
        <v>1.028</v>
      </c>
      <c r="E6345" s="16">
        <f>IFERROR(__xludf.DUMMYFUNCTION("""COMPUTED_VALUE"""),63.0)</f>
        <v>63</v>
      </c>
      <c r="F6345" s="19" t="str">
        <f>IFERROR(__xludf.DUMMYFUNCTION("""COMPUTED_VALUE"""),"BLACK")</f>
        <v>BLACK</v>
      </c>
      <c r="G6345" s="20" t="str">
        <f>IFERROR(__xludf.DUMMYFUNCTION("""COMPUTED_VALUE"""),"Uncle Sams Cider (11/12/2021) 02")</f>
        <v>Uncle Sams Cider (11/12/2021) 02</v>
      </c>
      <c r="H6345" s="19"/>
    </row>
    <row r="6346">
      <c r="A6346" s="9"/>
      <c r="B6346" s="15"/>
      <c r="C6346" s="9">
        <f>IFERROR(__xludf.DUMMYFUNCTION("""COMPUTED_VALUE"""),44538.8710307523)</f>
        <v>44538.87103</v>
      </c>
      <c r="D6346" s="15">
        <f>IFERROR(__xludf.DUMMYFUNCTION("""COMPUTED_VALUE"""),1.028)</f>
        <v>1.028</v>
      </c>
      <c r="E6346" s="16">
        <f>IFERROR(__xludf.DUMMYFUNCTION("""COMPUTED_VALUE"""),63.0)</f>
        <v>63</v>
      </c>
      <c r="F6346" s="19" t="str">
        <f>IFERROR(__xludf.DUMMYFUNCTION("""COMPUTED_VALUE"""),"BLACK")</f>
        <v>BLACK</v>
      </c>
      <c r="G6346" s="20" t="str">
        <f>IFERROR(__xludf.DUMMYFUNCTION("""COMPUTED_VALUE"""),"Uncle Sams Cider (11/12/2021) 02")</f>
        <v>Uncle Sams Cider (11/12/2021) 02</v>
      </c>
      <c r="H6346" s="19"/>
    </row>
    <row r="6347">
      <c r="A6347" s="9"/>
      <c r="B6347" s="15"/>
      <c r="C6347" s="9">
        <f>IFERROR(__xludf.DUMMYFUNCTION("""COMPUTED_VALUE"""),44538.8606081249)</f>
        <v>44538.86061</v>
      </c>
      <c r="D6347" s="15">
        <f>IFERROR(__xludf.DUMMYFUNCTION("""COMPUTED_VALUE"""),1.028)</f>
        <v>1.028</v>
      </c>
      <c r="E6347" s="16">
        <f>IFERROR(__xludf.DUMMYFUNCTION("""COMPUTED_VALUE"""),63.0)</f>
        <v>63</v>
      </c>
      <c r="F6347" s="19" t="str">
        <f>IFERROR(__xludf.DUMMYFUNCTION("""COMPUTED_VALUE"""),"BLACK")</f>
        <v>BLACK</v>
      </c>
      <c r="G6347" s="20" t="str">
        <f>IFERROR(__xludf.DUMMYFUNCTION("""COMPUTED_VALUE"""),"Uncle Sams Cider (11/12/2021) 02")</f>
        <v>Uncle Sams Cider (11/12/2021) 02</v>
      </c>
      <c r="H6347" s="19"/>
    </row>
    <row r="6348">
      <c r="A6348" s="9"/>
      <c r="B6348" s="15"/>
      <c r="C6348" s="9">
        <f>IFERROR(__xludf.DUMMYFUNCTION("""COMPUTED_VALUE"""),44538.8501857754)</f>
        <v>44538.85019</v>
      </c>
      <c r="D6348" s="15">
        <f>IFERROR(__xludf.DUMMYFUNCTION("""COMPUTED_VALUE"""),1.028)</f>
        <v>1.028</v>
      </c>
      <c r="E6348" s="16">
        <f>IFERROR(__xludf.DUMMYFUNCTION("""COMPUTED_VALUE"""),63.0)</f>
        <v>63</v>
      </c>
      <c r="F6348" s="19" t="str">
        <f>IFERROR(__xludf.DUMMYFUNCTION("""COMPUTED_VALUE"""),"BLACK")</f>
        <v>BLACK</v>
      </c>
      <c r="G6348" s="20" t="str">
        <f>IFERROR(__xludf.DUMMYFUNCTION("""COMPUTED_VALUE"""),"Uncle Sams Cider (11/12/2021) 02")</f>
        <v>Uncle Sams Cider (11/12/2021) 02</v>
      </c>
      <c r="H6348" s="19"/>
    </row>
    <row r="6349">
      <c r="A6349" s="9"/>
      <c r="B6349" s="15"/>
      <c r="C6349" s="9">
        <f>IFERROR(__xludf.DUMMYFUNCTION("""COMPUTED_VALUE"""),44538.8397185416)</f>
        <v>44538.83972</v>
      </c>
      <c r="D6349" s="15">
        <f>IFERROR(__xludf.DUMMYFUNCTION("""COMPUTED_VALUE"""),1.028)</f>
        <v>1.028</v>
      </c>
      <c r="E6349" s="16">
        <f>IFERROR(__xludf.DUMMYFUNCTION("""COMPUTED_VALUE"""),63.0)</f>
        <v>63</v>
      </c>
      <c r="F6349" s="19" t="str">
        <f>IFERROR(__xludf.DUMMYFUNCTION("""COMPUTED_VALUE"""),"BLACK")</f>
        <v>BLACK</v>
      </c>
      <c r="G6349" s="20" t="str">
        <f>IFERROR(__xludf.DUMMYFUNCTION("""COMPUTED_VALUE"""),"Uncle Sams Cider (11/12/2021) 02")</f>
        <v>Uncle Sams Cider (11/12/2021) 02</v>
      </c>
      <c r="H6349" s="19"/>
    </row>
    <row r="6350">
      <c r="A6350" s="9"/>
      <c r="B6350" s="15"/>
      <c r="C6350" s="9">
        <f>IFERROR(__xludf.DUMMYFUNCTION("""COMPUTED_VALUE"""),44538.8292979282)</f>
        <v>44538.8293</v>
      </c>
      <c r="D6350" s="15">
        <f>IFERROR(__xludf.DUMMYFUNCTION("""COMPUTED_VALUE"""),1.029)</f>
        <v>1.029</v>
      </c>
      <c r="E6350" s="16">
        <f>IFERROR(__xludf.DUMMYFUNCTION("""COMPUTED_VALUE"""),63.0)</f>
        <v>63</v>
      </c>
      <c r="F6350" s="19" t="str">
        <f>IFERROR(__xludf.DUMMYFUNCTION("""COMPUTED_VALUE"""),"BLACK")</f>
        <v>BLACK</v>
      </c>
      <c r="G6350" s="20" t="str">
        <f>IFERROR(__xludf.DUMMYFUNCTION("""COMPUTED_VALUE"""),"Uncle Sams Cider (11/12/2021) 02")</f>
        <v>Uncle Sams Cider (11/12/2021) 02</v>
      </c>
      <c r="H6350" s="19"/>
    </row>
    <row r="6351">
      <c r="A6351" s="9"/>
      <c r="B6351" s="15"/>
      <c r="C6351" s="9">
        <f>IFERROR(__xludf.DUMMYFUNCTION("""COMPUTED_VALUE"""),44538.8188770949)</f>
        <v>44538.81888</v>
      </c>
      <c r="D6351" s="15">
        <f>IFERROR(__xludf.DUMMYFUNCTION("""COMPUTED_VALUE"""),1.028)</f>
        <v>1.028</v>
      </c>
      <c r="E6351" s="16">
        <f>IFERROR(__xludf.DUMMYFUNCTION("""COMPUTED_VALUE"""),63.0)</f>
        <v>63</v>
      </c>
      <c r="F6351" s="19" t="str">
        <f>IFERROR(__xludf.DUMMYFUNCTION("""COMPUTED_VALUE"""),"BLACK")</f>
        <v>BLACK</v>
      </c>
      <c r="G6351" s="20" t="str">
        <f>IFERROR(__xludf.DUMMYFUNCTION("""COMPUTED_VALUE"""),"Uncle Sams Cider (11/12/2021) 02")</f>
        <v>Uncle Sams Cider (11/12/2021) 02</v>
      </c>
      <c r="H6351" s="19"/>
    </row>
    <row r="6352">
      <c r="A6352" s="9"/>
      <c r="B6352" s="15"/>
      <c r="C6352" s="9">
        <f>IFERROR(__xludf.DUMMYFUNCTION("""COMPUTED_VALUE"""),44538.8084563425)</f>
        <v>44538.80846</v>
      </c>
      <c r="D6352" s="15">
        <f>IFERROR(__xludf.DUMMYFUNCTION("""COMPUTED_VALUE"""),1.029)</f>
        <v>1.029</v>
      </c>
      <c r="E6352" s="16">
        <f>IFERROR(__xludf.DUMMYFUNCTION("""COMPUTED_VALUE"""),63.0)</f>
        <v>63</v>
      </c>
      <c r="F6352" s="19" t="str">
        <f>IFERROR(__xludf.DUMMYFUNCTION("""COMPUTED_VALUE"""),"BLACK")</f>
        <v>BLACK</v>
      </c>
      <c r="G6352" s="20" t="str">
        <f>IFERROR(__xludf.DUMMYFUNCTION("""COMPUTED_VALUE"""),"Uncle Sams Cider (11/12/2021) 02")</f>
        <v>Uncle Sams Cider (11/12/2021) 02</v>
      </c>
      <c r="H6352" s="19"/>
    </row>
    <row r="6353">
      <c r="A6353" s="9"/>
      <c r="B6353" s="15"/>
      <c r="C6353" s="9">
        <f>IFERROR(__xludf.DUMMYFUNCTION("""COMPUTED_VALUE"""),44538.7980356365)</f>
        <v>44538.79804</v>
      </c>
      <c r="D6353" s="15">
        <f>IFERROR(__xludf.DUMMYFUNCTION("""COMPUTED_VALUE"""),1.029)</f>
        <v>1.029</v>
      </c>
      <c r="E6353" s="16">
        <f>IFERROR(__xludf.DUMMYFUNCTION("""COMPUTED_VALUE"""),63.0)</f>
        <v>63</v>
      </c>
      <c r="F6353" s="19" t="str">
        <f>IFERROR(__xludf.DUMMYFUNCTION("""COMPUTED_VALUE"""),"BLACK")</f>
        <v>BLACK</v>
      </c>
      <c r="G6353" s="20" t="str">
        <f>IFERROR(__xludf.DUMMYFUNCTION("""COMPUTED_VALUE"""),"Uncle Sams Cider (11/12/2021) 02")</f>
        <v>Uncle Sams Cider (11/12/2021) 02</v>
      </c>
      <c r="H6353" s="19"/>
    </row>
    <row r="6354">
      <c r="A6354" s="9"/>
      <c r="B6354" s="15"/>
      <c r="C6354" s="9">
        <f>IFERROR(__xludf.DUMMYFUNCTION("""COMPUTED_VALUE"""),44538.7875914351)</f>
        <v>44538.78759</v>
      </c>
      <c r="D6354" s="15">
        <f>IFERROR(__xludf.DUMMYFUNCTION("""COMPUTED_VALUE"""),1.029)</f>
        <v>1.029</v>
      </c>
      <c r="E6354" s="16">
        <f>IFERROR(__xludf.DUMMYFUNCTION("""COMPUTED_VALUE"""),63.0)</f>
        <v>63</v>
      </c>
      <c r="F6354" s="19" t="str">
        <f>IFERROR(__xludf.DUMMYFUNCTION("""COMPUTED_VALUE"""),"BLACK")</f>
        <v>BLACK</v>
      </c>
      <c r="G6354" s="20" t="str">
        <f>IFERROR(__xludf.DUMMYFUNCTION("""COMPUTED_VALUE"""),"Uncle Sams Cider (11/12/2021) 02")</f>
        <v>Uncle Sams Cider (11/12/2021) 02</v>
      </c>
      <c r="H6354" s="19"/>
    </row>
    <row r="6355">
      <c r="A6355" s="9"/>
      <c r="B6355" s="15"/>
      <c r="C6355" s="9">
        <f>IFERROR(__xludf.DUMMYFUNCTION("""COMPUTED_VALUE"""),44538.7771593981)</f>
        <v>44538.77716</v>
      </c>
      <c r="D6355" s="15">
        <f>IFERROR(__xludf.DUMMYFUNCTION("""COMPUTED_VALUE"""),1.029)</f>
        <v>1.029</v>
      </c>
      <c r="E6355" s="16">
        <f>IFERROR(__xludf.DUMMYFUNCTION("""COMPUTED_VALUE"""),63.0)</f>
        <v>63</v>
      </c>
      <c r="F6355" s="19" t="str">
        <f>IFERROR(__xludf.DUMMYFUNCTION("""COMPUTED_VALUE"""),"BLACK")</f>
        <v>BLACK</v>
      </c>
      <c r="G6355" s="20" t="str">
        <f>IFERROR(__xludf.DUMMYFUNCTION("""COMPUTED_VALUE"""),"Uncle Sams Cider (11/12/2021) 02")</f>
        <v>Uncle Sams Cider (11/12/2021) 02</v>
      </c>
      <c r="H6355" s="19"/>
    </row>
    <row r="6356">
      <c r="A6356" s="9"/>
      <c r="B6356" s="15"/>
      <c r="C6356" s="9">
        <f>IFERROR(__xludf.DUMMYFUNCTION("""COMPUTED_VALUE"""),44538.7667382986)</f>
        <v>44538.76674</v>
      </c>
      <c r="D6356" s="15">
        <f>IFERROR(__xludf.DUMMYFUNCTION("""COMPUTED_VALUE"""),1.029)</f>
        <v>1.029</v>
      </c>
      <c r="E6356" s="16">
        <f>IFERROR(__xludf.DUMMYFUNCTION("""COMPUTED_VALUE"""),63.0)</f>
        <v>63</v>
      </c>
      <c r="F6356" s="19" t="str">
        <f>IFERROR(__xludf.DUMMYFUNCTION("""COMPUTED_VALUE"""),"BLACK")</f>
        <v>BLACK</v>
      </c>
      <c r="G6356" s="20" t="str">
        <f>IFERROR(__xludf.DUMMYFUNCTION("""COMPUTED_VALUE"""),"Uncle Sams Cider (11/12/2021) 02")</f>
        <v>Uncle Sams Cider (11/12/2021) 02</v>
      </c>
      <c r="H6356" s="19"/>
    </row>
    <row r="6357">
      <c r="A6357" s="9"/>
      <c r="B6357" s="15"/>
      <c r="C6357" s="9">
        <f>IFERROR(__xludf.DUMMYFUNCTION("""COMPUTED_VALUE"""),44538.7562944444)</f>
        <v>44538.75629</v>
      </c>
      <c r="D6357" s="15">
        <f>IFERROR(__xludf.DUMMYFUNCTION("""COMPUTED_VALUE"""),1.029)</f>
        <v>1.029</v>
      </c>
      <c r="E6357" s="16">
        <f>IFERROR(__xludf.DUMMYFUNCTION("""COMPUTED_VALUE"""),63.0)</f>
        <v>63</v>
      </c>
      <c r="F6357" s="19" t="str">
        <f>IFERROR(__xludf.DUMMYFUNCTION("""COMPUTED_VALUE"""),"BLACK")</f>
        <v>BLACK</v>
      </c>
      <c r="G6357" s="20" t="str">
        <f>IFERROR(__xludf.DUMMYFUNCTION("""COMPUTED_VALUE"""),"Uncle Sams Cider (11/12/2021) 02")</f>
        <v>Uncle Sams Cider (11/12/2021) 02</v>
      </c>
      <c r="H6357" s="19"/>
    </row>
    <row r="6358">
      <c r="A6358" s="9"/>
      <c r="B6358" s="15"/>
      <c r="C6358" s="9">
        <f>IFERROR(__xludf.DUMMYFUNCTION("""COMPUTED_VALUE"""),44538.7458743981)</f>
        <v>44538.74587</v>
      </c>
      <c r="D6358" s="15">
        <f>IFERROR(__xludf.DUMMYFUNCTION("""COMPUTED_VALUE"""),1.029)</f>
        <v>1.029</v>
      </c>
      <c r="E6358" s="16">
        <f>IFERROR(__xludf.DUMMYFUNCTION("""COMPUTED_VALUE"""),63.0)</f>
        <v>63</v>
      </c>
      <c r="F6358" s="19" t="str">
        <f>IFERROR(__xludf.DUMMYFUNCTION("""COMPUTED_VALUE"""),"BLACK")</f>
        <v>BLACK</v>
      </c>
      <c r="G6358" s="20" t="str">
        <f>IFERROR(__xludf.DUMMYFUNCTION("""COMPUTED_VALUE"""),"Uncle Sams Cider (11/12/2021) 02")</f>
        <v>Uncle Sams Cider (11/12/2021) 02</v>
      </c>
      <c r="H6358" s="19"/>
    </row>
    <row r="6359">
      <c r="A6359" s="9"/>
      <c r="B6359" s="15"/>
      <c r="C6359" s="9">
        <f>IFERROR(__xludf.DUMMYFUNCTION("""COMPUTED_VALUE"""),44538.735454699)</f>
        <v>44538.73545</v>
      </c>
      <c r="D6359" s="15">
        <f>IFERROR(__xludf.DUMMYFUNCTION("""COMPUTED_VALUE"""),1.029)</f>
        <v>1.029</v>
      </c>
      <c r="E6359" s="16">
        <f>IFERROR(__xludf.DUMMYFUNCTION("""COMPUTED_VALUE"""),63.0)</f>
        <v>63</v>
      </c>
      <c r="F6359" s="19" t="str">
        <f>IFERROR(__xludf.DUMMYFUNCTION("""COMPUTED_VALUE"""),"BLACK")</f>
        <v>BLACK</v>
      </c>
      <c r="G6359" s="20" t="str">
        <f>IFERROR(__xludf.DUMMYFUNCTION("""COMPUTED_VALUE"""),"Uncle Sams Cider (11/12/2021) 02")</f>
        <v>Uncle Sams Cider (11/12/2021) 02</v>
      </c>
      <c r="H6359" s="19"/>
    </row>
    <row r="6360">
      <c r="A6360" s="9"/>
      <c r="B6360" s="15"/>
      <c r="C6360" s="9">
        <f>IFERROR(__xludf.DUMMYFUNCTION("""COMPUTED_VALUE"""),44538.725033368)</f>
        <v>44538.72503</v>
      </c>
      <c r="D6360" s="15">
        <f>IFERROR(__xludf.DUMMYFUNCTION("""COMPUTED_VALUE"""),1.029)</f>
        <v>1.029</v>
      </c>
      <c r="E6360" s="16">
        <f>IFERROR(__xludf.DUMMYFUNCTION("""COMPUTED_VALUE"""),63.0)</f>
        <v>63</v>
      </c>
      <c r="F6360" s="19" t="str">
        <f>IFERROR(__xludf.DUMMYFUNCTION("""COMPUTED_VALUE"""),"BLACK")</f>
        <v>BLACK</v>
      </c>
      <c r="G6360" s="20" t="str">
        <f>IFERROR(__xludf.DUMMYFUNCTION("""COMPUTED_VALUE"""),"Uncle Sams Cider (11/12/2021) 02")</f>
        <v>Uncle Sams Cider (11/12/2021) 02</v>
      </c>
      <c r="H6360" s="19"/>
    </row>
    <row r="6361">
      <c r="A6361" s="9"/>
      <c r="B6361" s="15"/>
      <c r="C6361" s="9">
        <f>IFERROR(__xludf.DUMMYFUNCTION("""COMPUTED_VALUE"""),44538.7146114351)</f>
        <v>44538.71461</v>
      </c>
      <c r="D6361" s="15">
        <f>IFERROR(__xludf.DUMMYFUNCTION("""COMPUTED_VALUE"""),1.029)</f>
        <v>1.029</v>
      </c>
      <c r="E6361" s="16">
        <f>IFERROR(__xludf.DUMMYFUNCTION("""COMPUTED_VALUE"""),63.0)</f>
        <v>63</v>
      </c>
      <c r="F6361" s="19" t="str">
        <f>IFERROR(__xludf.DUMMYFUNCTION("""COMPUTED_VALUE"""),"BLACK")</f>
        <v>BLACK</v>
      </c>
      <c r="G6361" s="20" t="str">
        <f>IFERROR(__xludf.DUMMYFUNCTION("""COMPUTED_VALUE"""),"Uncle Sams Cider (11/12/2021) 02")</f>
        <v>Uncle Sams Cider (11/12/2021) 02</v>
      </c>
      <c r="H6361" s="19"/>
    </row>
    <row r="6362">
      <c r="A6362" s="9"/>
      <c r="B6362" s="15"/>
      <c r="C6362" s="9">
        <f>IFERROR(__xludf.DUMMYFUNCTION("""COMPUTED_VALUE"""),44538.7041909953)</f>
        <v>44538.70419</v>
      </c>
      <c r="D6362" s="15">
        <f>IFERROR(__xludf.DUMMYFUNCTION("""COMPUTED_VALUE"""),1.029)</f>
        <v>1.029</v>
      </c>
      <c r="E6362" s="16">
        <f>IFERROR(__xludf.DUMMYFUNCTION("""COMPUTED_VALUE"""),63.0)</f>
        <v>63</v>
      </c>
      <c r="F6362" s="19" t="str">
        <f>IFERROR(__xludf.DUMMYFUNCTION("""COMPUTED_VALUE"""),"BLACK")</f>
        <v>BLACK</v>
      </c>
      <c r="G6362" s="20" t="str">
        <f>IFERROR(__xludf.DUMMYFUNCTION("""COMPUTED_VALUE"""),"Uncle Sams Cider (11/12/2021) 02")</f>
        <v>Uncle Sams Cider (11/12/2021) 02</v>
      </c>
      <c r="H6362" s="19"/>
    </row>
    <row r="6363">
      <c r="A6363" s="9"/>
      <c r="B6363" s="15"/>
      <c r="C6363" s="9">
        <f>IFERROR(__xludf.DUMMYFUNCTION("""COMPUTED_VALUE"""),44538.6937696064)</f>
        <v>44538.69377</v>
      </c>
      <c r="D6363" s="15">
        <f>IFERROR(__xludf.DUMMYFUNCTION("""COMPUTED_VALUE"""),1.029)</f>
        <v>1.029</v>
      </c>
      <c r="E6363" s="16">
        <f>IFERROR(__xludf.DUMMYFUNCTION("""COMPUTED_VALUE"""),63.0)</f>
        <v>63</v>
      </c>
      <c r="F6363" s="19" t="str">
        <f>IFERROR(__xludf.DUMMYFUNCTION("""COMPUTED_VALUE"""),"BLACK")</f>
        <v>BLACK</v>
      </c>
      <c r="G6363" s="20" t="str">
        <f>IFERROR(__xludf.DUMMYFUNCTION("""COMPUTED_VALUE"""),"Uncle Sams Cider (11/12/2021) 02")</f>
        <v>Uncle Sams Cider (11/12/2021) 02</v>
      </c>
      <c r="H6363" s="19"/>
    </row>
    <row r="6364">
      <c r="A6364" s="9"/>
      <c r="B6364" s="15"/>
      <c r="C6364" s="9">
        <f>IFERROR(__xludf.DUMMYFUNCTION("""COMPUTED_VALUE"""),44538.6833250925)</f>
        <v>44538.68333</v>
      </c>
      <c r="D6364" s="15">
        <f>IFERROR(__xludf.DUMMYFUNCTION("""COMPUTED_VALUE"""),1.029)</f>
        <v>1.029</v>
      </c>
      <c r="E6364" s="16">
        <f>IFERROR(__xludf.DUMMYFUNCTION("""COMPUTED_VALUE"""),63.0)</f>
        <v>63</v>
      </c>
      <c r="F6364" s="19" t="str">
        <f>IFERROR(__xludf.DUMMYFUNCTION("""COMPUTED_VALUE"""),"BLACK")</f>
        <v>BLACK</v>
      </c>
      <c r="G6364" s="20" t="str">
        <f>IFERROR(__xludf.DUMMYFUNCTION("""COMPUTED_VALUE"""),"Uncle Sams Cider (11/12/2021) 02")</f>
        <v>Uncle Sams Cider (11/12/2021) 02</v>
      </c>
      <c r="H6364" s="19"/>
    </row>
    <row r="6365">
      <c r="A6365" s="9"/>
      <c r="B6365" s="15"/>
      <c r="C6365" s="9">
        <f>IFERROR(__xludf.DUMMYFUNCTION("""COMPUTED_VALUE"""),44538.6729032986)</f>
        <v>44538.6729</v>
      </c>
      <c r="D6365" s="15">
        <f>IFERROR(__xludf.DUMMYFUNCTION("""COMPUTED_VALUE"""),1.029)</f>
        <v>1.029</v>
      </c>
      <c r="E6365" s="16">
        <f>IFERROR(__xludf.DUMMYFUNCTION("""COMPUTED_VALUE"""),63.0)</f>
        <v>63</v>
      </c>
      <c r="F6365" s="19" t="str">
        <f>IFERROR(__xludf.DUMMYFUNCTION("""COMPUTED_VALUE"""),"BLACK")</f>
        <v>BLACK</v>
      </c>
      <c r="G6365" s="20" t="str">
        <f>IFERROR(__xludf.DUMMYFUNCTION("""COMPUTED_VALUE"""),"Uncle Sams Cider (11/12/2021) 02")</f>
        <v>Uncle Sams Cider (11/12/2021) 02</v>
      </c>
      <c r="H6365" s="19"/>
    </row>
    <row r="6366">
      <c r="A6366" s="9"/>
      <c r="B6366" s="15"/>
      <c r="C6366" s="9">
        <f>IFERROR(__xludf.DUMMYFUNCTION("""COMPUTED_VALUE"""),44538.6624688541)</f>
        <v>44538.66247</v>
      </c>
      <c r="D6366" s="15">
        <f>IFERROR(__xludf.DUMMYFUNCTION("""COMPUTED_VALUE"""),1.029)</f>
        <v>1.029</v>
      </c>
      <c r="E6366" s="16">
        <f>IFERROR(__xludf.DUMMYFUNCTION("""COMPUTED_VALUE"""),63.0)</f>
        <v>63</v>
      </c>
      <c r="F6366" s="19" t="str">
        <f>IFERROR(__xludf.DUMMYFUNCTION("""COMPUTED_VALUE"""),"BLACK")</f>
        <v>BLACK</v>
      </c>
      <c r="G6366" s="20" t="str">
        <f>IFERROR(__xludf.DUMMYFUNCTION("""COMPUTED_VALUE"""),"Uncle Sams Cider (11/12/2021) 02")</f>
        <v>Uncle Sams Cider (11/12/2021) 02</v>
      </c>
      <c r="H6366" s="19"/>
    </row>
    <row r="6367">
      <c r="A6367" s="9"/>
      <c r="B6367" s="15"/>
      <c r="C6367" s="9">
        <f>IFERROR(__xludf.DUMMYFUNCTION("""COMPUTED_VALUE"""),44538.6520468981)</f>
        <v>44538.65205</v>
      </c>
      <c r="D6367" s="15">
        <f>IFERROR(__xludf.DUMMYFUNCTION("""COMPUTED_VALUE"""),1.029)</f>
        <v>1.029</v>
      </c>
      <c r="E6367" s="16">
        <f>IFERROR(__xludf.DUMMYFUNCTION("""COMPUTED_VALUE"""),63.0)</f>
        <v>63</v>
      </c>
      <c r="F6367" s="19" t="str">
        <f>IFERROR(__xludf.DUMMYFUNCTION("""COMPUTED_VALUE"""),"BLACK")</f>
        <v>BLACK</v>
      </c>
      <c r="G6367" s="20" t="str">
        <f>IFERROR(__xludf.DUMMYFUNCTION("""COMPUTED_VALUE"""),"Uncle Sams Cider (11/12/2021) 02")</f>
        <v>Uncle Sams Cider (11/12/2021) 02</v>
      </c>
      <c r="H6367" s="19"/>
    </row>
    <row r="6368">
      <c r="A6368" s="9"/>
      <c r="B6368" s="15"/>
      <c r="C6368" s="9">
        <f>IFERROR(__xludf.DUMMYFUNCTION("""COMPUTED_VALUE"""),44538.6416030787)</f>
        <v>44538.6416</v>
      </c>
      <c r="D6368" s="15">
        <f>IFERROR(__xludf.DUMMYFUNCTION("""COMPUTED_VALUE"""),1.029)</f>
        <v>1.029</v>
      </c>
      <c r="E6368" s="16">
        <f>IFERROR(__xludf.DUMMYFUNCTION("""COMPUTED_VALUE"""),63.0)</f>
        <v>63</v>
      </c>
      <c r="F6368" s="19" t="str">
        <f>IFERROR(__xludf.DUMMYFUNCTION("""COMPUTED_VALUE"""),"BLACK")</f>
        <v>BLACK</v>
      </c>
      <c r="G6368" s="20" t="str">
        <f>IFERROR(__xludf.DUMMYFUNCTION("""COMPUTED_VALUE"""),"Uncle Sams Cider (11/12/2021) 02")</f>
        <v>Uncle Sams Cider (11/12/2021) 02</v>
      </c>
      <c r="H6368" s="19"/>
    </row>
    <row r="6369">
      <c r="A6369" s="9"/>
      <c r="B6369" s="15"/>
      <c r="C6369" s="9">
        <f>IFERROR(__xludf.DUMMYFUNCTION("""COMPUTED_VALUE"""),44538.6311690972)</f>
        <v>44538.63117</v>
      </c>
      <c r="D6369" s="15">
        <f>IFERROR(__xludf.DUMMYFUNCTION("""COMPUTED_VALUE"""),1.029)</f>
        <v>1.029</v>
      </c>
      <c r="E6369" s="16">
        <f>IFERROR(__xludf.DUMMYFUNCTION("""COMPUTED_VALUE"""),63.0)</f>
        <v>63</v>
      </c>
      <c r="F6369" s="19" t="str">
        <f>IFERROR(__xludf.DUMMYFUNCTION("""COMPUTED_VALUE"""),"BLACK")</f>
        <v>BLACK</v>
      </c>
      <c r="G6369" s="20" t="str">
        <f>IFERROR(__xludf.DUMMYFUNCTION("""COMPUTED_VALUE"""),"Uncle Sams Cider (11/12/2021) 02")</f>
        <v>Uncle Sams Cider (11/12/2021) 02</v>
      </c>
      <c r="H6369" s="19"/>
    </row>
    <row r="6370">
      <c r="A6370" s="9"/>
      <c r="B6370" s="15"/>
      <c r="C6370" s="9">
        <f>IFERROR(__xludf.DUMMYFUNCTION("""COMPUTED_VALUE"""),44538.620725949)</f>
        <v>44538.62073</v>
      </c>
      <c r="D6370" s="15">
        <f>IFERROR(__xludf.DUMMYFUNCTION("""COMPUTED_VALUE"""),1.029)</f>
        <v>1.029</v>
      </c>
      <c r="E6370" s="16">
        <f>IFERROR(__xludf.DUMMYFUNCTION("""COMPUTED_VALUE"""),63.0)</f>
        <v>63</v>
      </c>
      <c r="F6370" s="19" t="str">
        <f>IFERROR(__xludf.DUMMYFUNCTION("""COMPUTED_VALUE"""),"BLACK")</f>
        <v>BLACK</v>
      </c>
      <c r="G6370" s="20" t="str">
        <f>IFERROR(__xludf.DUMMYFUNCTION("""COMPUTED_VALUE"""),"Uncle Sams Cider (11/12/2021) 02")</f>
        <v>Uncle Sams Cider (11/12/2021) 02</v>
      </c>
      <c r="H6370" s="19"/>
    </row>
    <row r="6371">
      <c r="A6371" s="9"/>
      <c r="B6371" s="15"/>
      <c r="C6371" s="9">
        <f>IFERROR(__xludf.DUMMYFUNCTION("""COMPUTED_VALUE"""),44538.6102828472)</f>
        <v>44538.61028</v>
      </c>
      <c r="D6371" s="15">
        <f>IFERROR(__xludf.DUMMYFUNCTION("""COMPUTED_VALUE"""),1.029)</f>
        <v>1.029</v>
      </c>
      <c r="E6371" s="16">
        <f>IFERROR(__xludf.DUMMYFUNCTION("""COMPUTED_VALUE"""),63.0)</f>
        <v>63</v>
      </c>
      <c r="F6371" s="19" t="str">
        <f>IFERROR(__xludf.DUMMYFUNCTION("""COMPUTED_VALUE"""),"BLACK")</f>
        <v>BLACK</v>
      </c>
      <c r="G6371" s="20" t="str">
        <f>IFERROR(__xludf.DUMMYFUNCTION("""COMPUTED_VALUE"""),"Uncle Sams Cider (11/12/2021) 02")</f>
        <v>Uncle Sams Cider (11/12/2021) 02</v>
      </c>
      <c r="H6371" s="19"/>
    </row>
    <row r="6372">
      <c r="A6372" s="9"/>
      <c r="B6372" s="15"/>
      <c r="C6372" s="9">
        <f>IFERROR(__xludf.DUMMYFUNCTION("""COMPUTED_VALUE"""),44538.5998618749)</f>
        <v>44538.59986</v>
      </c>
      <c r="D6372" s="15">
        <f>IFERROR(__xludf.DUMMYFUNCTION("""COMPUTED_VALUE"""),1.029)</f>
        <v>1.029</v>
      </c>
      <c r="E6372" s="16">
        <f>IFERROR(__xludf.DUMMYFUNCTION("""COMPUTED_VALUE"""),63.0)</f>
        <v>63</v>
      </c>
      <c r="F6372" s="19" t="str">
        <f>IFERROR(__xludf.DUMMYFUNCTION("""COMPUTED_VALUE"""),"BLACK")</f>
        <v>BLACK</v>
      </c>
      <c r="G6372" s="20" t="str">
        <f>IFERROR(__xludf.DUMMYFUNCTION("""COMPUTED_VALUE"""),"Uncle Sams Cider (11/12/2021) 02")</f>
        <v>Uncle Sams Cider (11/12/2021) 02</v>
      </c>
      <c r="H6372" s="19"/>
    </row>
    <row r="6373">
      <c r="A6373" s="9"/>
      <c r="B6373" s="15"/>
      <c r="C6373" s="9">
        <f>IFERROR(__xludf.DUMMYFUNCTION("""COMPUTED_VALUE"""),44538.5894393981)</f>
        <v>44538.58944</v>
      </c>
      <c r="D6373" s="15">
        <f>IFERROR(__xludf.DUMMYFUNCTION("""COMPUTED_VALUE"""),1.029)</f>
        <v>1.029</v>
      </c>
      <c r="E6373" s="16">
        <f>IFERROR(__xludf.DUMMYFUNCTION("""COMPUTED_VALUE"""),63.0)</f>
        <v>63</v>
      </c>
      <c r="F6373" s="19" t="str">
        <f>IFERROR(__xludf.DUMMYFUNCTION("""COMPUTED_VALUE"""),"BLACK")</f>
        <v>BLACK</v>
      </c>
      <c r="G6373" s="20" t="str">
        <f>IFERROR(__xludf.DUMMYFUNCTION("""COMPUTED_VALUE"""),"Uncle Sams Cider (11/12/2021) 02")</f>
        <v>Uncle Sams Cider (11/12/2021) 02</v>
      </c>
      <c r="H6373" s="19"/>
    </row>
    <row r="6374">
      <c r="A6374" s="9"/>
      <c r="B6374" s="15"/>
      <c r="C6374" s="9">
        <f>IFERROR(__xludf.DUMMYFUNCTION("""COMPUTED_VALUE"""),44538.5790202199)</f>
        <v>44538.57902</v>
      </c>
      <c r="D6374" s="15">
        <f>IFERROR(__xludf.DUMMYFUNCTION("""COMPUTED_VALUE"""),1.029)</f>
        <v>1.029</v>
      </c>
      <c r="E6374" s="16">
        <f>IFERROR(__xludf.DUMMYFUNCTION("""COMPUTED_VALUE"""),63.0)</f>
        <v>63</v>
      </c>
      <c r="F6374" s="19" t="str">
        <f>IFERROR(__xludf.DUMMYFUNCTION("""COMPUTED_VALUE"""),"BLACK")</f>
        <v>BLACK</v>
      </c>
      <c r="G6374" s="20" t="str">
        <f>IFERROR(__xludf.DUMMYFUNCTION("""COMPUTED_VALUE"""),"Uncle Sams Cider (11/12/2021) 02")</f>
        <v>Uncle Sams Cider (11/12/2021) 02</v>
      </c>
      <c r="H6374" s="19"/>
    </row>
    <row r="6375">
      <c r="A6375" s="9"/>
      <c r="B6375" s="15"/>
      <c r="C6375" s="9">
        <f>IFERROR(__xludf.DUMMYFUNCTION("""COMPUTED_VALUE"""),44538.5685984259)</f>
        <v>44538.5686</v>
      </c>
      <c r="D6375" s="15">
        <f>IFERROR(__xludf.DUMMYFUNCTION("""COMPUTED_VALUE"""),1.029)</f>
        <v>1.029</v>
      </c>
      <c r="E6375" s="16">
        <f>IFERROR(__xludf.DUMMYFUNCTION("""COMPUTED_VALUE"""),63.0)</f>
        <v>63</v>
      </c>
      <c r="F6375" s="19" t="str">
        <f>IFERROR(__xludf.DUMMYFUNCTION("""COMPUTED_VALUE"""),"BLACK")</f>
        <v>BLACK</v>
      </c>
      <c r="G6375" s="20" t="str">
        <f>IFERROR(__xludf.DUMMYFUNCTION("""COMPUTED_VALUE"""),"Uncle Sams Cider (11/12/2021) 02")</f>
        <v>Uncle Sams Cider (11/12/2021) 02</v>
      </c>
      <c r="H6375" s="19"/>
    </row>
    <row r="6376">
      <c r="A6376" s="9"/>
      <c r="B6376" s="15"/>
      <c r="C6376" s="9">
        <f>IFERROR(__xludf.DUMMYFUNCTION("""COMPUTED_VALUE"""),44538.5581771874)</f>
        <v>44538.55818</v>
      </c>
      <c r="D6376" s="15">
        <f>IFERROR(__xludf.DUMMYFUNCTION("""COMPUTED_VALUE"""),1.029)</f>
        <v>1.029</v>
      </c>
      <c r="E6376" s="16">
        <f>IFERROR(__xludf.DUMMYFUNCTION("""COMPUTED_VALUE"""),63.0)</f>
        <v>63</v>
      </c>
      <c r="F6376" s="19" t="str">
        <f>IFERROR(__xludf.DUMMYFUNCTION("""COMPUTED_VALUE"""),"BLACK")</f>
        <v>BLACK</v>
      </c>
      <c r="G6376" s="20" t="str">
        <f>IFERROR(__xludf.DUMMYFUNCTION("""COMPUTED_VALUE"""),"Uncle Sams Cider (11/12/2021) 02")</f>
        <v>Uncle Sams Cider (11/12/2021) 02</v>
      </c>
      <c r="H6376" s="19"/>
    </row>
    <row r="6377">
      <c r="A6377" s="9"/>
      <c r="B6377" s="15"/>
      <c r="C6377" s="9">
        <f>IFERROR(__xludf.DUMMYFUNCTION("""COMPUTED_VALUE"""),44538.5477549189)</f>
        <v>44538.54775</v>
      </c>
      <c r="D6377" s="15">
        <f>IFERROR(__xludf.DUMMYFUNCTION("""COMPUTED_VALUE"""),1.029)</f>
        <v>1.029</v>
      </c>
      <c r="E6377" s="16">
        <f>IFERROR(__xludf.DUMMYFUNCTION("""COMPUTED_VALUE"""),63.0)</f>
        <v>63</v>
      </c>
      <c r="F6377" s="19" t="str">
        <f>IFERROR(__xludf.DUMMYFUNCTION("""COMPUTED_VALUE"""),"BLACK")</f>
        <v>BLACK</v>
      </c>
      <c r="G6377" s="20" t="str">
        <f>IFERROR(__xludf.DUMMYFUNCTION("""COMPUTED_VALUE"""),"Uncle Sams Cider (11/12/2021) 02")</f>
        <v>Uncle Sams Cider (11/12/2021) 02</v>
      </c>
      <c r="H6377" s="19"/>
    </row>
    <row r="6378">
      <c r="A6378" s="9"/>
      <c r="B6378" s="15"/>
      <c r="C6378" s="9">
        <f>IFERROR(__xludf.DUMMYFUNCTION("""COMPUTED_VALUE"""),44538.5373347337)</f>
        <v>44538.53733</v>
      </c>
      <c r="D6378" s="15">
        <f>IFERROR(__xludf.DUMMYFUNCTION("""COMPUTED_VALUE"""),1.029)</f>
        <v>1.029</v>
      </c>
      <c r="E6378" s="16">
        <f>IFERROR(__xludf.DUMMYFUNCTION("""COMPUTED_VALUE"""),63.0)</f>
        <v>63</v>
      </c>
      <c r="F6378" s="19" t="str">
        <f>IFERROR(__xludf.DUMMYFUNCTION("""COMPUTED_VALUE"""),"BLACK")</f>
        <v>BLACK</v>
      </c>
      <c r="G6378" s="20" t="str">
        <f>IFERROR(__xludf.DUMMYFUNCTION("""COMPUTED_VALUE"""),"Uncle Sams Cider (11/12/2021) 02")</f>
        <v>Uncle Sams Cider (11/12/2021) 02</v>
      </c>
      <c r="H6378" s="19"/>
    </row>
    <row r="6379">
      <c r="A6379" s="9"/>
      <c r="B6379" s="15"/>
      <c r="C6379" s="9">
        <f>IFERROR(__xludf.DUMMYFUNCTION("""COMPUTED_VALUE"""),44538.5269029629)</f>
        <v>44538.5269</v>
      </c>
      <c r="D6379" s="15">
        <f>IFERROR(__xludf.DUMMYFUNCTION("""COMPUTED_VALUE"""),1.029)</f>
        <v>1.029</v>
      </c>
      <c r="E6379" s="16">
        <f>IFERROR(__xludf.DUMMYFUNCTION("""COMPUTED_VALUE"""),63.0)</f>
        <v>63</v>
      </c>
      <c r="F6379" s="19" t="str">
        <f>IFERROR(__xludf.DUMMYFUNCTION("""COMPUTED_VALUE"""),"BLACK")</f>
        <v>BLACK</v>
      </c>
      <c r="G6379" s="20" t="str">
        <f>IFERROR(__xludf.DUMMYFUNCTION("""COMPUTED_VALUE"""),"Uncle Sams Cider (11/12/2021) 02")</f>
        <v>Uncle Sams Cider (11/12/2021) 02</v>
      </c>
      <c r="H6379" s="19"/>
    </row>
    <row r="6380">
      <c r="A6380" s="9"/>
      <c r="B6380" s="15"/>
      <c r="C6380" s="9">
        <f>IFERROR(__xludf.DUMMYFUNCTION("""COMPUTED_VALUE"""),44538.5164816666)</f>
        <v>44538.51648</v>
      </c>
      <c r="D6380" s="15">
        <f>IFERROR(__xludf.DUMMYFUNCTION("""COMPUTED_VALUE"""),1.029)</f>
        <v>1.029</v>
      </c>
      <c r="E6380" s="16">
        <f>IFERROR(__xludf.DUMMYFUNCTION("""COMPUTED_VALUE"""),63.0)</f>
        <v>63</v>
      </c>
      <c r="F6380" s="19" t="str">
        <f>IFERROR(__xludf.DUMMYFUNCTION("""COMPUTED_VALUE"""),"BLACK")</f>
        <v>BLACK</v>
      </c>
      <c r="G6380" s="20" t="str">
        <f>IFERROR(__xludf.DUMMYFUNCTION("""COMPUTED_VALUE"""),"Uncle Sams Cider (11/12/2021) 02")</f>
        <v>Uncle Sams Cider (11/12/2021) 02</v>
      </c>
      <c r="H6380" s="19"/>
    </row>
    <row r="6381">
      <c r="A6381" s="9"/>
      <c r="B6381" s="15"/>
      <c r="C6381" s="9">
        <f>IFERROR(__xludf.DUMMYFUNCTION("""COMPUTED_VALUE"""),44538.5060600115)</f>
        <v>44538.50606</v>
      </c>
      <c r="D6381" s="15">
        <f>IFERROR(__xludf.DUMMYFUNCTION("""COMPUTED_VALUE"""),1.029)</f>
        <v>1.029</v>
      </c>
      <c r="E6381" s="16">
        <f>IFERROR(__xludf.DUMMYFUNCTION("""COMPUTED_VALUE"""),63.0)</f>
        <v>63</v>
      </c>
      <c r="F6381" s="19" t="str">
        <f>IFERROR(__xludf.DUMMYFUNCTION("""COMPUTED_VALUE"""),"BLACK")</f>
        <v>BLACK</v>
      </c>
      <c r="G6381" s="20" t="str">
        <f>IFERROR(__xludf.DUMMYFUNCTION("""COMPUTED_VALUE"""),"Uncle Sams Cider (11/12/2021) 02")</f>
        <v>Uncle Sams Cider (11/12/2021) 02</v>
      </c>
      <c r="H6381" s="19"/>
    </row>
    <row r="6382">
      <c r="A6382" s="9"/>
      <c r="B6382" s="15"/>
      <c r="C6382" s="9">
        <f>IFERROR(__xludf.DUMMYFUNCTION("""COMPUTED_VALUE"""),44538.4956377083)</f>
        <v>44538.49564</v>
      </c>
      <c r="D6382" s="15">
        <f>IFERROR(__xludf.DUMMYFUNCTION("""COMPUTED_VALUE"""),1.029)</f>
        <v>1.029</v>
      </c>
      <c r="E6382" s="16">
        <f>IFERROR(__xludf.DUMMYFUNCTION("""COMPUTED_VALUE"""),63.0)</f>
        <v>63</v>
      </c>
      <c r="F6382" s="19" t="str">
        <f>IFERROR(__xludf.DUMMYFUNCTION("""COMPUTED_VALUE"""),"BLACK")</f>
        <v>BLACK</v>
      </c>
      <c r="G6382" s="20" t="str">
        <f>IFERROR(__xludf.DUMMYFUNCTION("""COMPUTED_VALUE"""),"Uncle Sams Cider (11/12/2021) 02")</f>
        <v>Uncle Sams Cider (11/12/2021) 02</v>
      </c>
      <c r="H6382" s="19"/>
    </row>
    <row r="6383">
      <c r="A6383" s="9"/>
      <c r="B6383" s="15"/>
      <c r="C6383" s="9">
        <f>IFERROR(__xludf.DUMMYFUNCTION("""COMPUTED_VALUE"""),44538.4852158796)</f>
        <v>44538.48522</v>
      </c>
      <c r="D6383" s="15">
        <f>IFERROR(__xludf.DUMMYFUNCTION("""COMPUTED_VALUE"""),1.029)</f>
        <v>1.029</v>
      </c>
      <c r="E6383" s="16">
        <f>IFERROR(__xludf.DUMMYFUNCTION("""COMPUTED_VALUE"""),63.0)</f>
        <v>63</v>
      </c>
      <c r="F6383" s="19" t="str">
        <f>IFERROR(__xludf.DUMMYFUNCTION("""COMPUTED_VALUE"""),"BLACK")</f>
        <v>BLACK</v>
      </c>
      <c r="G6383" s="20" t="str">
        <f>IFERROR(__xludf.DUMMYFUNCTION("""COMPUTED_VALUE"""),"Uncle Sams Cider (11/12/2021) 02")</f>
        <v>Uncle Sams Cider (11/12/2021) 02</v>
      </c>
      <c r="H6383" s="19"/>
    </row>
    <row r="6384">
      <c r="A6384" s="9"/>
      <c r="B6384" s="15"/>
      <c r="C6384" s="9">
        <f>IFERROR(__xludf.DUMMYFUNCTION("""COMPUTED_VALUE"""),44538.4747820949)</f>
        <v>44538.47478</v>
      </c>
      <c r="D6384" s="15">
        <f>IFERROR(__xludf.DUMMYFUNCTION("""COMPUTED_VALUE"""),1.029)</f>
        <v>1.029</v>
      </c>
      <c r="E6384" s="16">
        <f>IFERROR(__xludf.DUMMYFUNCTION("""COMPUTED_VALUE"""),63.0)</f>
        <v>63</v>
      </c>
      <c r="F6384" s="19" t="str">
        <f>IFERROR(__xludf.DUMMYFUNCTION("""COMPUTED_VALUE"""),"BLACK")</f>
        <v>BLACK</v>
      </c>
      <c r="G6384" s="20" t="str">
        <f>IFERROR(__xludf.DUMMYFUNCTION("""COMPUTED_VALUE"""),"Uncle Sams Cider (11/12/2021) 02")</f>
        <v>Uncle Sams Cider (11/12/2021) 02</v>
      </c>
      <c r="H6384" s="19"/>
    </row>
    <row r="6385">
      <c r="A6385" s="9"/>
      <c r="B6385" s="15"/>
      <c r="C6385" s="9">
        <f>IFERROR(__xludf.DUMMYFUNCTION("""COMPUTED_VALUE"""),44538.4643598726)</f>
        <v>44538.46436</v>
      </c>
      <c r="D6385" s="15">
        <f>IFERROR(__xludf.DUMMYFUNCTION("""COMPUTED_VALUE"""),1.029)</f>
        <v>1.029</v>
      </c>
      <c r="E6385" s="16">
        <f>IFERROR(__xludf.DUMMYFUNCTION("""COMPUTED_VALUE"""),63.0)</f>
        <v>63</v>
      </c>
      <c r="F6385" s="19" t="str">
        <f>IFERROR(__xludf.DUMMYFUNCTION("""COMPUTED_VALUE"""),"BLACK")</f>
        <v>BLACK</v>
      </c>
      <c r="G6385" s="20" t="str">
        <f>IFERROR(__xludf.DUMMYFUNCTION("""COMPUTED_VALUE"""),"Uncle Sams Cider (11/12/2021) 02")</f>
        <v>Uncle Sams Cider (11/12/2021) 02</v>
      </c>
      <c r="H6385" s="19"/>
    </row>
    <row r="6386">
      <c r="A6386" s="9"/>
      <c r="B6386" s="15"/>
      <c r="C6386" s="9">
        <f>IFERROR(__xludf.DUMMYFUNCTION("""COMPUTED_VALUE"""),44538.4539400115)</f>
        <v>44538.45394</v>
      </c>
      <c r="D6386" s="15">
        <f>IFERROR(__xludf.DUMMYFUNCTION("""COMPUTED_VALUE"""),1.029)</f>
        <v>1.029</v>
      </c>
      <c r="E6386" s="16">
        <f>IFERROR(__xludf.DUMMYFUNCTION("""COMPUTED_VALUE"""),63.0)</f>
        <v>63</v>
      </c>
      <c r="F6386" s="19" t="str">
        <f>IFERROR(__xludf.DUMMYFUNCTION("""COMPUTED_VALUE"""),"BLACK")</f>
        <v>BLACK</v>
      </c>
      <c r="G6386" s="20" t="str">
        <f>IFERROR(__xludf.DUMMYFUNCTION("""COMPUTED_VALUE"""),"Uncle Sams Cider (11/12/2021) 02")</f>
        <v>Uncle Sams Cider (11/12/2021) 02</v>
      </c>
      <c r="H6386" s="19"/>
    </row>
    <row r="6387">
      <c r="A6387" s="9"/>
      <c r="B6387" s="15"/>
      <c r="C6387" s="9">
        <f>IFERROR(__xludf.DUMMYFUNCTION("""COMPUTED_VALUE"""),44538.4435064583)</f>
        <v>44538.44351</v>
      </c>
      <c r="D6387" s="15">
        <f>IFERROR(__xludf.DUMMYFUNCTION("""COMPUTED_VALUE"""),1.029)</f>
        <v>1.029</v>
      </c>
      <c r="E6387" s="16">
        <f>IFERROR(__xludf.DUMMYFUNCTION("""COMPUTED_VALUE"""),64.0)</f>
        <v>64</v>
      </c>
      <c r="F6387" s="19" t="str">
        <f>IFERROR(__xludf.DUMMYFUNCTION("""COMPUTED_VALUE"""),"BLACK")</f>
        <v>BLACK</v>
      </c>
      <c r="G6387" s="20" t="str">
        <f>IFERROR(__xludf.DUMMYFUNCTION("""COMPUTED_VALUE"""),"Uncle Sams Cider (11/12/2021) 02")</f>
        <v>Uncle Sams Cider (11/12/2021) 02</v>
      </c>
      <c r="H6387" s="19"/>
    </row>
    <row r="6388">
      <c r="A6388" s="9"/>
      <c r="B6388" s="15"/>
      <c r="C6388" s="9">
        <f>IFERROR(__xludf.DUMMYFUNCTION("""COMPUTED_VALUE"""),44538.4330495486)</f>
        <v>44538.43305</v>
      </c>
      <c r="D6388" s="15">
        <f>IFERROR(__xludf.DUMMYFUNCTION("""COMPUTED_VALUE"""),1.029)</f>
        <v>1.029</v>
      </c>
      <c r="E6388" s="16">
        <f>IFERROR(__xludf.DUMMYFUNCTION("""COMPUTED_VALUE"""),63.0)</f>
        <v>63</v>
      </c>
      <c r="F6388" s="19" t="str">
        <f>IFERROR(__xludf.DUMMYFUNCTION("""COMPUTED_VALUE"""),"BLACK")</f>
        <v>BLACK</v>
      </c>
      <c r="G6388" s="20" t="str">
        <f>IFERROR(__xludf.DUMMYFUNCTION("""COMPUTED_VALUE"""),"Uncle Sams Cider (11/12/2021) 02")</f>
        <v>Uncle Sams Cider (11/12/2021) 02</v>
      </c>
      <c r="H6388" s="19"/>
    </row>
    <row r="6389">
      <c r="A6389" s="9"/>
      <c r="B6389" s="15"/>
      <c r="C6389" s="9">
        <f>IFERROR(__xludf.DUMMYFUNCTION("""COMPUTED_VALUE"""),44538.4226183796)</f>
        <v>44538.42262</v>
      </c>
      <c r="D6389" s="15">
        <f>IFERROR(__xludf.DUMMYFUNCTION("""COMPUTED_VALUE"""),1.029)</f>
        <v>1.029</v>
      </c>
      <c r="E6389" s="16">
        <f>IFERROR(__xludf.DUMMYFUNCTION("""COMPUTED_VALUE"""),63.0)</f>
        <v>63</v>
      </c>
      <c r="F6389" s="19" t="str">
        <f>IFERROR(__xludf.DUMMYFUNCTION("""COMPUTED_VALUE"""),"BLACK")</f>
        <v>BLACK</v>
      </c>
      <c r="G6389" s="20" t="str">
        <f>IFERROR(__xludf.DUMMYFUNCTION("""COMPUTED_VALUE"""),"Uncle Sams Cider (11/12/2021) 02")</f>
        <v>Uncle Sams Cider (11/12/2021) 02</v>
      </c>
      <c r="H6389" s="19"/>
    </row>
    <row r="6390">
      <c r="A6390" s="9"/>
      <c r="B6390" s="15"/>
      <c r="C6390" s="9">
        <f>IFERROR(__xludf.DUMMYFUNCTION("""COMPUTED_VALUE"""),44538.412172118)</f>
        <v>44538.41217</v>
      </c>
      <c r="D6390" s="15">
        <f>IFERROR(__xludf.DUMMYFUNCTION("""COMPUTED_VALUE"""),1.029)</f>
        <v>1.029</v>
      </c>
      <c r="E6390" s="16">
        <f>IFERROR(__xludf.DUMMYFUNCTION("""COMPUTED_VALUE"""),63.0)</f>
        <v>63</v>
      </c>
      <c r="F6390" s="19" t="str">
        <f>IFERROR(__xludf.DUMMYFUNCTION("""COMPUTED_VALUE"""),"BLACK")</f>
        <v>BLACK</v>
      </c>
      <c r="G6390" s="20" t="str">
        <f>IFERROR(__xludf.DUMMYFUNCTION("""COMPUTED_VALUE"""),"Uncle Sams Cider (11/12/2021) 02")</f>
        <v>Uncle Sams Cider (11/12/2021) 02</v>
      </c>
      <c r="H6390" s="19"/>
    </row>
    <row r="6391">
      <c r="A6391" s="9"/>
      <c r="B6391" s="15"/>
      <c r="C6391" s="9">
        <f>IFERROR(__xludf.DUMMYFUNCTION("""COMPUTED_VALUE"""),44538.401715405)</f>
        <v>44538.40172</v>
      </c>
      <c r="D6391" s="15">
        <f>IFERROR(__xludf.DUMMYFUNCTION("""COMPUTED_VALUE"""),1.029)</f>
        <v>1.029</v>
      </c>
      <c r="E6391" s="16">
        <f>IFERROR(__xludf.DUMMYFUNCTION("""COMPUTED_VALUE"""),63.0)</f>
        <v>63</v>
      </c>
      <c r="F6391" s="19" t="str">
        <f>IFERROR(__xludf.DUMMYFUNCTION("""COMPUTED_VALUE"""),"BLACK")</f>
        <v>BLACK</v>
      </c>
      <c r="G6391" s="20" t="str">
        <f>IFERROR(__xludf.DUMMYFUNCTION("""COMPUTED_VALUE"""),"Uncle Sams Cider (11/12/2021) 02")</f>
        <v>Uncle Sams Cider (11/12/2021) 02</v>
      </c>
      <c r="H6391" s="19"/>
    </row>
    <row r="6392">
      <c r="A6392" s="9"/>
      <c r="B6392" s="15"/>
      <c r="C6392" s="9">
        <f>IFERROR(__xludf.DUMMYFUNCTION("""COMPUTED_VALUE"""),44538.3912960416)</f>
        <v>44538.3913</v>
      </c>
      <c r="D6392" s="15">
        <f>IFERROR(__xludf.DUMMYFUNCTION("""COMPUTED_VALUE"""),1.029)</f>
        <v>1.029</v>
      </c>
      <c r="E6392" s="16">
        <f>IFERROR(__xludf.DUMMYFUNCTION("""COMPUTED_VALUE"""),64.0)</f>
        <v>64</v>
      </c>
      <c r="F6392" s="19" t="str">
        <f>IFERROR(__xludf.DUMMYFUNCTION("""COMPUTED_VALUE"""),"BLACK")</f>
        <v>BLACK</v>
      </c>
      <c r="G6392" s="20" t="str">
        <f>IFERROR(__xludf.DUMMYFUNCTION("""COMPUTED_VALUE"""),"Uncle Sams Cider (11/12/2021) 02")</f>
        <v>Uncle Sams Cider (11/12/2021) 02</v>
      </c>
      <c r="H6392" s="19"/>
    </row>
    <row r="6393">
      <c r="A6393" s="9"/>
      <c r="B6393" s="15"/>
      <c r="C6393" s="9">
        <f>IFERROR(__xludf.DUMMYFUNCTION("""COMPUTED_VALUE"""),44538.3808642013)</f>
        <v>44538.38086</v>
      </c>
      <c r="D6393" s="15">
        <f>IFERROR(__xludf.DUMMYFUNCTION("""COMPUTED_VALUE"""),1.029)</f>
        <v>1.029</v>
      </c>
      <c r="E6393" s="16">
        <f>IFERROR(__xludf.DUMMYFUNCTION("""COMPUTED_VALUE"""),63.0)</f>
        <v>63</v>
      </c>
      <c r="F6393" s="19" t="str">
        <f>IFERROR(__xludf.DUMMYFUNCTION("""COMPUTED_VALUE"""),"BLACK")</f>
        <v>BLACK</v>
      </c>
      <c r="G6393" s="20" t="str">
        <f>IFERROR(__xludf.DUMMYFUNCTION("""COMPUTED_VALUE"""),"Uncle Sams Cider (11/12/2021) 02")</f>
        <v>Uncle Sams Cider (11/12/2021) 02</v>
      </c>
      <c r="H6393" s="19"/>
    </row>
    <row r="6394">
      <c r="A6394" s="9"/>
      <c r="B6394" s="15"/>
      <c r="C6394" s="9">
        <f>IFERROR(__xludf.DUMMYFUNCTION("""COMPUTED_VALUE"""),44538.3704428587)</f>
        <v>44538.37044</v>
      </c>
      <c r="D6394" s="15">
        <f>IFERROR(__xludf.DUMMYFUNCTION("""COMPUTED_VALUE"""),1.029)</f>
        <v>1.029</v>
      </c>
      <c r="E6394" s="16">
        <f>IFERROR(__xludf.DUMMYFUNCTION("""COMPUTED_VALUE"""),63.0)</f>
        <v>63</v>
      </c>
      <c r="F6394" s="19" t="str">
        <f>IFERROR(__xludf.DUMMYFUNCTION("""COMPUTED_VALUE"""),"BLACK")</f>
        <v>BLACK</v>
      </c>
      <c r="G6394" s="20" t="str">
        <f>IFERROR(__xludf.DUMMYFUNCTION("""COMPUTED_VALUE"""),"Uncle Sams Cider (11/12/2021) 02")</f>
        <v>Uncle Sams Cider (11/12/2021) 02</v>
      </c>
      <c r="H6394" s="19"/>
    </row>
    <row r="6395">
      <c r="A6395" s="9"/>
      <c r="B6395" s="15"/>
      <c r="C6395" s="9">
        <f>IFERROR(__xludf.DUMMYFUNCTION("""COMPUTED_VALUE"""),44538.3600213425)</f>
        <v>44538.36002</v>
      </c>
      <c r="D6395" s="15">
        <f>IFERROR(__xludf.DUMMYFUNCTION("""COMPUTED_VALUE"""),1.029)</f>
        <v>1.029</v>
      </c>
      <c r="E6395" s="16">
        <f>IFERROR(__xludf.DUMMYFUNCTION("""COMPUTED_VALUE"""),63.0)</f>
        <v>63</v>
      </c>
      <c r="F6395" s="19" t="str">
        <f>IFERROR(__xludf.DUMMYFUNCTION("""COMPUTED_VALUE"""),"BLACK")</f>
        <v>BLACK</v>
      </c>
      <c r="G6395" s="20" t="str">
        <f>IFERROR(__xludf.DUMMYFUNCTION("""COMPUTED_VALUE"""),"Uncle Sams Cider (11/12/2021) 02")</f>
        <v>Uncle Sams Cider (11/12/2021) 02</v>
      </c>
      <c r="H6395" s="19"/>
    </row>
    <row r="6396">
      <c r="A6396" s="9"/>
      <c r="B6396" s="15"/>
      <c r="C6396" s="9">
        <f>IFERROR(__xludf.DUMMYFUNCTION("""COMPUTED_VALUE"""),44538.3495761458)</f>
        <v>44538.34958</v>
      </c>
      <c r="D6396" s="15">
        <f>IFERROR(__xludf.DUMMYFUNCTION("""COMPUTED_VALUE"""),1.029)</f>
        <v>1.029</v>
      </c>
      <c r="E6396" s="16">
        <f>IFERROR(__xludf.DUMMYFUNCTION("""COMPUTED_VALUE"""),63.0)</f>
        <v>63</v>
      </c>
      <c r="F6396" s="19" t="str">
        <f>IFERROR(__xludf.DUMMYFUNCTION("""COMPUTED_VALUE"""),"BLACK")</f>
        <v>BLACK</v>
      </c>
      <c r="G6396" s="20" t="str">
        <f>IFERROR(__xludf.DUMMYFUNCTION("""COMPUTED_VALUE"""),"Uncle Sams Cider (11/12/2021) 02")</f>
        <v>Uncle Sams Cider (11/12/2021) 02</v>
      </c>
      <c r="H6396" s="19"/>
    </row>
    <row r="6397">
      <c r="A6397" s="9"/>
      <c r="B6397" s="15"/>
      <c r="C6397" s="9">
        <f>IFERROR(__xludf.DUMMYFUNCTION("""COMPUTED_VALUE"""),44538.339154618)</f>
        <v>44538.33915</v>
      </c>
      <c r="D6397" s="15">
        <f>IFERROR(__xludf.DUMMYFUNCTION("""COMPUTED_VALUE"""),1.029)</f>
        <v>1.029</v>
      </c>
      <c r="E6397" s="16">
        <f>IFERROR(__xludf.DUMMYFUNCTION("""COMPUTED_VALUE"""),64.0)</f>
        <v>64</v>
      </c>
      <c r="F6397" s="19" t="str">
        <f>IFERROR(__xludf.DUMMYFUNCTION("""COMPUTED_VALUE"""),"BLACK")</f>
        <v>BLACK</v>
      </c>
      <c r="G6397" s="20" t="str">
        <f>IFERROR(__xludf.DUMMYFUNCTION("""COMPUTED_VALUE"""),"Uncle Sams Cider (11/12/2021) 02")</f>
        <v>Uncle Sams Cider (11/12/2021) 02</v>
      </c>
      <c r="H6397" s="19"/>
    </row>
    <row r="6398">
      <c r="A6398" s="9"/>
      <c r="B6398" s="15"/>
      <c r="C6398" s="9">
        <f>IFERROR(__xludf.DUMMYFUNCTION("""COMPUTED_VALUE"""),44538.3287342939)</f>
        <v>44538.32873</v>
      </c>
      <c r="D6398" s="15">
        <f>IFERROR(__xludf.DUMMYFUNCTION("""COMPUTED_VALUE"""),1.029)</f>
        <v>1.029</v>
      </c>
      <c r="E6398" s="16">
        <f>IFERROR(__xludf.DUMMYFUNCTION("""COMPUTED_VALUE"""),63.0)</f>
        <v>63</v>
      </c>
      <c r="F6398" s="19" t="str">
        <f>IFERROR(__xludf.DUMMYFUNCTION("""COMPUTED_VALUE"""),"BLACK")</f>
        <v>BLACK</v>
      </c>
      <c r="G6398" s="20" t="str">
        <f>IFERROR(__xludf.DUMMYFUNCTION("""COMPUTED_VALUE"""),"Uncle Sams Cider (11/12/2021) 02")</f>
        <v>Uncle Sams Cider (11/12/2021) 02</v>
      </c>
      <c r="H6398" s="19"/>
    </row>
    <row r="6399">
      <c r="A6399" s="9"/>
      <c r="B6399" s="15"/>
      <c r="C6399" s="9">
        <f>IFERROR(__xludf.DUMMYFUNCTION("""COMPUTED_VALUE"""),44538.3183114351)</f>
        <v>44538.31831</v>
      </c>
      <c r="D6399" s="15">
        <f>IFERROR(__xludf.DUMMYFUNCTION("""COMPUTED_VALUE"""),1.029)</f>
        <v>1.029</v>
      </c>
      <c r="E6399" s="16">
        <f>IFERROR(__xludf.DUMMYFUNCTION("""COMPUTED_VALUE"""),64.0)</f>
        <v>64</v>
      </c>
      <c r="F6399" s="19" t="str">
        <f>IFERROR(__xludf.DUMMYFUNCTION("""COMPUTED_VALUE"""),"BLACK")</f>
        <v>BLACK</v>
      </c>
      <c r="G6399" s="20" t="str">
        <f>IFERROR(__xludf.DUMMYFUNCTION("""COMPUTED_VALUE"""),"Uncle Sams Cider (11/12/2021) 02")</f>
        <v>Uncle Sams Cider (11/12/2021) 02</v>
      </c>
      <c r="H6399" s="19"/>
    </row>
    <row r="6400">
      <c r="A6400" s="9"/>
      <c r="B6400" s="15"/>
      <c r="C6400" s="9">
        <f>IFERROR(__xludf.DUMMYFUNCTION("""COMPUTED_VALUE"""),44538.3078893171)</f>
        <v>44538.30789</v>
      </c>
      <c r="D6400" s="15">
        <f>IFERROR(__xludf.DUMMYFUNCTION("""COMPUTED_VALUE"""),1.029)</f>
        <v>1.029</v>
      </c>
      <c r="E6400" s="16">
        <f>IFERROR(__xludf.DUMMYFUNCTION("""COMPUTED_VALUE"""),63.0)</f>
        <v>63</v>
      </c>
      <c r="F6400" s="19" t="str">
        <f>IFERROR(__xludf.DUMMYFUNCTION("""COMPUTED_VALUE"""),"BLACK")</f>
        <v>BLACK</v>
      </c>
      <c r="G6400" s="20" t="str">
        <f>IFERROR(__xludf.DUMMYFUNCTION("""COMPUTED_VALUE"""),"Uncle Sams Cider (11/12/2021) 02")</f>
        <v>Uncle Sams Cider (11/12/2021) 02</v>
      </c>
      <c r="H6400" s="19"/>
    </row>
    <row r="6401">
      <c r="A6401" s="9"/>
      <c r="B6401" s="15"/>
      <c r="C6401" s="9">
        <f>IFERROR(__xludf.DUMMYFUNCTION("""COMPUTED_VALUE"""),44538.2974570023)</f>
        <v>44538.29746</v>
      </c>
      <c r="D6401" s="15">
        <f>IFERROR(__xludf.DUMMYFUNCTION("""COMPUTED_VALUE"""),1.029)</f>
        <v>1.029</v>
      </c>
      <c r="E6401" s="16">
        <f>IFERROR(__xludf.DUMMYFUNCTION("""COMPUTED_VALUE"""),63.0)</f>
        <v>63</v>
      </c>
      <c r="F6401" s="19" t="str">
        <f>IFERROR(__xludf.DUMMYFUNCTION("""COMPUTED_VALUE"""),"BLACK")</f>
        <v>BLACK</v>
      </c>
      <c r="G6401" s="20" t="str">
        <f>IFERROR(__xludf.DUMMYFUNCTION("""COMPUTED_VALUE"""),"Uncle Sams Cider (11/12/2021) 02")</f>
        <v>Uncle Sams Cider (11/12/2021) 02</v>
      </c>
      <c r="H6401" s="19"/>
    </row>
    <row r="6402">
      <c r="A6402" s="9"/>
      <c r="B6402" s="15"/>
      <c r="C6402" s="9">
        <f>IFERROR(__xludf.DUMMYFUNCTION("""COMPUTED_VALUE"""),44538.2870249884)</f>
        <v>44538.28702</v>
      </c>
      <c r="D6402" s="15">
        <f>IFERROR(__xludf.DUMMYFUNCTION("""COMPUTED_VALUE"""),1.029)</f>
        <v>1.029</v>
      </c>
      <c r="E6402" s="16">
        <f>IFERROR(__xludf.DUMMYFUNCTION("""COMPUTED_VALUE"""),63.0)</f>
        <v>63</v>
      </c>
      <c r="F6402" s="19" t="str">
        <f>IFERROR(__xludf.DUMMYFUNCTION("""COMPUTED_VALUE"""),"BLACK")</f>
        <v>BLACK</v>
      </c>
      <c r="G6402" s="20" t="str">
        <f>IFERROR(__xludf.DUMMYFUNCTION("""COMPUTED_VALUE"""),"Uncle Sams Cider (11/12/2021) 02")</f>
        <v>Uncle Sams Cider (11/12/2021) 02</v>
      </c>
      <c r="H6402" s="19"/>
    </row>
    <row r="6403">
      <c r="A6403" s="9"/>
      <c r="B6403" s="15"/>
      <c r="C6403" s="9">
        <f>IFERROR(__xludf.DUMMYFUNCTION("""COMPUTED_VALUE"""),44538.2765937152)</f>
        <v>44538.27659</v>
      </c>
      <c r="D6403" s="15">
        <f>IFERROR(__xludf.DUMMYFUNCTION("""COMPUTED_VALUE"""),1.029)</f>
        <v>1.029</v>
      </c>
      <c r="E6403" s="16">
        <f>IFERROR(__xludf.DUMMYFUNCTION("""COMPUTED_VALUE"""),63.0)</f>
        <v>63</v>
      </c>
      <c r="F6403" s="19" t="str">
        <f>IFERROR(__xludf.DUMMYFUNCTION("""COMPUTED_VALUE"""),"BLACK")</f>
        <v>BLACK</v>
      </c>
      <c r="G6403" s="20" t="str">
        <f>IFERROR(__xludf.DUMMYFUNCTION("""COMPUTED_VALUE"""),"Uncle Sams Cider (11/12/2021) 02")</f>
        <v>Uncle Sams Cider (11/12/2021) 02</v>
      </c>
      <c r="H6403" s="19"/>
    </row>
    <row r="6404">
      <c r="A6404" s="9"/>
      <c r="B6404" s="15"/>
      <c r="C6404" s="9">
        <f>IFERROR(__xludf.DUMMYFUNCTION("""COMPUTED_VALUE"""),44538.2661484259)</f>
        <v>44538.26615</v>
      </c>
      <c r="D6404" s="15">
        <f>IFERROR(__xludf.DUMMYFUNCTION("""COMPUTED_VALUE"""),1.029)</f>
        <v>1.029</v>
      </c>
      <c r="E6404" s="16">
        <f>IFERROR(__xludf.DUMMYFUNCTION("""COMPUTED_VALUE"""),63.0)</f>
        <v>63</v>
      </c>
      <c r="F6404" s="19" t="str">
        <f>IFERROR(__xludf.DUMMYFUNCTION("""COMPUTED_VALUE"""),"BLACK")</f>
        <v>BLACK</v>
      </c>
      <c r="G6404" s="20" t="str">
        <f>IFERROR(__xludf.DUMMYFUNCTION("""COMPUTED_VALUE"""),"Uncle Sams Cider (11/12/2021) 02")</f>
        <v>Uncle Sams Cider (11/12/2021) 02</v>
      </c>
      <c r="H6404" s="19"/>
    </row>
    <row r="6405">
      <c r="A6405" s="9"/>
      <c r="B6405" s="15"/>
      <c r="C6405" s="9">
        <f>IFERROR(__xludf.DUMMYFUNCTION("""COMPUTED_VALUE"""),44538.255727905)</f>
        <v>44538.25573</v>
      </c>
      <c r="D6405" s="15">
        <f>IFERROR(__xludf.DUMMYFUNCTION("""COMPUTED_VALUE"""),1.029)</f>
        <v>1.029</v>
      </c>
      <c r="E6405" s="16">
        <f>IFERROR(__xludf.DUMMYFUNCTION("""COMPUTED_VALUE"""),63.0)</f>
        <v>63</v>
      </c>
      <c r="F6405" s="19" t="str">
        <f>IFERROR(__xludf.DUMMYFUNCTION("""COMPUTED_VALUE"""),"BLACK")</f>
        <v>BLACK</v>
      </c>
      <c r="G6405" s="20" t="str">
        <f>IFERROR(__xludf.DUMMYFUNCTION("""COMPUTED_VALUE"""),"Uncle Sams Cider (11/12/2021) 02")</f>
        <v>Uncle Sams Cider (11/12/2021) 02</v>
      </c>
      <c r="H6405" s="19"/>
    </row>
    <row r="6406">
      <c r="A6406" s="9"/>
      <c r="B6406" s="15"/>
      <c r="C6406" s="9">
        <f>IFERROR(__xludf.DUMMYFUNCTION("""COMPUTED_VALUE"""),44538.2453074537)</f>
        <v>44538.24531</v>
      </c>
      <c r="D6406" s="15">
        <f>IFERROR(__xludf.DUMMYFUNCTION("""COMPUTED_VALUE"""),1.029)</f>
        <v>1.029</v>
      </c>
      <c r="E6406" s="16">
        <f>IFERROR(__xludf.DUMMYFUNCTION("""COMPUTED_VALUE"""),64.0)</f>
        <v>64</v>
      </c>
      <c r="F6406" s="19" t="str">
        <f>IFERROR(__xludf.DUMMYFUNCTION("""COMPUTED_VALUE"""),"BLACK")</f>
        <v>BLACK</v>
      </c>
      <c r="G6406" s="20" t="str">
        <f>IFERROR(__xludf.DUMMYFUNCTION("""COMPUTED_VALUE"""),"Uncle Sams Cider (11/12/2021) 02")</f>
        <v>Uncle Sams Cider (11/12/2021) 02</v>
      </c>
      <c r="H6406" s="19"/>
    </row>
    <row r="6407">
      <c r="A6407" s="9"/>
      <c r="B6407" s="15"/>
      <c r="C6407" s="9">
        <f>IFERROR(__xludf.DUMMYFUNCTION("""COMPUTED_VALUE"""),44538.2348751157)</f>
        <v>44538.23488</v>
      </c>
      <c r="D6407" s="15">
        <f>IFERROR(__xludf.DUMMYFUNCTION("""COMPUTED_VALUE"""),1.029)</f>
        <v>1.029</v>
      </c>
      <c r="E6407" s="16">
        <f>IFERROR(__xludf.DUMMYFUNCTION("""COMPUTED_VALUE"""),64.0)</f>
        <v>64</v>
      </c>
      <c r="F6407" s="19" t="str">
        <f>IFERROR(__xludf.DUMMYFUNCTION("""COMPUTED_VALUE"""),"BLACK")</f>
        <v>BLACK</v>
      </c>
      <c r="G6407" s="20" t="str">
        <f>IFERROR(__xludf.DUMMYFUNCTION("""COMPUTED_VALUE"""),"Uncle Sams Cider (11/12/2021) 02")</f>
        <v>Uncle Sams Cider (11/12/2021) 02</v>
      </c>
      <c r="H6407" s="19"/>
    </row>
    <row r="6408">
      <c r="A6408" s="9"/>
      <c r="B6408" s="15"/>
      <c r="C6408" s="9">
        <f>IFERROR(__xludf.DUMMYFUNCTION("""COMPUTED_VALUE"""),44538.2244538888)</f>
        <v>44538.22445</v>
      </c>
      <c r="D6408" s="15">
        <f>IFERROR(__xludf.DUMMYFUNCTION("""COMPUTED_VALUE"""),1.029)</f>
        <v>1.029</v>
      </c>
      <c r="E6408" s="16">
        <f>IFERROR(__xludf.DUMMYFUNCTION("""COMPUTED_VALUE"""),64.0)</f>
        <v>64</v>
      </c>
      <c r="F6408" s="19" t="str">
        <f>IFERROR(__xludf.DUMMYFUNCTION("""COMPUTED_VALUE"""),"BLACK")</f>
        <v>BLACK</v>
      </c>
      <c r="G6408" s="20" t="str">
        <f>IFERROR(__xludf.DUMMYFUNCTION("""COMPUTED_VALUE"""),"Uncle Sams Cider (11/12/2021) 02")</f>
        <v>Uncle Sams Cider (11/12/2021) 02</v>
      </c>
      <c r="H6408" s="19"/>
    </row>
    <row r="6409">
      <c r="A6409" s="9"/>
      <c r="B6409" s="15"/>
      <c r="C6409" s="9">
        <f>IFERROR(__xludf.DUMMYFUNCTION("""COMPUTED_VALUE"""),44538.2140332754)</f>
        <v>44538.21403</v>
      </c>
      <c r="D6409" s="15">
        <f>IFERROR(__xludf.DUMMYFUNCTION("""COMPUTED_VALUE"""),1.029)</f>
        <v>1.029</v>
      </c>
      <c r="E6409" s="16">
        <f>IFERROR(__xludf.DUMMYFUNCTION("""COMPUTED_VALUE"""),63.0)</f>
        <v>63</v>
      </c>
      <c r="F6409" s="19" t="str">
        <f>IFERROR(__xludf.DUMMYFUNCTION("""COMPUTED_VALUE"""),"BLACK")</f>
        <v>BLACK</v>
      </c>
      <c r="G6409" s="20" t="str">
        <f>IFERROR(__xludf.DUMMYFUNCTION("""COMPUTED_VALUE"""),"Uncle Sams Cider (11/12/2021) 02")</f>
        <v>Uncle Sams Cider (11/12/2021) 02</v>
      </c>
      <c r="H6409" s="19"/>
    </row>
    <row r="6410">
      <c r="A6410" s="9"/>
      <c r="B6410" s="15"/>
      <c r="C6410" s="9">
        <f>IFERROR(__xludf.DUMMYFUNCTION("""COMPUTED_VALUE"""),44538.2036004745)</f>
        <v>44538.2036</v>
      </c>
      <c r="D6410" s="15">
        <f>IFERROR(__xludf.DUMMYFUNCTION("""COMPUTED_VALUE"""),1.029)</f>
        <v>1.029</v>
      </c>
      <c r="E6410" s="16">
        <f>IFERROR(__xludf.DUMMYFUNCTION("""COMPUTED_VALUE"""),63.0)</f>
        <v>63</v>
      </c>
      <c r="F6410" s="19" t="str">
        <f>IFERROR(__xludf.DUMMYFUNCTION("""COMPUTED_VALUE"""),"BLACK")</f>
        <v>BLACK</v>
      </c>
      <c r="G6410" s="20" t="str">
        <f>IFERROR(__xludf.DUMMYFUNCTION("""COMPUTED_VALUE"""),"Uncle Sams Cider (11/12/2021) 02")</f>
        <v>Uncle Sams Cider (11/12/2021) 02</v>
      </c>
      <c r="H6410" s="19"/>
    </row>
    <row r="6411">
      <c r="A6411" s="9"/>
      <c r="B6411" s="15"/>
      <c r="C6411" s="9">
        <f>IFERROR(__xludf.DUMMYFUNCTION("""COMPUTED_VALUE"""),44538.193168912)</f>
        <v>44538.19317</v>
      </c>
      <c r="D6411" s="15">
        <f>IFERROR(__xludf.DUMMYFUNCTION("""COMPUTED_VALUE"""),1.029)</f>
        <v>1.029</v>
      </c>
      <c r="E6411" s="16">
        <f>IFERROR(__xludf.DUMMYFUNCTION("""COMPUTED_VALUE"""),63.0)</f>
        <v>63</v>
      </c>
      <c r="F6411" s="19" t="str">
        <f>IFERROR(__xludf.DUMMYFUNCTION("""COMPUTED_VALUE"""),"BLACK")</f>
        <v>BLACK</v>
      </c>
      <c r="G6411" s="20" t="str">
        <f>IFERROR(__xludf.DUMMYFUNCTION("""COMPUTED_VALUE"""),"Uncle Sams Cider (11/12/2021) 02")</f>
        <v>Uncle Sams Cider (11/12/2021) 02</v>
      </c>
      <c r="H6411" s="19"/>
    </row>
    <row r="6412">
      <c r="A6412" s="9"/>
      <c r="B6412" s="15"/>
      <c r="C6412" s="9">
        <f>IFERROR(__xludf.DUMMYFUNCTION("""COMPUTED_VALUE"""),44538.1827348263)</f>
        <v>44538.18273</v>
      </c>
      <c r="D6412" s="15">
        <f>IFERROR(__xludf.DUMMYFUNCTION("""COMPUTED_VALUE"""),1.029)</f>
        <v>1.029</v>
      </c>
      <c r="E6412" s="16">
        <f>IFERROR(__xludf.DUMMYFUNCTION("""COMPUTED_VALUE"""),64.0)</f>
        <v>64</v>
      </c>
      <c r="F6412" s="19" t="str">
        <f>IFERROR(__xludf.DUMMYFUNCTION("""COMPUTED_VALUE"""),"BLACK")</f>
        <v>BLACK</v>
      </c>
      <c r="G6412" s="20" t="str">
        <f>IFERROR(__xludf.DUMMYFUNCTION("""COMPUTED_VALUE"""),"Uncle Sams Cider (11/12/2021) 02")</f>
        <v>Uncle Sams Cider (11/12/2021) 02</v>
      </c>
      <c r="H6412" s="19"/>
    </row>
    <row r="6413">
      <c r="A6413" s="9"/>
      <c r="B6413" s="15"/>
      <c r="C6413" s="9">
        <f>IFERROR(__xludf.DUMMYFUNCTION("""COMPUTED_VALUE"""),44538.172301875)</f>
        <v>44538.1723</v>
      </c>
      <c r="D6413" s="15">
        <f>IFERROR(__xludf.DUMMYFUNCTION("""COMPUTED_VALUE"""),1.029)</f>
        <v>1.029</v>
      </c>
      <c r="E6413" s="16">
        <f>IFERROR(__xludf.DUMMYFUNCTION("""COMPUTED_VALUE"""),64.0)</f>
        <v>64</v>
      </c>
      <c r="F6413" s="19" t="str">
        <f>IFERROR(__xludf.DUMMYFUNCTION("""COMPUTED_VALUE"""),"BLACK")</f>
        <v>BLACK</v>
      </c>
      <c r="G6413" s="20" t="str">
        <f>IFERROR(__xludf.DUMMYFUNCTION("""COMPUTED_VALUE"""),"Uncle Sams Cider (11/12/2021) 02")</f>
        <v>Uncle Sams Cider (11/12/2021) 02</v>
      </c>
      <c r="H6413" s="19"/>
    </row>
    <row r="6414">
      <c r="A6414" s="9"/>
      <c r="B6414" s="15"/>
      <c r="C6414" s="9">
        <f>IFERROR(__xludf.DUMMYFUNCTION("""COMPUTED_VALUE"""),44538.1618801736)</f>
        <v>44538.16188</v>
      </c>
      <c r="D6414" s="15">
        <f>IFERROR(__xludf.DUMMYFUNCTION("""COMPUTED_VALUE"""),1.029)</f>
        <v>1.029</v>
      </c>
      <c r="E6414" s="16">
        <f>IFERROR(__xludf.DUMMYFUNCTION("""COMPUTED_VALUE"""),64.0)</f>
        <v>64</v>
      </c>
      <c r="F6414" s="19" t="str">
        <f>IFERROR(__xludf.DUMMYFUNCTION("""COMPUTED_VALUE"""),"BLACK")</f>
        <v>BLACK</v>
      </c>
      <c r="G6414" s="20" t="str">
        <f>IFERROR(__xludf.DUMMYFUNCTION("""COMPUTED_VALUE"""),"Uncle Sams Cider (11/12/2021) 02")</f>
        <v>Uncle Sams Cider (11/12/2021) 02</v>
      </c>
      <c r="H6414" s="19"/>
    </row>
    <row r="6415">
      <c r="A6415" s="9"/>
      <c r="B6415" s="15"/>
      <c r="C6415" s="9">
        <f>IFERROR(__xludf.DUMMYFUNCTION("""COMPUTED_VALUE"""),44538.151460405)</f>
        <v>44538.15146</v>
      </c>
      <c r="D6415" s="15">
        <f>IFERROR(__xludf.DUMMYFUNCTION("""COMPUTED_VALUE"""),1.029)</f>
        <v>1.029</v>
      </c>
      <c r="E6415" s="16">
        <f>IFERROR(__xludf.DUMMYFUNCTION("""COMPUTED_VALUE"""),64.0)</f>
        <v>64</v>
      </c>
      <c r="F6415" s="19" t="str">
        <f>IFERROR(__xludf.DUMMYFUNCTION("""COMPUTED_VALUE"""),"BLACK")</f>
        <v>BLACK</v>
      </c>
      <c r="G6415" s="20" t="str">
        <f>IFERROR(__xludf.DUMMYFUNCTION("""COMPUTED_VALUE"""),"Uncle Sams Cider (11/12/2021) 02")</f>
        <v>Uncle Sams Cider (11/12/2021) 02</v>
      </c>
      <c r="H6415" s="19"/>
    </row>
    <row r="6416">
      <c r="A6416" s="9"/>
      <c r="B6416" s="15"/>
      <c r="C6416" s="9">
        <f>IFERROR(__xludf.DUMMYFUNCTION("""COMPUTED_VALUE"""),44538.1410279629)</f>
        <v>44538.14103</v>
      </c>
      <c r="D6416" s="15">
        <f>IFERROR(__xludf.DUMMYFUNCTION("""COMPUTED_VALUE"""),1.029)</f>
        <v>1.029</v>
      </c>
      <c r="E6416" s="16">
        <f>IFERROR(__xludf.DUMMYFUNCTION("""COMPUTED_VALUE"""),64.0)</f>
        <v>64</v>
      </c>
      <c r="F6416" s="19" t="str">
        <f>IFERROR(__xludf.DUMMYFUNCTION("""COMPUTED_VALUE"""),"BLACK")</f>
        <v>BLACK</v>
      </c>
      <c r="G6416" s="20" t="str">
        <f>IFERROR(__xludf.DUMMYFUNCTION("""COMPUTED_VALUE"""),"Uncle Sams Cider (11/12/2021) 02")</f>
        <v>Uncle Sams Cider (11/12/2021) 02</v>
      </c>
      <c r="H6416" s="19"/>
    </row>
    <row r="6417">
      <c r="A6417" s="9"/>
      <c r="B6417" s="15"/>
      <c r="C6417" s="9">
        <f>IFERROR(__xludf.DUMMYFUNCTION("""COMPUTED_VALUE"""),44538.1305958101)</f>
        <v>44538.1306</v>
      </c>
      <c r="D6417" s="15">
        <f>IFERROR(__xludf.DUMMYFUNCTION("""COMPUTED_VALUE"""),1.029)</f>
        <v>1.029</v>
      </c>
      <c r="E6417" s="16">
        <f>IFERROR(__xludf.DUMMYFUNCTION("""COMPUTED_VALUE"""),64.0)</f>
        <v>64</v>
      </c>
      <c r="F6417" s="19" t="str">
        <f>IFERROR(__xludf.DUMMYFUNCTION("""COMPUTED_VALUE"""),"BLACK")</f>
        <v>BLACK</v>
      </c>
      <c r="G6417" s="20" t="str">
        <f>IFERROR(__xludf.DUMMYFUNCTION("""COMPUTED_VALUE"""),"Uncle Sams Cider (11/12/2021) 02")</f>
        <v>Uncle Sams Cider (11/12/2021) 02</v>
      </c>
      <c r="H6417" s="19"/>
    </row>
    <row r="6418">
      <c r="A6418" s="9"/>
      <c r="B6418" s="15"/>
      <c r="C6418" s="9">
        <f>IFERROR(__xludf.DUMMYFUNCTION("""COMPUTED_VALUE"""),44538.1201759143)</f>
        <v>44538.12018</v>
      </c>
      <c r="D6418" s="15">
        <f>IFERROR(__xludf.DUMMYFUNCTION("""COMPUTED_VALUE"""),1.029)</f>
        <v>1.029</v>
      </c>
      <c r="E6418" s="16">
        <f>IFERROR(__xludf.DUMMYFUNCTION("""COMPUTED_VALUE"""),64.0)</f>
        <v>64</v>
      </c>
      <c r="F6418" s="19" t="str">
        <f>IFERROR(__xludf.DUMMYFUNCTION("""COMPUTED_VALUE"""),"BLACK")</f>
        <v>BLACK</v>
      </c>
      <c r="G6418" s="20" t="str">
        <f>IFERROR(__xludf.DUMMYFUNCTION("""COMPUTED_VALUE"""),"Uncle Sams Cider (11/12/2021) 02")</f>
        <v>Uncle Sams Cider (11/12/2021) 02</v>
      </c>
      <c r="H6418" s="19"/>
    </row>
    <row r="6419">
      <c r="A6419" s="9"/>
      <c r="B6419" s="15"/>
      <c r="C6419" s="9">
        <f>IFERROR(__xludf.DUMMYFUNCTION("""COMPUTED_VALUE"""),44538.1097559837)</f>
        <v>44538.10976</v>
      </c>
      <c r="D6419" s="15">
        <f>IFERROR(__xludf.DUMMYFUNCTION("""COMPUTED_VALUE"""),1.029)</f>
        <v>1.029</v>
      </c>
      <c r="E6419" s="16">
        <f>IFERROR(__xludf.DUMMYFUNCTION("""COMPUTED_VALUE"""),64.0)</f>
        <v>64</v>
      </c>
      <c r="F6419" s="19" t="str">
        <f>IFERROR(__xludf.DUMMYFUNCTION("""COMPUTED_VALUE"""),"BLACK")</f>
        <v>BLACK</v>
      </c>
      <c r="G6419" s="20" t="str">
        <f>IFERROR(__xludf.DUMMYFUNCTION("""COMPUTED_VALUE"""),"Uncle Sams Cider (11/12/2021) 02")</f>
        <v>Uncle Sams Cider (11/12/2021) 02</v>
      </c>
      <c r="H6419" s="19"/>
    </row>
    <row r="6420">
      <c r="A6420" s="9"/>
      <c r="B6420" s="15"/>
      <c r="C6420" s="9">
        <f>IFERROR(__xludf.DUMMYFUNCTION("""COMPUTED_VALUE"""),44538.0993232291)</f>
        <v>44538.09932</v>
      </c>
      <c r="D6420" s="15">
        <f>IFERROR(__xludf.DUMMYFUNCTION("""COMPUTED_VALUE"""),1.029)</f>
        <v>1.029</v>
      </c>
      <c r="E6420" s="16">
        <f>IFERROR(__xludf.DUMMYFUNCTION("""COMPUTED_VALUE"""),64.0)</f>
        <v>64</v>
      </c>
      <c r="F6420" s="19" t="str">
        <f>IFERROR(__xludf.DUMMYFUNCTION("""COMPUTED_VALUE"""),"BLACK")</f>
        <v>BLACK</v>
      </c>
      <c r="G6420" s="20" t="str">
        <f>IFERROR(__xludf.DUMMYFUNCTION("""COMPUTED_VALUE"""),"Uncle Sams Cider (11/12/2021) 02")</f>
        <v>Uncle Sams Cider (11/12/2021) 02</v>
      </c>
      <c r="H6420" s="19"/>
    </row>
    <row r="6421">
      <c r="A6421" s="9"/>
      <c r="B6421" s="15"/>
      <c r="C6421" s="9">
        <f>IFERROR(__xludf.DUMMYFUNCTION("""COMPUTED_VALUE"""),44538.0889020138)</f>
        <v>44538.0889</v>
      </c>
      <c r="D6421" s="15">
        <f>IFERROR(__xludf.DUMMYFUNCTION("""COMPUTED_VALUE"""),1.029)</f>
        <v>1.029</v>
      </c>
      <c r="E6421" s="16">
        <f>IFERROR(__xludf.DUMMYFUNCTION("""COMPUTED_VALUE"""),64.0)</f>
        <v>64</v>
      </c>
      <c r="F6421" s="19" t="str">
        <f>IFERROR(__xludf.DUMMYFUNCTION("""COMPUTED_VALUE"""),"BLACK")</f>
        <v>BLACK</v>
      </c>
      <c r="G6421" s="20" t="str">
        <f>IFERROR(__xludf.DUMMYFUNCTION("""COMPUTED_VALUE"""),"Uncle Sams Cider (11/12/2021) 02")</f>
        <v>Uncle Sams Cider (11/12/2021) 02</v>
      </c>
      <c r="H6421" s="19"/>
    </row>
    <row r="6422">
      <c r="A6422" s="9"/>
      <c r="B6422" s="15"/>
      <c r="C6422" s="9">
        <f>IFERROR(__xludf.DUMMYFUNCTION("""COMPUTED_VALUE"""),44538.0784823379)</f>
        <v>44538.07848</v>
      </c>
      <c r="D6422" s="15">
        <f>IFERROR(__xludf.DUMMYFUNCTION("""COMPUTED_VALUE"""),1.03)</f>
        <v>1.03</v>
      </c>
      <c r="E6422" s="16">
        <f>IFERROR(__xludf.DUMMYFUNCTION("""COMPUTED_VALUE"""),64.0)</f>
        <v>64</v>
      </c>
      <c r="F6422" s="19" t="str">
        <f>IFERROR(__xludf.DUMMYFUNCTION("""COMPUTED_VALUE"""),"BLACK")</f>
        <v>BLACK</v>
      </c>
      <c r="G6422" s="20" t="str">
        <f>IFERROR(__xludf.DUMMYFUNCTION("""COMPUTED_VALUE"""),"Uncle Sams Cider (11/12/2021) 02")</f>
        <v>Uncle Sams Cider (11/12/2021) 02</v>
      </c>
      <c r="H6422" s="19"/>
    </row>
    <row r="6423">
      <c r="A6423" s="9"/>
      <c r="B6423" s="15"/>
      <c r="C6423" s="9">
        <f>IFERROR(__xludf.DUMMYFUNCTION("""COMPUTED_VALUE"""),44538.0680508796)</f>
        <v>44538.06805</v>
      </c>
      <c r="D6423" s="15">
        <f>IFERROR(__xludf.DUMMYFUNCTION("""COMPUTED_VALUE"""),1.029)</f>
        <v>1.029</v>
      </c>
      <c r="E6423" s="16">
        <f>IFERROR(__xludf.DUMMYFUNCTION("""COMPUTED_VALUE"""),64.0)</f>
        <v>64</v>
      </c>
      <c r="F6423" s="19" t="str">
        <f>IFERROR(__xludf.DUMMYFUNCTION("""COMPUTED_VALUE"""),"BLACK")</f>
        <v>BLACK</v>
      </c>
      <c r="G6423" s="20" t="str">
        <f>IFERROR(__xludf.DUMMYFUNCTION("""COMPUTED_VALUE"""),"Uncle Sams Cider (11/12/2021) 02")</f>
        <v>Uncle Sams Cider (11/12/2021) 02</v>
      </c>
      <c r="H6423" s="19"/>
    </row>
    <row r="6424">
      <c r="A6424" s="9"/>
      <c r="B6424" s="15"/>
      <c r="C6424" s="9">
        <f>IFERROR(__xludf.DUMMYFUNCTION("""COMPUTED_VALUE"""),44538.057629375)</f>
        <v>44538.05763</v>
      </c>
      <c r="D6424" s="15">
        <f>IFERROR(__xludf.DUMMYFUNCTION("""COMPUTED_VALUE"""),1.029)</f>
        <v>1.029</v>
      </c>
      <c r="E6424" s="16">
        <f>IFERROR(__xludf.DUMMYFUNCTION("""COMPUTED_VALUE"""),64.0)</f>
        <v>64</v>
      </c>
      <c r="F6424" s="19" t="str">
        <f>IFERROR(__xludf.DUMMYFUNCTION("""COMPUTED_VALUE"""),"BLACK")</f>
        <v>BLACK</v>
      </c>
      <c r="G6424" s="20" t="str">
        <f>IFERROR(__xludf.DUMMYFUNCTION("""COMPUTED_VALUE"""),"Uncle Sams Cider (11/12/2021) 02")</f>
        <v>Uncle Sams Cider (11/12/2021) 02</v>
      </c>
      <c r="H6424" s="19"/>
    </row>
    <row r="6425">
      <c r="A6425" s="9"/>
      <c r="B6425" s="15"/>
      <c r="C6425" s="9">
        <f>IFERROR(__xludf.DUMMYFUNCTION("""COMPUTED_VALUE"""),44538.0472079398)</f>
        <v>44538.04721</v>
      </c>
      <c r="D6425" s="15">
        <f>IFERROR(__xludf.DUMMYFUNCTION("""COMPUTED_VALUE"""),1.029)</f>
        <v>1.029</v>
      </c>
      <c r="E6425" s="16">
        <f>IFERROR(__xludf.DUMMYFUNCTION("""COMPUTED_VALUE"""),64.0)</f>
        <v>64</v>
      </c>
      <c r="F6425" s="19" t="str">
        <f>IFERROR(__xludf.DUMMYFUNCTION("""COMPUTED_VALUE"""),"BLACK")</f>
        <v>BLACK</v>
      </c>
      <c r="G6425" s="20" t="str">
        <f>IFERROR(__xludf.DUMMYFUNCTION("""COMPUTED_VALUE"""),"Uncle Sams Cider (11/12/2021) 02")</f>
        <v>Uncle Sams Cider (11/12/2021) 02</v>
      </c>
      <c r="H6425" s="19"/>
    </row>
    <row r="6426">
      <c r="A6426" s="9"/>
      <c r="B6426" s="15"/>
      <c r="C6426" s="9">
        <f>IFERROR(__xludf.DUMMYFUNCTION("""COMPUTED_VALUE"""),44538.0367891666)</f>
        <v>44538.03679</v>
      </c>
      <c r="D6426" s="15">
        <f>IFERROR(__xludf.DUMMYFUNCTION("""COMPUTED_VALUE"""),1.029)</f>
        <v>1.029</v>
      </c>
      <c r="E6426" s="16">
        <f>IFERROR(__xludf.DUMMYFUNCTION("""COMPUTED_VALUE"""),64.0)</f>
        <v>64</v>
      </c>
      <c r="F6426" s="19" t="str">
        <f>IFERROR(__xludf.DUMMYFUNCTION("""COMPUTED_VALUE"""),"BLACK")</f>
        <v>BLACK</v>
      </c>
      <c r="G6426" s="20" t="str">
        <f>IFERROR(__xludf.DUMMYFUNCTION("""COMPUTED_VALUE"""),"Uncle Sams Cider (11/12/2021) 02")</f>
        <v>Uncle Sams Cider (11/12/2021) 02</v>
      </c>
      <c r="H6426" s="19"/>
    </row>
    <row r="6427">
      <c r="A6427" s="9"/>
      <c r="B6427" s="15"/>
      <c r="C6427" s="9">
        <f>IFERROR(__xludf.DUMMYFUNCTION("""COMPUTED_VALUE"""),44538.0263557986)</f>
        <v>44538.02636</v>
      </c>
      <c r="D6427" s="15">
        <f>IFERROR(__xludf.DUMMYFUNCTION("""COMPUTED_VALUE"""),1.029)</f>
        <v>1.029</v>
      </c>
      <c r="E6427" s="16">
        <f>IFERROR(__xludf.DUMMYFUNCTION("""COMPUTED_VALUE"""),64.0)</f>
        <v>64</v>
      </c>
      <c r="F6427" s="19" t="str">
        <f>IFERROR(__xludf.DUMMYFUNCTION("""COMPUTED_VALUE"""),"BLACK")</f>
        <v>BLACK</v>
      </c>
      <c r="G6427" s="20" t="str">
        <f>IFERROR(__xludf.DUMMYFUNCTION("""COMPUTED_VALUE"""),"Uncle Sams Cider (11/12/2021) 02")</f>
        <v>Uncle Sams Cider (11/12/2021) 02</v>
      </c>
      <c r="H6427" s="19"/>
    </row>
    <row r="6428">
      <c r="A6428" s="9"/>
      <c r="B6428" s="15"/>
      <c r="C6428" s="9">
        <f>IFERROR(__xludf.DUMMYFUNCTION("""COMPUTED_VALUE"""),44538.0159335648)</f>
        <v>44538.01593</v>
      </c>
      <c r="D6428" s="15">
        <f>IFERROR(__xludf.DUMMYFUNCTION("""COMPUTED_VALUE"""),1.029)</f>
        <v>1.029</v>
      </c>
      <c r="E6428" s="16">
        <f>IFERROR(__xludf.DUMMYFUNCTION("""COMPUTED_VALUE"""),64.0)</f>
        <v>64</v>
      </c>
      <c r="F6428" s="19" t="str">
        <f>IFERROR(__xludf.DUMMYFUNCTION("""COMPUTED_VALUE"""),"BLACK")</f>
        <v>BLACK</v>
      </c>
      <c r="G6428" s="20" t="str">
        <f>IFERROR(__xludf.DUMMYFUNCTION("""COMPUTED_VALUE"""),"Uncle Sams Cider (11/12/2021) 02")</f>
        <v>Uncle Sams Cider (11/12/2021) 02</v>
      </c>
      <c r="H6428" s="19"/>
    </row>
    <row r="6429">
      <c r="A6429" s="9"/>
      <c r="B6429" s="15"/>
      <c r="C6429" s="9">
        <f>IFERROR(__xludf.DUMMYFUNCTION("""COMPUTED_VALUE"""),44538.0055134375)</f>
        <v>44538.00551</v>
      </c>
      <c r="D6429" s="15">
        <f>IFERROR(__xludf.DUMMYFUNCTION("""COMPUTED_VALUE"""),1.029)</f>
        <v>1.029</v>
      </c>
      <c r="E6429" s="16">
        <f>IFERROR(__xludf.DUMMYFUNCTION("""COMPUTED_VALUE"""),64.0)</f>
        <v>64</v>
      </c>
      <c r="F6429" s="19" t="str">
        <f>IFERROR(__xludf.DUMMYFUNCTION("""COMPUTED_VALUE"""),"BLACK")</f>
        <v>BLACK</v>
      </c>
      <c r="G6429" s="20" t="str">
        <f>IFERROR(__xludf.DUMMYFUNCTION("""COMPUTED_VALUE"""),"Uncle Sams Cider (11/12/2021) 02")</f>
        <v>Uncle Sams Cider (11/12/2021) 02</v>
      </c>
      <c r="H6429" s="19"/>
    </row>
    <row r="6430">
      <c r="A6430" s="9"/>
      <c r="B6430" s="15"/>
      <c r="C6430" s="9">
        <f>IFERROR(__xludf.DUMMYFUNCTION("""COMPUTED_VALUE"""),44537.9950918171)</f>
        <v>44537.99509</v>
      </c>
      <c r="D6430" s="15">
        <f>IFERROR(__xludf.DUMMYFUNCTION("""COMPUTED_VALUE"""),1.029)</f>
        <v>1.029</v>
      </c>
      <c r="E6430" s="16">
        <f>IFERROR(__xludf.DUMMYFUNCTION("""COMPUTED_VALUE"""),64.0)</f>
        <v>64</v>
      </c>
      <c r="F6430" s="19" t="str">
        <f>IFERROR(__xludf.DUMMYFUNCTION("""COMPUTED_VALUE"""),"BLACK")</f>
        <v>BLACK</v>
      </c>
      <c r="G6430" s="20" t="str">
        <f>IFERROR(__xludf.DUMMYFUNCTION("""COMPUTED_VALUE"""),"Uncle Sams Cider (11/12/2021) 02")</f>
        <v>Uncle Sams Cider (11/12/2021) 02</v>
      </c>
      <c r="H6430" s="19"/>
    </row>
    <row r="6431">
      <c r="A6431" s="9"/>
      <c r="B6431" s="15"/>
      <c r="C6431" s="9">
        <f>IFERROR(__xludf.DUMMYFUNCTION("""COMPUTED_VALUE"""),44537.9846598726)</f>
        <v>44537.98466</v>
      </c>
      <c r="D6431" s="15">
        <f>IFERROR(__xludf.DUMMYFUNCTION("""COMPUTED_VALUE"""),1.029)</f>
        <v>1.029</v>
      </c>
      <c r="E6431" s="16">
        <f>IFERROR(__xludf.DUMMYFUNCTION("""COMPUTED_VALUE"""),64.0)</f>
        <v>64</v>
      </c>
      <c r="F6431" s="19" t="str">
        <f>IFERROR(__xludf.DUMMYFUNCTION("""COMPUTED_VALUE"""),"BLACK")</f>
        <v>BLACK</v>
      </c>
      <c r="G6431" s="20" t="str">
        <f>IFERROR(__xludf.DUMMYFUNCTION("""COMPUTED_VALUE"""),"Uncle Sams Cider (11/12/2021) 02")</f>
        <v>Uncle Sams Cider (11/12/2021) 02</v>
      </c>
      <c r="H6431" s="19"/>
    </row>
    <row r="6432">
      <c r="A6432" s="9"/>
      <c r="B6432" s="15"/>
      <c r="C6432" s="9">
        <f>IFERROR(__xludf.DUMMYFUNCTION("""COMPUTED_VALUE"""),44537.9742277546)</f>
        <v>44537.97423</v>
      </c>
      <c r="D6432" s="15">
        <f>IFERROR(__xludf.DUMMYFUNCTION("""COMPUTED_VALUE"""),1.029)</f>
        <v>1.029</v>
      </c>
      <c r="E6432" s="16">
        <f>IFERROR(__xludf.DUMMYFUNCTION("""COMPUTED_VALUE"""),64.0)</f>
        <v>64</v>
      </c>
      <c r="F6432" s="19" t="str">
        <f>IFERROR(__xludf.DUMMYFUNCTION("""COMPUTED_VALUE"""),"BLACK")</f>
        <v>BLACK</v>
      </c>
      <c r="G6432" s="20" t="str">
        <f>IFERROR(__xludf.DUMMYFUNCTION("""COMPUTED_VALUE"""),"Uncle Sams Cider (11/12/2021) 02")</f>
        <v>Uncle Sams Cider (11/12/2021) 02</v>
      </c>
      <c r="H6432" s="19"/>
    </row>
    <row r="6433">
      <c r="A6433" s="9"/>
      <c r="B6433" s="15"/>
      <c r="C6433" s="9">
        <f>IFERROR(__xludf.DUMMYFUNCTION("""COMPUTED_VALUE"""),44537.9637951504)</f>
        <v>44537.9638</v>
      </c>
      <c r="D6433" s="15">
        <f>IFERROR(__xludf.DUMMYFUNCTION("""COMPUTED_VALUE"""),1.029)</f>
        <v>1.029</v>
      </c>
      <c r="E6433" s="16">
        <f>IFERROR(__xludf.DUMMYFUNCTION("""COMPUTED_VALUE"""),64.0)</f>
        <v>64</v>
      </c>
      <c r="F6433" s="19" t="str">
        <f>IFERROR(__xludf.DUMMYFUNCTION("""COMPUTED_VALUE"""),"BLACK")</f>
        <v>BLACK</v>
      </c>
      <c r="G6433" s="20" t="str">
        <f>IFERROR(__xludf.DUMMYFUNCTION("""COMPUTED_VALUE"""),"Uncle Sams Cider (11/12/2021) 02")</f>
        <v>Uncle Sams Cider (11/12/2021) 02</v>
      </c>
      <c r="H6433" s="19"/>
    </row>
    <row r="6434">
      <c r="A6434" s="9"/>
      <c r="B6434" s="15"/>
      <c r="C6434" s="9">
        <f>IFERROR(__xludf.DUMMYFUNCTION("""COMPUTED_VALUE"""),44537.9533755439)</f>
        <v>44537.95338</v>
      </c>
      <c r="D6434" s="15">
        <f>IFERROR(__xludf.DUMMYFUNCTION("""COMPUTED_VALUE"""),1.029)</f>
        <v>1.029</v>
      </c>
      <c r="E6434" s="16">
        <f>IFERROR(__xludf.DUMMYFUNCTION("""COMPUTED_VALUE"""),64.0)</f>
        <v>64</v>
      </c>
      <c r="F6434" s="19" t="str">
        <f>IFERROR(__xludf.DUMMYFUNCTION("""COMPUTED_VALUE"""),"BLACK")</f>
        <v>BLACK</v>
      </c>
      <c r="G6434" s="20" t="str">
        <f>IFERROR(__xludf.DUMMYFUNCTION("""COMPUTED_VALUE"""),"Uncle Sams Cider (11/12/2021) 02")</f>
        <v>Uncle Sams Cider (11/12/2021) 02</v>
      </c>
      <c r="H6434" s="19"/>
    </row>
    <row r="6435">
      <c r="A6435" s="9"/>
      <c r="B6435" s="15"/>
      <c r="C6435" s="9">
        <f>IFERROR(__xludf.DUMMYFUNCTION("""COMPUTED_VALUE"""),44537.942954074)</f>
        <v>44537.94295</v>
      </c>
      <c r="D6435" s="15">
        <f>IFERROR(__xludf.DUMMYFUNCTION("""COMPUTED_VALUE"""),1.029)</f>
        <v>1.029</v>
      </c>
      <c r="E6435" s="16">
        <f>IFERROR(__xludf.DUMMYFUNCTION("""COMPUTED_VALUE"""),64.0)</f>
        <v>64</v>
      </c>
      <c r="F6435" s="19" t="str">
        <f>IFERROR(__xludf.DUMMYFUNCTION("""COMPUTED_VALUE"""),"BLACK")</f>
        <v>BLACK</v>
      </c>
      <c r="G6435" s="20" t="str">
        <f>IFERROR(__xludf.DUMMYFUNCTION("""COMPUTED_VALUE"""),"Uncle Sams Cider (11/12/2021) 02")</f>
        <v>Uncle Sams Cider (11/12/2021) 02</v>
      </c>
      <c r="H6435" s="19"/>
    </row>
    <row r="6436">
      <c r="A6436" s="9"/>
      <c r="B6436" s="15"/>
      <c r="C6436" s="9">
        <f>IFERROR(__xludf.DUMMYFUNCTION("""COMPUTED_VALUE"""),44537.9325079861)</f>
        <v>44537.93251</v>
      </c>
      <c r="D6436" s="15">
        <f>IFERROR(__xludf.DUMMYFUNCTION("""COMPUTED_VALUE"""),1.029)</f>
        <v>1.029</v>
      </c>
      <c r="E6436" s="16">
        <f>IFERROR(__xludf.DUMMYFUNCTION("""COMPUTED_VALUE"""),64.0)</f>
        <v>64</v>
      </c>
      <c r="F6436" s="19" t="str">
        <f>IFERROR(__xludf.DUMMYFUNCTION("""COMPUTED_VALUE"""),"BLACK")</f>
        <v>BLACK</v>
      </c>
      <c r="G6436" s="20" t="str">
        <f>IFERROR(__xludf.DUMMYFUNCTION("""COMPUTED_VALUE"""),"Uncle Sams Cider (11/12/2021) 02")</f>
        <v>Uncle Sams Cider (11/12/2021) 02</v>
      </c>
      <c r="H6436" s="19"/>
    </row>
    <row r="6437">
      <c r="A6437" s="9"/>
      <c r="B6437" s="15"/>
      <c r="C6437" s="9">
        <f>IFERROR(__xludf.DUMMYFUNCTION("""COMPUTED_VALUE"""),44537.9220750694)</f>
        <v>44537.92208</v>
      </c>
      <c r="D6437" s="15">
        <f>IFERROR(__xludf.DUMMYFUNCTION("""COMPUTED_VALUE"""),1.029)</f>
        <v>1.029</v>
      </c>
      <c r="E6437" s="16">
        <f>IFERROR(__xludf.DUMMYFUNCTION("""COMPUTED_VALUE"""),64.0)</f>
        <v>64</v>
      </c>
      <c r="F6437" s="19" t="str">
        <f>IFERROR(__xludf.DUMMYFUNCTION("""COMPUTED_VALUE"""),"BLACK")</f>
        <v>BLACK</v>
      </c>
      <c r="G6437" s="20" t="str">
        <f>IFERROR(__xludf.DUMMYFUNCTION("""COMPUTED_VALUE"""),"Uncle Sams Cider (11/12/2021) 02")</f>
        <v>Uncle Sams Cider (11/12/2021) 02</v>
      </c>
      <c r="H6437" s="19"/>
    </row>
    <row r="6438">
      <c r="A6438" s="9"/>
      <c r="B6438" s="15"/>
      <c r="C6438" s="9">
        <f>IFERROR(__xludf.DUMMYFUNCTION("""COMPUTED_VALUE"""),44537.9116530555)</f>
        <v>44537.91165</v>
      </c>
      <c r="D6438" s="15">
        <f>IFERROR(__xludf.DUMMYFUNCTION("""COMPUTED_VALUE"""),1.029)</f>
        <v>1.029</v>
      </c>
      <c r="E6438" s="16">
        <f>IFERROR(__xludf.DUMMYFUNCTION("""COMPUTED_VALUE"""),64.0)</f>
        <v>64</v>
      </c>
      <c r="F6438" s="19" t="str">
        <f>IFERROR(__xludf.DUMMYFUNCTION("""COMPUTED_VALUE"""),"BLACK")</f>
        <v>BLACK</v>
      </c>
      <c r="G6438" s="20" t="str">
        <f>IFERROR(__xludf.DUMMYFUNCTION("""COMPUTED_VALUE"""),"Uncle Sams Cider (11/12/2021) 02")</f>
        <v>Uncle Sams Cider (11/12/2021) 02</v>
      </c>
      <c r="H6438" s="19"/>
    </row>
    <row r="6439">
      <c r="A6439" s="9"/>
      <c r="B6439" s="15"/>
      <c r="C6439" s="9">
        <f>IFERROR(__xludf.DUMMYFUNCTION("""COMPUTED_VALUE"""),44537.9012305787)</f>
        <v>44537.90123</v>
      </c>
      <c r="D6439" s="15">
        <f>IFERROR(__xludf.DUMMYFUNCTION("""COMPUTED_VALUE"""),1.029)</f>
        <v>1.029</v>
      </c>
      <c r="E6439" s="16">
        <f>IFERROR(__xludf.DUMMYFUNCTION("""COMPUTED_VALUE"""),64.0)</f>
        <v>64</v>
      </c>
      <c r="F6439" s="19" t="str">
        <f>IFERROR(__xludf.DUMMYFUNCTION("""COMPUTED_VALUE"""),"BLACK")</f>
        <v>BLACK</v>
      </c>
      <c r="G6439" s="20" t="str">
        <f>IFERROR(__xludf.DUMMYFUNCTION("""COMPUTED_VALUE"""),"Uncle Sams Cider (11/12/2021) 02")</f>
        <v>Uncle Sams Cider (11/12/2021) 02</v>
      </c>
      <c r="H6439" s="19"/>
    </row>
    <row r="6440">
      <c r="A6440" s="9"/>
      <c r="B6440" s="15"/>
      <c r="C6440" s="9">
        <f>IFERROR(__xludf.DUMMYFUNCTION("""COMPUTED_VALUE"""),44537.8907967592)</f>
        <v>44537.8908</v>
      </c>
      <c r="D6440" s="15">
        <f>IFERROR(__xludf.DUMMYFUNCTION("""COMPUTED_VALUE"""),1.029)</f>
        <v>1.029</v>
      </c>
      <c r="E6440" s="16">
        <f>IFERROR(__xludf.DUMMYFUNCTION("""COMPUTED_VALUE"""),64.0)</f>
        <v>64</v>
      </c>
      <c r="F6440" s="19" t="str">
        <f>IFERROR(__xludf.DUMMYFUNCTION("""COMPUTED_VALUE"""),"BLACK")</f>
        <v>BLACK</v>
      </c>
      <c r="G6440" s="20" t="str">
        <f>IFERROR(__xludf.DUMMYFUNCTION("""COMPUTED_VALUE"""),"Uncle Sams Cider (11/12/2021) 02")</f>
        <v>Uncle Sams Cider (11/12/2021) 02</v>
      </c>
      <c r="H6440" s="19"/>
    </row>
    <row r="6441">
      <c r="A6441" s="9"/>
      <c r="B6441" s="15"/>
      <c r="C6441" s="9">
        <f>IFERROR(__xludf.DUMMYFUNCTION("""COMPUTED_VALUE"""),44537.8803766666)</f>
        <v>44537.88038</v>
      </c>
      <c r="D6441" s="15">
        <f>IFERROR(__xludf.DUMMYFUNCTION("""COMPUTED_VALUE"""),1.029)</f>
        <v>1.029</v>
      </c>
      <c r="E6441" s="16">
        <f>IFERROR(__xludf.DUMMYFUNCTION("""COMPUTED_VALUE"""),64.0)</f>
        <v>64</v>
      </c>
      <c r="F6441" s="19" t="str">
        <f>IFERROR(__xludf.DUMMYFUNCTION("""COMPUTED_VALUE"""),"BLACK")</f>
        <v>BLACK</v>
      </c>
      <c r="G6441" s="20" t="str">
        <f>IFERROR(__xludf.DUMMYFUNCTION("""COMPUTED_VALUE"""),"Uncle Sams Cider (11/12/2021) 02")</f>
        <v>Uncle Sams Cider (11/12/2021) 02</v>
      </c>
      <c r="H6441" s="19"/>
    </row>
    <row r="6442">
      <c r="A6442" s="9"/>
      <c r="B6442" s="15"/>
      <c r="C6442" s="9">
        <f>IFERROR(__xludf.DUMMYFUNCTION("""COMPUTED_VALUE"""),44537.8699535185)</f>
        <v>44537.86995</v>
      </c>
      <c r="D6442" s="15">
        <f>IFERROR(__xludf.DUMMYFUNCTION("""COMPUTED_VALUE"""),1.029)</f>
        <v>1.029</v>
      </c>
      <c r="E6442" s="16">
        <f>IFERROR(__xludf.DUMMYFUNCTION("""COMPUTED_VALUE"""),64.0)</f>
        <v>64</v>
      </c>
      <c r="F6442" s="19" t="str">
        <f>IFERROR(__xludf.DUMMYFUNCTION("""COMPUTED_VALUE"""),"BLACK")</f>
        <v>BLACK</v>
      </c>
      <c r="G6442" s="20" t="str">
        <f>IFERROR(__xludf.DUMMYFUNCTION("""COMPUTED_VALUE"""),"Uncle Sams Cider (11/12/2021) 02")</f>
        <v>Uncle Sams Cider (11/12/2021) 02</v>
      </c>
      <c r="H6442" s="19"/>
    </row>
    <row r="6443">
      <c r="A6443" s="9"/>
      <c r="B6443" s="15"/>
      <c r="C6443" s="9">
        <f>IFERROR(__xludf.DUMMYFUNCTION("""COMPUTED_VALUE"""),44537.85952228)</f>
        <v>44537.85952</v>
      </c>
      <c r="D6443" s="15">
        <f>IFERROR(__xludf.DUMMYFUNCTION("""COMPUTED_VALUE"""),1.029)</f>
        <v>1.029</v>
      </c>
      <c r="E6443" s="16">
        <f>IFERROR(__xludf.DUMMYFUNCTION("""COMPUTED_VALUE"""),64.0)</f>
        <v>64</v>
      </c>
      <c r="F6443" s="19" t="str">
        <f>IFERROR(__xludf.DUMMYFUNCTION("""COMPUTED_VALUE"""),"BLACK")</f>
        <v>BLACK</v>
      </c>
      <c r="G6443" s="20" t="str">
        <f>IFERROR(__xludf.DUMMYFUNCTION("""COMPUTED_VALUE"""),"Uncle Sams Cider (11/12/2021) 02")</f>
        <v>Uncle Sams Cider (11/12/2021) 02</v>
      </c>
      <c r="H6443" s="19"/>
    </row>
    <row r="6444">
      <c r="A6444" s="9"/>
      <c r="B6444" s="15"/>
      <c r="C6444" s="9">
        <f>IFERROR(__xludf.DUMMYFUNCTION("""COMPUTED_VALUE"""),44537.8490918981)</f>
        <v>44537.84909</v>
      </c>
      <c r="D6444" s="15">
        <f>IFERROR(__xludf.DUMMYFUNCTION("""COMPUTED_VALUE"""),1.029)</f>
        <v>1.029</v>
      </c>
      <c r="E6444" s="16">
        <f>IFERROR(__xludf.DUMMYFUNCTION("""COMPUTED_VALUE"""),64.0)</f>
        <v>64</v>
      </c>
      <c r="F6444" s="19" t="str">
        <f>IFERROR(__xludf.DUMMYFUNCTION("""COMPUTED_VALUE"""),"BLACK")</f>
        <v>BLACK</v>
      </c>
      <c r="G6444" s="20" t="str">
        <f>IFERROR(__xludf.DUMMYFUNCTION("""COMPUTED_VALUE"""),"Uncle Sams Cider (11/12/2021) 02")</f>
        <v>Uncle Sams Cider (11/12/2021) 02</v>
      </c>
      <c r="H6444" s="19"/>
    </row>
    <row r="6445">
      <c r="A6445" s="9"/>
      <c r="B6445" s="15"/>
      <c r="C6445" s="9">
        <f>IFERROR(__xludf.DUMMYFUNCTION("""COMPUTED_VALUE"""),44537.8386595717)</f>
        <v>44537.83866</v>
      </c>
      <c r="D6445" s="15">
        <f>IFERROR(__xludf.DUMMYFUNCTION("""COMPUTED_VALUE"""),1.029)</f>
        <v>1.029</v>
      </c>
      <c r="E6445" s="16">
        <f>IFERROR(__xludf.DUMMYFUNCTION("""COMPUTED_VALUE"""),64.0)</f>
        <v>64</v>
      </c>
      <c r="F6445" s="19" t="str">
        <f>IFERROR(__xludf.DUMMYFUNCTION("""COMPUTED_VALUE"""),"BLACK")</f>
        <v>BLACK</v>
      </c>
      <c r="G6445" s="20" t="str">
        <f>IFERROR(__xludf.DUMMYFUNCTION("""COMPUTED_VALUE"""),"Uncle Sams Cider (11/12/2021) 02")</f>
        <v>Uncle Sams Cider (11/12/2021) 02</v>
      </c>
      <c r="H6445" s="19"/>
    </row>
    <row r="6446">
      <c r="A6446" s="9"/>
      <c r="B6446" s="15"/>
      <c r="C6446" s="9">
        <f>IFERROR(__xludf.DUMMYFUNCTION("""COMPUTED_VALUE"""),44537.8282389583)</f>
        <v>44537.82824</v>
      </c>
      <c r="D6446" s="15">
        <f>IFERROR(__xludf.DUMMYFUNCTION("""COMPUTED_VALUE"""),1.029)</f>
        <v>1.029</v>
      </c>
      <c r="E6446" s="16">
        <f>IFERROR(__xludf.DUMMYFUNCTION("""COMPUTED_VALUE"""),64.0)</f>
        <v>64</v>
      </c>
      <c r="F6446" s="19" t="str">
        <f>IFERROR(__xludf.DUMMYFUNCTION("""COMPUTED_VALUE"""),"BLACK")</f>
        <v>BLACK</v>
      </c>
      <c r="G6446" s="20" t="str">
        <f>IFERROR(__xludf.DUMMYFUNCTION("""COMPUTED_VALUE"""),"Uncle Sams Cider (11/12/2021) 02")</f>
        <v>Uncle Sams Cider (11/12/2021) 02</v>
      </c>
      <c r="H6446" s="19"/>
    </row>
    <row r="6447">
      <c r="A6447" s="9"/>
      <c r="B6447" s="15"/>
      <c r="C6447" s="9">
        <f>IFERROR(__xludf.DUMMYFUNCTION("""COMPUTED_VALUE"""),44537.8178185069)</f>
        <v>44537.81782</v>
      </c>
      <c r="D6447" s="15">
        <f>IFERROR(__xludf.DUMMYFUNCTION("""COMPUTED_VALUE"""),1.029)</f>
        <v>1.029</v>
      </c>
      <c r="E6447" s="16">
        <f>IFERROR(__xludf.DUMMYFUNCTION("""COMPUTED_VALUE"""),64.0)</f>
        <v>64</v>
      </c>
      <c r="F6447" s="19" t="str">
        <f>IFERROR(__xludf.DUMMYFUNCTION("""COMPUTED_VALUE"""),"BLACK")</f>
        <v>BLACK</v>
      </c>
      <c r="G6447" s="20" t="str">
        <f>IFERROR(__xludf.DUMMYFUNCTION("""COMPUTED_VALUE"""),"Uncle Sams Cider (11/12/2021) 02")</f>
        <v>Uncle Sams Cider (11/12/2021) 02</v>
      </c>
      <c r="H6447" s="19"/>
    </row>
    <row r="6448">
      <c r="A6448" s="9"/>
      <c r="B6448" s="15"/>
      <c r="C6448" s="9">
        <f>IFERROR(__xludf.DUMMYFUNCTION("""COMPUTED_VALUE"""),44537.8073843749)</f>
        <v>44537.80738</v>
      </c>
      <c r="D6448" s="15">
        <f>IFERROR(__xludf.DUMMYFUNCTION("""COMPUTED_VALUE"""),1.029)</f>
        <v>1.029</v>
      </c>
      <c r="E6448" s="16">
        <f>IFERROR(__xludf.DUMMYFUNCTION("""COMPUTED_VALUE"""),64.0)</f>
        <v>64</v>
      </c>
      <c r="F6448" s="19" t="str">
        <f>IFERROR(__xludf.DUMMYFUNCTION("""COMPUTED_VALUE"""),"BLACK")</f>
        <v>BLACK</v>
      </c>
      <c r="G6448" s="20" t="str">
        <f>IFERROR(__xludf.DUMMYFUNCTION("""COMPUTED_VALUE"""),"Uncle Sams Cider (11/12/2021) 02")</f>
        <v>Uncle Sams Cider (11/12/2021) 02</v>
      </c>
      <c r="H6448" s="19"/>
    </row>
    <row r="6449">
      <c r="A6449" s="9"/>
      <c r="B6449" s="15"/>
      <c r="C6449" s="9">
        <f>IFERROR(__xludf.DUMMYFUNCTION("""COMPUTED_VALUE"""),44537.7969630092)</f>
        <v>44537.79696</v>
      </c>
      <c r="D6449" s="15">
        <f>IFERROR(__xludf.DUMMYFUNCTION("""COMPUTED_VALUE"""),1.03)</f>
        <v>1.03</v>
      </c>
      <c r="E6449" s="16">
        <f>IFERROR(__xludf.DUMMYFUNCTION("""COMPUTED_VALUE"""),64.0)</f>
        <v>64</v>
      </c>
      <c r="F6449" s="19" t="str">
        <f>IFERROR(__xludf.DUMMYFUNCTION("""COMPUTED_VALUE"""),"BLACK")</f>
        <v>BLACK</v>
      </c>
      <c r="G6449" s="20" t="str">
        <f>IFERROR(__xludf.DUMMYFUNCTION("""COMPUTED_VALUE"""),"Uncle Sams Cider (11/12/2021) 02")</f>
        <v>Uncle Sams Cider (11/12/2021) 02</v>
      </c>
      <c r="H6449" s="19"/>
    </row>
    <row r="6450">
      <c r="A6450" s="9"/>
      <c r="B6450" s="15"/>
      <c r="C6450" s="9">
        <f>IFERROR(__xludf.DUMMYFUNCTION("""COMPUTED_VALUE"""),44537.7865309143)</f>
        <v>44537.78653</v>
      </c>
      <c r="D6450" s="15">
        <f>IFERROR(__xludf.DUMMYFUNCTION("""COMPUTED_VALUE"""),1.03)</f>
        <v>1.03</v>
      </c>
      <c r="E6450" s="16">
        <f>IFERROR(__xludf.DUMMYFUNCTION("""COMPUTED_VALUE"""),64.0)</f>
        <v>64</v>
      </c>
      <c r="F6450" s="19" t="str">
        <f>IFERROR(__xludf.DUMMYFUNCTION("""COMPUTED_VALUE"""),"BLACK")</f>
        <v>BLACK</v>
      </c>
      <c r="G6450" s="20" t="str">
        <f>IFERROR(__xludf.DUMMYFUNCTION("""COMPUTED_VALUE"""),"Uncle Sams Cider (11/12/2021) 02")</f>
        <v>Uncle Sams Cider (11/12/2021) 02</v>
      </c>
      <c r="H6450" s="19"/>
    </row>
    <row r="6451">
      <c r="A6451" s="9"/>
      <c r="B6451" s="15"/>
      <c r="C6451" s="9">
        <f>IFERROR(__xludf.DUMMYFUNCTION("""COMPUTED_VALUE"""),44537.7761098263)</f>
        <v>44537.77611</v>
      </c>
      <c r="D6451" s="15">
        <f>IFERROR(__xludf.DUMMYFUNCTION("""COMPUTED_VALUE"""),1.03)</f>
        <v>1.03</v>
      </c>
      <c r="E6451" s="16">
        <f>IFERROR(__xludf.DUMMYFUNCTION("""COMPUTED_VALUE"""),64.0)</f>
        <v>64</v>
      </c>
      <c r="F6451" s="19" t="str">
        <f>IFERROR(__xludf.DUMMYFUNCTION("""COMPUTED_VALUE"""),"BLACK")</f>
        <v>BLACK</v>
      </c>
      <c r="G6451" s="20" t="str">
        <f>IFERROR(__xludf.DUMMYFUNCTION("""COMPUTED_VALUE"""),"Uncle Sams Cider (11/12/2021) 02")</f>
        <v>Uncle Sams Cider (11/12/2021) 02</v>
      </c>
      <c r="H6451" s="19"/>
    </row>
    <row r="6452">
      <c r="A6452" s="9"/>
      <c r="B6452" s="15"/>
      <c r="C6452" s="9">
        <f>IFERROR(__xludf.DUMMYFUNCTION("""COMPUTED_VALUE"""),44537.7656778935)</f>
        <v>44537.76568</v>
      </c>
      <c r="D6452" s="15">
        <f>IFERROR(__xludf.DUMMYFUNCTION("""COMPUTED_VALUE"""),1.03)</f>
        <v>1.03</v>
      </c>
      <c r="E6452" s="16">
        <f>IFERROR(__xludf.DUMMYFUNCTION("""COMPUTED_VALUE"""),64.0)</f>
        <v>64</v>
      </c>
      <c r="F6452" s="19" t="str">
        <f>IFERROR(__xludf.DUMMYFUNCTION("""COMPUTED_VALUE"""),"BLACK")</f>
        <v>BLACK</v>
      </c>
      <c r="G6452" s="20" t="str">
        <f>IFERROR(__xludf.DUMMYFUNCTION("""COMPUTED_VALUE"""),"Uncle Sams Cider (11/12/2021) 02")</f>
        <v>Uncle Sams Cider (11/12/2021) 02</v>
      </c>
      <c r="H6452" s="19"/>
    </row>
    <row r="6453">
      <c r="A6453" s="9"/>
      <c r="B6453" s="15"/>
      <c r="C6453" s="9">
        <f>IFERROR(__xludf.DUMMYFUNCTION("""COMPUTED_VALUE"""),44537.7552543402)</f>
        <v>44537.75525</v>
      </c>
      <c r="D6453" s="15">
        <f>IFERROR(__xludf.DUMMYFUNCTION("""COMPUTED_VALUE"""),1.029)</f>
        <v>1.029</v>
      </c>
      <c r="E6453" s="16">
        <f>IFERROR(__xludf.DUMMYFUNCTION("""COMPUTED_VALUE"""),64.0)</f>
        <v>64</v>
      </c>
      <c r="F6453" s="19" t="str">
        <f>IFERROR(__xludf.DUMMYFUNCTION("""COMPUTED_VALUE"""),"BLACK")</f>
        <v>BLACK</v>
      </c>
      <c r="G6453" s="20" t="str">
        <f>IFERROR(__xludf.DUMMYFUNCTION("""COMPUTED_VALUE"""),"Uncle Sams Cider (11/12/2021) 02")</f>
        <v>Uncle Sams Cider (11/12/2021) 02</v>
      </c>
      <c r="H6453" s="19"/>
    </row>
    <row r="6454">
      <c r="A6454" s="9"/>
      <c r="B6454" s="15"/>
      <c r="C6454" s="9">
        <f>IFERROR(__xludf.DUMMYFUNCTION("""COMPUTED_VALUE"""),44537.7448348379)</f>
        <v>44537.74483</v>
      </c>
      <c r="D6454" s="15">
        <f>IFERROR(__xludf.DUMMYFUNCTION("""COMPUTED_VALUE"""),1.03)</f>
        <v>1.03</v>
      </c>
      <c r="E6454" s="16">
        <f>IFERROR(__xludf.DUMMYFUNCTION("""COMPUTED_VALUE"""),64.0)</f>
        <v>64</v>
      </c>
      <c r="F6454" s="19" t="str">
        <f>IFERROR(__xludf.DUMMYFUNCTION("""COMPUTED_VALUE"""),"BLACK")</f>
        <v>BLACK</v>
      </c>
      <c r="G6454" s="20" t="str">
        <f>IFERROR(__xludf.DUMMYFUNCTION("""COMPUTED_VALUE"""),"Uncle Sams Cider (11/12/2021) 02")</f>
        <v>Uncle Sams Cider (11/12/2021) 02</v>
      </c>
      <c r="H6454" s="19"/>
    </row>
    <row r="6455">
      <c r="A6455" s="9"/>
      <c r="B6455" s="15"/>
      <c r="C6455" s="9">
        <f>IFERROR(__xludf.DUMMYFUNCTION("""COMPUTED_VALUE"""),44537.7344155902)</f>
        <v>44537.73442</v>
      </c>
      <c r="D6455" s="15">
        <f>IFERROR(__xludf.DUMMYFUNCTION("""COMPUTED_VALUE"""),1.029)</f>
        <v>1.029</v>
      </c>
      <c r="E6455" s="16">
        <f>IFERROR(__xludf.DUMMYFUNCTION("""COMPUTED_VALUE"""),64.0)</f>
        <v>64</v>
      </c>
      <c r="F6455" s="19" t="str">
        <f>IFERROR(__xludf.DUMMYFUNCTION("""COMPUTED_VALUE"""),"BLACK")</f>
        <v>BLACK</v>
      </c>
      <c r="G6455" s="20" t="str">
        <f>IFERROR(__xludf.DUMMYFUNCTION("""COMPUTED_VALUE"""),"Uncle Sams Cider (11/12/2021) 02")</f>
        <v>Uncle Sams Cider (11/12/2021) 02</v>
      </c>
      <c r="H6455" s="19"/>
    </row>
    <row r="6456">
      <c r="A6456" s="9"/>
      <c r="B6456" s="15"/>
      <c r="C6456" s="9">
        <f>IFERROR(__xludf.DUMMYFUNCTION("""COMPUTED_VALUE"""),44537.7239948842)</f>
        <v>44537.72399</v>
      </c>
      <c r="D6456" s="15">
        <f>IFERROR(__xludf.DUMMYFUNCTION("""COMPUTED_VALUE"""),1.029)</f>
        <v>1.029</v>
      </c>
      <c r="E6456" s="16">
        <f>IFERROR(__xludf.DUMMYFUNCTION("""COMPUTED_VALUE"""),64.0)</f>
        <v>64</v>
      </c>
      <c r="F6456" s="19" t="str">
        <f>IFERROR(__xludf.DUMMYFUNCTION("""COMPUTED_VALUE"""),"BLACK")</f>
        <v>BLACK</v>
      </c>
      <c r="G6456" s="20" t="str">
        <f>IFERROR(__xludf.DUMMYFUNCTION("""COMPUTED_VALUE"""),"Uncle Sams Cider (11/12/2021) 02")</f>
        <v>Uncle Sams Cider (11/12/2021) 02</v>
      </c>
      <c r="H6456" s="19"/>
    </row>
    <row r="6457">
      <c r="A6457" s="9"/>
      <c r="B6457" s="15"/>
      <c r="C6457" s="9">
        <f>IFERROR(__xludf.DUMMYFUNCTION("""COMPUTED_VALUE"""),44537.7135733912)</f>
        <v>44537.71357</v>
      </c>
      <c r="D6457" s="15">
        <f>IFERROR(__xludf.DUMMYFUNCTION("""COMPUTED_VALUE"""),1.03)</f>
        <v>1.03</v>
      </c>
      <c r="E6457" s="16">
        <f>IFERROR(__xludf.DUMMYFUNCTION("""COMPUTED_VALUE"""),64.0)</f>
        <v>64</v>
      </c>
      <c r="F6457" s="19" t="str">
        <f>IFERROR(__xludf.DUMMYFUNCTION("""COMPUTED_VALUE"""),"BLACK")</f>
        <v>BLACK</v>
      </c>
      <c r="G6457" s="20" t="str">
        <f>IFERROR(__xludf.DUMMYFUNCTION("""COMPUTED_VALUE"""),"Uncle Sams Cider (11/12/2021) 02")</f>
        <v>Uncle Sams Cider (11/12/2021) 02</v>
      </c>
      <c r="H6457" s="19"/>
    </row>
    <row r="6458">
      <c r="A6458" s="9"/>
      <c r="B6458" s="15"/>
      <c r="C6458" s="9">
        <f>IFERROR(__xludf.DUMMYFUNCTION("""COMPUTED_VALUE"""),44537.7031418749)</f>
        <v>44537.70314</v>
      </c>
      <c r="D6458" s="15">
        <f>IFERROR(__xludf.DUMMYFUNCTION("""COMPUTED_VALUE"""),1.029)</f>
        <v>1.029</v>
      </c>
      <c r="E6458" s="16">
        <f>IFERROR(__xludf.DUMMYFUNCTION("""COMPUTED_VALUE"""),64.0)</f>
        <v>64</v>
      </c>
      <c r="F6458" s="19" t="str">
        <f>IFERROR(__xludf.DUMMYFUNCTION("""COMPUTED_VALUE"""),"BLACK")</f>
        <v>BLACK</v>
      </c>
      <c r="G6458" s="20" t="str">
        <f>IFERROR(__xludf.DUMMYFUNCTION("""COMPUTED_VALUE"""),"Uncle Sams Cider (11/12/2021) 02")</f>
        <v>Uncle Sams Cider (11/12/2021) 02</v>
      </c>
      <c r="H6458" s="19"/>
    </row>
    <row r="6459">
      <c r="A6459" s="9"/>
      <c r="B6459" s="15"/>
      <c r="C6459" s="9">
        <f>IFERROR(__xludf.DUMMYFUNCTION("""COMPUTED_VALUE"""),44537.6927094907)</f>
        <v>44537.69271</v>
      </c>
      <c r="D6459" s="15">
        <f>IFERROR(__xludf.DUMMYFUNCTION("""COMPUTED_VALUE"""),1.029)</f>
        <v>1.029</v>
      </c>
      <c r="E6459" s="16">
        <f>IFERROR(__xludf.DUMMYFUNCTION("""COMPUTED_VALUE"""),64.0)</f>
        <v>64</v>
      </c>
      <c r="F6459" s="19" t="str">
        <f>IFERROR(__xludf.DUMMYFUNCTION("""COMPUTED_VALUE"""),"BLACK")</f>
        <v>BLACK</v>
      </c>
      <c r="G6459" s="20" t="str">
        <f>IFERROR(__xludf.DUMMYFUNCTION("""COMPUTED_VALUE"""),"Uncle Sams Cider (11/12/2021) 02")</f>
        <v>Uncle Sams Cider (11/12/2021) 02</v>
      </c>
      <c r="H6459" s="19"/>
    </row>
    <row r="6460">
      <c r="A6460" s="9"/>
      <c r="B6460" s="15"/>
      <c r="C6460" s="9">
        <f>IFERROR(__xludf.DUMMYFUNCTION("""COMPUTED_VALUE"""),44537.6822849189)</f>
        <v>44537.68228</v>
      </c>
      <c r="D6460" s="15">
        <f>IFERROR(__xludf.DUMMYFUNCTION("""COMPUTED_VALUE"""),1.03)</f>
        <v>1.03</v>
      </c>
      <c r="E6460" s="16">
        <f>IFERROR(__xludf.DUMMYFUNCTION("""COMPUTED_VALUE"""),64.0)</f>
        <v>64</v>
      </c>
      <c r="F6460" s="19" t="str">
        <f>IFERROR(__xludf.DUMMYFUNCTION("""COMPUTED_VALUE"""),"BLACK")</f>
        <v>BLACK</v>
      </c>
      <c r="G6460" s="20" t="str">
        <f>IFERROR(__xludf.DUMMYFUNCTION("""COMPUTED_VALUE"""),"Uncle Sams Cider (11/12/2021) 02")</f>
        <v>Uncle Sams Cider (11/12/2021) 02</v>
      </c>
      <c r="H6460" s="19"/>
    </row>
    <row r="6461">
      <c r="A6461" s="9"/>
      <c r="B6461" s="15"/>
      <c r="C6461" s="9">
        <f>IFERROR(__xludf.DUMMYFUNCTION("""COMPUTED_VALUE"""),44537.6718527661)</f>
        <v>44537.67185</v>
      </c>
      <c r="D6461" s="15">
        <f>IFERROR(__xludf.DUMMYFUNCTION("""COMPUTED_VALUE"""),1.03)</f>
        <v>1.03</v>
      </c>
      <c r="E6461" s="16">
        <f>IFERROR(__xludf.DUMMYFUNCTION("""COMPUTED_VALUE"""),64.0)</f>
        <v>64</v>
      </c>
      <c r="F6461" s="19" t="str">
        <f>IFERROR(__xludf.DUMMYFUNCTION("""COMPUTED_VALUE"""),"BLACK")</f>
        <v>BLACK</v>
      </c>
      <c r="G6461" s="20" t="str">
        <f>IFERROR(__xludf.DUMMYFUNCTION("""COMPUTED_VALUE"""),"Uncle Sams Cider (11/12/2021) 02")</f>
        <v>Uncle Sams Cider (11/12/2021) 02</v>
      </c>
      <c r="H6461" s="19"/>
    </row>
    <row r="6462">
      <c r="A6462" s="9"/>
      <c r="B6462" s="15"/>
      <c r="C6462" s="9">
        <f>IFERROR(__xludf.DUMMYFUNCTION("""COMPUTED_VALUE"""),44537.6614312615)</f>
        <v>44537.66143</v>
      </c>
      <c r="D6462" s="15">
        <f>IFERROR(__xludf.DUMMYFUNCTION("""COMPUTED_VALUE"""),1.03)</f>
        <v>1.03</v>
      </c>
      <c r="E6462" s="16">
        <f>IFERROR(__xludf.DUMMYFUNCTION("""COMPUTED_VALUE"""),64.0)</f>
        <v>64</v>
      </c>
      <c r="F6462" s="19" t="str">
        <f>IFERROR(__xludf.DUMMYFUNCTION("""COMPUTED_VALUE"""),"BLACK")</f>
        <v>BLACK</v>
      </c>
      <c r="G6462" s="20" t="str">
        <f>IFERROR(__xludf.DUMMYFUNCTION("""COMPUTED_VALUE"""),"Uncle Sams Cider (11/12/2021) 02")</f>
        <v>Uncle Sams Cider (11/12/2021) 02</v>
      </c>
      <c r="H6462" s="19"/>
    </row>
    <row r="6463">
      <c r="A6463" s="9"/>
      <c r="B6463" s="15"/>
      <c r="C6463" s="9">
        <f>IFERROR(__xludf.DUMMYFUNCTION("""COMPUTED_VALUE"""),44537.6509751967)</f>
        <v>44537.65098</v>
      </c>
      <c r="D6463" s="15">
        <f>IFERROR(__xludf.DUMMYFUNCTION("""COMPUTED_VALUE"""),1.03)</f>
        <v>1.03</v>
      </c>
      <c r="E6463" s="16">
        <f>IFERROR(__xludf.DUMMYFUNCTION("""COMPUTED_VALUE"""),64.0)</f>
        <v>64</v>
      </c>
      <c r="F6463" s="19" t="str">
        <f>IFERROR(__xludf.DUMMYFUNCTION("""COMPUTED_VALUE"""),"BLACK")</f>
        <v>BLACK</v>
      </c>
      <c r="G6463" s="20" t="str">
        <f>IFERROR(__xludf.DUMMYFUNCTION("""COMPUTED_VALUE"""),"Uncle Sams Cider (11/12/2021) 02")</f>
        <v>Uncle Sams Cider (11/12/2021) 02</v>
      </c>
      <c r="H6463" s="19"/>
    </row>
    <row r="6464">
      <c r="A6464" s="9"/>
      <c r="B6464" s="15"/>
      <c r="C6464" s="9">
        <f>IFERROR(__xludf.DUMMYFUNCTION("""COMPUTED_VALUE"""),44537.640555081)</f>
        <v>44537.64056</v>
      </c>
      <c r="D6464" s="15">
        <f>IFERROR(__xludf.DUMMYFUNCTION("""COMPUTED_VALUE"""),1.03)</f>
        <v>1.03</v>
      </c>
      <c r="E6464" s="16">
        <f>IFERROR(__xludf.DUMMYFUNCTION("""COMPUTED_VALUE"""),64.0)</f>
        <v>64</v>
      </c>
      <c r="F6464" s="19" t="str">
        <f>IFERROR(__xludf.DUMMYFUNCTION("""COMPUTED_VALUE"""),"BLACK")</f>
        <v>BLACK</v>
      </c>
      <c r="G6464" s="20" t="str">
        <f>IFERROR(__xludf.DUMMYFUNCTION("""COMPUTED_VALUE"""),"Uncle Sams Cider (11/12/2021) 02")</f>
        <v>Uncle Sams Cider (11/12/2021) 02</v>
      </c>
      <c r="H6464" s="19"/>
    </row>
    <row r="6465">
      <c r="A6465" s="9"/>
      <c r="B6465" s="15"/>
      <c r="C6465" s="9">
        <f>IFERROR(__xludf.DUMMYFUNCTION("""COMPUTED_VALUE"""),44537.6301101504)</f>
        <v>44537.63011</v>
      </c>
      <c r="D6465" s="15">
        <f>IFERROR(__xludf.DUMMYFUNCTION("""COMPUTED_VALUE"""),1.03)</f>
        <v>1.03</v>
      </c>
      <c r="E6465" s="16">
        <f>IFERROR(__xludf.DUMMYFUNCTION("""COMPUTED_VALUE"""),64.0)</f>
        <v>64</v>
      </c>
      <c r="F6465" s="19" t="str">
        <f>IFERROR(__xludf.DUMMYFUNCTION("""COMPUTED_VALUE"""),"BLACK")</f>
        <v>BLACK</v>
      </c>
      <c r="G6465" s="20" t="str">
        <f>IFERROR(__xludf.DUMMYFUNCTION("""COMPUTED_VALUE"""),"Uncle Sams Cider (11/12/2021) 02")</f>
        <v>Uncle Sams Cider (11/12/2021) 02</v>
      </c>
      <c r="H6465" s="19"/>
    </row>
    <row r="6466">
      <c r="A6466" s="9"/>
      <c r="B6466" s="15"/>
      <c r="C6466" s="9">
        <f>IFERROR(__xludf.DUMMYFUNCTION("""COMPUTED_VALUE"""),44537.6196875925)</f>
        <v>44537.61969</v>
      </c>
      <c r="D6466" s="15">
        <f>IFERROR(__xludf.DUMMYFUNCTION("""COMPUTED_VALUE"""),1.03)</f>
        <v>1.03</v>
      </c>
      <c r="E6466" s="16">
        <f>IFERROR(__xludf.DUMMYFUNCTION("""COMPUTED_VALUE"""),64.0)</f>
        <v>64</v>
      </c>
      <c r="F6466" s="19" t="str">
        <f>IFERROR(__xludf.DUMMYFUNCTION("""COMPUTED_VALUE"""),"BLACK")</f>
        <v>BLACK</v>
      </c>
      <c r="G6466" s="20" t="str">
        <f>IFERROR(__xludf.DUMMYFUNCTION("""COMPUTED_VALUE"""),"Uncle Sams Cider (11/12/2021) 02")</f>
        <v>Uncle Sams Cider (11/12/2021) 02</v>
      </c>
      <c r="H6466" s="19"/>
    </row>
    <row r="6467">
      <c r="A6467" s="9"/>
      <c r="B6467" s="15"/>
      <c r="C6467" s="9">
        <f>IFERROR(__xludf.DUMMYFUNCTION("""COMPUTED_VALUE"""),44537.6092656597)</f>
        <v>44537.60927</v>
      </c>
      <c r="D6467" s="15">
        <f>IFERROR(__xludf.DUMMYFUNCTION("""COMPUTED_VALUE"""),1.03)</f>
        <v>1.03</v>
      </c>
      <c r="E6467" s="16">
        <f>IFERROR(__xludf.DUMMYFUNCTION("""COMPUTED_VALUE"""),64.0)</f>
        <v>64</v>
      </c>
      <c r="F6467" s="19" t="str">
        <f>IFERROR(__xludf.DUMMYFUNCTION("""COMPUTED_VALUE"""),"BLACK")</f>
        <v>BLACK</v>
      </c>
      <c r="G6467" s="20" t="str">
        <f>IFERROR(__xludf.DUMMYFUNCTION("""COMPUTED_VALUE"""),"Uncle Sams Cider (11/12/2021) 02")</f>
        <v>Uncle Sams Cider (11/12/2021) 02</v>
      </c>
      <c r="H6467" s="19"/>
    </row>
    <row r="6468">
      <c r="A6468" s="9"/>
      <c r="B6468" s="15"/>
      <c r="C6468" s="9">
        <f>IFERROR(__xludf.DUMMYFUNCTION("""COMPUTED_VALUE"""),44537.5988340856)</f>
        <v>44537.59883</v>
      </c>
      <c r="D6468" s="15">
        <f>IFERROR(__xludf.DUMMYFUNCTION("""COMPUTED_VALUE"""),1.03)</f>
        <v>1.03</v>
      </c>
      <c r="E6468" s="16">
        <f>IFERROR(__xludf.DUMMYFUNCTION("""COMPUTED_VALUE"""),64.0)</f>
        <v>64</v>
      </c>
      <c r="F6468" s="19" t="str">
        <f>IFERROR(__xludf.DUMMYFUNCTION("""COMPUTED_VALUE"""),"BLACK")</f>
        <v>BLACK</v>
      </c>
      <c r="G6468" s="20" t="str">
        <f>IFERROR(__xludf.DUMMYFUNCTION("""COMPUTED_VALUE"""),"Uncle Sams Cider (11/12/2021) 02")</f>
        <v>Uncle Sams Cider (11/12/2021) 02</v>
      </c>
      <c r="H6468" s="19"/>
    </row>
    <row r="6469">
      <c r="A6469" s="9"/>
      <c r="B6469" s="15"/>
      <c r="C6469" s="9">
        <f>IFERROR(__xludf.DUMMYFUNCTION("""COMPUTED_VALUE"""),44537.588413449)</f>
        <v>44537.58841</v>
      </c>
      <c r="D6469" s="15">
        <f>IFERROR(__xludf.DUMMYFUNCTION("""COMPUTED_VALUE"""),1.03)</f>
        <v>1.03</v>
      </c>
      <c r="E6469" s="16">
        <f>IFERROR(__xludf.DUMMYFUNCTION("""COMPUTED_VALUE"""),64.0)</f>
        <v>64</v>
      </c>
      <c r="F6469" s="19" t="str">
        <f>IFERROR(__xludf.DUMMYFUNCTION("""COMPUTED_VALUE"""),"BLACK")</f>
        <v>BLACK</v>
      </c>
      <c r="G6469" s="20" t="str">
        <f>IFERROR(__xludf.DUMMYFUNCTION("""COMPUTED_VALUE"""),"Uncle Sams Cider (11/12/2021) 02")</f>
        <v>Uncle Sams Cider (11/12/2021) 02</v>
      </c>
      <c r="H6469" s="19"/>
    </row>
    <row r="6470">
      <c r="A6470" s="9"/>
      <c r="B6470" s="15"/>
      <c r="C6470" s="9">
        <f>IFERROR(__xludf.DUMMYFUNCTION("""COMPUTED_VALUE"""),44537.5779944328)</f>
        <v>44537.57799</v>
      </c>
      <c r="D6470" s="15">
        <f>IFERROR(__xludf.DUMMYFUNCTION("""COMPUTED_VALUE"""),1.03)</f>
        <v>1.03</v>
      </c>
      <c r="E6470" s="16">
        <f>IFERROR(__xludf.DUMMYFUNCTION("""COMPUTED_VALUE"""),64.0)</f>
        <v>64</v>
      </c>
      <c r="F6470" s="19" t="str">
        <f>IFERROR(__xludf.DUMMYFUNCTION("""COMPUTED_VALUE"""),"BLACK")</f>
        <v>BLACK</v>
      </c>
      <c r="G6470" s="20" t="str">
        <f>IFERROR(__xludf.DUMMYFUNCTION("""COMPUTED_VALUE"""),"Uncle Sams Cider (11/12/2021) 02")</f>
        <v>Uncle Sams Cider (11/12/2021) 02</v>
      </c>
      <c r="H6470" s="19"/>
    </row>
    <row r="6471">
      <c r="A6471" s="9"/>
      <c r="B6471" s="15"/>
      <c r="C6471" s="9">
        <f>IFERROR(__xludf.DUMMYFUNCTION("""COMPUTED_VALUE"""),44537.567573206)</f>
        <v>44537.56757</v>
      </c>
      <c r="D6471" s="15">
        <f>IFERROR(__xludf.DUMMYFUNCTION("""COMPUTED_VALUE"""),1.03)</f>
        <v>1.03</v>
      </c>
      <c r="E6471" s="16">
        <f>IFERROR(__xludf.DUMMYFUNCTION("""COMPUTED_VALUE"""),64.0)</f>
        <v>64</v>
      </c>
      <c r="F6471" s="19" t="str">
        <f>IFERROR(__xludf.DUMMYFUNCTION("""COMPUTED_VALUE"""),"BLACK")</f>
        <v>BLACK</v>
      </c>
      <c r="G6471" s="20" t="str">
        <f>IFERROR(__xludf.DUMMYFUNCTION("""COMPUTED_VALUE"""),"Uncle Sams Cider (11/12/2021) 02")</f>
        <v>Uncle Sams Cider (11/12/2021) 02</v>
      </c>
      <c r="H6471" s="19"/>
    </row>
    <row r="6472">
      <c r="A6472" s="9"/>
      <c r="B6472" s="15"/>
      <c r="C6472" s="9">
        <f>IFERROR(__xludf.DUMMYFUNCTION("""COMPUTED_VALUE"""),44537.5571505092)</f>
        <v>44537.55715</v>
      </c>
      <c r="D6472" s="15">
        <f>IFERROR(__xludf.DUMMYFUNCTION("""COMPUTED_VALUE"""),1.03)</f>
        <v>1.03</v>
      </c>
      <c r="E6472" s="16">
        <f>IFERROR(__xludf.DUMMYFUNCTION("""COMPUTED_VALUE"""),64.0)</f>
        <v>64</v>
      </c>
      <c r="F6472" s="19" t="str">
        <f>IFERROR(__xludf.DUMMYFUNCTION("""COMPUTED_VALUE"""),"BLACK")</f>
        <v>BLACK</v>
      </c>
      <c r="G6472" s="20" t="str">
        <f>IFERROR(__xludf.DUMMYFUNCTION("""COMPUTED_VALUE"""),"Uncle Sams Cider (11/12/2021) 02")</f>
        <v>Uncle Sams Cider (11/12/2021) 02</v>
      </c>
      <c r="H6472" s="19"/>
    </row>
    <row r="6473">
      <c r="A6473" s="9"/>
      <c r="B6473" s="15"/>
      <c r="C6473" s="9">
        <f>IFERROR(__xludf.DUMMYFUNCTION("""COMPUTED_VALUE"""),44537.546729074)</f>
        <v>44537.54673</v>
      </c>
      <c r="D6473" s="15">
        <f>IFERROR(__xludf.DUMMYFUNCTION("""COMPUTED_VALUE"""),1.03)</f>
        <v>1.03</v>
      </c>
      <c r="E6473" s="16">
        <f>IFERROR(__xludf.DUMMYFUNCTION("""COMPUTED_VALUE"""),64.0)</f>
        <v>64</v>
      </c>
      <c r="F6473" s="19" t="str">
        <f>IFERROR(__xludf.DUMMYFUNCTION("""COMPUTED_VALUE"""),"BLACK")</f>
        <v>BLACK</v>
      </c>
      <c r="G6473" s="20" t="str">
        <f>IFERROR(__xludf.DUMMYFUNCTION("""COMPUTED_VALUE"""),"Uncle Sams Cider (11/12/2021) 02")</f>
        <v>Uncle Sams Cider (11/12/2021) 02</v>
      </c>
      <c r="H6473" s="19"/>
    </row>
    <row r="6474">
      <c r="A6474" s="9"/>
      <c r="B6474" s="15"/>
      <c r="C6474" s="9">
        <f>IFERROR(__xludf.DUMMYFUNCTION("""COMPUTED_VALUE"""),44537.5362736226)</f>
        <v>44537.53627</v>
      </c>
      <c r="D6474" s="15">
        <f>IFERROR(__xludf.DUMMYFUNCTION("""COMPUTED_VALUE"""),1.03)</f>
        <v>1.03</v>
      </c>
      <c r="E6474" s="16">
        <f>IFERROR(__xludf.DUMMYFUNCTION("""COMPUTED_VALUE"""),64.0)</f>
        <v>64</v>
      </c>
      <c r="F6474" s="19" t="str">
        <f>IFERROR(__xludf.DUMMYFUNCTION("""COMPUTED_VALUE"""),"BLACK")</f>
        <v>BLACK</v>
      </c>
      <c r="G6474" s="20" t="str">
        <f>IFERROR(__xludf.DUMMYFUNCTION("""COMPUTED_VALUE"""),"Uncle Sams Cider (11/12/2021) 02")</f>
        <v>Uncle Sams Cider (11/12/2021) 02</v>
      </c>
      <c r="H6474" s="19"/>
    </row>
    <row r="6475">
      <c r="A6475" s="9"/>
      <c r="B6475" s="15"/>
      <c r="C6475" s="9">
        <f>IFERROR(__xludf.DUMMYFUNCTION("""COMPUTED_VALUE"""),44537.5258517013)</f>
        <v>44537.52585</v>
      </c>
      <c r="D6475" s="15">
        <f>IFERROR(__xludf.DUMMYFUNCTION("""COMPUTED_VALUE"""),1.03)</f>
        <v>1.03</v>
      </c>
      <c r="E6475" s="16">
        <f>IFERROR(__xludf.DUMMYFUNCTION("""COMPUTED_VALUE"""),64.0)</f>
        <v>64</v>
      </c>
      <c r="F6475" s="19" t="str">
        <f>IFERROR(__xludf.DUMMYFUNCTION("""COMPUTED_VALUE"""),"BLACK")</f>
        <v>BLACK</v>
      </c>
      <c r="G6475" s="20" t="str">
        <f>IFERROR(__xludf.DUMMYFUNCTION("""COMPUTED_VALUE"""),"Uncle Sams Cider (11/12/2021) 02")</f>
        <v>Uncle Sams Cider (11/12/2021) 02</v>
      </c>
      <c r="H6475" s="19"/>
    </row>
    <row r="6476">
      <c r="A6476" s="9"/>
      <c r="B6476" s="15"/>
      <c r="C6476" s="9">
        <f>IFERROR(__xludf.DUMMYFUNCTION("""COMPUTED_VALUE"""),44537.5154310416)</f>
        <v>44537.51543</v>
      </c>
      <c r="D6476" s="15">
        <f>IFERROR(__xludf.DUMMYFUNCTION("""COMPUTED_VALUE"""),1.03)</f>
        <v>1.03</v>
      </c>
      <c r="E6476" s="16">
        <f>IFERROR(__xludf.DUMMYFUNCTION("""COMPUTED_VALUE"""),64.0)</f>
        <v>64</v>
      </c>
      <c r="F6476" s="19" t="str">
        <f>IFERROR(__xludf.DUMMYFUNCTION("""COMPUTED_VALUE"""),"BLACK")</f>
        <v>BLACK</v>
      </c>
      <c r="G6476" s="20" t="str">
        <f>IFERROR(__xludf.DUMMYFUNCTION("""COMPUTED_VALUE"""),"Uncle Sams Cider (11/12/2021) 02")</f>
        <v>Uncle Sams Cider (11/12/2021) 02</v>
      </c>
      <c r="H6476" s="19"/>
    </row>
    <row r="6477">
      <c r="A6477" s="9"/>
      <c r="B6477" s="15"/>
      <c r="C6477" s="9">
        <f>IFERROR(__xludf.DUMMYFUNCTION("""COMPUTED_VALUE"""),44537.5049874305)</f>
        <v>44537.50499</v>
      </c>
      <c r="D6477" s="15">
        <f>IFERROR(__xludf.DUMMYFUNCTION("""COMPUTED_VALUE"""),1.03)</f>
        <v>1.03</v>
      </c>
      <c r="E6477" s="16">
        <f>IFERROR(__xludf.DUMMYFUNCTION("""COMPUTED_VALUE"""),64.0)</f>
        <v>64</v>
      </c>
      <c r="F6477" s="19" t="str">
        <f>IFERROR(__xludf.DUMMYFUNCTION("""COMPUTED_VALUE"""),"BLACK")</f>
        <v>BLACK</v>
      </c>
      <c r="G6477" s="20" t="str">
        <f>IFERROR(__xludf.DUMMYFUNCTION("""COMPUTED_VALUE"""),"Uncle Sams Cider (11/12/2021) 02")</f>
        <v>Uncle Sams Cider (11/12/2021) 02</v>
      </c>
      <c r="H6477" s="19"/>
    </row>
    <row r="6478">
      <c r="A6478" s="9"/>
      <c r="B6478" s="15"/>
      <c r="C6478" s="9">
        <f>IFERROR(__xludf.DUMMYFUNCTION("""COMPUTED_VALUE"""),44537.4945653472)</f>
        <v>44537.49457</v>
      </c>
      <c r="D6478" s="15">
        <f>IFERROR(__xludf.DUMMYFUNCTION("""COMPUTED_VALUE"""),1.03)</f>
        <v>1.03</v>
      </c>
      <c r="E6478" s="16">
        <f>IFERROR(__xludf.DUMMYFUNCTION("""COMPUTED_VALUE"""),64.0)</f>
        <v>64</v>
      </c>
      <c r="F6478" s="19" t="str">
        <f>IFERROR(__xludf.DUMMYFUNCTION("""COMPUTED_VALUE"""),"BLACK")</f>
        <v>BLACK</v>
      </c>
      <c r="G6478" s="20" t="str">
        <f>IFERROR(__xludf.DUMMYFUNCTION("""COMPUTED_VALUE"""),"Uncle Sams Cider (11/12/2021) 02")</f>
        <v>Uncle Sams Cider (11/12/2021) 02</v>
      </c>
      <c r="H6478" s="19"/>
    </row>
    <row r="6479">
      <c r="A6479" s="9"/>
      <c r="B6479" s="15"/>
      <c r="C6479" s="9">
        <f>IFERROR(__xludf.DUMMYFUNCTION("""COMPUTED_VALUE"""),44537.4841443402)</f>
        <v>44537.48414</v>
      </c>
      <c r="D6479" s="15">
        <f>IFERROR(__xludf.DUMMYFUNCTION("""COMPUTED_VALUE"""),1.03)</f>
        <v>1.03</v>
      </c>
      <c r="E6479" s="16">
        <f>IFERROR(__xludf.DUMMYFUNCTION("""COMPUTED_VALUE"""),64.0)</f>
        <v>64</v>
      </c>
      <c r="F6479" s="19" t="str">
        <f>IFERROR(__xludf.DUMMYFUNCTION("""COMPUTED_VALUE"""),"BLACK")</f>
        <v>BLACK</v>
      </c>
      <c r="G6479" s="20" t="str">
        <f>IFERROR(__xludf.DUMMYFUNCTION("""COMPUTED_VALUE"""),"Uncle Sams Cider (11/12/2021) 02")</f>
        <v>Uncle Sams Cider (11/12/2021) 02</v>
      </c>
      <c r="H6479" s="19"/>
    </row>
    <row r="6480">
      <c r="A6480" s="9"/>
      <c r="B6480" s="15"/>
      <c r="C6480" s="9">
        <f>IFERROR(__xludf.DUMMYFUNCTION("""COMPUTED_VALUE"""),44537.4736886689)</f>
        <v>44537.47369</v>
      </c>
      <c r="D6480" s="15">
        <f>IFERROR(__xludf.DUMMYFUNCTION("""COMPUTED_VALUE"""),1.03)</f>
        <v>1.03</v>
      </c>
      <c r="E6480" s="16">
        <f>IFERROR(__xludf.DUMMYFUNCTION("""COMPUTED_VALUE"""),64.0)</f>
        <v>64</v>
      </c>
      <c r="F6480" s="19" t="str">
        <f>IFERROR(__xludf.DUMMYFUNCTION("""COMPUTED_VALUE"""),"BLACK")</f>
        <v>BLACK</v>
      </c>
      <c r="G6480" s="20" t="str">
        <f>IFERROR(__xludf.DUMMYFUNCTION("""COMPUTED_VALUE"""),"Uncle Sams Cider (11/12/2021) 02")</f>
        <v>Uncle Sams Cider (11/12/2021) 02</v>
      </c>
      <c r="H6480" s="19"/>
    </row>
    <row r="6481">
      <c r="A6481" s="9"/>
      <c r="B6481" s="15"/>
      <c r="C6481" s="9">
        <f>IFERROR(__xludf.DUMMYFUNCTION("""COMPUTED_VALUE"""),44537.4632686574)</f>
        <v>44537.46327</v>
      </c>
      <c r="D6481" s="15">
        <f>IFERROR(__xludf.DUMMYFUNCTION("""COMPUTED_VALUE"""),1.03)</f>
        <v>1.03</v>
      </c>
      <c r="E6481" s="16">
        <f>IFERROR(__xludf.DUMMYFUNCTION("""COMPUTED_VALUE"""),64.0)</f>
        <v>64</v>
      </c>
      <c r="F6481" s="19" t="str">
        <f>IFERROR(__xludf.DUMMYFUNCTION("""COMPUTED_VALUE"""),"BLACK")</f>
        <v>BLACK</v>
      </c>
      <c r="G6481" s="20" t="str">
        <f>IFERROR(__xludf.DUMMYFUNCTION("""COMPUTED_VALUE"""),"Uncle Sams Cider (11/12/2021) 02")</f>
        <v>Uncle Sams Cider (11/12/2021) 02</v>
      </c>
      <c r="H6481" s="19"/>
    </row>
    <row r="6482">
      <c r="A6482" s="9"/>
      <c r="B6482" s="15"/>
      <c r="C6482" s="9">
        <f>IFERROR(__xludf.DUMMYFUNCTION("""COMPUTED_VALUE"""),44537.4528354976)</f>
        <v>44537.45284</v>
      </c>
      <c r="D6482" s="15">
        <f>IFERROR(__xludf.DUMMYFUNCTION("""COMPUTED_VALUE"""),1.03)</f>
        <v>1.03</v>
      </c>
      <c r="E6482" s="16">
        <f>IFERROR(__xludf.DUMMYFUNCTION("""COMPUTED_VALUE"""),64.0)</f>
        <v>64</v>
      </c>
      <c r="F6482" s="19" t="str">
        <f>IFERROR(__xludf.DUMMYFUNCTION("""COMPUTED_VALUE"""),"BLACK")</f>
        <v>BLACK</v>
      </c>
      <c r="G6482" s="20" t="str">
        <f>IFERROR(__xludf.DUMMYFUNCTION("""COMPUTED_VALUE"""),"Uncle Sams Cider (11/12/2021) 02")</f>
        <v>Uncle Sams Cider (11/12/2021) 02</v>
      </c>
      <c r="H6482" s="19"/>
    </row>
    <row r="6483">
      <c r="A6483" s="9"/>
      <c r="B6483" s="15"/>
      <c r="C6483" s="9">
        <f>IFERROR(__xludf.DUMMYFUNCTION("""COMPUTED_VALUE"""),44537.4424034375)</f>
        <v>44537.4424</v>
      </c>
      <c r="D6483" s="15">
        <f>IFERROR(__xludf.DUMMYFUNCTION("""COMPUTED_VALUE"""),1.03)</f>
        <v>1.03</v>
      </c>
      <c r="E6483" s="16">
        <f>IFERROR(__xludf.DUMMYFUNCTION("""COMPUTED_VALUE"""),64.0)</f>
        <v>64</v>
      </c>
      <c r="F6483" s="19" t="str">
        <f>IFERROR(__xludf.DUMMYFUNCTION("""COMPUTED_VALUE"""),"BLACK")</f>
        <v>BLACK</v>
      </c>
      <c r="G6483" s="20" t="str">
        <f>IFERROR(__xludf.DUMMYFUNCTION("""COMPUTED_VALUE"""),"Uncle Sams Cider (11/12/2021) 02")</f>
        <v>Uncle Sams Cider (11/12/2021) 02</v>
      </c>
      <c r="H6483" s="19"/>
    </row>
    <row r="6484">
      <c r="A6484" s="9"/>
      <c r="B6484" s="15"/>
      <c r="C6484" s="9">
        <f>IFERROR(__xludf.DUMMYFUNCTION("""COMPUTED_VALUE"""),44537.4319824768)</f>
        <v>44537.43198</v>
      </c>
      <c r="D6484" s="15">
        <f>IFERROR(__xludf.DUMMYFUNCTION("""COMPUTED_VALUE"""),1.03)</f>
        <v>1.03</v>
      </c>
      <c r="E6484" s="16">
        <f>IFERROR(__xludf.DUMMYFUNCTION("""COMPUTED_VALUE"""),64.0)</f>
        <v>64</v>
      </c>
      <c r="F6484" s="19" t="str">
        <f>IFERROR(__xludf.DUMMYFUNCTION("""COMPUTED_VALUE"""),"BLACK")</f>
        <v>BLACK</v>
      </c>
      <c r="G6484" s="20" t="str">
        <f>IFERROR(__xludf.DUMMYFUNCTION("""COMPUTED_VALUE"""),"Uncle Sams Cider (11/12/2021) 02")</f>
        <v>Uncle Sams Cider (11/12/2021) 02</v>
      </c>
      <c r="H6484" s="19"/>
    </row>
    <row r="6485">
      <c r="A6485" s="9"/>
      <c r="B6485" s="15"/>
      <c r="C6485" s="9">
        <f>IFERROR(__xludf.DUMMYFUNCTION("""COMPUTED_VALUE"""),44537.4215591782)</f>
        <v>44537.42156</v>
      </c>
      <c r="D6485" s="15">
        <f>IFERROR(__xludf.DUMMYFUNCTION("""COMPUTED_VALUE"""),1.03)</f>
        <v>1.03</v>
      </c>
      <c r="E6485" s="16">
        <f>IFERROR(__xludf.DUMMYFUNCTION("""COMPUTED_VALUE"""),64.0)</f>
        <v>64</v>
      </c>
      <c r="F6485" s="19" t="str">
        <f>IFERROR(__xludf.DUMMYFUNCTION("""COMPUTED_VALUE"""),"BLACK")</f>
        <v>BLACK</v>
      </c>
      <c r="G6485" s="20" t="str">
        <f>IFERROR(__xludf.DUMMYFUNCTION("""COMPUTED_VALUE"""),"Uncle Sams Cider (11/12/2021) 02")</f>
        <v>Uncle Sams Cider (11/12/2021) 02</v>
      </c>
      <c r="H6485" s="19"/>
    </row>
    <row r="6486">
      <c r="A6486" s="9"/>
      <c r="B6486" s="15"/>
      <c r="C6486" s="9">
        <f>IFERROR(__xludf.DUMMYFUNCTION("""COMPUTED_VALUE"""),44537.4111370949)</f>
        <v>44537.41114</v>
      </c>
      <c r="D6486" s="15">
        <f>IFERROR(__xludf.DUMMYFUNCTION("""COMPUTED_VALUE"""),1.03)</f>
        <v>1.03</v>
      </c>
      <c r="E6486" s="16">
        <f>IFERROR(__xludf.DUMMYFUNCTION("""COMPUTED_VALUE"""),64.0)</f>
        <v>64</v>
      </c>
      <c r="F6486" s="19" t="str">
        <f>IFERROR(__xludf.DUMMYFUNCTION("""COMPUTED_VALUE"""),"BLACK")</f>
        <v>BLACK</v>
      </c>
      <c r="G6486" s="20" t="str">
        <f>IFERROR(__xludf.DUMMYFUNCTION("""COMPUTED_VALUE"""),"Uncle Sams Cider (11/12/2021) 02")</f>
        <v>Uncle Sams Cider (11/12/2021) 02</v>
      </c>
      <c r="H6486" s="19"/>
    </row>
    <row r="6487">
      <c r="A6487" s="9"/>
      <c r="B6487" s="15"/>
      <c r="C6487" s="9">
        <f>IFERROR(__xludf.DUMMYFUNCTION("""COMPUTED_VALUE"""),44537.4007173611)</f>
        <v>44537.40072</v>
      </c>
      <c r="D6487" s="15">
        <f>IFERROR(__xludf.DUMMYFUNCTION("""COMPUTED_VALUE"""),1.03)</f>
        <v>1.03</v>
      </c>
      <c r="E6487" s="16">
        <f>IFERROR(__xludf.DUMMYFUNCTION("""COMPUTED_VALUE"""),64.0)</f>
        <v>64</v>
      </c>
      <c r="F6487" s="19" t="str">
        <f>IFERROR(__xludf.DUMMYFUNCTION("""COMPUTED_VALUE"""),"BLACK")</f>
        <v>BLACK</v>
      </c>
      <c r="G6487" s="20" t="str">
        <f>IFERROR(__xludf.DUMMYFUNCTION("""COMPUTED_VALUE"""),"Uncle Sams Cider (11/12/2021) 02")</f>
        <v>Uncle Sams Cider (11/12/2021) 02</v>
      </c>
      <c r="H6487" s="19"/>
    </row>
    <row r="6488">
      <c r="A6488" s="9"/>
      <c r="B6488" s="15"/>
      <c r="C6488" s="9">
        <f>IFERROR(__xludf.DUMMYFUNCTION("""COMPUTED_VALUE"""),44537.3902724074)</f>
        <v>44537.39027</v>
      </c>
      <c r="D6488" s="15">
        <f>IFERROR(__xludf.DUMMYFUNCTION("""COMPUTED_VALUE"""),1.03)</f>
        <v>1.03</v>
      </c>
      <c r="E6488" s="16">
        <f>IFERROR(__xludf.DUMMYFUNCTION("""COMPUTED_VALUE"""),64.0)</f>
        <v>64</v>
      </c>
      <c r="F6488" s="19" t="str">
        <f>IFERROR(__xludf.DUMMYFUNCTION("""COMPUTED_VALUE"""),"BLACK")</f>
        <v>BLACK</v>
      </c>
      <c r="G6488" s="20" t="str">
        <f>IFERROR(__xludf.DUMMYFUNCTION("""COMPUTED_VALUE"""),"Uncle Sams Cider (11/12/2021) 02")</f>
        <v>Uncle Sams Cider (11/12/2021) 02</v>
      </c>
      <c r="H6488" s="19"/>
    </row>
    <row r="6489">
      <c r="A6489" s="9"/>
      <c r="B6489" s="15"/>
      <c r="C6489" s="9">
        <f>IFERROR(__xludf.DUMMYFUNCTION("""COMPUTED_VALUE"""),44537.3798406018)</f>
        <v>44537.37984</v>
      </c>
      <c r="D6489" s="15">
        <f>IFERROR(__xludf.DUMMYFUNCTION("""COMPUTED_VALUE"""),1.03)</f>
        <v>1.03</v>
      </c>
      <c r="E6489" s="16">
        <f>IFERROR(__xludf.DUMMYFUNCTION("""COMPUTED_VALUE"""),64.0)</f>
        <v>64</v>
      </c>
      <c r="F6489" s="19" t="str">
        <f>IFERROR(__xludf.DUMMYFUNCTION("""COMPUTED_VALUE"""),"BLACK")</f>
        <v>BLACK</v>
      </c>
      <c r="G6489" s="20" t="str">
        <f>IFERROR(__xludf.DUMMYFUNCTION("""COMPUTED_VALUE"""),"Uncle Sams Cider (11/12/2021) 02")</f>
        <v>Uncle Sams Cider (11/12/2021) 02</v>
      </c>
      <c r="H6489" s="19"/>
    </row>
    <row r="6490">
      <c r="A6490" s="9"/>
      <c r="B6490" s="15"/>
      <c r="C6490" s="9">
        <f>IFERROR(__xludf.DUMMYFUNCTION("""COMPUTED_VALUE"""),44537.3694193865)</f>
        <v>44537.36942</v>
      </c>
      <c r="D6490" s="15">
        <f>IFERROR(__xludf.DUMMYFUNCTION("""COMPUTED_VALUE"""),1.03)</f>
        <v>1.03</v>
      </c>
      <c r="E6490" s="16">
        <f>IFERROR(__xludf.DUMMYFUNCTION("""COMPUTED_VALUE"""),64.0)</f>
        <v>64</v>
      </c>
      <c r="F6490" s="19" t="str">
        <f>IFERROR(__xludf.DUMMYFUNCTION("""COMPUTED_VALUE"""),"BLACK")</f>
        <v>BLACK</v>
      </c>
      <c r="G6490" s="20" t="str">
        <f>IFERROR(__xludf.DUMMYFUNCTION("""COMPUTED_VALUE"""),"Uncle Sams Cider (11/12/2021) 02")</f>
        <v>Uncle Sams Cider (11/12/2021) 02</v>
      </c>
      <c r="H6490" s="19"/>
    </row>
    <row r="6491">
      <c r="A6491" s="9"/>
      <c r="B6491" s="15"/>
      <c r="C6491" s="9">
        <f>IFERROR(__xludf.DUMMYFUNCTION("""COMPUTED_VALUE"""),44537.3589983564)</f>
        <v>44537.359</v>
      </c>
      <c r="D6491" s="15">
        <f>IFERROR(__xludf.DUMMYFUNCTION("""COMPUTED_VALUE"""),1.03)</f>
        <v>1.03</v>
      </c>
      <c r="E6491" s="16">
        <f>IFERROR(__xludf.DUMMYFUNCTION("""COMPUTED_VALUE"""),64.0)</f>
        <v>64</v>
      </c>
      <c r="F6491" s="19" t="str">
        <f>IFERROR(__xludf.DUMMYFUNCTION("""COMPUTED_VALUE"""),"BLACK")</f>
        <v>BLACK</v>
      </c>
      <c r="G6491" s="20" t="str">
        <f>IFERROR(__xludf.DUMMYFUNCTION("""COMPUTED_VALUE"""),"Uncle Sams Cider (11/12/2021) 02")</f>
        <v>Uncle Sams Cider (11/12/2021) 02</v>
      </c>
      <c r="H6491" s="19"/>
    </row>
    <row r="6492">
      <c r="A6492" s="9"/>
      <c r="B6492" s="15"/>
      <c r="C6492" s="9">
        <f>IFERROR(__xludf.DUMMYFUNCTION("""COMPUTED_VALUE"""),44537.3485788194)</f>
        <v>44537.34858</v>
      </c>
      <c r="D6492" s="15">
        <f>IFERROR(__xludf.DUMMYFUNCTION("""COMPUTED_VALUE"""),1.03)</f>
        <v>1.03</v>
      </c>
      <c r="E6492" s="16">
        <f>IFERROR(__xludf.DUMMYFUNCTION("""COMPUTED_VALUE"""),64.0)</f>
        <v>64</v>
      </c>
      <c r="F6492" s="19" t="str">
        <f>IFERROR(__xludf.DUMMYFUNCTION("""COMPUTED_VALUE"""),"BLACK")</f>
        <v>BLACK</v>
      </c>
      <c r="G6492" s="20" t="str">
        <f>IFERROR(__xludf.DUMMYFUNCTION("""COMPUTED_VALUE"""),"Uncle Sams Cider (11/12/2021) 02")</f>
        <v>Uncle Sams Cider (11/12/2021) 02</v>
      </c>
      <c r="H6492" s="19"/>
    </row>
    <row r="6493">
      <c r="A6493" s="9"/>
      <c r="B6493" s="15"/>
      <c r="C6493" s="9">
        <f>IFERROR(__xludf.DUMMYFUNCTION("""COMPUTED_VALUE"""),44537.3381579513)</f>
        <v>44537.33816</v>
      </c>
      <c r="D6493" s="15">
        <f>IFERROR(__xludf.DUMMYFUNCTION("""COMPUTED_VALUE"""),1.03)</f>
        <v>1.03</v>
      </c>
      <c r="E6493" s="16">
        <f>IFERROR(__xludf.DUMMYFUNCTION("""COMPUTED_VALUE"""),64.0)</f>
        <v>64</v>
      </c>
      <c r="F6493" s="19" t="str">
        <f>IFERROR(__xludf.DUMMYFUNCTION("""COMPUTED_VALUE"""),"BLACK")</f>
        <v>BLACK</v>
      </c>
      <c r="G6493" s="20" t="str">
        <f>IFERROR(__xludf.DUMMYFUNCTION("""COMPUTED_VALUE"""),"Uncle Sams Cider (11/12/2021) 02")</f>
        <v>Uncle Sams Cider (11/12/2021) 02</v>
      </c>
      <c r="H6493" s="19"/>
    </row>
    <row r="6494">
      <c r="A6494" s="9"/>
      <c r="B6494" s="15"/>
      <c r="C6494" s="9">
        <f>IFERROR(__xludf.DUMMYFUNCTION("""COMPUTED_VALUE"""),44537.327736331)</f>
        <v>44537.32774</v>
      </c>
      <c r="D6494" s="15">
        <f>IFERROR(__xludf.DUMMYFUNCTION("""COMPUTED_VALUE"""),1.03)</f>
        <v>1.03</v>
      </c>
      <c r="E6494" s="16">
        <f>IFERROR(__xludf.DUMMYFUNCTION("""COMPUTED_VALUE"""),64.0)</f>
        <v>64</v>
      </c>
      <c r="F6494" s="19" t="str">
        <f>IFERROR(__xludf.DUMMYFUNCTION("""COMPUTED_VALUE"""),"BLACK")</f>
        <v>BLACK</v>
      </c>
      <c r="G6494" s="20" t="str">
        <f>IFERROR(__xludf.DUMMYFUNCTION("""COMPUTED_VALUE"""),"Uncle Sams Cider (11/12/2021) 02")</f>
        <v>Uncle Sams Cider (11/12/2021) 02</v>
      </c>
      <c r="H6494" s="19"/>
    </row>
    <row r="6495">
      <c r="A6495" s="9"/>
      <c r="B6495" s="15"/>
      <c r="C6495" s="9">
        <f>IFERROR(__xludf.DUMMYFUNCTION("""COMPUTED_VALUE"""),44537.3173153703)</f>
        <v>44537.31732</v>
      </c>
      <c r="D6495" s="15">
        <f>IFERROR(__xludf.DUMMYFUNCTION("""COMPUTED_VALUE"""),1.03)</f>
        <v>1.03</v>
      </c>
      <c r="E6495" s="16">
        <f>IFERROR(__xludf.DUMMYFUNCTION("""COMPUTED_VALUE"""),64.0)</f>
        <v>64</v>
      </c>
      <c r="F6495" s="19" t="str">
        <f>IFERROR(__xludf.DUMMYFUNCTION("""COMPUTED_VALUE"""),"BLACK")</f>
        <v>BLACK</v>
      </c>
      <c r="G6495" s="20" t="str">
        <f>IFERROR(__xludf.DUMMYFUNCTION("""COMPUTED_VALUE"""),"Uncle Sams Cider (11/12/2021) 02")</f>
        <v>Uncle Sams Cider (11/12/2021) 02</v>
      </c>
      <c r="H6495" s="19"/>
    </row>
    <row r="6496">
      <c r="A6496" s="9"/>
      <c r="B6496" s="15"/>
      <c r="C6496" s="9">
        <f>IFERROR(__xludf.DUMMYFUNCTION("""COMPUTED_VALUE"""),44537.306895243)</f>
        <v>44537.3069</v>
      </c>
      <c r="D6496" s="15">
        <f>IFERROR(__xludf.DUMMYFUNCTION("""COMPUTED_VALUE"""),1.03)</f>
        <v>1.03</v>
      </c>
      <c r="E6496" s="16">
        <f>IFERROR(__xludf.DUMMYFUNCTION("""COMPUTED_VALUE"""),64.0)</f>
        <v>64</v>
      </c>
      <c r="F6496" s="19" t="str">
        <f>IFERROR(__xludf.DUMMYFUNCTION("""COMPUTED_VALUE"""),"BLACK")</f>
        <v>BLACK</v>
      </c>
      <c r="G6496" s="20" t="str">
        <f>IFERROR(__xludf.DUMMYFUNCTION("""COMPUTED_VALUE"""),"Uncle Sams Cider (11/12/2021) 02")</f>
        <v>Uncle Sams Cider (11/12/2021) 02</v>
      </c>
      <c r="H6496" s="19"/>
    </row>
    <row r="6497">
      <c r="A6497" s="9"/>
      <c r="B6497" s="15"/>
      <c r="C6497" s="9">
        <f>IFERROR(__xludf.DUMMYFUNCTION("""COMPUTED_VALUE"""),44537.2964731597)</f>
        <v>44537.29647</v>
      </c>
      <c r="D6497" s="15">
        <f>IFERROR(__xludf.DUMMYFUNCTION("""COMPUTED_VALUE"""),1.03)</f>
        <v>1.03</v>
      </c>
      <c r="E6497" s="16">
        <f>IFERROR(__xludf.DUMMYFUNCTION("""COMPUTED_VALUE"""),64.0)</f>
        <v>64</v>
      </c>
      <c r="F6497" s="19" t="str">
        <f>IFERROR(__xludf.DUMMYFUNCTION("""COMPUTED_VALUE"""),"BLACK")</f>
        <v>BLACK</v>
      </c>
      <c r="G6497" s="20" t="str">
        <f>IFERROR(__xludf.DUMMYFUNCTION("""COMPUTED_VALUE"""),"Uncle Sams Cider (11/12/2021) 02")</f>
        <v>Uncle Sams Cider (11/12/2021) 02</v>
      </c>
      <c r="H6497" s="19"/>
    </row>
    <row r="6498">
      <c r="A6498" s="9"/>
      <c r="B6498" s="15"/>
      <c r="C6498" s="9">
        <f>IFERROR(__xludf.DUMMYFUNCTION("""COMPUTED_VALUE"""),44537.2860400231)</f>
        <v>44537.28604</v>
      </c>
      <c r="D6498" s="15">
        <f>IFERROR(__xludf.DUMMYFUNCTION("""COMPUTED_VALUE"""),1.03)</f>
        <v>1.03</v>
      </c>
      <c r="E6498" s="16">
        <f>IFERROR(__xludf.DUMMYFUNCTION("""COMPUTED_VALUE"""),64.0)</f>
        <v>64</v>
      </c>
      <c r="F6498" s="19" t="str">
        <f>IFERROR(__xludf.DUMMYFUNCTION("""COMPUTED_VALUE"""),"BLACK")</f>
        <v>BLACK</v>
      </c>
      <c r="G6498" s="20" t="str">
        <f>IFERROR(__xludf.DUMMYFUNCTION("""COMPUTED_VALUE"""),"Uncle Sams Cider (11/12/2021) 02")</f>
        <v>Uncle Sams Cider (11/12/2021) 02</v>
      </c>
      <c r="H6498" s="19"/>
    </row>
    <row r="6499">
      <c r="A6499" s="9"/>
      <c r="B6499" s="15"/>
      <c r="C6499" s="9">
        <f>IFERROR(__xludf.DUMMYFUNCTION("""COMPUTED_VALUE"""),44537.2756079398)</f>
        <v>44537.27561</v>
      </c>
      <c r="D6499" s="15">
        <f>IFERROR(__xludf.DUMMYFUNCTION("""COMPUTED_VALUE"""),1.03)</f>
        <v>1.03</v>
      </c>
      <c r="E6499" s="16">
        <f>IFERROR(__xludf.DUMMYFUNCTION("""COMPUTED_VALUE"""),64.0)</f>
        <v>64</v>
      </c>
      <c r="F6499" s="19" t="str">
        <f>IFERROR(__xludf.DUMMYFUNCTION("""COMPUTED_VALUE"""),"BLACK")</f>
        <v>BLACK</v>
      </c>
      <c r="G6499" s="20" t="str">
        <f>IFERROR(__xludf.DUMMYFUNCTION("""COMPUTED_VALUE"""),"Uncle Sams Cider (11/12/2021) 02")</f>
        <v>Uncle Sams Cider (11/12/2021) 02</v>
      </c>
      <c r="H6499" s="19"/>
    </row>
    <row r="6500">
      <c r="A6500" s="9"/>
      <c r="B6500" s="15"/>
      <c r="C6500" s="9">
        <f>IFERROR(__xludf.DUMMYFUNCTION("""COMPUTED_VALUE"""),44537.2651748032)</f>
        <v>44537.26517</v>
      </c>
      <c r="D6500" s="15">
        <f>IFERROR(__xludf.DUMMYFUNCTION("""COMPUTED_VALUE"""),1.03)</f>
        <v>1.03</v>
      </c>
      <c r="E6500" s="16">
        <f>IFERROR(__xludf.DUMMYFUNCTION("""COMPUTED_VALUE"""),64.0)</f>
        <v>64</v>
      </c>
      <c r="F6500" s="19" t="str">
        <f>IFERROR(__xludf.DUMMYFUNCTION("""COMPUTED_VALUE"""),"BLACK")</f>
        <v>BLACK</v>
      </c>
      <c r="G6500" s="20" t="str">
        <f>IFERROR(__xludf.DUMMYFUNCTION("""COMPUTED_VALUE"""),"Uncle Sams Cider (11/12/2021) 02")</f>
        <v>Uncle Sams Cider (11/12/2021) 02</v>
      </c>
      <c r="H6500" s="19"/>
    </row>
    <row r="6501">
      <c r="A6501" s="9"/>
      <c r="B6501" s="15"/>
      <c r="C6501" s="9">
        <f>IFERROR(__xludf.DUMMYFUNCTION("""COMPUTED_VALUE"""),44537.2547552777)</f>
        <v>44537.25476</v>
      </c>
      <c r="D6501" s="15">
        <f>IFERROR(__xludf.DUMMYFUNCTION("""COMPUTED_VALUE"""),1.03)</f>
        <v>1.03</v>
      </c>
      <c r="E6501" s="16">
        <f>IFERROR(__xludf.DUMMYFUNCTION("""COMPUTED_VALUE"""),64.0)</f>
        <v>64</v>
      </c>
      <c r="F6501" s="19" t="str">
        <f>IFERROR(__xludf.DUMMYFUNCTION("""COMPUTED_VALUE"""),"BLACK")</f>
        <v>BLACK</v>
      </c>
      <c r="G6501" s="20" t="str">
        <f>IFERROR(__xludf.DUMMYFUNCTION("""COMPUTED_VALUE"""),"Uncle Sams Cider (11/12/2021) 02")</f>
        <v>Uncle Sams Cider (11/12/2021) 02</v>
      </c>
      <c r="H6501" s="19"/>
    </row>
    <row r="6502">
      <c r="A6502" s="9"/>
      <c r="B6502" s="15"/>
      <c r="C6502" s="9">
        <f>IFERROR(__xludf.DUMMYFUNCTION("""COMPUTED_VALUE"""),44537.2443239351)</f>
        <v>44537.24432</v>
      </c>
      <c r="D6502" s="15">
        <f>IFERROR(__xludf.DUMMYFUNCTION("""COMPUTED_VALUE"""),1.03)</f>
        <v>1.03</v>
      </c>
      <c r="E6502" s="16">
        <f>IFERROR(__xludf.DUMMYFUNCTION("""COMPUTED_VALUE"""),64.0)</f>
        <v>64</v>
      </c>
      <c r="F6502" s="19" t="str">
        <f>IFERROR(__xludf.DUMMYFUNCTION("""COMPUTED_VALUE"""),"BLACK")</f>
        <v>BLACK</v>
      </c>
      <c r="G6502" s="20" t="str">
        <f>IFERROR(__xludf.DUMMYFUNCTION("""COMPUTED_VALUE"""),"Uncle Sams Cider (11/12/2021) 02")</f>
        <v>Uncle Sams Cider (11/12/2021) 02</v>
      </c>
      <c r="H6502" s="19"/>
    </row>
    <row r="6503">
      <c r="A6503" s="9"/>
      <c r="B6503" s="15"/>
      <c r="C6503" s="9">
        <f>IFERROR(__xludf.DUMMYFUNCTION("""COMPUTED_VALUE"""),44537.233892118)</f>
        <v>44537.23389</v>
      </c>
      <c r="D6503" s="15">
        <f>IFERROR(__xludf.DUMMYFUNCTION("""COMPUTED_VALUE"""),1.03)</f>
        <v>1.03</v>
      </c>
      <c r="E6503" s="16">
        <f>IFERROR(__xludf.DUMMYFUNCTION("""COMPUTED_VALUE"""),64.0)</f>
        <v>64</v>
      </c>
      <c r="F6503" s="19" t="str">
        <f>IFERROR(__xludf.DUMMYFUNCTION("""COMPUTED_VALUE"""),"BLACK")</f>
        <v>BLACK</v>
      </c>
      <c r="G6503" s="20" t="str">
        <f>IFERROR(__xludf.DUMMYFUNCTION("""COMPUTED_VALUE"""),"Uncle Sams Cider (11/12/2021) 02")</f>
        <v>Uncle Sams Cider (11/12/2021) 02</v>
      </c>
      <c r="H6503" s="19"/>
    </row>
    <row r="6504">
      <c r="A6504" s="9"/>
      <c r="B6504" s="15"/>
      <c r="C6504" s="9">
        <f>IFERROR(__xludf.DUMMYFUNCTION("""COMPUTED_VALUE"""),44537.2234712847)</f>
        <v>44537.22347</v>
      </c>
      <c r="D6504" s="15">
        <f>IFERROR(__xludf.DUMMYFUNCTION("""COMPUTED_VALUE"""),1.03)</f>
        <v>1.03</v>
      </c>
      <c r="E6504" s="16">
        <f>IFERROR(__xludf.DUMMYFUNCTION("""COMPUTED_VALUE"""),64.0)</f>
        <v>64</v>
      </c>
      <c r="F6504" s="19" t="str">
        <f>IFERROR(__xludf.DUMMYFUNCTION("""COMPUTED_VALUE"""),"BLACK")</f>
        <v>BLACK</v>
      </c>
      <c r="G6504" s="20" t="str">
        <f>IFERROR(__xludf.DUMMYFUNCTION("""COMPUTED_VALUE"""),"Uncle Sams Cider (11/12/2021) 02")</f>
        <v>Uncle Sams Cider (11/12/2021) 02</v>
      </c>
      <c r="H6504" s="19"/>
    </row>
    <row r="6505">
      <c r="A6505" s="9"/>
      <c r="B6505" s="15"/>
      <c r="C6505" s="9">
        <f>IFERROR(__xludf.DUMMYFUNCTION("""COMPUTED_VALUE"""),44537.2130380902)</f>
        <v>44537.21304</v>
      </c>
      <c r="D6505" s="15">
        <f>IFERROR(__xludf.DUMMYFUNCTION("""COMPUTED_VALUE"""),1.03)</f>
        <v>1.03</v>
      </c>
      <c r="E6505" s="16">
        <f>IFERROR(__xludf.DUMMYFUNCTION("""COMPUTED_VALUE"""),64.0)</f>
        <v>64</v>
      </c>
      <c r="F6505" s="19" t="str">
        <f>IFERROR(__xludf.DUMMYFUNCTION("""COMPUTED_VALUE"""),"BLACK")</f>
        <v>BLACK</v>
      </c>
      <c r="G6505" s="20" t="str">
        <f>IFERROR(__xludf.DUMMYFUNCTION("""COMPUTED_VALUE"""),"Uncle Sams Cider (11/12/2021) 02")</f>
        <v>Uncle Sams Cider (11/12/2021) 02</v>
      </c>
      <c r="H6505" s="19"/>
    </row>
    <row r="6506">
      <c r="A6506" s="9"/>
      <c r="B6506" s="15"/>
      <c r="C6506" s="9">
        <f>IFERROR(__xludf.DUMMYFUNCTION("""COMPUTED_VALUE"""),44537.2026058449)</f>
        <v>44537.20261</v>
      </c>
      <c r="D6506" s="15">
        <f>IFERROR(__xludf.DUMMYFUNCTION("""COMPUTED_VALUE"""),1.03)</f>
        <v>1.03</v>
      </c>
      <c r="E6506" s="16">
        <f>IFERROR(__xludf.DUMMYFUNCTION("""COMPUTED_VALUE"""),64.0)</f>
        <v>64</v>
      </c>
      <c r="F6506" s="19" t="str">
        <f>IFERROR(__xludf.DUMMYFUNCTION("""COMPUTED_VALUE"""),"BLACK")</f>
        <v>BLACK</v>
      </c>
      <c r="G6506" s="20" t="str">
        <f>IFERROR(__xludf.DUMMYFUNCTION("""COMPUTED_VALUE"""),"Uncle Sams Cider (11/12/2021) 02")</f>
        <v>Uncle Sams Cider (11/12/2021) 02</v>
      </c>
      <c r="H6506" s="19"/>
    </row>
    <row r="6507">
      <c r="A6507" s="9"/>
      <c r="B6507" s="15"/>
      <c r="C6507" s="9">
        <f>IFERROR(__xludf.DUMMYFUNCTION("""COMPUTED_VALUE"""),44536.743765243)</f>
        <v>44536.74377</v>
      </c>
      <c r="D6507" s="15">
        <f>IFERROR(__xludf.DUMMYFUNCTION("""COMPUTED_VALUE"""),1.031)</f>
        <v>1.031</v>
      </c>
      <c r="E6507" s="16">
        <f>IFERROR(__xludf.DUMMYFUNCTION("""COMPUTED_VALUE"""),64.0)</f>
        <v>64</v>
      </c>
      <c r="F6507" s="19" t="str">
        <f>IFERROR(__xludf.DUMMYFUNCTION("""COMPUTED_VALUE"""),"BLACK")</f>
        <v>BLACK</v>
      </c>
      <c r="G6507" s="20" t="str">
        <f>IFERROR(__xludf.DUMMYFUNCTION("""COMPUTED_VALUE"""),"Uncle Sams Cider (11/12/2021) 02")</f>
        <v>Uncle Sams Cider (11/12/2021) 02</v>
      </c>
      <c r="H6507" s="19"/>
    </row>
    <row r="6508">
      <c r="A6508" s="9"/>
      <c r="B6508" s="15"/>
      <c r="C6508" s="9">
        <f>IFERROR(__xludf.DUMMYFUNCTION("""COMPUTED_VALUE"""),44536.7333442361)</f>
        <v>44536.73334</v>
      </c>
      <c r="D6508" s="15">
        <f>IFERROR(__xludf.DUMMYFUNCTION("""COMPUTED_VALUE"""),1.031)</f>
        <v>1.031</v>
      </c>
      <c r="E6508" s="16">
        <f>IFERROR(__xludf.DUMMYFUNCTION("""COMPUTED_VALUE"""),64.0)</f>
        <v>64</v>
      </c>
      <c r="F6508" s="19" t="str">
        <f>IFERROR(__xludf.DUMMYFUNCTION("""COMPUTED_VALUE"""),"BLACK")</f>
        <v>BLACK</v>
      </c>
      <c r="G6508" s="20" t="str">
        <f>IFERROR(__xludf.DUMMYFUNCTION("""COMPUTED_VALUE"""),"Uncle Sams Cider (11/12/2021) 02")</f>
        <v>Uncle Sams Cider (11/12/2021) 02</v>
      </c>
      <c r="H6508" s="19"/>
    </row>
    <row r="6509">
      <c r="A6509" s="9"/>
      <c r="B6509" s="15"/>
      <c r="C6509" s="9">
        <f>IFERROR(__xludf.DUMMYFUNCTION("""COMPUTED_VALUE"""),44536.7228903356)</f>
        <v>44536.72289</v>
      </c>
      <c r="D6509" s="15">
        <f>IFERROR(__xludf.DUMMYFUNCTION("""COMPUTED_VALUE"""),1.031)</f>
        <v>1.031</v>
      </c>
      <c r="E6509" s="16">
        <f>IFERROR(__xludf.DUMMYFUNCTION("""COMPUTED_VALUE"""),64.0)</f>
        <v>64</v>
      </c>
      <c r="F6509" s="19" t="str">
        <f>IFERROR(__xludf.DUMMYFUNCTION("""COMPUTED_VALUE"""),"BLACK")</f>
        <v>BLACK</v>
      </c>
      <c r="G6509" s="20" t="str">
        <f>IFERROR(__xludf.DUMMYFUNCTION("""COMPUTED_VALUE"""),"Uncle Sams Cider (11/12/2021) 02")</f>
        <v>Uncle Sams Cider (11/12/2021) 02</v>
      </c>
      <c r="H6509" s="19"/>
    </row>
    <row r="6510">
      <c r="A6510" s="9"/>
      <c r="B6510" s="15"/>
      <c r="C6510" s="9">
        <f>IFERROR(__xludf.DUMMYFUNCTION("""COMPUTED_VALUE"""),44536.7124700231)</f>
        <v>44536.71247</v>
      </c>
      <c r="D6510" s="15">
        <f>IFERROR(__xludf.DUMMYFUNCTION("""COMPUTED_VALUE"""),1.031)</f>
        <v>1.031</v>
      </c>
      <c r="E6510" s="16">
        <f>IFERROR(__xludf.DUMMYFUNCTION("""COMPUTED_VALUE"""),64.0)</f>
        <v>64</v>
      </c>
      <c r="F6510" s="19" t="str">
        <f>IFERROR(__xludf.DUMMYFUNCTION("""COMPUTED_VALUE"""),"BLACK")</f>
        <v>BLACK</v>
      </c>
      <c r="G6510" s="20" t="str">
        <f>IFERROR(__xludf.DUMMYFUNCTION("""COMPUTED_VALUE"""),"Uncle Sams Cider (11/12/2021) 02")</f>
        <v>Uncle Sams Cider (11/12/2021) 02</v>
      </c>
      <c r="H6510" s="19"/>
    </row>
    <row r="6511">
      <c r="A6511" s="9"/>
      <c r="B6511" s="15"/>
      <c r="C6511" s="9">
        <f>IFERROR(__xludf.DUMMYFUNCTION("""COMPUTED_VALUE"""),44536.70204875)</f>
        <v>44536.70205</v>
      </c>
      <c r="D6511" s="15">
        <f>IFERROR(__xludf.DUMMYFUNCTION("""COMPUTED_VALUE"""),1.031)</f>
        <v>1.031</v>
      </c>
      <c r="E6511" s="16">
        <f>IFERROR(__xludf.DUMMYFUNCTION("""COMPUTED_VALUE"""),64.0)</f>
        <v>64</v>
      </c>
      <c r="F6511" s="19" t="str">
        <f>IFERROR(__xludf.DUMMYFUNCTION("""COMPUTED_VALUE"""),"BLACK")</f>
        <v>BLACK</v>
      </c>
      <c r="G6511" s="20" t="str">
        <f>IFERROR(__xludf.DUMMYFUNCTION("""COMPUTED_VALUE"""),"Uncle Sams Cider (11/12/2021) 02")</f>
        <v>Uncle Sams Cider (11/12/2021) 02</v>
      </c>
      <c r="H6511" s="19"/>
    </row>
    <row r="6512">
      <c r="A6512" s="9"/>
      <c r="B6512" s="15"/>
      <c r="C6512" s="9">
        <f>IFERROR(__xludf.DUMMYFUNCTION("""COMPUTED_VALUE"""),44536.6916292245)</f>
        <v>44536.69163</v>
      </c>
      <c r="D6512" s="15">
        <f>IFERROR(__xludf.DUMMYFUNCTION("""COMPUTED_VALUE"""),1.031)</f>
        <v>1.031</v>
      </c>
      <c r="E6512" s="16">
        <f>IFERROR(__xludf.DUMMYFUNCTION("""COMPUTED_VALUE"""),64.0)</f>
        <v>64</v>
      </c>
      <c r="F6512" s="19" t="str">
        <f>IFERROR(__xludf.DUMMYFUNCTION("""COMPUTED_VALUE"""),"BLACK")</f>
        <v>BLACK</v>
      </c>
      <c r="G6512" s="20" t="str">
        <f>IFERROR(__xludf.DUMMYFUNCTION("""COMPUTED_VALUE"""),"Uncle Sams Cider (11/12/2021) 02")</f>
        <v>Uncle Sams Cider (11/12/2021) 02</v>
      </c>
      <c r="H6512" s="19"/>
    </row>
    <row r="6513">
      <c r="A6513" s="9"/>
      <c r="B6513" s="15"/>
      <c r="C6513" s="9">
        <f>IFERROR(__xludf.DUMMYFUNCTION("""COMPUTED_VALUE"""),44536.6812073958)</f>
        <v>44536.68121</v>
      </c>
      <c r="D6513" s="15">
        <f>IFERROR(__xludf.DUMMYFUNCTION("""COMPUTED_VALUE"""),1.031)</f>
        <v>1.031</v>
      </c>
      <c r="E6513" s="16">
        <f>IFERROR(__xludf.DUMMYFUNCTION("""COMPUTED_VALUE"""),64.0)</f>
        <v>64</v>
      </c>
      <c r="F6513" s="19" t="str">
        <f>IFERROR(__xludf.DUMMYFUNCTION("""COMPUTED_VALUE"""),"BLACK")</f>
        <v>BLACK</v>
      </c>
      <c r="G6513" s="20" t="str">
        <f>IFERROR(__xludf.DUMMYFUNCTION("""COMPUTED_VALUE"""),"Uncle Sams Cider (11/12/2021) 02")</f>
        <v>Uncle Sams Cider (11/12/2021) 02</v>
      </c>
      <c r="H6513" s="19"/>
    </row>
    <row r="6514">
      <c r="A6514" s="9"/>
      <c r="B6514" s="15"/>
      <c r="C6514" s="9">
        <f>IFERROR(__xludf.DUMMYFUNCTION("""COMPUTED_VALUE"""),44536.670775706)</f>
        <v>44536.67078</v>
      </c>
      <c r="D6514" s="15">
        <f>IFERROR(__xludf.DUMMYFUNCTION("""COMPUTED_VALUE"""),1.031)</f>
        <v>1.031</v>
      </c>
      <c r="E6514" s="16">
        <f>IFERROR(__xludf.DUMMYFUNCTION("""COMPUTED_VALUE"""),64.0)</f>
        <v>64</v>
      </c>
      <c r="F6514" s="19" t="str">
        <f>IFERROR(__xludf.DUMMYFUNCTION("""COMPUTED_VALUE"""),"BLACK")</f>
        <v>BLACK</v>
      </c>
      <c r="G6514" s="20" t="str">
        <f>IFERROR(__xludf.DUMMYFUNCTION("""COMPUTED_VALUE"""),"Uncle Sams Cider (11/12/2021) 02")</f>
        <v>Uncle Sams Cider (11/12/2021) 02</v>
      </c>
      <c r="H6514" s="19"/>
    </row>
    <row r="6515">
      <c r="A6515" s="9"/>
      <c r="B6515" s="15"/>
      <c r="C6515" s="9">
        <f>IFERROR(__xludf.DUMMYFUNCTION("""COMPUTED_VALUE"""),44536.6603560069)</f>
        <v>44536.66036</v>
      </c>
      <c r="D6515" s="15">
        <f>IFERROR(__xludf.DUMMYFUNCTION("""COMPUTED_VALUE"""),1.031)</f>
        <v>1.031</v>
      </c>
      <c r="E6515" s="16">
        <f>IFERROR(__xludf.DUMMYFUNCTION("""COMPUTED_VALUE"""),64.0)</f>
        <v>64</v>
      </c>
      <c r="F6515" s="19" t="str">
        <f>IFERROR(__xludf.DUMMYFUNCTION("""COMPUTED_VALUE"""),"BLACK")</f>
        <v>BLACK</v>
      </c>
      <c r="G6515" s="20" t="str">
        <f>IFERROR(__xludf.DUMMYFUNCTION("""COMPUTED_VALUE"""),"Uncle Sams Cider (11/12/2021) 02")</f>
        <v>Uncle Sams Cider (11/12/2021) 02</v>
      </c>
      <c r="H6515" s="19"/>
    </row>
    <row r="6516">
      <c r="A6516" s="9"/>
      <c r="B6516" s="15"/>
      <c r="C6516" s="9">
        <f>IFERROR(__xludf.DUMMYFUNCTION("""COMPUTED_VALUE"""),44536.6499349189)</f>
        <v>44536.64993</v>
      </c>
      <c r="D6516" s="15">
        <f>IFERROR(__xludf.DUMMYFUNCTION("""COMPUTED_VALUE"""),1.031)</f>
        <v>1.031</v>
      </c>
      <c r="E6516" s="16">
        <f>IFERROR(__xludf.DUMMYFUNCTION("""COMPUTED_VALUE"""),64.0)</f>
        <v>64</v>
      </c>
      <c r="F6516" s="19" t="str">
        <f>IFERROR(__xludf.DUMMYFUNCTION("""COMPUTED_VALUE"""),"BLACK")</f>
        <v>BLACK</v>
      </c>
      <c r="G6516" s="20" t="str">
        <f>IFERROR(__xludf.DUMMYFUNCTION("""COMPUTED_VALUE"""),"Uncle Sams Cider (11/12/2021) 02")</f>
        <v>Uncle Sams Cider (11/12/2021) 02</v>
      </c>
      <c r="H6516" s="19"/>
    </row>
    <row r="6517">
      <c r="A6517" s="9"/>
      <c r="B6517" s="15"/>
      <c r="C6517" s="9">
        <f>IFERROR(__xludf.DUMMYFUNCTION("""COMPUTED_VALUE"""),44536.6395145601)</f>
        <v>44536.63951</v>
      </c>
      <c r="D6517" s="15">
        <f>IFERROR(__xludf.DUMMYFUNCTION("""COMPUTED_VALUE"""),1.031)</f>
        <v>1.031</v>
      </c>
      <c r="E6517" s="16">
        <f>IFERROR(__xludf.DUMMYFUNCTION("""COMPUTED_VALUE"""),64.0)</f>
        <v>64</v>
      </c>
      <c r="F6517" s="19" t="str">
        <f>IFERROR(__xludf.DUMMYFUNCTION("""COMPUTED_VALUE"""),"BLACK")</f>
        <v>BLACK</v>
      </c>
      <c r="G6517" s="20" t="str">
        <f>IFERROR(__xludf.DUMMYFUNCTION("""COMPUTED_VALUE"""),"Uncle Sams Cider (11/12/2021) 02")</f>
        <v>Uncle Sams Cider (11/12/2021) 02</v>
      </c>
      <c r="H6517" s="19"/>
    </row>
    <row r="6518">
      <c r="A6518" s="9"/>
      <c r="B6518" s="15"/>
      <c r="C6518" s="9">
        <f>IFERROR(__xludf.DUMMYFUNCTION("""COMPUTED_VALUE"""),44536.6290944328)</f>
        <v>44536.62909</v>
      </c>
      <c r="D6518" s="15">
        <f>IFERROR(__xludf.DUMMYFUNCTION("""COMPUTED_VALUE"""),1.031)</f>
        <v>1.031</v>
      </c>
      <c r="E6518" s="16">
        <f>IFERROR(__xludf.DUMMYFUNCTION("""COMPUTED_VALUE"""),64.0)</f>
        <v>64</v>
      </c>
      <c r="F6518" s="19" t="str">
        <f>IFERROR(__xludf.DUMMYFUNCTION("""COMPUTED_VALUE"""),"BLACK")</f>
        <v>BLACK</v>
      </c>
      <c r="G6518" s="20" t="str">
        <f>IFERROR(__xludf.DUMMYFUNCTION("""COMPUTED_VALUE"""),"Uncle Sams Cider (11/12/2021) 02")</f>
        <v>Uncle Sams Cider (11/12/2021) 02</v>
      </c>
      <c r="H6518" s="19"/>
    </row>
    <row r="6519">
      <c r="A6519" s="9"/>
      <c r="B6519" s="15"/>
      <c r="C6519" s="9">
        <f>IFERROR(__xludf.DUMMYFUNCTION("""COMPUTED_VALUE"""),44536.6186731481)</f>
        <v>44536.61867</v>
      </c>
      <c r="D6519" s="15">
        <f>IFERROR(__xludf.DUMMYFUNCTION("""COMPUTED_VALUE"""),1.031)</f>
        <v>1.031</v>
      </c>
      <c r="E6519" s="16">
        <f>IFERROR(__xludf.DUMMYFUNCTION("""COMPUTED_VALUE"""),64.0)</f>
        <v>64</v>
      </c>
      <c r="F6519" s="19" t="str">
        <f>IFERROR(__xludf.DUMMYFUNCTION("""COMPUTED_VALUE"""),"BLACK")</f>
        <v>BLACK</v>
      </c>
      <c r="G6519" s="20" t="str">
        <f>IFERROR(__xludf.DUMMYFUNCTION("""COMPUTED_VALUE"""),"Uncle Sams Cider (11/12/2021) 02")</f>
        <v>Uncle Sams Cider (11/12/2021) 02</v>
      </c>
      <c r="H6519" s="19"/>
    </row>
    <row r="6520">
      <c r="A6520" s="9"/>
      <c r="B6520" s="15"/>
      <c r="C6520" s="9">
        <f>IFERROR(__xludf.DUMMYFUNCTION("""COMPUTED_VALUE"""),44536.6082517361)</f>
        <v>44536.60825</v>
      </c>
      <c r="D6520" s="15">
        <f>IFERROR(__xludf.DUMMYFUNCTION("""COMPUTED_VALUE"""),1.031)</f>
        <v>1.031</v>
      </c>
      <c r="E6520" s="16">
        <f>IFERROR(__xludf.DUMMYFUNCTION("""COMPUTED_VALUE"""),64.0)</f>
        <v>64</v>
      </c>
      <c r="F6520" s="19" t="str">
        <f>IFERROR(__xludf.DUMMYFUNCTION("""COMPUTED_VALUE"""),"BLACK")</f>
        <v>BLACK</v>
      </c>
      <c r="G6520" s="20" t="str">
        <f>IFERROR(__xludf.DUMMYFUNCTION("""COMPUTED_VALUE"""),"Uncle Sams Cider (11/12/2021) 02")</f>
        <v>Uncle Sams Cider (11/12/2021) 02</v>
      </c>
      <c r="H6520" s="19"/>
    </row>
    <row r="6521">
      <c r="A6521" s="9"/>
      <c r="B6521" s="15"/>
      <c r="C6521" s="9">
        <f>IFERROR(__xludf.DUMMYFUNCTION("""COMPUTED_VALUE"""),44536.5978305439)</f>
        <v>44536.59783</v>
      </c>
      <c r="D6521" s="15">
        <f>IFERROR(__xludf.DUMMYFUNCTION("""COMPUTED_VALUE"""),1.031)</f>
        <v>1.031</v>
      </c>
      <c r="E6521" s="16">
        <f>IFERROR(__xludf.DUMMYFUNCTION("""COMPUTED_VALUE"""),64.0)</f>
        <v>64</v>
      </c>
      <c r="F6521" s="19" t="str">
        <f>IFERROR(__xludf.DUMMYFUNCTION("""COMPUTED_VALUE"""),"BLACK")</f>
        <v>BLACK</v>
      </c>
      <c r="G6521" s="20" t="str">
        <f>IFERROR(__xludf.DUMMYFUNCTION("""COMPUTED_VALUE"""),"Uncle Sams Cider (11/12/2021) 02")</f>
        <v>Uncle Sams Cider (11/12/2021) 02</v>
      </c>
      <c r="H6521" s="19"/>
    </row>
    <row r="6522">
      <c r="A6522" s="9"/>
      <c r="B6522" s="15"/>
      <c r="C6522" s="9">
        <f>IFERROR(__xludf.DUMMYFUNCTION("""COMPUTED_VALUE"""),44536.5874106481)</f>
        <v>44536.58741</v>
      </c>
      <c r="D6522" s="15">
        <f>IFERROR(__xludf.DUMMYFUNCTION("""COMPUTED_VALUE"""),1.031)</f>
        <v>1.031</v>
      </c>
      <c r="E6522" s="16">
        <f>IFERROR(__xludf.DUMMYFUNCTION("""COMPUTED_VALUE"""),64.0)</f>
        <v>64</v>
      </c>
      <c r="F6522" s="19" t="str">
        <f>IFERROR(__xludf.DUMMYFUNCTION("""COMPUTED_VALUE"""),"BLACK")</f>
        <v>BLACK</v>
      </c>
      <c r="G6522" s="20" t="str">
        <f>IFERROR(__xludf.DUMMYFUNCTION("""COMPUTED_VALUE"""),"Uncle Sams Cider (11/12/2021) 02")</f>
        <v>Uncle Sams Cider (11/12/2021) 02</v>
      </c>
      <c r="H6522" s="19"/>
    </row>
    <row r="6523">
      <c r="A6523" s="9"/>
      <c r="B6523" s="15"/>
      <c r="C6523" s="9">
        <f>IFERROR(__xludf.DUMMYFUNCTION("""COMPUTED_VALUE"""),44536.5769660648)</f>
        <v>44536.57697</v>
      </c>
      <c r="D6523" s="15">
        <f>IFERROR(__xludf.DUMMYFUNCTION("""COMPUTED_VALUE"""),1.031)</f>
        <v>1.031</v>
      </c>
      <c r="E6523" s="16">
        <f>IFERROR(__xludf.DUMMYFUNCTION("""COMPUTED_VALUE"""),64.0)</f>
        <v>64</v>
      </c>
      <c r="F6523" s="19" t="str">
        <f>IFERROR(__xludf.DUMMYFUNCTION("""COMPUTED_VALUE"""),"BLACK")</f>
        <v>BLACK</v>
      </c>
      <c r="G6523" s="20" t="str">
        <f>IFERROR(__xludf.DUMMYFUNCTION("""COMPUTED_VALUE"""),"Uncle Sams Cider (11/12/2021) 02")</f>
        <v>Uncle Sams Cider (11/12/2021) 02</v>
      </c>
      <c r="H6523" s="19"/>
    </row>
    <row r="6524">
      <c r="A6524" s="9"/>
      <c r="B6524" s="15"/>
      <c r="C6524" s="9">
        <f>IFERROR(__xludf.DUMMYFUNCTION("""COMPUTED_VALUE"""),44536.5665332638)</f>
        <v>44536.56653</v>
      </c>
      <c r="D6524" s="15">
        <f>IFERROR(__xludf.DUMMYFUNCTION("""COMPUTED_VALUE"""),1.031)</f>
        <v>1.031</v>
      </c>
      <c r="E6524" s="16">
        <f>IFERROR(__xludf.DUMMYFUNCTION("""COMPUTED_VALUE"""),64.0)</f>
        <v>64</v>
      </c>
      <c r="F6524" s="19" t="str">
        <f>IFERROR(__xludf.DUMMYFUNCTION("""COMPUTED_VALUE"""),"BLACK")</f>
        <v>BLACK</v>
      </c>
      <c r="G6524" s="20" t="str">
        <f>IFERROR(__xludf.DUMMYFUNCTION("""COMPUTED_VALUE"""),"Uncle Sams Cider (11/12/2021) 02")</f>
        <v>Uncle Sams Cider (11/12/2021) 02</v>
      </c>
      <c r="H6524" s="19"/>
    </row>
    <row r="6525">
      <c r="A6525" s="9"/>
      <c r="B6525" s="15"/>
      <c r="C6525" s="9">
        <f>IFERROR(__xludf.DUMMYFUNCTION("""COMPUTED_VALUE"""),44536.5561125347)</f>
        <v>44536.55611</v>
      </c>
      <c r="D6525" s="15">
        <f>IFERROR(__xludf.DUMMYFUNCTION("""COMPUTED_VALUE"""),1.031)</f>
        <v>1.031</v>
      </c>
      <c r="E6525" s="16">
        <f>IFERROR(__xludf.DUMMYFUNCTION("""COMPUTED_VALUE"""),64.0)</f>
        <v>64</v>
      </c>
      <c r="F6525" s="19" t="str">
        <f>IFERROR(__xludf.DUMMYFUNCTION("""COMPUTED_VALUE"""),"BLACK")</f>
        <v>BLACK</v>
      </c>
      <c r="G6525" s="20" t="str">
        <f>IFERROR(__xludf.DUMMYFUNCTION("""COMPUTED_VALUE"""),"Uncle Sams Cider (11/12/2021) 02")</f>
        <v>Uncle Sams Cider (11/12/2021) 02</v>
      </c>
      <c r="H6525" s="19"/>
    </row>
    <row r="6526">
      <c r="A6526" s="9"/>
      <c r="B6526" s="15"/>
      <c r="C6526" s="9">
        <f>IFERROR(__xludf.DUMMYFUNCTION("""COMPUTED_VALUE"""),44536.5456922338)</f>
        <v>44536.54569</v>
      </c>
      <c r="D6526" s="15">
        <f>IFERROR(__xludf.DUMMYFUNCTION("""COMPUTED_VALUE"""),1.031)</f>
        <v>1.031</v>
      </c>
      <c r="E6526" s="16">
        <f>IFERROR(__xludf.DUMMYFUNCTION("""COMPUTED_VALUE"""),64.0)</f>
        <v>64</v>
      </c>
      <c r="F6526" s="19" t="str">
        <f>IFERROR(__xludf.DUMMYFUNCTION("""COMPUTED_VALUE"""),"BLACK")</f>
        <v>BLACK</v>
      </c>
      <c r="G6526" s="20" t="str">
        <f>IFERROR(__xludf.DUMMYFUNCTION("""COMPUTED_VALUE"""),"Uncle Sams Cider (11/12/2021) 02")</f>
        <v>Uncle Sams Cider (11/12/2021) 02</v>
      </c>
      <c r="H6526" s="19"/>
    </row>
    <row r="6527">
      <c r="A6527" s="9"/>
      <c r="B6527" s="15"/>
      <c r="C6527" s="9">
        <f>IFERROR(__xludf.DUMMYFUNCTION("""COMPUTED_VALUE"""),44536.5352709374)</f>
        <v>44536.53527</v>
      </c>
      <c r="D6527" s="15">
        <f>IFERROR(__xludf.DUMMYFUNCTION("""COMPUTED_VALUE"""),1.031)</f>
        <v>1.031</v>
      </c>
      <c r="E6527" s="16">
        <f>IFERROR(__xludf.DUMMYFUNCTION("""COMPUTED_VALUE"""),64.0)</f>
        <v>64</v>
      </c>
      <c r="F6527" s="19" t="str">
        <f>IFERROR(__xludf.DUMMYFUNCTION("""COMPUTED_VALUE"""),"BLACK")</f>
        <v>BLACK</v>
      </c>
      <c r="G6527" s="20" t="str">
        <f>IFERROR(__xludf.DUMMYFUNCTION("""COMPUTED_VALUE"""),"Uncle Sams Cider (11/12/2021) 02")</f>
        <v>Uncle Sams Cider (11/12/2021) 02</v>
      </c>
      <c r="H6527" s="19"/>
    </row>
    <row r="6528">
      <c r="A6528" s="9"/>
      <c r="B6528" s="15"/>
      <c r="C6528" s="9">
        <f>IFERROR(__xludf.DUMMYFUNCTION("""COMPUTED_VALUE"""),44536.5248512731)</f>
        <v>44536.52485</v>
      </c>
      <c r="D6528" s="15">
        <f>IFERROR(__xludf.DUMMYFUNCTION("""COMPUTED_VALUE"""),1.031)</f>
        <v>1.031</v>
      </c>
      <c r="E6528" s="16">
        <f>IFERROR(__xludf.DUMMYFUNCTION("""COMPUTED_VALUE"""),64.0)</f>
        <v>64</v>
      </c>
      <c r="F6528" s="19" t="str">
        <f>IFERROR(__xludf.DUMMYFUNCTION("""COMPUTED_VALUE"""),"BLACK")</f>
        <v>BLACK</v>
      </c>
      <c r="G6528" s="20" t="str">
        <f>IFERROR(__xludf.DUMMYFUNCTION("""COMPUTED_VALUE"""),"Uncle Sams Cider (11/12/2021) 02")</f>
        <v>Uncle Sams Cider (11/12/2021) 02</v>
      </c>
      <c r="H6528" s="19"/>
    </row>
    <row r="6529">
      <c r="A6529" s="9"/>
      <c r="B6529" s="15"/>
      <c r="C6529" s="9">
        <f>IFERROR(__xludf.DUMMYFUNCTION("""COMPUTED_VALUE"""),44536.5144300231)</f>
        <v>44536.51443</v>
      </c>
      <c r="D6529" s="15">
        <f>IFERROR(__xludf.DUMMYFUNCTION("""COMPUTED_VALUE"""),1.031)</f>
        <v>1.031</v>
      </c>
      <c r="E6529" s="16">
        <f>IFERROR(__xludf.DUMMYFUNCTION("""COMPUTED_VALUE"""),64.0)</f>
        <v>64</v>
      </c>
      <c r="F6529" s="19" t="str">
        <f>IFERROR(__xludf.DUMMYFUNCTION("""COMPUTED_VALUE"""),"BLACK")</f>
        <v>BLACK</v>
      </c>
      <c r="G6529" s="20" t="str">
        <f>IFERROR(__xludf.DUMMYFUNCTION("""COMPUTED_VALUE"""),"Uncle Sams Cider (11/12/2021) 02")</f>
        <v>Uncle Sams Cider (11/12/2021) 02</v>
      </c>
      <c r="H6529" s="19"/>
    </row>
    <row r="6530">
      <c r="A6530" s="9"/>
      <c r="B6530" s="15"/>
      <c r="C6530" s="9">
        <f>IFERROR(__xludf.DUMMYFUNCTION("""COMPUTED_VALUE"""),44536.5039970949)</f>
        <v>44536.504</v>
      </c>
      <c r="D6530" s="15">
        <f>IFERROR(__xludf.DUMMYFUNCTION("""COMPUTED_VALUE"""),1.031)</f>
        <v>1.031</v>
      </c>
      <c r="E6530" s="16">
        <f>IFERROR(__xludf.DUMMYFUNCTION("""COMPUTED_VALUE"""),64.0)</f>
        <v>64</v>
      </c>
      <c r="F6530" s="19" t="str">
        <f>IFERROR(__xludf.DUMMYFUNCTION("""COMPUTED_VALUE"""),"BLACK")</f>
        <v>BLACK</v>
      </c>
      <c r="G6530" s="20" t="str">
        <f>IFERROR(__xludf.DUMMYFUNCTION("""COMPUTED_VALUE"""),"Uncle Sams Cider (11/12/2021) 02")</f>
        <v>Uncle Sams Cider (11/12/2021) 02</v>
      </c>
      <c r="H6530" s="19"/>
    </row>
    <row r="6531">
      <c r="A6531" s="9"/>
      <c r="B6531" s="15"/>
      <c r="C6531" s="9">
        <f>IFERROR(__xludf.DUMMYFUNCTION("""COMPUTED_VALUE"""),44536.4935784375)</f>
        <v>44536.49358</v>
      </c>
      <c r="D6531" s="15">
        <f>IFERROR(__xludf.DUMMYFUNCTION("""COMPUTED_VALUE"""),1.031)</f>
        <v>1.031</v>
      </c>
      <c r="E6531" s="16">
        <f>IFERROR(__xludf.DUMMYFUNCTION("""COMPUTED_VALUE"""),64.0)</f>
        <v>64</v>
      </c>
      <c r="F6531" s="19" t="str">
        <f>IFERROR(__xludf.DUMMYFUNCTION("""COMPUTED_VALUE"""),"BLACK")</f>
        <v>BLACK</v>
      </c>
      <c r="G6531" s="20" t="str">
        <f>IFERROR(__xludf.DUMMYFUNCTION("""COMPUTED_VALUE"""),"Uncle Sams Cider (11/12/2021) 02")</f>
        <v>Uncle Sams Cider (11/12/2021) 02</v>
      </c>
      <c r="H6531" s="19"/>
    </row>
    <row r="6532">
      <c r="A6532" s="9"/>
      <c r="B6532" s="15"/>
      <c r="C6532" s="9">
        <f>IFERROR(__xludf.DUMMYFUNCTION("""COMPUTED_VALUE"""),44536.4831564236)</f>
        <v>44536.48316</v>
      </c>
      <c r="D6532" s="15">
        <f>IFERROR(__xludf.DUMMYFUNCTION("""COMPUTED_VALUE"""),1.031)</f>
        <v>1.031</v>
      </c>
      <c r="E6532" s="16">
        <f>IFERROR(__xludf.DUMMYFUNCTION("""COMPUTED_VALUE"""),64.0)</f>
        <v>64</v>
      </c>
      <c r="F6532" s="19" t="str">
        <f>IFERROR(__xludf.DUMMYFUNCTION("""COMPUTED_VALUE"""),"BLACK")</f>
        <v>BLACK</v>
      </c>
      <c r="G6532" s="20" t="str">
        <f>IFERROR(__xludf.DUMMYFUNCTION("""COMPUTED_VALUE"""),"Uncle Sams Cider (11/12/2021) 02")</f>
        <v>Uncle Sams Cider (11/12/2021) 02</v>
      </c>
      <c r="H6532" s="19"/>
    </row>
    <row r="6533">
      <c r="A6533" s="9"/>
      <c r="B6533" s="15"/>
      <c r="C6533" s="9">
        <f>IFERROR(__xludf.DUMMYFUNCTION("""COMPUTED_VALUE"""),44536.472723993)</f>
        <v>44536.47272</v>
      </c>
      <c r="D6533" s="15">
        <f>IFERROR(__xludf.DUMMYFUNCTION("""COMPUTED_VALUE"""),1.031)</f>
        <v>1.031</v>
      </c>
      <c r="E6533" s="16">
        <f>IFERROR(__xludf.DUMMYFUNCTION("""COMPUTED_VALUE"""),64.0)</f>
        <v>64</v>
      </c>
      <c r="F6533" s="19" t="str">
        <f>IFERROR(__xludf.DUMMYFUNCTION("""COMPUTED_VALUE"""),"BLACK")</f>
        <v>BLACK</v>
      </c>
      <c r="G6533" s="20" t="str">
        <f>IFERROR(__xludf.DUMMYFUNCTION("""COMPUTED_VALUE"""),"Uncle Sams Cider (11/12/2021) 02")</f>
        <v>Uncle Sams Cider (11/12/2021) 02</v>
      </c>
      <c r="H6533" s="19"/>
    </row>
    <row r="6534">
      <c r="A6534" s="9"/>
      <c r="B6534" s="15"/>
      <c r="C6534" s="9">
        <f>IFERROR(__xludf.DUMMYFUNCTION("""COMPUTED_VALUE"""),44536.4623031018)</f>
        <v>44536.4623</v>
      </c>
      <c r="D6534" s="15">
        <f>IFERROR(__xludf.DUMMYFUNCTION("""COMPUTED_VALUE"""),1.031)</f>
        <v>1.031</v>
      </c>
      <c r="E6534" s="16">
        <f>IFERROR(__xludf.DUMMYFUNCTION("""COMPUTED_VALUE"""),64.0)</f>
        <v>64</v>
      </c>
      <c r="F6534" s="19" t="str">
        <f>IFERROR(__xludf.DUMMYFUNCTION("""COMPUTED_VALUE"""),"BLACK")</f>
        <v>BLACK</v>
      </c>
      <c r="G6534" s="20" t="str">
        <f>IFERROR(__xludf.DUMMYFUNCTION("""COMPUTED_VALUE"""),"Uncle Sams Cider (11/12/2021) 02")</f>
        <v>Uncle Sams Cider (11/12/2021) 02</v>
      </c>
      <c r="H6534" s="19"/>
    </row>
    <row r="6535">
      <c r="A6535" s="9"/>
      <c r="B6535" s="15"/>
      <c r="C6535" s="9">
        <f>IFERROR(__xludf.DUMMYFUNCTION("""COMPUTED_VALUE"""),44536.4518837268)</f>
        <v>44536.45188</v>
      </c>
      <c r="D6535" s="15">
        <f>IFERROR(__xludf.DUMMYFUNCTION("""COMPUTED_VALUE"""),1.031)</f>
        <v>1.031</v>
      </c>
      <c r="E6535" s="16">
        <f>IFERROR(__xludf.DUMMYFUNCTION("""COMPUTED_VALUE"""),64.0)</f>
        <v>64</v>
      </c>
      <c r="F6535" s="19" t="str">
        <f>IFERROR(__xludf.DUMMYFUNCTION("""COMPUTED_VALUE"""),"BLACK")</f>
        <v>BLACK</v>
      </c>
      <c r="G6535" s="20" t="str">
        <f>IFERROR(__xludf.DUMMYFUNCTION("""COMPUTED_VALUE"""),"Uncle Sams Cider (11/12/2021) 02")</f>
        <v>Uncle Sams Cider (11/12/2021) 02</v>
      </c>
      <c r="H6535" s="19"/>
    </row>
    <row r="6536">
      <c r="A6536" s="9"/>
      <c r="B6536" s="15"/>
      <c r="C6536" s="9">
        <f>IFERROR(__xludf.DUMMYFUNCTION("""COMPUTED_VALUE"""),44536.4414505671)</f>
        <v>44536.44145</v>
      </c>
      <c r="D6536" s="15">
        <f>IFERROR(__xludf.DUMMYFUNCTION("""COMPUTED_VALUE"""),1.031)</f>
        <v>1.031</v>
      </c>
      <c r="E6536" s="16">
        <f>IFERROR(__xludf.DUMMYFUNCTION("""COMPUTED_VALUE"""),64.0)</f>
        <v>64</v>
      </c>
      <c r="F6536" s="19" t="str">
        <f>IFERROR(__xludf.DUMMYFUNCTION("""COMPUTED_VALUE"""),"BLACK")</f>
        <v>BLACK</v>
      </c>
      <c r="G6536" s="20" t="str">
        <f>IFERROR(__xludf.DUMMYFUNCTION("""COMPUTED_VALUE"""),"Uncle Sams Cider (11/12/2021) 02")</f>
        <v>Uncle Sams Cider (11/12/2021) 02</v>
      </c>
      <c r="H6536" s="19"/>
    </row>
    <row r="6537">
      <c r="A6537" s="9"/>
      <c r="B6537" s="15"/>
      <c r="C6537" s="9">
        <f>IFERROR(__xludf.DUMMYFUNCTION("""COMPUTED_VALUE"""),44536.4310292708)</f>
        <v>44536.43103</v>
      </c>
      <c r="D6537" s="15">
        <f>IFERROR(__xludf.DUMMYFUNCTION("""COMPUTED_VALUE"""),1.031)</f>
        <v>1.031</v>
      </c>
      <c r="E6537" s="16">
        <f>IFERROR(__xludf.DUMMYFUNCTION("""COMPUTED_VALUE"""),64.0)</f>
        <v>64</v>
      </c>
      <c r="F6537" s="19" t="str">
        <f>IFERROR(__xludf.DUMMYFUNCTION("""COMPUTED_VALUE"""),"BLACK")</f>
        <v>BLACK</v>
      </c>
      <c r="G6537" s="20" t="str">
        <f>IFERROR(__xludf.DUMMYFUNCTION("""COMPUTED_VALUE"""),"Uncle Sams Cider (11/12/2021) 02")</f>
        <v>Uncle Sams Cider (11/12/2021) 02</v>
      </c>
      <c r="H6537" s="19"/>
    </row>
    <row r="6538">
      <c r="A6538" s="9"/>
      <c r="B6538" s="15"/>
      <c r="C6538" s="9">
        <f>IFERROR(__xludf.DUMMYFUNCTION("""COMPUTED_VALUE"""),44536.4205837615)</f>
        <v>44536.42058</v>
      </c>
      <c r="D6538" s="15">
        <f>IFERROR(__xludf.DUMMYFUNCTION("""COMPUTED_VALUE"""),1.031)</f>
        <v>1.031</v>
      </c>
      <c r="E6538" s="16">
        <f>IFERROR(__xludf.DUMMYFUNCTION("""COMPUTED_VALUE"""),64.0)</f>
        <v>64</v>
      </c>
      <c r="F6538" s="19" t="str">
        <f>IFERROR(__xludf.DUMMYFUNCTION("""COMPUTED_VALUE"""),"BLACK")</f>
        <v>BLACK</v>
      </c>
      <c r="G6538" s="20" t="str">
        <f>IFERROR(__xludf.DUMMYFUNCTION("""COMPUTED_VALUE"""),"Uncle Sams Cider (11/12/2021) 02")</f>
        <v>Uncle Sams Cider (11/12/2021) 02</v>
      </c>
      <c r="H6538" s="19"/>
    </row>
    <row r="6539">
      <c r="A6539" s="9"/>
      <c r="B6539" s="15"/>
      <c r="C6539" s="9">
        <f>IFERROR(__xludf.DUMMYFUNCTION("""COMPUTED_VALUE"""),44536.4101496412)</f>
        <v>44536.41015</v>
      </c>
      <c r="D6539" s="15">
        <f>IFERROR(__xludf.DUMMYFUNCTION("""COMPUTED_VALUE"""),1.031)</f>
        <v>1.031</v>
      </c>
      <c r="E6539" s="16">
        <f>IFERROR(__xludf.DUMMYFUNCTION("""COMPUTED_VALUE"""),64.0)</f>
        <v>64</v>
      </c>
      <c r="F6539" s="19" t="str">
        <f>IFERROR(__xludf.DUMMYFUNCTION("""COMPUTED_VALUE"""),"BLACK")</f>
        <v>BLACK</v>
      </c>
      <c r="G6539" s="20" t="str">
        <f>IFERROR(__xludf.DUMMYFUNCTION("""COMPUTED_VALUE"""),"Uncle Sams Cider (11/12/2021) 02")</f>
        <v>Uncle Sams Cider (11/12/2021) 02</v>
      </c>
      <c r="H6539" s="19"/>
    </row>
    <row r="6540">
      <c r="A6540" s="9"/>
      <c r="B6540" s="15"/>
      <c r="C6540" s="9">
        <f>IFERROR(__xludf.DUMMYFUNCTION("""COMPUTED_VALUE"""),44536.3997169675)</f>
        <v>44536.39972</v>
      </c>
      <c r="D6540" s="15">
        <f>IFERROR(__xludf.DUMMYFUNCTION("""COMPUTED_VALUE"""),1.031)</f>
        <v>1.031</v>
      </c>
      <c r="E6540" s="16">
        <f>IFERROR(__xludf.DUMMYFUNCTION("""COMPUTED_VALUE"""),64.0)</f>
        <v>64</v>
      </c>
      <c r="F6540" s="19" t="str">
        <f>IFERROR(__xludf.DUMMYFUNCTION("""COMPUTED_VALUE"""),"BLACK")</f>
        <v>BLACK</v>
      </c>
      <c r="G6540" s="20" t="str">
        <f>IFERROR(__xludf.DUMMYFUNCTION("""COMPUTED_VALUE"""),"Uncle Sams Cider (11/12/2021) 02")</f>
        <v>Uncle Sams Cider (11/12/2021) 02</v>
      </c>
      <c r="H6540" s="19"/>
    </row>
    <row r="6541">
      <c r="A6541" s="9"/>
      <c r="B6541" s="15"/>
      <c r="C6541" s="9">
        <f>IFERROR(__xludf.DUMMYFUNCTION("""COMPUTED_VALUE"""),44536.3892955787)</f>
        <v>44536.3893</v>
      </c>
      <c r="D6541" s="15">
        <f>IFERROR(__xludf.DUMMYFUNCTION("""COMPUTED_VALUE"""),1.031)</f>
        <v>1.031</v>
      </c>
      <c r="E6541" s="16">
        <f>IFERROR(__xludf.DUMMYFUNCTION("""COMPUTED_VALUE"""),64.0)</f>
        <v>64</v>
      </c>
      <c r="F6541" s="19" t="str">
        <f>IFERROR(__xludf.DUMMYFUNCTION("""COMPUTED_VALUE"""),"BLACK")</f>
        <v>BLACK</v>
      </c>
      <c r="G6541" s="20" t="str">
        <f>IFERROR(__xludf.DUMMYFUNCTION("""COMPUTED_VALUE"""),"Uncle Sams Cider (11/12/2021) 02")</f>
        <v>Uncle Sams Cider (11/12/2021) 02</v>
      </c>
      <c r="H6541" s="19"/>
    </row>
    <row r="6542">
      <c r="A6542" s="9"/>
      <c r="B6542" s="15"/>
      <c r="C6542" s="9">
        <f>IFERROR(__xludf.DUMMYFUNCTION("""COMPUTED_VALUE"""),44536.3788761111)</f>
        <v>44536.37888</v>
      </c>
      <c r="D6542" s="15">
        <f>IFERROR(__xludf.DUMMYFUNCTION("""COMPUTED_VALUE"""),1.031)</f>
        <v>1.031</v>
      </c>
      <c r="E6542" s="16">
        <f>IFERROR(__xludf.DUMMYFUNCTION("""COMPUTED_VALUE"""),64.0)</f>
        <v>64</v>
      </c>
      <c r="F6542" s="19" t="str">
        <f>IFERROR(__xludf.DUMMYFUNCTION("""COMPUTED_VALUE"""),"BLACK")</f>
        <v>BLACK</v>
      </c>
      <c r="G6542" s="20" t="str">
        <f>IFERROR(__xludf.DUMMYFUNCTION("""COMPUTED_VALUE"""),"Uncle Sams Cider (11/12/2021) 02")</f>
        <v>Uncle Sams Cider (11/12/2021) 02</v>
      </c>
      <c r="H6542" s="19"/>
    </row>
    <row r="6543">
      <c r="A6543" s="9"/>
      <c r="B6543" s="15"/>
      <c r="C6543" s="9">
        <f>IFERROR(__xludf.DUMMYFUNCTION("""COMPUTED_VALUE"""),44536.3684541319)</f>
        <v>44536.36845</v>
      </c>
      <c r="D6543" s="15">
        <f>IFERROR(__xludf.DUMMYFUNCTION("""COMPUTED_VALUE"""),1.031)</f>
        <v>1.031</v>
      </c>
      <c r="E6543" s="16">
        <f>IFERROR(__xludf.DUMMYFUNCTION("""COMPUTED_VALUE"""),64.0)</f>
        <v>64</v>
      </c>
      <c r="F6543" s="19" t="str">
        <f>IFERROR(__xludf.DUMMYFUNCTION("""COMPUTED_VALUE"""),"BLACK")</f>
        <v>BLACK</v>
      </c>
      <c r="G6543" s="20" t="str">
        <f>IFERROR(__xludf.DUMMYFUNCTION("""COMPUTED_VALUE"""),"Uncle Sams Cider (11/12/2021) 02")</f>
        <v>Uncle Sams Cider (11/12/2021) 02</v>
      </c>
      <c r="H6543" s="19"/>
    </row>
    <row r="6544">
      <c r="A6544" s="9"/>
      <c r="B6544" s="15"/>
      <c r="C6544" s="9">
        <f>IFERROR(__xludf.DUMMYFUNCTION("""COMPUTED_VALUE"""),44536.3580311111)</f>
        <v>44536.35803</v>
      </c>
      <c r="D6544" s="15">
        <f>IFERROR(__xludf.DUMMYFUNCTION("""COMPUTED_VALUE"""),1.031)</f>
        <v>1.031</v>
      </c>
      <c r="E6544" s="16">
        <f>IFERROR(__xludf.DUMMYFUNCTION("""COMPUTED_VALUE"""),64.0)</f>
        <v>64</v>
      </c>
      <c r="F6544" s="19" t="str">
        <f>IFERROR(__xludf.DUMMYFUNCTION("""COMPUTED_VALUE"""),"BLACK")</f>
        <v>BLACK</v>
      </c>
      <c r="G6544" s="20" t="str">
        <f>IFERROR(__xludf.DUMMYFUNCTION("""COMPUTED_VALUE"""),"Uncle Sams Cider (11/12/2021) 02")</f>
        <v>Uncle Sams Cider (11/12/2021) 02</v>
      </c>
      <c r="H6544" s="19"/>
    </row>
    <row r="6545">
      <c r="A6545" s="9"/>
      <c r="B6545" s="15"/>
      <c r="C6545" s="9">
        <f>IFERROR(__xludf.DUMMYFUNCTION("""COMPUTED_VALUE"""),44536.3475632523)</f>
        <v>44536.34756</v>
      </c>
      <c r="D6545" s="15">
        <f>IFERROR(__xludf.DUMMYFUNCTION("""COMPUTED_VALUE"""),1.031)</f>
        <v>1.031</v>
      </c>
      <c r="E6545" s="16">
        <f>IFERROR(__xludf.DUMMYFUNCTION("""COMPUTED_VALUE"""),64.0)</f>
        <v>64</v>
      </c>
      <c r="F6545" s="19" t="str">
        <f>IFERROR(__xludf.DUMMYFUNCTION("""COMPUTED_VALUE"""),"BLACK")</f>
        <v>BLACK</v>
      </c>
      <c r="G6545" s="20" t="str">
        <f>IFERROR(__xludf.DUMMYFUNCTION("""COMPUTED_VALUE"""),"Uncle Sams Cider (11/12/2021) 02")</f>
        <v>Uncle Sams Cider (11/12/2021) 02</v>
      </c>
      <c r="H6545" s="19"/>
    </row>
    <row r="6546">
      <c r="A6546" s="9"/>
      <c r="B6546" s="15"/>
      <c r="C6546" s="9">
        <f>IFERROR(__xludf.DUMMYFUNCTION("""COMPUTED_VALUE"""),44536.3371423495)</f>
        <v>44536.33714</v>
      </c>
      <c r="D6546" s="15">
        <f>IFERROR(__xludf.DUMMYFUNCTION("""COMPUTED_VALUE"""),1.031)</f>
        <v>1.031</v>
      </c>
      <c r="E6546" s="16">
        <f>IFERROR(__xludf.DUMMYFUNCTION("""COMPUTED_VALUE"""),64.0)</f>
        <v>64</v>
      </c>
      <c r="F6546" s="19" t="str">
        <f>IFERROR(__xludf.DUMMYFUNCTION("""COMPUTED_VALUE"""),"BLACK")</f>
        <v>BLACK</v>
      </c>
      <c r="G6546" s="20" t="str">
        <f>IFERROR(__xludf.DUMMYFUNCTION("""COMPUTED_VALUE"""),"Uncle Sams Cider (11/12/2021) 02")</f>
        <v>Uncle Sams Cider (11/12/2021) 02</v>
      </c>
      <c r="H6546" s="19"/>
    </row>
    <row r="6547">
      <c r="A6547" s="9"/>
      <c r="B6547" s="15"/>
      <c r="C6547" s="9">
        <f>IFERROR(__xludf.DUMMYFUNCTION("""COMPUTED_VALUE"""),44536.3267223611)</f>
        <v>44536.32672</v>
      </c>
      <c r="D6547" s="15">
        <f>IFERROR(__xludf.DUMMYFUNCTION("""COMPUTED_VALUE"""),1.031)</f>
        <v>1.031</v>
      </c>
      <c r="E6547" s="16">
        <f>IFERROR(__xludf.DUMMYFUNCTION("""COMPUTED_VALUE"""),64.0)</f>
        <v>64</v>
      </c>
      <c r="F6547" s="19" t="str">
        <f>IFERROR(__xludf.DUMMYFUNCTION("""COMPUTED_VALUE"""),"BLACK")</f>
        <v>BLACK</v>
      </c>
      <c r="G6547" s="20" t="str">
        <f>IFERROR(__xludf.DUMMYFUNCTION("""COMPUTED_VALUE"""),"Uncle Sams Cider (11/12/2021) 02")</f>
        <v>Uncle Sams Cider (11/12/2021) 02</v>
      </c>
      <c r="H6547" s="19"/>
    </row>
    <row r="6548">
      <c r="A6548" s="9"/>
      <c r="B6548" s="15"/>
      <c r="C6548" s="9">
        <f>IFERROR(__xludf.DUMMYFUNCTION("""COMPUTED_VALUE"""),44536.3162895601)</f>
        <v>44536.31629</v>
      </c>
      <c r="D6548" s="15">
        <f>IFERROR(__xludf.DUMMYFUNCTION("""COMPUTED_VALUE"""),1.031)</f>
        <v>1.031</v>
      </c>
      <c r="E6548" s="16">
        <f>IFERROR(__xludf.DUMMYFUNCTION("""COMPUTED_VALUE"""),64.0)</f>
        <v>64</v>
      </c>
      <c r="F6548" s="19" t="str">
        <f>IFERROR(__xludf.DUMMYFUNCTION("""COMPUTED_VALUE"""),"BLACK")</f>
        <v>BLACK</v>
      </c>
      <c r="G6548" s="20" t="str">
        <f>IFERROR(__xludf.DUMMYFUNCTION("""COMPUTED_VALUE"""),"Uncle Sams Cider (11/12/2021) 02")</f>
        <v>Uncle Sams Cider (11/12/2021) 02</v>
      </c>
      <c r="H6548" s="19"/>
    </row>
    <row r="6549">
      <c r="A6549" s="9"/>
      <c r="B6549" s="15"/>
      <c r="C6549" s="9">
        <f>IFERROR(__xludf.DUMMYFUNCTION("""COMPUTED_VALUE"""),44536.3058687268)</f>
        <v>44536.30587</v>
      </c>
      <c r="D6549" s="15">
        <f>IFERROR(__xludf.DUMMYFUNCTION("""COMPUTED_VALUE"""),1.031)</f>
        <v>1.031</v>
      </c>
      <c r="E6549" s="16">
        <f>IFERROR(__xludf.DUMMYFUNCTION("""COMPUTED_VALUE"""),64.0)</f>
        <v>64</v>
      </c>
      <c r="F6549" s="19" t="str">
        <f>IFERROR(__xludf.DUMMYFUNCTION("""COMPUTED_VALUE"""),"BLACK")</f>
        <v>BLACK</v>
      </c>
      <c r="G6549" s="20" t="str">
        <f>IFERROR(__xludf.DUMMYFUNCTION("""COMPUTED_VALUE"""),"Uncle Sams Cider (11/12/2021) 02")</f>
        <v>Uncle Sams Cider (11/12/2021) 02</v>
      </c>
      <c r="H6549" s="19"/>
    </row>
    <row r="6550">
      <c r="A6550" s="9"/>
      <c r="B6550" s="15"/>
      <c r="C6550" s="9">
        <f>IFERROR(__xludf.DUMMYFUNCTION("""COMPUTED_VALUE"""),44536.2954120833)</f>
        <v>44536.29541</v>
      </c>
      <c r="D6550" s="15">
        <f>IFERROR(__xludf.DUMMYFUNCTION("""COMPUTED_VALUE"""),1.031)</f>
        <v>1.031</v>
      </c>
      <c r="E6550" s="16">
        <f>IFERROR(__xludf.DUMMYFUNCTION("""COMPUTED_VALUE"""),64.0)</f>
        <v>64</v>
      </c>
      <c r="F6550" s="19" t="str">
        <f>IFERROR(__xludf.DUMMYFUNCTION("""COMPUTED_VALUE"""),"BLACK")</f>
        <v>BLACK</v>
      </c>
      <c r="G6550" s="20" t="str">
        <f>IFERROR(__xludf.DUMMYFUNCTION("""COMPUTED_VALUE"""),"Uncle Sams Cider (11/12/2021) 02")</f>
        <v>Uncle Sams Cider (11/12/2021) 02</v>
      </c>
      <c r="H6550" s="19"/>
    </row>
    <row r="6551">
      <c r="A6551" s="9"/>
      <c r="B6551" s="15"/>
      <c r="C6551" s="9">
        <f>IFERROR(__xludf.DUMMYFUNCTION("""COMPUTED_VALUE"""),44536.2849792361)</f>
        <v>44536.28498</v>
      </c>
      <c r="D6551" s="15">
        <f>IFERROR(__xludf.DUMMYFUNCTION("""COMPUTED_VALUE"""),1.031)</f>
        <v>1.031</v>
      </c>
      <c r="E6551" s="16">
        <f>IFERROR(__xludf.DUMMYFUNCTION("""COMPUTED_VALUE"""),64.0)</f>
        <v>64</v>
      </c>
      <c r="F6551" s="19" t="str">
        <f>IFERROR(__xludf.DUMMYFUNCTION("""COMPUTED_VALUE"""),"BLACK")</f>
        <v>BLACK</v>
      </c>
      <c r="G6551" s="20" t="str">
        <f>IFERROR(__xludf.DUMMYFUNCTION("""COMPUTED_VALUE"""),"Uncle Sams Cider (11/12/2021) 02")</f>
        <v>Uncle Sams Cider (11/12/2021) 02</v>
      </c>
      <c r="H6551" s="19"/>
    </row>
    <row r="6552">
      <c r="A6552" s="9"/>
      <c r="B6552" s="15"/>
      <c r="C6552" s="9">
        <f>IFERROR(__xludf.DUMMYFUNCTION("""COMPUTED_VALUE"""),44536.274558368)</f>
        <v>44536.27456</v>
      </c>
      <c r="D6552" s="15">
        <f>IFERROR(__xludf.DUMMYFUNCTION("""COMPUTED_VALUE"""),1.031)</f>
        <v>1.031</v>
      </c>
      <c r="E6552" s="16">
        <f>IFERROR(__xludf.DUMMYFUNCTION("""COMPUTED_VALUE"""),64.0)</f>
        <v>64</v>
      </c>
      <c r="F6552" s="19" t="str">
        <f>IFERROR(__xludf.DUMMYFUNCTION("""COMPUTED_VALUE"""),"BLACK")</f>
        <v>BLACK</v>
      </c>
      <c r="G6552" s="20" t="str">
        <f>IFERROR(__xludf.DUMMYFUNCTION("""COMPUTED_VALUE"""),"Uncle Sams Cider (11/12/2021) 02")</f>
        <v>Uncle Sams Cider (11/12/2021) 02</v>
      </c>
      <c r="H6552" s="19"/>
    </row>
    <row r="6553">
      <c r="A6553" s="9"/>
      <c r="B6553" s="15"/>
      <c r="C6553" s="9">
        <f>IFERROR(__xludf.DUMMYFUNCTION("""COMPUTED_VALUE"""),44536.2641359722)</f>
        <v>44536.26414</v>
      </c>
      <c r="D6553" s="15">
        <f>IFERROR(__xludf.DUMMYFUNCTION("""COMPUTED_VALUE"""),1.031)</f>
        <v>1.031</v>
      </c>
      <c r="E6553" s="16">
        <f>IFERROR(__xludf.DUMMYFUNCTION("""COMPUTED_VALUE"""),64.0)</f>
        <v>64</v>
      </c>
      <c r="F6553" s="19" t="str">
        <f>IFERROR(__xludf.DUMMYFUNCTION("""COMPUTED_VALUE"""),"BLACK")</f>
        <v>BLACK</v>
      </c>
      <c r="G6553" s="20" t="str">
        <f>IFERROR(__xludf.DUMMYFUNCTION("""COMPUTED_VALUE"""),"Uncle Sams Cider (11/12/2021) 02")</f>
        <v>Uncle Sams Cider (11/12/2021) 02</v>
      </c>
      <c r="H6553" s="19"/>
    </row>
    <row r="6554">
      <c r="A6554" s="9"/>
      <c r="B6554" s="15"/>
      <c r="C6554" s="9">
        <f>IFERROR(__xludf.DUMMYFUNCTION("""COMPUTED_VALUE"""),44536.2537026041)</f>
        <v>44536.2537</v>
      </c>
      <c r="D6554" s="15">
        <f>IFERROR(__xludf.DUMMYFUNCTION("""COMPUTED_VALUE"""),1.031)</f>
        <v>1.031</v>
      </c>
      <c r="E6554" s="16">
        <f>IFERROR(__xludf.DUMMYFUNCTION("""COMPUTED_VALUE"""),64.0)</f>
        <v>64</v>
      </c>
      <c r="F6554" s="19" t="str">
        <f>IFERROR(__xludf.DUMMYFUNCTION("""COMPUTED_VALUE"""),"BLACK")</f>
        <v>BLACK</v>
      </c>
      <c r="G6554" s="20" t="str">
        <f>IFERROR(__xludf.DUMMYFUNCTION("""COMPUTED_VALUE"""),"Uncle Sams Cider (11/12/2021) 02")</f>
        <v>Uncle Sams Cider (11/12/2021) 02</v>
      </c>
      <c r="H6554" s="19"/>
    </row>
    <row r="6555">
      <c r="A6555" s="9"/>
      <c r="B6555" s="15"/>
      <c r="C6555" s="9">
        <f>IFERROR(__xludf.DUMMYFUNCTION("""COMPUTED_VALUE"""),44536.2432817129)</f>
        <v>44536.24328</v>
      </c>
      <c r="D6555" s="15">
        <f>IFERROR(__xludf.DUMMYFUNCTION("""COMPUTED_VALUE"""),1.031)</f>
        <v>1.031</v>
      </c>
      <c r="E6555" s="16">
        <f>IFERROR(__xludf.DUMMYFUNCTION("""COMPUTED_VALUE"""),64.0)</f>
        <v>64</v>
      </c>
      <c r="F6555" s="19" t="str">
        <f>IFERROR(__xludf.DUMMYFUNCTION("""COMPUTED_VALUE"""),"BLACK")</f>
        <v>BLACK</v>
      </c>
      <c r="G6555" s="20" t="str">
        <f>IFERROR(__xludf.DUMMYFUNCTION("""COMPUTED_VALUE"""),"Uncle Sams Cider (11/12/2021) 02")</f>
        <v>Uncle Sams Cider (11/12/2021) 02</v>
      </c>
      <c r="H6555" s="19"/>
    </row>
    <row r="6556">
      <c r="A6556" s="9"/>
      <c r="B6556" s="15"/>
      <c r="C6556" s="9">
        <f>IFERROR(__xludf.DUMMYFUNCTION("""COMPUTED_VALUE"""),44536.2328601967)</f>
        <v>44536.23286</v>
      </c>
      <c r="D6556" s="15">
        <f>IFERROR(__xludf.DUMMYFUNCTION("""COMPUTED_VALUE"""),1.031)</f>
        <v>1.031</v>
      </c>
      <c r="E6556" s="16">
        <f>IFERROR(__xludf.DUMMYFUNCTION("""COMPUTED_VALUE"""),64.0)</f>
        <v>64</v>
      </c>
      <c r="F6556" s="19" t="str">
        <f>IFERROR(__xludf.DUMMYFUNCTION("""COMPUTED_VALUE"""),"BLACK")</f>
        <v>BLACK</v>
      </c>
      <c r="G6556" s="20" t="str">
        <f>IFERROR(__xludf.DUMMYFUNCTION("""COMPUTED_VALUE"""),"Uncle Sams Cider (11/12/2021) 02")</f>
        <v>Uncle Sams Cider (11/12/2021) 02</v>
      </c>
      <c r="H6556" s="19"/>
    </row>
    <row r="6557">
      <c r="A6557" s="9"/>
      <c r="B6557" s="15"/>
      <c r="C6557" s="9">
        <f>IFERROR(__xludf.DUMMYFUNCTION("""COMPUTED_VALUE"""),44536.2224376041)</f>
        <v>44536.22244</v>
      </c>
      <c r="D6557" s="15">
        <f>IFERROR(__xludf.DUMMYFUNCTION("""COMPUTED_VALUE"""),1.031)</f>
        <v>1.031</v>
      </c>
      <c r="E6557" s="16">
        <f>IFERROR(__xludf.DUMMYFUNCTION("""COMPUTED_VALUE"""),64.0)</f>
        <v>64</v>
      </c>
      <c r="F6557" s="19" t="str">
        <f>IFERROR(__xludf.DUMMYFUNCTION("""COMPUTED_VALUE"""),"BLACK")</f>
        <v>BLACK</v>
      </c>
      <c r="G6557" s="20" t="str">
        <f>IFERROR(__xludf.DUMMYFUNCTION("""COMPUTED_VALUE"""),"Uncle Sams Cider (11/12/2021) 02")</f>
        <v>Uncle Sams Cider (11/12/2021) 02</v>
      </c>
      <c r="H6557" s="19"/>
    </row>
    <row r="6558">
      <c r="A6558" s="9"/>
      <c r="B6558" s="15"/>
      <c r="C6558" s="9">
        <f>IFERROR(__xludf.DUMMYFUNCTION("""COMPUTED_VALUE"""),44536.2120157291)</f>
        <v>44536.21202</v>
      </c>
      <c r="D6558" s="15">
        <f>IFERROR(__xludf.DUMMYFUNCTION("""COMPUTED_VALUE"""),1.031)</f>
        <v>1.031</v>
      </c>
      <c r="E6558" s="16">
        <f>IFERROR(__xludf.DUMMYFUNCTION("""COMPUTED_VALUE"""),64.0)</f>
        <v>64</v>
      </c>
      <c r="F6558" s="19" t="str">
        <f>IFERROR(__xludf.DUMMYFUNCTION("""COMPUTED_VALUE"""),"BLACK")</f>
        <v>BLACK</v>
      </c>
      <c r="G6558" s="20" t="str">
        <f>IFERROR(__xludf.DUMMYFUNCTION("""COMPUTED_VALUE"""),"Uncle Sams Cider (11/12/2021) 02")</f>
        <v>Uncle Sams Cider (11/12/2021) 02</v>
      </c>
      <c r="H6558" s="19"/>
    </row>
    <row r="6559">
      <c r="A6559" s="9"/>
      <c r="B6559" s="15"/>
      <c r="C6559" s="9">
        <f>IFERROR(__xludf.DUMMYFUNCTION("""COMPUTED_VALUE"""),44536.2015825925)</f>
        <v>44536.20158</v>
      </c>
      <c r="D6559" s="15">
        <f>IFERROR(__xludf.DUMMYFUNCTION("""COMPUTED_VALUE"""),1.031)</f>
        <v>1.031</v>
      </c>
      <c r="E6559" s="16">
        <f>IFERROR(__xludf.DUMMYFUNCTION("""COMPUTED_VALUE"""),64.0)</f>
        <v>64</v>
      </c>
      <c r="F6559" s="19" t="str">
        <f>IFERROR(__xludf.DUMMYFUNCTION("""COMPUTED_VALUE"""),"BLACK")</f>
        <v>BLACK</v>
      </c>
      <c r="G6559" s="20" t="str">
        <f>IFERROR(__xludf.DUMMYFUNCTION("""COMPUTED_VALUE"""),"Uncle Sams Cider (11/12/2021) 02")</f>
        <v>Uncle Sams Cider (11/12/2021) 02</v>
      </c>
      <c r="H6559" s="19"/>
    </row>
    <row r="6560">
      <c r="A6560" s="9"/>
      <c r="B6560" s="15"/>
      <c r="C6560" s="9">
        <f>IFERROR(__xludf.DUMMYFUNCTION("""COMPUTED_VALUE"""),44536.1911492939)</f>
        <v>44536.19115</v>
      </c>
      <c r="D6560" s="15">
        <f>IFERROR(__xludf.DUMMYFUNCTION("""COMPUTED_VALUE"""),1.031)</f>
        <v>1.031</v>
      </c>
      <c r="E6560" s="16">
        <f>IFERROR(__xludf.DUMMYFUNCTION("""COMPUTED_VALUE"""),64.0)</f>
        <v>64</v>
      </c>
      <c r="F6560" s="19" t="str">
        <f>IFERROR(__xludf.DUMMYFUNCTION("""COMPUTED_VALUE"""),"BLACK")</f>
        <v>BLACK</v>
      </c>
      <c r="G6560" s="20" t="str">
        <f>IFERROR(__xludf.DUMMYFUNCTION("""COMPUTED_VALUE"""),"Uncle Sams Cider (11/12/2021) 02")</f>
        <v>Uncle Sams Cider (11/12/2021) 02</v>
      </c>
      <c r="H6560" s="19"/>
    </row>
    <row r="6561">
      <c r="A6561" s="9"/>
      <c r="B6561" s="15"/>
      <c r="C6561" s="9">
        <f>IFERROR(__xludf.DUMMYFUNCTION("""COMPUTED_VALUE"""),44536.1807280555)</f>
        <v>44536.18073</v>
      </c>
      <c r="D6561" s="15">
        <f>IFERROR(__xludf.DUMMYFUNCTION("""COMPUTED_VALUE"""),1.031)</f>
        <v>1.031</v>
      </c>
      <c r="E6561" s="16">
        <f>IFERROR(__xludf.DUMMYFUNCTION("""COMPUTED_VALUE"""),64.0)</f>
        <v>64</v>
      </c>
      <c r="F6561" s="19" t="str">
        <f>IFERROR(__xludf.DUMMYFUNCTION("""COMPUTED_VALUE"""),"BLACK")</f>
        <v>BLACK</v>
      </c>
      <c r="G6561" s="20" t="str">
        <f>IFERROR(__xludf.DUMMYFUNCTION("""COMPUTED_VALUE"""),"Uncle Sams Cider (11/12/2021) 02")</f>
        <v>Uncle Sams Cider (11/12/2021) 02</v>
      </c>
      <c r="H6561" s="19"/>
    </row>
    <row r="6562">
      <c r="A6562" s="9"/>
      <c r="B6562" s="15"/>
      <c r="C6562" s="9">
        <f>IFERROR(__xludf.DUMMYFUNCTION("""COMPUTED_VALUE"""),44536.1703062847)</f>
        <v>44536.17031</v>
      </c>
      <c r="D6562" s="15">
        <f>IFERROR(__xludf.DUMMYFUNCTION("""COMPUTED_VALUE"""),1.031)</f>
        <v>1.031</v>
      </c>
      <c r="E6562" s="16">
        <f>IFERROR(__xludf.DUMMYFUNCTION("""COMPUTED_VALUE"""),64.0)</f>
        <v>64</v>
      </c>
      <c r="F6562" s="19" t="str">
        <f>IFERROR(__xludf.DUMMYFUNCTION("""COMPUTED_VALUE"""),"BLACK")</f>
        <v>BLACK</v>
      </c>
      <c r="G6562" s="20" t="str">
        <f>IFERROR(__xludf.DUMMYFUNCTION("""COMPUTED_VALUE"""),"Uncle Sams Cider (11/12/2021) 02")</f>
        <v>Uncle Sams Cider (11/12/2021) 02</v>
      </c>
      <c r="H6562" s="19"/>
    </row>
    <row r="6563">
      <c r="A6563" s="9"/>
      <c r="B6563" s="15"/>
      <c r="C6563" s="9">
        <f>IFERROR(__xludf.DUMMYFUNCTION("""COMPUTED_VALUE"""),44536.1598735416)</f>
        <v>44536.15987</v>
      </c>
      <c r="D6563" s="15">
        <f>IFERROR(__xludf.DUMMYFUNCTION("""COMPUTED_VALUE"""),1.031)</f>
        <v>1.031</v>
      </c>
      <c r="E6563" s="16">
        <f>IFERROR(__xludf.DUMMYFUNCTION("""COMPUTED_VALUE"""),64.0)</f>
        <v>64</v>
      </c>
      <c r="F6563" s="19" t="str">
        <f>IFERROR(__xludf.DUMMYFUNCTION("""COMPUTED_VALUE"""),"BLACK")</f>
        <v>BLACK</v>
      </c>
      <c r="G6563" s="20" t="str">
        <f>IFERROR(__xludf.DUMMYFUNCTION("""COMPUTED_VALUE"""),"Uncle Sams Cider (11/12/2021) 02")</f>
        <v>Uncle Sams Cider (11/12/2021) 02</v>
      </c>
      <c r="H6563" s="19"/>
    </row>
    <row r="6564">
      <c r="A6564" s="9"/>
      <c r="B6564" s="15"/>
      <c r="C6564" s="9">
        <f>IFERROR(__xludf.DUMMYFUNCTION("""COMPUTED_VALUE"""),44536.149452743)</f>
        <v>44536.14945</v>
      </c>
      <c r="D6564" s="15">
        <f>IFERROR(__xludf.DUMMYFUNCTION("""COMPUTED_VALUE"""),1.031)</f>
        <v>1.031</v>
      </c>
      <c r="E6564" s="16">
        <f>IFERROR(__xludf.DUMMYFUNCTION("""COMPUTED_VALUE"""),64.0)</f>
        <v>64</v>
      </c>
      <c r="F6564" s="19" t="str">
        <f>IFERROR(__xludf.DUMMYFUNCTION("""COMPUTED_VALUE"""),"BLACK")</f>
        <v>BLACK</v>
      </c>
      <c r="G6564" s="20" t="str">
        <f>IFERROR(__xludf.DUMMYFUNCTION("""COMPUTED_VALUE"""),"Uncle Sams Cider (11/12/2021) 02")</f>
        <v>Uncle Sams Cider (11/12/2021) 02</v>
      </c>
      <c r="H6564" s="19"/>
    </row>
    <row r="6565">
      <c r="A6565" s="9"/>
      <c r="B6565" s="15"/>
      <c r="C6565" s="9">
        <f>IFERROR(__xludf.DUMMYFUNCTION("""COMPUTED_VALUE"""),44536.1390299768)</f>
        <v>44536.13903</v>
      </c>
      <c r="D6565" s="15">
        <f>IFERROR(__xludf.DUMMYFUNCTION("""COMPUTED_VALUE"""),1.031)</f>
        <v>1.031</v>
      </c>
      <c r="E6565" s="16">
        <f>IFERROR(__xludf.DUMMYFUNCTION("""COMPUTED_VALUE"""),64.0)</f>
        <v>64</v>
      </c>
      <c r="F6565" s="19" t="str">
        <f>IFERROR(__xludf.DUMMYFUNCTION("""COMPUTED_VALUE"""),"BLACK")</f>
        <v>BLACK</v>
      </c>
      <c r="G6565" s="20" t="str">
        <f>IFERROR(__xludf.DUMMYFUNCTION("""COMPUTED_VALUE"""),"Uncle Sams Cider (11/12/2021) 02")</f>
        <v>Uncle Sams Cider (11/12/2021) 02</v>
      </c>
      <c r="H6565" s="19"/>
    </row>
    <row r="6566">
      <c r="A6566" s="9"/>
      <c r="B6566" s="15"/>
      <c r="C6566" s="9">
        <f>IFERROR(__xludf.DUMMYFUNCTION("""COMPUTED_VALUE"""),44536.128609074)</f>
        <v>44536.12861</v>
      </c>
      <c r="D6566" s="15">
        <f>IFERROR(__xludf.DUMMYFUNCTION("""COMPUTED_VALUE"""),1.031)</f>
        <v>1.031</v>
      </c>
      <c r="E6566" s="16">
        <f>IFERROR(__xludf.DUMMYFUNCTION("""COMPUTED_VALUE"""),64.0)</f>
        <v>64</v>
      </c>
      <c r="F6566" s="19" t="str">
        <f>IFERROR(__xludf.DUMMYFUNCTION("""COMPUTED_VALUE"""),"BLACK")</f>
        <v>BLACK</v>
      </c>
      <c r="G6566" s="20" t="str">
        <f>IFERROR(__xludf.DUMMYFUNCTION("""COMPUTED_VALUE"""),"Uncle Sams Cider (11/12/2021) 02")</f>
        <v>Uncle Sams Cider (11/12/2021) 02</v>
      </c>
      <c r="H6566" s="19"/>
    </row>
    <row r="6567">
      <c r="A6567" s="9"/>
      <c r="B6567" s="15"/>
      <c r="C6567" s="9">
        <f>IFERROR(__xludf.DUMMYFUNCTION("""COMPUTED_VALUE"""),44536.1181779745)</f>
        <v>44536.11818</v>
      </c>
      <c r="D6567" s="15">
        <f>IFERROR(__xludf.DUMMYFUNCTION("""COMPUTED_VALUE"""),1.031)</f>
        <v>1.031</v>
      </c>
      <c r="E6567" s="16">
        <f>IFERROR(__xludf.DUMMYFUNCTION("""COMPUTED_VALUE"""),64.0)</f>
        <v>64</v>
      </c>
      <c r="F6567" s="19" t="str">
        <f>IFERROR(__xludf.DUMMYFUNCTION("""COMPUTED_VALUE"""),"BLACK")</f>
        <v>BLACK</v>
      </c>
      <c r="G6567" s="20" t="str">
        <f>IFERROR(__xludf.DUMMYFUNCTION("""COMPUTED_VALUE"""),"Uncle Sams Cider (11/12/2021) 02")</f>
        <v>Uncle Sams Cider (11/12/2021) 02</v>
      </c>
      <c r="H6567" s="19"/>
    </row>
    <row r="6568">
      <c r="A6568" s="9"/>
      <c r="B6568" s="15"/>
      <c r="C6568" s="9">
        <f>IFERROR(__xludf.DUMMYFUNCTION("""COMPUTED_VALUE"""),44536.1077441666)</f>
        <v>44536.10774</v>
      </c>
      <c r="D6568" s="15">
        <f>IFERROR(__xludf.DUMMYFUNCTION("""COMPUTED_VALUE"""),1.031)</f>
        <v>1.031</v>
      </c>
      <c r="E6568" s="16">
        <f>IFERROR(__xludf.DUMMYFUNCTION("""COMPUTED_VALUE"""),64.0)</f>
        <v>64</v>
      </c>
      <c r="F6568" s="19" t="str">
        <f>IFERROR(__xludf.DUMMYFUNCTION("""COMPUTED_VALUE"""),"BLACK")</f>
        <v>BLACK</v>
      </c>
      <c r="G6568" s="20" t="str">
        <f>IFERROR(__xludf.DUMMYFUNCTION("""COMPUTED_VALUE"""),"Uncle Sams Cider (11/12/2021) 02")</f>
        <v>Uncle Sams Cider (11/12/2021) 02</v>
      </c>
      <c r="H6568" s="19"/>
    </row>
    <row r="6569">
      <c r="A6569" s="9"/>
      <c r="B6569" s="15"/>
      <c r="C6569" s="9">
        <f>IFERROR(__xludf.DUMMYFUNCTION("""COMPUTED_VALUE"""),44536.0973120717)</f>
        <v>44536.09731</v>
      </c>
      <c r="D6569" s="15">
        <f>IFERROR(__xludf.DUMMYFUNCTION("""COMPUTED_VALUE"""),1.031)</f>
        <v>1.031</v>
      </c>
      <c r="E6569" s="16">
        <f>IFERROR(__xludf.DUMMYFUNCTION("""COMPUTED_VALUE"""),64.0)</f>
        <v>64</v>
      </c>
      <c r="F6569" s="19" t="str">
        <f>IFERROR(__xludf.DUMMYFUNCTION("""COMPUTED_VALUE"""),"BLACK")</f>
        <v>BLACK</v>
      </c>
      <c r="G6569" s="20" t="str">
        <f>IFERROR(__xludf.DUMMYFUNCTION("""COMPUTED_VALUE"""),"Uncle Sams Cider (11/12/2021) 02")</f>
        <v>Uncle Sams Cider (11/12/2021) 02</v>
      </c>
      <c r="H6569" s="19"/>
    </row>
    <row r="6570">
      <c r="A6570" s="9"/>
      <c r="B6570" s="15"/>
      <c r="C6570" s="9">
        <f>IFERROR(__xludf.DUMMYFUNCTION("""COMPUTED_VALUE"""),44536.0868911458)</f>
        <v>44536.08689</v>
      </c>
      <c r="D6570" s="15">
        <f>IFERROR(__xludf.DUMMYFUNCTION("""COMPUTED_VALUE"""),1.031)</f>
        <v>1.031</v>
      </c>
      <c r="E6570" s="16">
        <f>IFERROR(__xludf.DUMMYFUNCTION("""COMPUTED_VALUE"""),64.0)</f>
        <v>64</v>
      </c>
      <c r="F6570" s="19" t="str">
        <f>IFERROR(__xludf.DUMMYFUNCTION("""COMPUTED_VALUE"""),"BLACK")</f>
        <v>BLACK</v>
      </c>
      <c r="G6570" s="20" t="str">
        <f>IFERROR(__xludf.DUMMYFUNCTION("""COMPUTED_VALUE"""),"Uncle Sams Cider (11/12/2021) 02")</f>
        <v>Uncle Sams Cider (11/12/2021) 02</v>
      </c>
      <c r="H6570" s="19"/>
    </row>
    <row r="6571">
      <c r="A6571" s="9"/>
      <c r="B6571" s="15"/>
      <c r="C6571" s="9">
        <f>IFERROR(__xludf.DUMMYFUNCTION("""COMPUTED_VALUE"""),44536.0764471064)</f>
        <v>44536.07645</v>
      </c>
      <c r="D6571" s="15">
        <f>IFERROR(__xludf.DUMMYFUNCTION("""COMPUTED_VALUE"""),1.031)</f>
        <v>1.031</v>
      </c>
      <c r="E6571" s="16">
        <f>IFERROR(__xludf.DUMMYFUNCTION("""COMPUTED_VALUE"""),64.0)</f>
        <v>64</v>
      </c>
      <c r="F6571" s="19" t="str">
        <f>IFERROR(__xludf.DUMMYFUNCTION("""COMPUTED_VALUE"""),"BLACK")</f>
        <v>BLACK</v>
      </c>
      <c r="G6571" s="20" t="str">
        <f>IFERROR(__xludf.DUMMYFUNCTION("""COMPUTED_VALUE"""),"Uncle Sams Cider (11/12/2021) 02")</f>
        <v>Uncle Sams Cider (11/12/2021) 02</v>
      </c>
      <c r="H6571" s="19"/>
    </row>
    <row r="6572">
      <c r="A6572" s="9"/>
      <c r="B6572" s="15"/>
      <c r="C6572" s="9">
        <f>IFERROR(__xludf.DUMMYFUNCTION("""COMPUTED_VALUE"""),44536.0660275694)</f>
        <v>44536.06603</v>
      </c>
      <c r="D6572" s="15">
        <f>IFERROR(__xludf.DUMMYFUNCTION("""COMPUTED_VALUE"""),1.031)</f>
        <v>1.031</v>
      </c>
      <c r="E6572" s="16">
        <f>IFERROR(__xludf.DUMMYFUNCTION("""COMPUTED_VALUE"""),64.0)</f>
        <v>64</v>
      </c>
      <c r="F6572" s="19" t="str">
        <f>IFERROR(__xludf.DUMMYFUNCTION("""COMPUTED_VALUE"""),"BLACK")</f>
        <v>BLACK</v>
      </c>
      <c r="G6572" s="20" t="str">
        <f>IFERROR(__xludf.DUMMYFUNCTION("""COMPUTED_VALUE"""),"Uncle Sams Cider (11/12/2021) 02")</f>
        <v>Uncle Sams Cider (11/12/2021) 02</v>
      </c>
      <c r="H6572" s="19"/>
    </row>
    <row r="6573">
      <c r="A6573" s="9"/>
      <c r="B6573" s="15"/>
      <c r="C6573" s="9">
        <f>IFERROR(__xludf.DUMMYFUNCTION("""COMPUTED_VALUE"""),44536.0555957986)</f>
        <v>44536.0556</v>
      </c>
      <c r="D6573" s="15">
        <f>IFERROR(__xludf.DUMMYFUNCTION("""COMPUTED_VALUE"""),1.031)</f>
        <v>1.031</v>
      </c>
      <c r="E6573" s="16">
        <f>IFERROR(__xludf.DUMMYFUNCTION("""COMPUTED_VALUE"""),64.0)</f>
        <v>64</v>
      </c>
      <c r="F6573" s="19" t="str">
        <f>IFERROR(__xludf.DUMMYFUNCTION("""COMPUTED_VALUE"""),"BLACK")</f>
        <v>BLACK</v>
      </c>
      <c r="G6573" s="20" t="str">
        <f>IFERROR(__xludf.DUMMYFUNCTION("""COMPUTED_VALUE"""),"Uncle Sams Cider (11/12/2021) 02")</f>
        <v>Uncle Sams Cider (11/12/2021) 02</v>
      </c>
      <c r="H6573" s="19"/>
    </row>
    <row r="6574">
      <c r="A6574" s="9"/>
      <c r="B6574" s="15"/>
      <c r="C6574" s="9">
        <f>IFERROR(__xludf.DUMMYFUNCTION("""COMPUTED_VALUE"""),44536.045140162)</f>
        <v>44536.04514</v>
      </c>
      <c r="D6574" s="15">
        <f>IFERROR(__xludf.DUMMYFUNCTION("""COMPUTED_VALUE"""),1.031)</f>
        <v>1.031</v>
      </c>
      <c r="E6574" s="16">
        <f>IFERROR(__xludf.DUMMYFUNCTION("""COMPUTED_VALUE"""),64.0)</f>
        <v>64</v>
      </c>
      <c r="F6574" s="19" t="str">
        <f>IFERROR(__xludf.DUMMYFUNCTION("""COMPUTED_VALUE"""),"BLACK")</f>
        <v>BLACK</v>
      </c>
      <c r="G6574" s="20" t="str">
        <f>IFERROR(__xludf.DUMMYFUNCTION("""COMPUTED_VALUE"""),"Uncle Sams Cider (11/12/2021) 02")</f>
        <v>Uncle Sams Cider (11/12/2021) 02</v>
      </c>
      <c r="H6574" s="19"/>
    </row>
    <row r="6575">
      <c r="A6575" s="9"/>
      <c r="B6575" s="15"/>
      <c r="C6575" s="9">
        <f>IFERROR(__xludf.DUMMYFUNCTION("""COMPUTED_VALUE"""),44536.0347059259)</f>
        <v>44536.03471</v>
      </c>
      <c r="D6575" s="15">
        <f>IFERROR(__xludf.DUMMYFUNCTION("""COMPUTED_VALUE"""),1.031)</f>
        <v>1.031</v>
      </c>
      <c r="E6575" s="16">
        <f>IFERROR(__xludf.DUMMYFUNCTION("""COMPUTED_VALUE"""),64.0)</f>
        <v>64</v>
      </c>
      <c r="F6575" s="19" t="str">
        <f>IFERROR(__xludf.DUMMYFUNCTION("""COMPUTED_VALUE"""),"BLACK")</f>
        <v>BLACK</v>
      </c>
      <c r="G6575" s="20" t="str">
        <f>IFERROR(__xludf.DUMMYFUNCTION("""COMPUTED_VALUE"""),"Uncle Sams Cider (11/12/2021) 02")</f>
        <v>Uncle Sams Cider (11/12/2021) 02</v>
      </c>
      <c r="H6575" s="19"/>
    </row>
    <row r="6576">
      <c r="A6576" s="9"/>
      <c r="B6576" s="15"/>
      <c r="C6576" s="9">
        <f>IFERROR(__xludf.DUMMYFUNCTION("""COMPUTED_VALUE"""),44536.0242490393)</f>
        <v>44536.02425</v>
      </c>
      <c r="D6576" s="15">
        <f>IFERROR(__xludf.DUMMYFUNCTION("""COMPUTED_VALUE"""),1.031)</f>
        <v>1.031</v>
      </c>
      <c r="E6576" s="16">
        <f>IFERROR(__xludf.DUMMYFUNCTION("""COMPUTED_VALUE"""),64.0)</f>
        <v>64</v>
      </c>
      <c r="F6576" s="19" t="str">
        <f>IFERROR(__xludf.DUMMYFUNCTION("""COMPUTED_VALUE"""),"BLACK")</f>
        <v>BLACK</v>
      </c>
      <c r="G6576" s="20" t="str">
        <f>IFERROR(__xludf.DUMMYFUNCTION("""COMPUTED_VALUE"""),"Uncle Sams Cider (11/12/2021) 02")</f>
        <v>Uncle Sams Cider (11/12/2021) 02</v>
      </c>
      <c r="H6576" s="19"/>
    </row>
    <row r="6577">
      <c r="A6577" s="9"/>
      <c r="B6577" s="15"/>
      <c r="C6577" s="9">
        <f>IFERROR(__xludf.DUMMYFUNCTION("""COMPUTED_VALUE"""),44536.0138287268)</f>
        <v>44536.01383</v>
      </c>
      <c r="D6577" s="15">
        <f>IFERROR(__xludf.DUMMYFUNCTION("""COMPUTED_VALUE"""),1.032)</f>
        <v>1.032</v>
      </c>
      <c r="E6577" s="16">
        <f>IFERROR(__xludf.DUMMYFUNCTION("""COMPUTED_VALUE"""),64.0)</f>
        <v>64</v>
      </c>
      <c r="F6577" s="19" t="str">
        <f>IFERROR(__xludf.DUMMYFUNCTION("""COMPUTED_VALUE"""),"BLACK")</f>
        <v>BLACK</v>
      </c>
      <c r="G6577" s="20" t="str">
        <f>IFERROR(__xludf.DUMMYFUNCTION("""COMPUTED_VALUE"""),"Uncle Sams Cider (11/12/2021) 02")</f>
        <v>Uncle Sams Cider (11/12/2021) 02</v>
      </c>
      <c r="H6577" s="19"/>
    </row>
    <row r="6578">
      <c r="A6578" s="9"/>
      <c r="B6578" s="15"/>
      <c r="C6578" s="9">
        <f>IFERROR(__xludf.DUMMYFUNCTION("""COMPUTED_VALUE"""),44536.0034068634)</f>
        <v>44536.00341</v>
      </c>
      <c r="D6578" s="15">
        <f>IFERROR(__xludf.DUMMYFUNCTION("""COMPUTED_VALUE"""),1.032)</f>
        <v>1.032</v>
      </c>
      <c r="E6578" s="16">
        <f>IFERROR(__xludf.DUMMYFUNCTION("""COMPUTED_VALUE"""),64.0)</f>
        <v>64</v>
      </c>
      <c r="F6578" s="19" t="str">
        <f>IFERROR(__xludf.DUMMYFUNCTION("""COMPUTED_VALUE"""),"BLACK")</f>
        <v>BLACK</v>
      </c>
      <c r="G6578" s="20" t="str">
        <f>IFERROR(__xludf.DUMMYFUNCTION("""COMPUTED_VALUE"""),"Uncle Sams Cider (11/12/2021) 02")</f>
        <v>Uncle Sams Cider (11/12/2021) 02</v>
      </c>
      <c r="H6578" s="19"/>
    </row>
    <row r="6579">
      <c r="A6579" s="9"/>
      <c r="B6579" s="15"/>
      <c r="C6579" s="9">
        <f>IFERROR(__xludf.DUMMYFUNCTION("""COMPUTED_VALUE"""),44535.9929842129)</f>
        <v>44535.99298</v>
      </c>
      <c r="D6579" s="15">
        <f>IFERROR(__xludf.DUMMYFUNCTION("""COMPUTED_VALUE"""),1.031)</f>
        <v>1.031</v>
      </c>
      <c r="E6579" s="16">
        <f>IFERROR(__xludf.DUMMYFUNCTION("""COMPUTED_VALUE"""),64.0)</f>
        <v>64</v>
      </c>
      <c r="F6579" s="19" t="str">
        <f>IFERROR(__xludf.DUMMYFUNCTION("""COMPUTED_VALUE"""),"BLACK")</f>
        <v>BLACK</v>
      </c>
      <c r="G6579" s="20" t="str">
        <f>IFERROR(__xludf.DUMMYFUNCTION("""COMPUTED_VALUE"""),"Uncle Sams Cider (11/12/2021) 02")</f>
        <v>Uncle Sams Cider (11/12/2021) 02</v>
      </c>
      <c r="H6579" s="19"/>
    </row>
    <row r="6580">
      <c r="A6580" s="9"/>
      <c r="B6580" s="15"/>
      <c r="C6580" s="9">
        <f>IFERROR(__xludf.DUMMYFUNCTION("""COMPUTED_VALUE"""),44535.9825614583)</f>
        <v>44535.98256</v>
      </c>
      <c r="D6580" s="15">
        <f>IFERROR(__xludf.DUMMYFUNCTION("""COMPUTED_VALUE"""),1.032)</f>
        <v>1.032</v>
      </c>
      <c r="E6580" s="16">
        <f>IFERROR(__xludf.DUMMYFUNCTION("""COMPUTED_VALUE"""),64.0)</f>
        <v>64</v>
      </c>
      <c r="F6580" s="19" t="str">
        <f>IFERROR(__xludf.DUMMYFUNCTION("""COMPUTED_VALUE"""),"BLACK")</f>
        <v>BLACK</v>
      </c>
      <c r="G6580" s="20" t="str">
        <f>IFERROR(__xludf.DUMMYFUNCTION("""COMPUTED_VALUE"""),"Uncle Sams Cider (11/12/2021) 02")</f>
        <v>Uncle Sams Cider (11/12/2021) 02</v>
      </c>
      <c r="H6580" s="19"/>
    </row>
    <row r="6581">
      <c r="A6581" s="9"/>
      <c r="B6581" s="15"/>
      <c r="C6581" s="9">
        <f>IFERROR(__xludf.DUMMYFUNCTION("""COMPUTED_VALUE"""),44535.9721404976)</f>
        <v>44535.97214</v>
      </c>
      <c r="D6581" s="15">
        <f>IFERROR(__xludf.DUMMYFUNCTION("""COMPUTED_VALUE"""),1.032)</f>
        <v>1.032</v>
      </c>
      <c r="E6581" s="16">
        <f>IFERROR(__xludf.DUMMYFUNCTION("""COMPUTED_VALUE"""),64.0)</f>
        <v>64</v>
      </c>
      <c r="F6581" s="19" t="str">
        <f>IFERROR(__xludf.DUMMYFUNCTION("""COMPUTED_VALUE"""),"BLACK")</f>
        <v>BLACK</v>
      </c>
      <c r="G6581" s="20" t="str">
        <f>IFERROR(__xludf.DUMMYFUNCTION("""COMPUTED_VALUE"""),"Uncle Sams Cider (11/12/2021) 02")</f>
        <v>Uncle Sams Cider (11/12/2021) 02</v>
      </c>
      <c r="H6581" s="19"/>
    </row>
    <row r="6582">
      <c r="A6582" s="9"/>
      <c r="B6582" s="15"/>
      <c r="C6582" s="9">
        <f>IFERROR(__xludf.DUMMYFUNCTION("""COMPUTED_VALUE"""),44535.9617195601)</f>
        <v>44535.96172</v>
      </c>
      <c r="D6582" s="15">
        <f>IFERROR(__xludf.DUMMYFUNCTION("""COMPUTED_VALUE"""),1.032)</f>
        <v>1.032</v>
      </c>
      <c r="E6582" s="16">
        <f>IFERROR(__xludf.DUMMYFUNCTION("""COMPUTED_VALUE"""),64.0)</f>
        <v>64</v>
      </c>
      <c r="F6582" s="19" t="str">
        <f>IFERROR(__xludf.DUMMYFUNCTION("""COMPUTED_VALUE"""),"BLACK")</f>
        <v>BLACK</v>
      </c>
      <c r="G6582" s="20" t="str">
        <f>IFERROR(__xludf.DUMMYFUNCTION("""COMPUTED_VALUE"""),"Uncle Sams Cider (11/12/2021) 02")</f>
        <v>Uncle Sams Cider (11/12/2021) 02</v>
      </c>
      <c r="H6582" s="19"/>
    </row>
    <row r="6583">
      <c r="A6583" s="9"/>
      <c r="B6583" s="15"/>
      <c r="C6583" s="9">
        <f>IFERROR(__xludf.DUMMYFUNCTION("""COMPUTED_VALUE"""),44535.9512867824)</f>
        <v>44535.95129</v>
      </c>
      <c r="D6583" s="15">
        <f>IFERROR(__xludf.DUMMYFUNCTION("""COMPUTED_VALUE"""),1.032)</f>
        <v>1.032</v>
      </c>
      <c r="E6583" s="16">
        <f>IFERROR(__xludf.DUMMYFUNCTION("""COMPUTED_VALUE"""),64.0)</f>
        <v>64</v>
      </c>
      <c r="F6583" s="19" t="str">
        <f>IFERROR(__xludf.DUMMYFUNCTION("""COMPUTED_VALUE"""),"BLACK")</f>
        <v>BLACK</v>
      </c>
      <c r="G6583" s="20" t="str">
        <f>IFERROR(__xludf.DUMMYFUNCTION("""COMPUTED_VALUE"""),"Uncle Sams Cider (11/12/2021) 02")</f>
        <v>Uncle Sams Cider (11/12/2021) 02</v>
      </c>
      <c r="H6583" s="19"/>
    </row>
    <row r="6584">
      <c r="A6584" s="9"/>
      <c r="B6584" s="15"/>
      <c r="C6584" s="9">
        <f>IFERROR(__xludf.DUMMYFUNCTION("""COMPUTED_VALUE"""),44535.9408552314)</f>
        <v>44535.94086</v>
      </c>
      <c r="D6584" s="15">
        <f>IFERROR(__xludf.DUMMYFUNCTION("""COMPUTED_VALUE"""),1.032)</f>
        <v>1.032</v>
      </c>
      <c r="E6584" s="16">
        <f>IFERROR(__xludf.DUMMYFUNCTION("""COMPUTED_VALUE"""),64.0)</f>
        <v>64</v>
      </c>
      <c r="F6584" s="19" t="str">
        <f>IFERROR(__xludf.DUMMYFUNCTION("""COMPUTED_VALUE"""),"BLACK")</f>
        <v>BLACK</v>
      </c>
      <c r="G6584" s="20" t="str">
        <f>IFERROR(__xludf.DUMMYFUNCTION("""COMPUTED_VALUE"""),"Uncle Sams Cider (11/12/2021) 02")</f>
        <v>Uncle Sams Cider (11/12/2021) 02</v>
      </c>
      <c r="H6584" s="19"/>
    </row>
    <row r="6585">
      <c r="A6585" s="9"/>
      <c r="B6585" s="15"/>
      <c r="C6585" s="9">
        <f>IFERROR(__xludf.DUMMYFUNCTION("""COMPUTED_VALUE"""),44535.9304351851)</f>
        <v>44535.93044</v>
      </c>
      <c r="D6585" s="15">
        <f>IFERROR(__xludf.DUMMYFUNCTION("""COMPUTED_VALUE"""),1.032)</f>
        <v>1.032</v>
      </c>
      <c r="E6585" s="16">
        <f>IFERROR(__xludf.DUMMYFUNCTION("""COMPUTED_VALUE"""),64.0)</f>
        <v>64</v>
      </c>
      <c r="F6585" s="19" t="str">
        <f>IFERROR(__xludf.DUMMYFUNCTION("""COMPUTED_VALUE"""),"BLACK")</f>
        <v>BLACK</v>
      </c>
      <c r="G6585" s="20" t="str">
        <f>IFERROR(__xludf.DUMMYFUNCTION("""COMPUTED_VALUE"""),"Uncle Sams Cider (11/12/2021) 02")</f>
        <v>Uncle Sams Cider (11/12/2021) 02</v>
      </c>
      <c r="H6585" s="19"/>
    </row>
    <row r="6586">
      <c r="A6586" s="9"/>
      <c r="B6586" s="15"/>
      <c r="C6586" s="9">
        <f>IFERROR(__xludf.DUMMYFUNCTION("""COMPUTED_VALUE"""),44535.9200135995)</f>
        <v>44535.92001</v>
      </c>
      <c r="D6586" s="15">
        <f>IFERROR(__xludf.DUMMYFUNCTION("""COMPUTED_VALUE"""),1.032)</f>
        <v>1.032</v>
      </c>
      <c r="E6586" s="16">
        <f>IFERROR(__xludf.DUMMYFUNCTION("""COMPUTED_VALUE"""),64.0)</f>
        <v>64</v>
      </c>
      <c r="F6586" s="19" t="str">
        <f>IFERROR(__xludf.DUMMYFUNCTION("""COMPUTED_VALUE"""),"BLACK")</f>
        <v>BLACK</v>
      </c>
      <c r="G6586" s="20" t="str">
        <f>IFERROR(__xludf.DUMMYFUNCTION("""COMPUTED_VALUE"""),"Uncle Sams Cider (11/12/2021) 02")</f>
        <v>Uncle Sams Cider (11/12/2021) 02</v>
      </c>
      <c r="H6586" s="19"/>
    </row>
    <row r="6587">
      <c r="A6587" s="9"/>
      <c r="B6587" s="15"/>
      <c r="C6587" s="9">
        <f>IFERROR(__xludf.DUMMYFUNCTION("""COMPUTED_VALUE"""),44535.9095814351)</f>
        <v>44535.90958</v>
      </c>
      <c r="D6587" s="15">
        <f>IFERROR(__xludf.DUMMYFUNCTION("""COMPUTED_VALUE"""),1.032)</f>
        <v>1.032</v>
      </c>
      <c r="E6587" s="16">
        <f>IFERROR(__xludf.DUMMYFUNCTION("""COMPUTED_VALUE"""),64.0)</f>
        <v>64</v>
      </c>
      <c r="F6587" s="19" t="str">
        <f>IFERROR(__xludf.DUMMYFUNCTION("""COMPUTED_VALUE"""),"BLACK")</f>
        <v>BLACK</v>
      </c>
      <c r="G6587" s="20" t="str">
        <f>IFERROR(__xludf.DUMMYFUNCTION("""COMPUTED_VALUE"""),"Uncle Sams Cider (11/12/2021) 02")</f>
        <v>Uncle Sams Cider (11/12/2021) 02</v>
      </c>
      <c r="H6587" s="19"/>
    </row>
    <row r="6588">
      <c r="A6588" s="9"/>
      <c r="B6588" s="15"/>
      <c r="C6588" s="9">
        <f>IFERROR(__xludf.DUMMYFUNCTION("""COMPUTED_VALUE"""),44535.8991601388)</f>
        <v>44535.89916</v>
      </c>
      <c r="D6588" s="15">
        <f>IFERROR(__xludf.DUMMYFUNCTION("""COMPUTED_VALUE"""),1.032)</f>
        <v>1.032</v>
      </c>
      <c r="E6588" s="16">
        <f>IFERROR(__xludf.DUMMYFUNCTION("""COMPUTED_VALUE"""),64.0)</f>
        <v>64</v>
      </c>
      <c r="F6588" s="19" t="str">
        <f>IFERROR(__xludf.DUMMYFUNCTION("""COMPUTED_VALUE"""),"BLACK")</f>
        <v>BLACK</v>
      </c>
      <c r="G6588" s="20" t="str">
        <f>IFERROR(__xludf.DUMMYFUNCTION("""COMPUTED_VALUE"""),"Uncle Sams Cider (11/12/2021) 02")</f>
        <v>Uncle Sams Cider (11/12/2021) 02</v>
      </c>
      <c r="H6588" s="19"/>
    </row>
    <row r="6589">
      <c r="A6589" s="9"/>
      <c r="B6589" s="15"/>
      <c r="C6589" s="9">
        <f>IFERROR(__xludf.DUMMYFUNCTION("""COMPUTED_VALUE"""),44535.8887369097)</f>
        <v>44535.88874</v>
      </c>
      <c r="D6589" s="15">
        <f>IFERROR(__xludf.DUMMYFUNCTION("""COMPUTED_VALUE"""),1.032)</f>
        <v>1.032</v>
      </c>
      <c r="E6589" s="16">
        <f>IFERROR(__xludf.DUMMYFUNCTION("""COMPUTED_VALUE"""),64.0)</f>
        <v>64</v>
      </c>
      <c r="F6589" s="19" t="str">
        <f>IFERROR(__xludf.DUMMYFUNCTION("""COMPUTED_VALUE"""),"BLACK")</f>
        <v>BLACK</v>
      </c>
      <c r="G6589" s="20" t="str">
        <f>IFERROR(__xludf.DUMMYFUNCTION("""COMPUTED_VALUE"""),"Uncle Sams Cider (11/12/2021) 02")</f>
        <v>Uncle Sams Cider (11/12/2021) 02</v>
      </c>
      <c r="H6589" s="19"/>
    </row>
    <row r="6590">
      <c r="A6590" s="9"/>
      <c r="B6590" s="15"/>
      <c r="C6590" s="9">
        <f>IFERROR(__xludf.DUMMYFUNCTION("""COMPUTED_VALUE"""),44535.8783049884)</f>
        <v>44535.8783</v>
      </c>
      <c r="D6590" s="15">
        <f>IFERROR(__xludf.DUMMYFUNCTION("""COMPUTED_VALUE"""),1.032)</f>
        <v>1.032</v>
      </c>
      <c r="E6590" s="16">
        <f>IFERROR(__xludf.DUMMYFUNCTION("""COMPUTED_VALUE"""),64.0)</f>
        <v>64</v>
      </c>
      <c r="F6590" s="19" t="str">
        <f>IFERROR(__xludf.DUMMYFUNCTION("""COMPUTED_VALUE"""),"BLACK")</f>
        <v>BLACK</v>
      </c>
      <c r="G6590" s="20" t="str">
        <f>IFERROR(__xludf.DUMMYFUNCTION("""COMPUTED_VALUE"""),"Uncle Sams Cider (11/12/2021) 02")</f>
        <v>Uncle Sams Cider (11/12/2021) 02</v>
      </c>
      <c r="H6590" s="19"/>
    </row>
    <row r="6591">
      <c r="A6591" s="9"/>
      <c r="B6591" s="15"/>
      <c r="C6591" s="9">
        <f>IFERROR(__xludf.DUMMYFUNCTION("""COMPUTED_VALUE"""),44535.8678739351)</f>
        <v>44535.86787</v>
      </c>
      <c r="D6591" s="15">
        <f>IFERROR(__xludf.DUMMYFUNCTION("""COMPUTED_VALUE"""),1.032)</f>
        <v>1.032</v>
      </c>
      <c r="E6591" s="16">
        <f>IFERROR(__xludf.DUMMYFUNCTION("""COMPUTED_VALUE"""),64.0)</f>
        <v>64</v>
      </c>
      <c r="F6591" s="19" t="str">
        <f>IFERROR(__xludf.DUMMYFUNCTION("""COMPUTED_VALUE"""),"BLACK")</f>
        <v>BLACK</v>
      </c>
      <c r="G6591" s="20" t="str">
        <f>IFERROR(__xludf.DUMMYFUNCTION("""COMPUTED_VALUE"""),"Uncle Sams Cider (11/12/2021) 02")</f>
        <v>Uncle Sams Cider (11/12/2021) 02</v>
      </c>
      <c r="H6591" s="19"/>
    </row>
    <row r="6592">
      <c r="A6592" s="9"/>
      <c r="B6592" s="15"/>
      <c r="C6592" s="9">
        <f>IFERROR(__xludf.DUMMYFUNCTION("""COMPUTED_VALUE"""),44535.8574533333)</f>
        <v>44535.85745</v>
      </c>
      <c r="D6592" s="15">
        <f>IFERROR(__xludf.DUMMYFUNCTION("""COMPUTED_VALUE"""),1.032)</f>
        <v>1.032</v>
      </c>
      <c r="E6592" s="16">
        <f>IFERROR(__xludf.DUMMYFUNCTION("""COMPUTED_VALUE"""),64.0)</f>
        <v>64</v>
      </c>
      <c r="F6592" s="19" t="str">
        <f>IFERROR(__xludf.DUMMYFUNCTION("""COMPUTED_VALUE"""),"BLACK")</f>
        <v>BLACK</v>
      </c>
      <c r="G6592" s="20" t="str">
        <f>IFERROR(__xludf.DUMMYFUNCTION("""COMPUTED_VALUE"""),"Uncle Sams Cider (11/12/2021) 02")</f>
        <v>Uncle Sams Cider (11/12/2021) 02</v>
      </c>
      <c r="H6592" s="19"/>
    </row>
    <row r="6593">
      <c r="A6593" s="9"/>
      <c r="B6593" s="15"/>
      <c r="C6593" s="9">
        <f>IFERROR(__xludf.DUMMYFUNCTION("""COMPUTED_VALUE"""),44535.8470209027)</f>
        <v>44535.84702</v>
      </c>
      <c r="D6593" s="15">
        <f>IFERROR(__xludf.DUMMYFUNCTION("""COMPUTED_VALUE"""),1.032)</f>
        <v>1.032</v>
      </c>
      <c r="E6593" s="16">
        <f>IFERROR(__xludf.DUMMYFUNCTION("""COMPUTED_VALUE"""),64.0)</f>
        <v>64</v>
      </c>
      <c r="F6593" s="19" t="str">
        <f>IFERROR(__xludf.DUMMYFUNCTION("""COMPUTED_VALUE"""),"BLACK")</f>
        <v>BLACK</v>
      </c>
      <c r="G6593" s="20" t="str">
        <f>IFERROR(__xludf.DUMMYFUNCTION("""COMPUTED_VALUE"""),"Uncle Sams Cider (11/12/2021) 02")</f>
        <v>Uncle Sams Cider (11/12/2021) 02</v>
      </c>
      <c r="H6593" s="19"/>
    </row>
    <row r="6594">
      <c r="A6594" s="9"/>
      <c r="B6594" s="15"/>
      <c r="C6594" s="9">
        <f>IFERROR(__xludf.DUMMYFUNCTION("""COMPUTED_VALUE"""),44535.83658853)</f>
        <v>44535.83659</v>
      </c>
      <c r="D6594" s="15">
        <f>IFERROR(__xludf.DUMMYFUNCTION("""COMPUTED_VALUE"""),1.032)</f>
        <v>1.032</v>
      </c>
      <c r="E6594" s="16">
        <f>IFERROR(__xludf.DUMMYFUNCTION("""COMPUTED_VALUE"""),64.0)</f>
        <v>64</v>
      </c>
      <c r="F6594" s="19" t="str">
        <f>IFERROR(__xludf.DUMMYFUNCTION("""COMPUTED_VALUE"""),"BLACK")</f>
        <v>BLACK</v>
      </c>
      <c r="G6594" s="20" t="str">
        <f>IFERROR(__xludf.DUMMYFUNCTION("""COMPUTED_VALUE"""),"Uncle Sams Cider (11/12/2021) 02")</f>
        <v>Uncle Sams Cider (11/12/2021) 02</v>
      </c>
      <c r="H6594" s="19"/>
    </row>
    <row r="6595">
      <c r="A6595" s="9"/>
      <c r="B6595" s="15"/>
      <c r="C6595" s="9">
        <f>IFERROR(__xludf.DUMMYFUNCTION("""COMPUTED_VALUE"""),44535.8261564467)</f>
        <v>44535.82616</v>
      </c>
      <c r="D6595" s="15">
        <f>IFERROR(__xludf.DUMMYFUNCTION("""COMPUTED_VALUE"""),1.032)</f>
        <v>1.032</v>
      </c>
      <c r="E6595" s="16">
        <f>IFERROR(__xludf.DUMMYFUNCTION("""COMPUTED_VALUE"""),64.0)</f>
        <v>64</v>
      </c>
      <c r="F6595" s="19" t="str">
        <f>IFERROR(__xludf.DUMMYFUNCTION("""COMPUTED_VALUE"""),"BLACK")</f>
        <v>BLACK</v>
      </c>
      <c r="G6595" s="20" t="str">
        <f>IFERROR(__xludf.DUMMYFUNCTION("""COMPUTED_VALUE"""),"Uncle Sams Cider (11/12/2021) 02")</f>
        <v>Uncle Sams Cider (11/12/2021) 02</v>
      </c>
      <c r="H6595" s="19"/>
    </row>
    <row r="6596">
      <c r="A6596" s="9"/>
      <c r="B6596" s="15"/>
      <c r="C6596" s="9">
        <f>IFERROR(__xludf.DUMMYFUNCTION("""COMPUTED_VALUE"""),44535.8157247453)</f>
        <v>44535.81572</v>
      </c>
      <c r="D6596" s="15">
        <f>IFERROR(__xludf.DUMMYFUNCTION("""COMPUTED_VALUE"""),1.032)</f>
        <v>1.032</v>
      </c>
      <c r="E6596" s="16">
        <f>IFERROR(__xludf.DUMMYFUNCTION("""COMPUTED_VALUE"""),64.0)</f>
        <v>64</v>
      </c>
      <c r="F6596" s="19" t="str">
        <f>IFERROR(__xludf.DUMMYFUNCTION("""COMPUTED_VALUE"""),"BLACK")</f>
        <v>BLACK</v>
      </c>
      <c r="G6596" s="20" t="str">
        <f>IFERROR(__xludf.DUMMYFUNCTION("""COMPUTED_VALUE"""),"Uncle Sams Cider (11/12/2021) 02")</f>
        <v>Uncle Sams Cider (11/12/2021) 02</v>
      </c>
      <c r="H6596" s="19"/>
    </row>
    <row r="6597">
      <c r="A6597" s="9"/>
      <c r="B6597" s="15"/>
      <c r="C6597" s="9">
        <f>IFERROR(__xludf.DUMMYFUNCTION("""COMPUTED_VALUE"""),44535.805302037)</f>
        <v>44535.8053</v>
      </c>
      <c r="D6597" s="15">
        <f>IFERROR(__xludf.DUMMYFUNCTION("""COMPUTED_VALUE"""),1.032)</f>
        <v>1.032</v>
      </c>
      <c r="E6597" s="16">
        <f>IFERROR(__xludf.DUMMYFUNCTION("""COMPUTED_VALUE"""),64.0)</f>
        <v>64</v>
      </c>
      <c r="F6597" s="19" t="str">
        <f>IFERROR(__xludf.DUMMYFUNCTION("""COMPUTED_VALUE"""),"BLACK")</f>
        <v>BLACK</v>
      </c>
      <c r="G6597" s="20" t="str">
        <f>IFERROR(__xludf.DUMMYFUNCTION("""COMPUTED_VALUE"""),"Uncle Sams Cider (11/12/2021) 02")</f>
        <v>Uncle Sams Cider (11/12/2021) 02</v>
      </c>
      <c r="H6597" s="19"/>
    </row>
    <row r="6598">
      <c r="A6598" s="9"/>
      <c r="B6598" s="15"/>
      <c r="C6598" s="9">
        <f>IFERROR(__xludf.DUMMYFUNCTION("""COMPUTED_VALUE"""),44535.7948819444)</f>
        <v>44535.79488</v>
      </c>
      <c r="D6598" s="15">
        <f>IFERROR(__xludf.DUMMYFUNCTION("""COMPUTED_VALUE"""),1.032)</f>
        <v>1.032</v>
      </c>
      <c r="E6598" s="16">
        <f>IFERROR(__xludf.DUMMYFUNCTION("""COMPUTED_VALUE"""),64.0)</f>
        <v>64</v>
      </c>
      <c r="F6598" s="19" t="str">
        <f>IFERROR(__xludf.DUMMYFUNCTION("""COMPUTED_VALUE"""),"BLACK")</f>
        <v>BLACK</v>
      </c>
      <c r="G6598" s="20" t="str">
        <f>IFERROR(__xludf.DUMMYFUNCTION("""COMPUTED_VALUE"""),"Uncle Sams Cider (11/12/2021) 02")</f>
        <v>Uncle Sams Cider (11/12/2021) 02</v>
      </c>
      <c r="H6598" s="19"/>
    </row>
    <row r="6599">
      <c r="A6599" s="9"/>
      <c r="B6599" s="15"/>
      <c r="C6599" s="9">
        <f>IFERROR(__xludf.DUMMYFUNCTION("""COMPUTED_VALUE"""),44535.7844485069)</f>
        <v>44535.78445</v>
      </c>
      <c r="D6599" s="15">
        <f>IFERROR(__xludf.DUMMYFUNCTION("""COMPUTED_VALUE"""),1.032)</f>
        <v>1.032</v>
      </c>
      <c r="E6599" s="16">
        <f>IFERROR(__xludf.DUMMYFUNCTION("""COMPUTED_VALUE"""),64.0)</f>
        <v>64</v>
      </c>
      <c r="F6599" s="19" t="str">
        <f>IFERROR(__xludf.DUMMYFUNCTION("""COMPUTED_VALUE"""),"BLACK")</f>
        <v>BLACK</v>
      </c>
      <c r="G6599" s="20" t="str">
        <f>IFERROR(__xludf.DUMMYFUNCTION("""COMPUTED_VALUE"""),"Uncle Sams Cider (11/12/2021) 02")</f>
        <v>Uncle Sams Cider (11/12/2021) 02</v>
      </c>
      <c r="H6599" s="19"/>
    </row>
    <row r="6600">
      <c r="A6600" s="9"/>
      <c r="B6600" s="15"/>
      <c r="C6600" s="9">
        <f>IFERROR(__xludf.DUMMYFUNCTION("""COMPUTED_VALUE"""),44535.7740171412)</f>
        <v>44535.77402</v>
      </c>
      <c r="D6600" s="15">
        <f>IFERROR(__xludf.DUMMYFUNCTION("""COMPUTED_VALUE"""),1.032)</f>
        <v>1.032</v>
      </c>
      <c r="E6600" s="16">
        <f>IFERROR(__xludf.DUMMYFUNCTION("""COMPUTED_VALUE"""),64.0)</f>
        <v>64</v>
      </c>
      <c r="F6600" s="19" t="str">
        <f>IFERROR(__xludf.DUMMYFUNCTION("""COMPUTED_VALUE"""),"BLACK")</f>
        <v>BLACK</v>
      </c>
      <c r="G6600" s="20" t="str">
        <f>IFERROR(__xludf.DUMMYFUNCTION("""COMPUTED_VALUE"""),"Uncle Sams Cider (11/12/2021) 02")</f>
        <v>Uncle Sams Cider (11/12/2021) 02</v>
      </c>
      <c r="H6600" s="19"/>
    </row>
    <row r="6601">
      <c r="A6601" s="9"/>
      <c r="B6601" s="15"/>
      <c r="C6601" s="9">
        <f>IFERROR(__xludf.DUMMYFUNCTION("""COMPUTED_VALUE"""),44535.7635831018)</f>
        <v>44535.76358</v>
      </c>
      <c r="D6601" s="15">
        <f>IFERROR(__xludf.DUMMYFUNCTION("""COMPUTED_VALUE"""),1.032)</f>
        <v>1.032</v>
      </c>
      <c r="E6601" s="16">
        <f>IFERROR(__xludf.DUMMYFUNCTION("""COMPUTED_VALUE"""),64.0)</f>
        <v>64</v>
      </c>
      <c r="F6601" s="19" t="str">
        <f>IFERROR(__xludf.DUMMYFUNCTION("""COMPUTED_VALUE"""),"BLACK")</f>
        <v>BLACK</v>
      </c>
      <c r="G6601" s="20" t="str">
        <f>IFERROR(__xludf.DUMMYFUNCTION("""COMPUTED_VALUE"""),"Uncle Sams Cider (11/12/2021) 02")</f>
        <v>Uncle Sams Cider (11/12/2021) 02</v>
      </c>
      <c r="H6601" s="19"/>
    </row>
    <row r="6602">
      <c r="A6602" s="9"/>
      <c r="B6602" s="15"/>
      <c r="C6602" s="9">
        <f>IFERROR(__xludf.DUMMYFUNCTION("""COMPUTED_VALUE"""),44535.7531606134)</f>
        <v>44535.75316</v>
      </c>
      <c r="D6602" s="15">
        <f>IFERROR(__xludf.DUMMYFUNCTION("""COMPUTED_VALUE"""),1.032)</f>
        <v>1.032</v>
      </c>
      <c r="E6602" s="16">
        <f>IFERROR(__xludf.DUMMYFUNCTION("""COMPUTED_VALUE"""),64.0)</f>
        <v>64</v>
      </c>
      <c r="F6602" s="19" t="str">
        <f>IFERROR(__xludf.DUMMYFUNCTION("""COMPUTED_VALUE"""),"BLACK")</f>
        <v>BLACK</v>
      </c>
      <c r="G6602" s="20" t="str">
        <f>IFERROR(__xludf.DUMMYFUNCTION("""COMPUTED_VALUE"""),"Uncle Sams Cider (11/12/2021) 02")</f>
        <v>Uncle Sams Cider (11/12/2021) 02</v>
      </c>
      <c r="H6602" s="19"/>
    </row>
    <row r="6603">
      <c r="A6603" s="9"/>
      <c r="B6603" s="15"/>
      <c r="C6603" s="9">
        <f>IFERROR(__xludf.DUMMYFUNCTION("""COMPUTED_VALUE"""),44535.7427389814)</f>
        <v>44535.74274</v>
      </c>
      <c r="D6603" s="15">
        <f>IFERROR(__xludf.DUMMYFUNCTION("""COMPUTED_VALUE"""),1.032)</f>
        <v>1.032</v>
      </c>
      <c r="E6603" s="16">
        <f>IFERROR(__xludf.DUMMYFUNCTION("""COMPUTED_VALUE"""),64.0)</f>
        <v>64</v>
      </c>
      <c r="F6603" s="19" t="str">
        <f>IFERROR(__xludf.DUMMYFUNCTION("""COMPUTED_VALUE"""),"BLACK")</f>
        <v>BLACK</v>
      </c>
      <c r="G6603" s="20" t="str">
        <f>IFERROR(__xludf.DUMMYFUNCTION("""COMPUTED_VALUE"""),"Uncle Sams Cider (11/12/2021) 02")</f>
        <v>Uncle Sams Cider (11/12/2021) 02</v>
      </c>
      <c r="H6603" s="19"/>
    </row>
    <row r="6604">
      <c r="A6604" s="9"/>
      <c r="B6604" s="15"/>
      <c r="C6604" s="9">
        <f>IFERROR(__xludf.DUMMYFUNCTION("""COMPUTED_VALUE"""),44535.73230625)</f>
        <v>44535.73231</v>
      </c>
      <c r="D6604" s="15">
        <f>IFERROR(__xludf.DUMMYFUNCTION("""COMPUTED_VALUE"""),1.032)</f>
        <v>1.032</v>
      </c>
      <c r="E6604" s="16">
        <f>IFERROR(__xludf.DUMMYFUNCTION("""COMPUTED_VALUE"""),64.0)</f>
        <v>64</v>
      </c>
      <c r="F6604" s="19" t="str">
        <f>IFERROR(__xludf.DUMMYFUNCTION("""COMPUTED_VALUE"""),"BLACK")</f>
        <v>BLACK</v>
      </c>
      <c r="G6604" s="20" t="str">
        <f>IFERROR(__xludf.DUMMYFUNCTION("""COMPUTED_VALUE"""),"Uncle Sams Cider (11/12/2021) 02")</f>
        <v>Uncle Sams Cider (11/12/2021) 02</v>
      </c>
      <c r="H6604" s="19"/>
    </row>
    <row r="6605">
      <c r="A6605" s="9"/>
      <c r="B6605" s="15"/>
      <c r="C6605" s="9">
        <f>IFERROR(__xludf.DUMMYFUNCTION("""COMPUTED_VALUE"""),44535.7218861689)</f>
        <v>44535.72189</v>
      </c>
      <c r="D6605" s="15">
        <f>IFERROR(__xludf.DUMMYFUNCTION("""COMPUTED_VALUE"""),1.032)</f>
        <v>1.032</v>
      </c>
      <c r="E6605" s="16">
        <f>IFERROR(__xludf.DUMMYFUNCTION("""COMPUTED_VALUE"""),64.0)</f>
        <v>64</v>
      </c>
      <c r="F6605" s="19" t="str">
        <f>IFERROR(__xludf.DUMMYFUNCTION("""COMPUTED_VALUE"""),"BLACK")</f>
        <v>BLACK</v>
      </c>
      <c r="G6605" s="20" t="str">
        <f>IFERROR(__xludf.DUMMYFUNCTION("""COMPUTED_VALUE"""),"Uncle Sams Cider (11/12/2021) 02")</f>
        <v>Uncle Sams Cider (11/12/2021) 02</v>
      </c>
      <c r="H6605" s="19"/>
    </row>
    <row r="6606">
      <c r="A6606" s="9"/>
      <c r="B6606" s="15"/>
      <c r="C6606" s="9">
        <f>IFERROR(__xludf.DUMMYFUNCTION("""COMPUTED_VALUE"""),44535.711455162)</f>
        <v>44535.71146</v>
      </c>
      <c r="D6606" s="15">
        <f>IFERROR(__xludf.DUMMYFUNCTION("""COMPUTED_VALUE"""),1.032)</f>
        <v>1.032</v>
      </c>
      <c r="E6606" s="16">
        <f>IFERROR(__xludf.DUMMYFUNCTION("""COMPUTED_VALUE"""),64.0)</f>
        <v>64</v>
      </c>
      <c r="F6606" s="19" t="str">
        <f>IFERROR(__xludf.DUMMYFUNCTION("""COMPUTED_VALUE"""),"BLACK")</f>
        <v>BLACK</v>
      </c>
      <c r="G6606" s="20" t="str">
        <f>IFERROR(__xludf.DUMMYFUNCTION("""COMPUTED_VALUE"""),"Uncle Sams Cider (11/12/2021) 02")</f>
        <v>Uncle Sams Cider (11/12/2021) 02</v>
      </c>
      <c r="H6606" s="19"/>
    </row>
    <row r="6607">
      <c r="A6607" s="9"/>
      <c r="B6607" s="15"/>
      <c r="C6607" s="9">
        <f>IFERROR(__xludf.DUMMYFUNCTION("""COMPUTED_VALUE"""),44535.7010342592)</f>
        <v>44535.70103</v>
      </c>
      <c r="D6607" s="15">
        <f>IFERROR(__xludf.DUMMYFUNCTION("""COMPUTED_VALUE"""),1.032)</f>
        <v>1.032</v>
      </c>
      <c r="E6607" s="16">
        <f>IFERROR(__xludf.DUMMYFUNCTION("""COMPUTED_VALUE"""),64.0)</f>
        <v>64</v>
      </c>
      <c r="F6607" s="19" t="str">
        <f>IFERROR(__xludf.DUMMYFUNCTION("""COMPUTED_VALUE"""),"BLACK")</f>
        <v>BLACK</v>
      </c>
      <c r="G6607" s="20" t="str">
        <f>IFERROR(__xludf.DUMMYFUNCTION("""COMPUTED_VALUE"""),"Uncle Sams Cider (11/12/2021) 02")</f>
        <v>Uncle Sams Cider (11/12/2021) 02</v>
      </c>
      <c r="H6607" s="19"/>
    </row>
    <row r="6608">
      <c r="A6608" s="9"/>
      <c r="B6608" s="15"/>
      <c r="C6608" s="9">
        <f>IFERROR(__xludf.DUMMYFUNCTION("""COMPUTED_VALUE"""),44535.6906147106)</f>
        <v>44535.69061</v>
      </c>
      <c r="D6608" s="15">
        <f>IFERROR(__xludf.DUMMYFUNCTION("""COMPUTED_VALUE"""),1.032)</f>
        <v>1.032</v>
      </c>
      <c r="E6608" s="16">
        <f>IFERROR(__xludf.DUMMYFUNCTION("""COMPUTED_VALUE"""),64.0)</f>
        <v>64</v>
      </c>
      <c r="F6608" s="19" t="str">
        <f>IFERROR(__xludf.DUMMYFUNCTION("""COMPUTED_VALUE"""),"BLACK")</f>
        <v>BLACK</v>
      </c>
      <c r="G6608" s="20" t="str">
        <f>IFERROR(__xludf.DUMMYFUNCTION("""COMPUTED_VALUE"""),"Uncle Sams Cider (11/12/2021) 02")</f>
        <v>Uncle Sams Cider (11/12/2021) 02</v>
      </c>
      <c r="H6608" s="19"/>
    </row>
    <row r="6609">
      <c r="A6609" s="9"/>
      <c r="B6609" s="15"/>
      <c r="C6609" s="9">
        <f>IFERROR(__xludf.DUMMYFUNCTION("""COMPUTED_VALUE"""),44535.6801936111)</f>
        <v>44535.68019</v>
      </c>
      <c r="D6609" s="15">
        <f>IFERROR(__xludf.DUMMYFUNCTION("""COMPUTED_VALUE"""),1.032)</f>
        <v>1.032</v>
      </c>
      <c r="E6609" s="16">
        <f>IFERROR(__xludf.DUMMYFUNCTION("""COMPUTED_VALUE"""),64.0)</f>
        <v>64</v>
      </c>
      <c r="F6609" s="19" t="str">
        <f>IFERROR(__xludf.DUMMYFUNCTION("""COMPUTED_VALUE"""),"BLACK")</f>
        <v>BLACK</v>
      </c>
      <c r="G6609" s="20" t="str">
        <f>IFERROR(__xludf.DUMMYFUNCTION("""COMPUTED_VALUE"""),"Uncle Sams Cider (11/12/2021) 02")</f>
        <v>Uncle Sams Cider (11/12/2021) 02</v>
      </c>
      <c r="H6609" s="19"/>
    </row>
    <row r="6610">
      <c r="A6610" s="9"/>
      <c r="B6610" s="15"/>
      <c r="C6610" s="9">
        <f>IFERROR(__xludf.DUMMYFUNCTION("""COMPUTED_VALUE"""),44535.6697714004)</f>
        <v>44535.66977</v>
      </c>
      <c r="D6610" s="15">
        <f>IFERROR(__xludf.DUMMYFUNCTION("""COMPUTED_VALUE"""),1.032)</f>
        <v>1.032</v>
      </c>
      <c r="E6610" s="16">
        <f>IFERROR(__xludf.DUMMYFUNCTION("""COMPUTED_VALUE"""),64.0)</f>
        <v>64</v>
      </c>
      <c r="F6610" s="19" t="str">
        <f>IFERROR(__xludf.DUMMYFUNCTION("""COMPUTED_VALUE"""),"BLACK")</f>
        <v>BLACK</v>
      </c>
      <c r="G6610" s="20" t="str">
        <f>IFERROR(__xludf.DUMMYFUNCTION("""COMPUTED_VALUE"""),"Uncle Sams Cider (11/12/2021) 02")</f>
        <v>Uncle Sams Cider (11/12/2021) 02</v>
      </c>
      <c r="H6610" s="19"/>
    </row>
    <row r="6611">
      <c r="A6611" s="9"/>
      <c r="B6611" s="15"/>
      <c r="C6611" s="9">
        <f>IFERROR(__xludf.DUMMYFUNCTION("""COMPUTED_VALUE"""),44535.6593482523)</f>
        <v>44535.65935</v>
      </c>
      <c r="D6611" s="15">
        <f>IFERROR(__xludf.DUMMYFUNCTION("""COMPUTED_VALUE"""),1.032)</f>
        <v>1.032</v>
      </c>
      <c r="E6611" s="16">
        <f>IFERROR(__xludf.DUMMYFUNCTION("""COMPUTED_VALUE"""),64.0)</f>
        <v>64</v>
      </c>
      <c r="F6611" s="19" t="str">
        <f>IFERROR(__xludf.DUMMYFUNCTION("""COMPUTED_VALUE"""),"BLACK")</f>
        <v>BLACK</v>
      </c>
      <c r="G6611" s="20" t="str">
        <f>IFERROR(__xludf.DUMMYFUNCTION("""COMPUTED_VALUE"""),"Uncle Sams Cider (11/12/2021) 02")</f>
        <v>Uncle Sams Cider (11/12/2021) 02</v>
      </c>
      <c r="H6611" s="19"/>
    </row>
    <row r="6612">
      <c r="A6612" s="9"/>
      <c r="B6612" s="15"/>
      <c r="C6612" s="9">
        <f>IFERROR(__xludf.DUMMYFUNCTION("""COMPUTED_VALUE"""),44535.6489265046)</f>
        <v>44535.64893</v>
      </c>
      <c r="D6612" s="15">
        <f>IFERROR(__xludf.DUMMYFUNCTION("""COMPUTED_VALUE"""),1.032)</f>
        <v>1.032</v>
      </c>
      <c r="E6612" s="16">
        <f>IFERROR(__xludf.DUMMYFUNCTION("""COMPUTED_VALUE"""),64.0)</f>
        <v>64</v>
      </c>
      <c r="F6612" s="19" t="str">
        <f>IFERROR(__xludf.DUMMYFUNCTION("""COMPUTED_VALUE"""),"BLACK")</f>
        <v>BLACK</v>
      </c>
      <c r="G6612" s="20" t="str">
        <f>IFERROR(__xludf.DUMMYFUNCTION("""COMPUTED_VALUE"""),"Uncle Sams Cider (11/12/2021) 02")</f>
        <v>Uncle Sams Cider (11/12/2021) 02</v>
      </c>
      <c r="H6612" s="19"/>
    </row>
    <row r="6613">
      <c r="A6613" s="9"/>
      <c r="B6613" s="15"/>
      <c r="C6613" s="9">
        <f>IFERROR(__xludf.DUMMYFUNCTION("""COMPUTED_VALUE"""),44535.6384941087)</f>
        <v>44535.63849</v>
      </c>
      <c r="D6613" s="15">
        <f>IFERROR(__xludf.DUMMYFUNCTION("""COMPUTED_VALUE"""),1.032)</f>
        <v>1.032</v>
      </c>
      <c r="E6613" s="16">
        <f>IFERROR(__xludf.DUMMYFUNCTION("""COMPUTED_VALUE"""),64.0)</f>
        <v>64</v>
      </c>
      <c r="F6613" s="19" t="str">
        <f>IFERROR(__xludf.DUMMYFUNCTION("""COMPUTED_VALUE"""),"BLACK")</f>
        <v>BLACK</v>
      </c>
      <c r="G6613" s="20" t="str">
        <f>IFERROR(__xludf.DUMMYFUNCTION("""COMPUTED_VALUE"""),"Uncle Sams Cider (11/12/2021) 02")</f>
        <v>Uncle Sams Cider (11/12/2021) 02</v>
      </c>
      <c r="H6613" s="19"/>
    </row>
    <row r="6614">
      <c r="A6614" s="9"/>
      <c r="B6614" s="15"/>
      <c r="C6614" s="9">
        <f>IFERROR(__xludf.DUMMYFUNCTION("""COMPUTED_VALUE"""),44535.6280750578)</f>
        <v>44535.62808</v>
      </c>
      <c r="D6614" s="15">
        <f>IFERROR(__xludf.DUMMYFUNCTION("""COMPUTED_VALUE"""),1.032)</f>
        <v>1.032</v>
      </c>
      <c r="E6614" s="16">
        <f>IFERROR(__xludf.DUMMYFUNCTION("""COMPUTED_VALUE"""),64.0)</f>
        <v>64</v>
      </c>
      <c r="F6614" s="19" t="str">
        <f>IFERROR(__xludf.DUMMYFUNCTION("""COMPUTED_VALUE"""),"BLACK")</f>
        <v>BLACK</v>
      </c>
      <c r="G6614" s="20" t="str">
        <f>IFERROR(__xludf.DUMMYFUNCTION("""COMPUTED_VALUE"""),"Uncle Sams Cider (11/12/2021) 02")</f>
        <v>Uncle Sams Cider (11/12/2021) 02</v>
      </c>
      <c r="H6614" s="19"/>
    </row>
    <row r="6615">
      <c r="A6615" s="9"/>
      <c r="B6615" s="15"/>
      <c r="C6615" s="9">
        <f>IFERROR(__xludf.DUMMYFUNCTION("""COMPUTED_VALUE"""),44535.6176558796)</f>
        <v>44535.61766</v>
      </c>
      <c r="D6615" s="15">
        <f>IFERROR(__xludf.DUMMYFUNCTION("""COMPUTED_VALUE"""),1.032)</f>
        <v>1.032</v>
      </c>
      <c r="E6615" s="16">
        <f>IFERROR(__xludf.DUMMYFUNCTION("""COMPUTED_VALUE"""),64.0)</f>
        <v>64</v>
      </c>
      <c r="F6615" s="19" t="str">
        <f>IFERROR(__xludf.DUMMYFUNCTION("""COMPUTED_VALUE"""),"BLACK")</f>
        <v>BLACK</v>
      </c>
      <c r="G6615" s="20" t="str">
        <f>IFERROR(__xludf.DUMMYFUNCTION("""COMPUTED_VALUE"""),"Uncle Sams Cider (11/12/2021) 02")</f>
        <v>Uncle Sams Cider (11/12/2021) 02</v>
      </c>
      <c r="H6615" s="19"/>
    </row>
    <row r="6616">
      <c r="A6616" s="9"/>
      <c r="B6616" s="15"/>
      <c r="C6616" s="9">
        <f>IFERROR(__xludf.DUMMYFUNCTION("""COMPUTED_VALUE"""),44535.6072353587)</f>
        <v>44535.60724</v>
      </c>
      <c r="D6616" s="15">
        <f>IFERROR(__xludf.DUMMYFUNCTION("""COMPUTED_VALUE"""),1.032)</f>
        <v>1.032</v>
      </c>
      <c r="E6616" s="16">
        <f>IFERROR(__xludf.DUMMYFUNCTION("""COMPUTED_VALUE"""),64.0)</f>
        <v>64</v>
      </c>
      <c r="F6616" s="19" t="str">
        <f>IFERROR(__xludf.DUMMYFUNCTION("""COMPUTED_VALUE"""),"BLACK")</f>
        <v>BLACK</v>
      </c>
      <c r="G6616" s="20" t="str">
        <f>IFERROR(__xludf.DUMMYFUNCTION("""COMPUTED_VALUE"""),"Uncle Sams Cider (11/12/2021) 02")</f>
        <v>Uncle Sams Cider (11/12/2021) 02</v>
      </c>
      <c r="H6616" s="19"/>
    </row>
    <row r="6617">
      <c r="A6617" s="9"/>
      <c r="B6617" s="15"/>
      <c r="C6617" s="9">
        <f>IFERROR(__xludf.DUMMYFUNCTION("""COMPUTED_VALUE"""),44535.5968138194)</f>
        <v>44535.59681</v>
      </c>
      <c r="D6617" s="15">
        <f>IFERROR(__xludf.DUMMYFUNCTION("""COMPUTED_VALUE"""),1.032)</f>
        <v>1.032</v>
      </c>
      <c r="E6617" s="16">
        <f>IFERROR(__xludf.DUMMYFUNCTION("""COMPUTED_VALUE"""),64.0)</f>
        <v>64</v>
      </c>
      <c r="F6617" s="19" t="str">
        <f>IFERROR(__xludf.DUMMYFUNCTION("""COMPUTED_VALUE"""),"BLACK")</f>
        <v>BLACK</v>
      </c>
      <c r="G6617" s="20" t="str">
        <f>IFERROR(__xludf.DUMMYFUNCTION("""COMPUTED_VALUE"""),"Uncle Sams Cider (11/12/2021) 02")</f>
        <v>Uncle Sams Cider (11/12/2021) 02</v>
      </c>
      <c r="H6617" s="19"/>
    </row>
    <row r="6618">
      <c r="A6618" s="9"/>
      <c r="B6618" s="15"/>
      <c r="C6618" s="9">
        <f>IFERROR(__xludf.DUMMYFUNCTION("""COMPUTED_VALUE"""),44535.5863687847)</f>
        <v>44535.58637</v>
      </c>
      <c r="D6618" s="15">
        <f>IFERROR(__xludf.DUMMYFUNCTION("""COMPUTED_VALUE"""),1.032)</f>
        <v>1.032</v>
      </c>
      <c r="E6618" s="16">
        <f>IFERROR(__xludf.DUMMYFUNCTION("""COMPUTED_VALUE"""),64.0)</f>
        <v>64</v>
      </c>
      <c r="F6618" s="19" t="str">
        <f>IFERROR(__xludf.DUMMYFUNCTION("""COMPUTED_VALUE"""),"BLACK")</f>
        <v>BLACK</v>
      </c>
      <c r="G6618" s="20" t="str">
        <f>IFERROR(__xludf.DUMMYFUNCTION("""COMPUTED_VALUE"""),"Uncle Sams Cider (11/12/2021) 02")</f>
        <v>Uncle Sams Cider (11/12/2021) 02</v>
      </c>
      <c r="H6618" s="19"/>
    </row>
    <row r="6619">
      <c r="A6619" s="9"/>
      <c r="B6619" s="15"/>
      <c r="C6619" s="9">
        <f>IFERROR(__xludf.DUMMYFUNCTION("""COMPUTED_VALUE"""),44535.5759461805)</f>
        <v>44535.57595</v>
      </c>
      <c r="D6619" s="15">
        <f>IFERROR(__xludf.DUMMYFUNCTION("""COMPUTED_VALUE"""),1.032)</f>
        <v>1.032</v>
      </c>
      <c r="E6619" s="16">
        <f>IFERROR(__xludf.DUMMYFUNCTION("""COMPUTED_VALUE"""),64.0)</f>
        <v>64</v>
      </c>
      <c r="F6619" s="19" t="str">
        <f>IFERROR(__xludf.DUMMYFUNCTION("""COMPUTED_VALUE"""),"BLACK")</f>
        <v>BLACK</v>
      </c>
      <c r="G6619" s="20" t="str">
        <f>IFERROR(__xludf.DUMMYFUNCTION("""COMPUTED_VALUE"""),"Uncle Sams Cider (11/12/2021) 02")</f>
        <v>Uncle Sams Cider (11/12/2021) 02</v>
      </c>
      <c r="H6619" s="19"/>
    </row>
    <row r="6620">
      <c r="A6620" s="9"/>
      <c r="B6620" s="15"/>
      <c r="C6620" s="9">
        <f>IFERROR(__xludf.DUMMYFUNCTION("""COMPUTED_VALUE"""),44535.5655131018)</f>
        <v>44535.56551</v>
      </c>
      <c r="D6620" s="15">
        <f>IFERROR(__xludf.DUMMYFUNCTION("""COMPUTED_VALUE"""),1.032)</f>
        <v>1.032</v>
      </c>
      <c r="E6620" s="16">
        <f>IFERROR(__xludf.DUMMYFUNCTION("""COMPUTED_VALUE"""),64.0)</f>
        <v>64</v>
      </c>
      <c r="F6620" s="19" t="str">
        <f>IFERROR(__xludf.DUMMYFUNCTION("""COMPUTED_VALUE"""),"BLACK")</f>
        <v>BLACK</v>
      </c>
      <c r="G6620" s="20" t="str">
        <f>IFERROR(__xludf.DUMMYFUNCTION("""COMPUTED_VALUE"""),"Uncle Sams Cider (11/12/2021) 02")</f>
        <v>Uncle Sams Cider (11/12/2021) 02</v>
      </c>
      <c r="H6620" s="19"/>
    </row>
    <row r="6621">
      <c r="A6621" s="9"/>
      <c r="B6621" s="15"/>
      <c r="C6621" s="9">
        <f>IFERROR(__xludf.DUMMYFUNCTION("""COMPUTED_VALUE"""),44535.5550912615)</f>
        <v>44535.55509</v>
      </c>
      <c r="D6621" s="15">
        <f>IFERROR(__xludf.DUMMYFUNCTION("""COMPUTED_VALUE"""),1.032)</f>
        <v>1.032</v>
      </c>
      <c r="E6621" s="16">
        <f>IFERROR(__xludf.DUMMYFUNCTION("""COMPUTED_VALUE"""),64.0)</f>
        <v>64</v>
      </c>
      <c r="F6621" s="19" t="str">
        <f>IFERROR(__xludf.DUMMYFUNCTION("""COMPUTED_VALUE"""),"BLACK")</f>
        <v>BLACK</v>
      </c>
      <c r="G6621" s="20" t="str">
        <f>IFERROR(__xludf.DUMMYFUNCTION("""COMPUTED_VALUE"""),"Uncle Sams Cider (11/12/2021) 02")</f>
        <v>Uncle Sams Cider (11/12/2021) 02</v>
      </c>
      <c r="H6621" s="19"/>
    </row>
    <row r="6622">
      <c r="A6622" s="9"/>
      <c r="B6622" s="15"/>
      <c r="C6622" s="9">
        <f>IFERROR(__xludf.DUMMYFUNCTION("""COMPUTED_VALUE"""),44535.5446584143)</f>
        <v>44535.54466</v>
      </c>
      <c r="D6622" s="15">
        <f>IFERROR(__xludf.DUMMYFUNCTION("""COMPUTED_VALUE"""),1.032)</f>
        <v>1.032</v>
      </c>
      <c r="E6622" s="16">
        <f>IFERROR(__xludf.DUMMYFUNCTION("""COMPUTED_VALUE"""),64.0)</f>
        <v>64</v>
      </c>
      <c r="F6622" s="19" t="str">
        <f>IFERROR(__xludf.DUMMYFUNCTION("""COMPUTED_VALUE"""),"BLACK")</f>
        <v>BLACK</v>
      </c>
      <c r="G6622" s="20" t="str">
        <f>IFERROR(__xludf.DUMMYFUNCTION("""COMPUTED_VALUE"""),"Uncle Sams Cider (11/12/2021) 02")</f>
        <v>Uncle Sams Cider (11/12/2021) 02</v>
      </c>
      <c r="H6622" s="19"/>
    </row>
    <row r="6623">
      <c r="A6623" s="9"/>
      <c r="B6623" s="15"/>
      <c r="C6623" s="9">
        <f>IFERROR(__xludf.DUMMYFUNCTION("""COMPUTED_VALUE"""),44535.534225868)</f>
        <v>44535.53423</v>
      </c>
      <c r="D6623" s="15">
        <f>IFERROR(__xludf.DUMMYFUNCTION("""COMPUTED_VALUE"""),1.032)</f>
        <v>1.032</v>
      </c>
      <c r="E6623" s="16">
        <f>IFERROR(__xludf.DUMMYFUNCTION("""COMPUTED_VALUE"""),64.0)</f>
        <v>64</v>
      </c>
      <c r="F6623" s="19" t="str">
        <f>IFERROR(__xludf.DUMMYFUNCTION("""COMPUTED_VALUE"""),"BLACK")</f>
        <v>BLACK</v>
      </c>
      <c r="G6623" s="20" t="str">
        <f>IFERROR(__xludf.DUMMYFUNCTION("""COMPUTED_VALUE"""),"Uncle Sams Cider (11/12/2021) 02")</f>
        <v>Uncle Sams Cider (11/12/2021) 02</v>
      </c>
      <c r="H6623" s="19"/>
    </row>
    <row r="6624">
      <c r="A6624" s="9"/>
      <c r="B6624" s="15"/>
      <c r="C6624" s="9">
        <f>IFERROR(__xludf.DUMMYFUNCTION("""COMPUTED_VALUE"""),44535.5238047338)</f>
        <v>44535.5238</v>
      </c>
      <c r="D6624" s="15">
        <f>IFERROR(__xludf.DUMMYFUNCTION("""COMPUTED_VALUE"""),1.032)</f>
        <v>1.032</v>
      </c>
      <c r="E6624" s="16">
        <f>IFERROR(__xludf.DUMMYFUNCTION("""COMPUTED_VALUE"""),64.0)</f>
        <v>64</v>
      </c>
      <c r="F6624" s="19" t="str">
        <f>IFERROR(__xludf.DUMMYFUNCTION("""COMPUTED_VALUE"""),"BLACK")</f>
        <v>BLACK</v>
      </c>
      <c r="G6624" s="20" t="str">
        <f>IFERROR(__xludf.DUMMYFUNCTION("""COMPUTED_VALUE"""),"Uncle Sams Cider (11/12/2021) 02")</f>
        <v>Uncle Sams Cider (11/12/2021) 02</v>
      </c>
      <c r="H6624" s="19"/>
    </row>
    <row r="6625">
      <c r="A6625" s="9"/>
      <c r="B6625" s="15"/>
      <c r="C6625" s="9">
        <f>IFERROR(__xludf.DUMMYFUNCTION("""COMPUTED_VALUE"""),44535.5133837152)</f>
        <v>44535.51338</v>
      </c>
      <c r="D6625" s="15">
        <f>IFERROR(__xludf.DUMMYFUNCTION("""COMPUTED_VALUE"""),1.032)</f>
        <v>1.032</v>
      </c>
      <c r="E6625" s="16">
        <f>IFERROR(__xludf.DUMMYFUNCTION("""COMPUTED_VALUE"""),64.0)</f>
        <v>64</v>
      </c>
      <c r="F6625" s="19" t="str">
        <f>IFERROR(__xludf.DUMMYFUNCTION("""COMPUTED_VALUE"""),"BLACK")</f>
        <v>BLACK</v>
      </c>
      <c r="G6625" s="20" t="str">
        <f>IFERROR(__xludf.DUMMYFUNCTION("""COMPUTED_VALUE"""),"Uncle Sams Cider (11/12/2021) 02")</f>
        <v>Uncle Sams Cider (11/12/2021) 02</v>
      </c>
      <c r="H6625" s="19"/>
    </row>
    <row r="6626">
      <c r="A6626" s="9"/>
      <c r="B6626" s="15"/>
      <c r="C6626" s="9">
        <f>IFERROR(__xludf.DUMMYFUNCTION("""COMPUTED_VALUE"""),44535.5029382407)</f>
        <v>44535.50294</v>
      </c>
      <c r="D6626" s="15">
        <f>IFERROR(__xludf.DUMMYFUNCTION("""COMPUTED_VALUE"""),1.032)</f>
        <v>1.032</v>
      </c>
      <c r="E6626" s="16">
        <f>IFERROR(__xludf.DUMMYFUNCTION("""COMPUTED_VALUE"""),64.0)</f>
        <v>64</v>
      </c>
      <c r="F6626" s="19" t="str">
        <f>IFERROR(__xludf.DUMMYFUNCTION("""COMPUTED_VALUE"""),"BLACK")</f>
        <v>BLACK</v>
      </c>
      <c r="G6626" s="20" t="str">
        <f>IFERROR(__xludf.DUMMYFUNCTION("""COMPUTED_VALUE"""),"Uncle Sams Cider (11/12/2021) 02")</f>
        <v>Uncle Sams Cider (11/12/2021) 02</v>
      </c>
      <c r="H6626" s="19"/>
    </row>
    <row r="6627">
      <c r="A6627" s="9"/>
      <c r="B6627" s="15"/>
      <c r="C6627" s="9">
        <f>IFERROR(__xludf.DUMMYFUNCTION("""COMPUTED_VALUE"""),44535.4925044791)</f>
        <v>44535.4925</v>
      </c>
      <c r="D6627" s="15">
        <f>IFERROR(__xludf.DUMMYFUNCTION("""COMPUTED_VALUE"""),1.032)</f>
        <v>1.032</v>
      </c>
      <c r="E6627" s="16">
        <f>IFERROR(__xludf.DUMMYFUNCTION("""COMPUTED_VALUE"""),64.0)</f>
        <v>64</v>
      </c>
      <c r="F6627" s="19" t="str">
        <f>IFERROR(__xludf.DUMMYFUNCTION("""COMPUTED_VALUE"""),"BLACK")</f>
        <v>BLACK</v>
      </c>
      <c r="G6627" s="20" t="str">
        <f>IFERROR(__xludf.DUMMYFUNCTION("""COMPUTED_VALUE"""),"Uncle Sams Cider (11/12/2021) 02")</f>
        <v>Uncle Sams Cider (11/12/2021) 02</v>
      </c>
      <c r="H6627" s="19"/>
    </row>
    <row r="6628">
      <c r="A6628" s="9"/>
      <c r="B6628" s="15"/>
      <c r="C6628" s="9">
        <f>IFERROR(__xludf.DUMMYFUNCTION("""COMPUTED_VALUE"""),44535.4820854861)</f>
        <v>44535.48209</v>
      </c>
      <c r="D6628" s="15">
        <f>IFERROR(__xludf.DUMMYFUNCTION("""COMPUTED_VALUE"""),1.032)</f>
        <v>1.032</v>
      </c>
      <c r="E6628" s="16">
        <f>IFERROR(__xludf.DUMMYFUNCTION("""COMPUTED_VALUE"""),64.0)</f>
        <v>64</v>
      </c>
      <c r="F6628" s="19" t="str">
        <f>IFERROR(__xludf.DUMMYFUNCTION("""COMPUTED_VALUE"""),"BLACK")</f>
        <v>BLACK</v>
      </c>
      <c r="G6628" s="20" t="str">
        <f>IFERROR(__xludf.DUMMYFUNCTION("""COMPUTED_VALUE"""),"Uncle Sams Cider (11/12/2021) 02")</f>
        <v>Uncle Sams Cider (11/12/2021) 02</v>
      </c>
      <c r="H6628" s="19"/>
    </row>
    <row r="6629">
      <c r="A6629" s="9"/>
      <c r="B6629" s="15"/>
      <c r="C6629" s="9">
        <f>IFERROR(__xludf.DUMMYFUNCTION("""COMPUTED_VALUE"""),44535.4716639351)</f>
        <v>44535.47166</v>
      </c>
      <c r="D6629" s="15">
        <f>IFERROR(__xludf.DUMMYFUNCTION("""COMPUTED_VALUE"""),1.032)</f>
        <v>1.032</v>
      </c>
      <c r="E6629" s="16">
        <f>IFERROR(__xludf.DUMMYFUNCTION("""COMPUTED_VALUE"""),64.0)</f>
        <v>64</v>
      </c>
      <c r="F6629" s="19" t="str">
        <f>IFERROR(__xludf.DUMMYFUNCTION("""COMPUTED_VALUE"""),"BLACK")</f>
        <v>BLACK</v>
      </c>
      <c r="G6629" s="20" t="str">
        <f>IFERROR(__xludf.DUMMYFUNCTION("""COMPUTED_VALUE"""),"Uncle Sams Cider (11/12/2021) 02")</f>
        <v>Uncle Sams Cider (11/12/2021) 02</v>
      </c>
      <c r="H6629" s="19"/>
    </row>
    <row r="6630">
      <c r="A6630" s="9"/>
      <c r="B6630" s="15"/>
      <c r="C6630" s="9">
        <f>IFERROR(__xludf.DUMMYFUNCTION("""COMPUTED_VALUE"""),44535.4612312037)</f>
        <v>44535.46123</v>
      </c>
      <c r="D6630" s="15">
        <f>IFERROR(__xludf.DUMMYFUNCTION("""COMPUTED_VALUE"""),1.032)</f>
        <v>1.032</v>
      </c>
      <c r="E6630" s="16">
        <f>IFERROR(__xludf.DUMMYFUNCTION("""COMPUTED_VALUE"""),64.0)</f>
        <v>64</v>
      </c>
      <c r="F6630" s="19" t="str">
        <f>IFERROR(__xludf.DUMMYFUNCTION("""COMPUTED_VALUE"""),"BLACK")</f>
        <v>BLACK</v>
      </c>
      <c r="G6630" s="20" t="str">
        <f>IFERROR(__xludf.DUMMYFUNCTION("""COMPUTED_VALUE"""),"Uncle Sams Cider (11/12/2021) 02")</f>
        <v>Uncle Sams Cider (11/12/2021) 02</v>
      </c>
      <c r="H6630" s="19"/>
    </row>
    <row r="6631">
      <c r="A6631" s="9"/>
      <c r="B6631" s="15"/>
      <c r="C6631" s="9">
        <f>IFERROR(__xludf.DUMMYFUNCTION("""COMPUTED_VALUE"""),44535.4508106018)</f>
        <v>44535.45081</v>
      </c>
      <c r="D6631" s="15">
        <f>IFERROR(__xludf.DUMMYFUNCTION("""COMPUTED_VALUE"""),1.032)</f>
        <v>1.032</v>
      </c>
      <c r="E6631" s="16">
        <f>IFERROR(__xludf.DUMMYFUNCTION("""COMPUTED_VALUE"""),64.0)</f>
        <v>64</v>
      </c>
      <c r="F6631" s="19" t="str">
        <f>IFERROR(__xludf.DUMMYFUNCTION("""COMPUTED_VALUE"""),"BLACK")</f>
        <v>BLACK</v>
      </c>
      <c r="G6631" s="20" t="str">
        <f>IFERROR(__xludf.DUMMYFUNCTION("""COMPUTED_VALUE"""),"Uncle Sams Cider (11/12/2021) 02")</f>
        <v>Uncle Sams Cider (11/12/2021) 02</v>
      </c>
      <c r="H6631" s="19"/>
    </row>
    <row r="6632">
      <c r="A6632" s="9"/>
      <c r="B6632" s="15"/>
      <c r="C6632" s="9">
        <f>IFERROR(__xludf.DUMMYFUNCTION("""COMPUTED_VALUE"""),44535.4403771643)</f>
        <v>44535.44038</v>
      </c>
      <c r="D6632" s="15">
        <f>IFERROR(__xludf.DUMMYFUNCTION("""COMPUTED_VALUE"""),1.032)</f>
        <v>1.032</v>
      </c>
      <c r="E6632" s="16">
        <f>IFERROR(__xludf.DUMMYFUNCTION("""COMPUTED_VALUE"""),64.0)</f>
        <v>64</v>
      </c>
      <c r="F6632" s="19" t="str">
        <f>IFERROR(__xludf.DUMMYFUNCTION("""COMPUTED_VALUE"""),"BLACK")</f>
        <v>BLACK</v>
      </c>
      <c r="G6632" s="20" t="str">
        <f>IFERROR(__xludf.DUMMYFUNCTION("""COMPUTED_VALUE"""),"Uncle Sams Cider (11/12/2021) 02")</f>
        <v>Uncle Sams Cider (11/12/2021) 02</v>
      </c>
      <c r="H6632" s="19"/>
    </row>
    <row r="6633">
      <c r="A6633" s="9"/>
      <c r="B6633" s="15"/>
      <c r="C6633" s="9">
        <f>IFERROR(__xludf.DUMMYFUNCTION("""COMPUTED_VALUE"""),44535.4299440393)</f>
        <v>44535.42994</v>
      </c>
      <c r="D6633" s="15">
        <f>IFERROR(__xludf.DUMMYFUNCTION("""COMPUTED_VALUE"""),1.032)</f>
        <v>1.032</v>
      </c>
      <c r="E6633" s="16">
        <f>IFERROR(__xludf.DUMMYFUNCTION("""COMPUTED_VALUE"""),64.0)</f>
        <v>64</v>
      </c>
      <c r="F6633" s="19" t="str">
        <f>IFERROR(__xludf.DUMMYFUNCTION("""COMPUTED_VALUE"""),"BLACK")</f>
        <v>BLACK</v>
      </c>
      <c r="G6633" s="20" t="str">
        <f>IFERROR(__xludf.DUMMYFUNCTION("""COMPUTED_VALUE"""),"Uncle Sams Cider (11/12/2021) 02")</f>
        <v>Uncle Sams Cider (11/12/2021) 02</v>
      </c>
      <c r="H6633" s="19"/>
    </row>
    <row r="6634">
      <c r="A6634" s="9"/>
      <c r="B6634" s="15"/>
      <c r="C6634" s="9">
        <f>IFERROR(__xludf.DUMMYFUNCTION("""COMPUTED_VALUE"""),44535.419510949)</f>
        <v>44535.41951</v>
      </c>
      <c r="D6634" s="15">
        <f>IFERROR(__xludf.DUMMYFUNCTION("""COMPUTED_VALUE"""),1.032)</f>
        <v>1.032</v>
      </c>
      <c r="E6634" s="16">
        <f>IFERROR(__xludf.DUMMYFUNCTION("""COMPUTED_VALUE"""),64.0)</f>
        <v>64</v>
      </c>
      <c r="F6634" s="19" t="str">
        <f>IFERROR(__xludf.DUMMYFUNCTION("""COMPUTED_VALUE"""),"BLACK")</f>
        <v>BLACK</v>
      </c>
      <c r="G6634" s="20" t="str">
        <f>IFERROR(__xludf.DUMMYFUNCTION("""COMPUTED_VALUE"""),"Uncle Sams Cider (11/12/2021) 02")</f>
        <v>Uncle Sams Cider (11/12/2021) 02</v>
      </c>
      <c r="H6634" s="19"/>
    </row>
    <row r="6635">
      <c r="A6635" s="9"/>
      <c r="B6635" s="15"/>
      <c r="C6635" s="9">
        <f>IFERROR(__xludf.DUMMYFUNCTION("""COMPUTED_VALUE"""),44535.409089456)</f>
        <v>44535.40909</v>
      </c>
      <c r="D6635" s="15">
        <f>IFERROR(__xludf.DUMMYFUNCTION("""COMPUTED_VALUE"""),1.032)</f>
        <v>1.032</v>
      </c>
      <c r="E6635" s="16">
        <f>IFERROR(__xludf.DUMMYFUNCTION("""COMPUTED_VALUE"""),64.0)</f>
        <v>64</v>
      </c>
      <c r="F6635" s="19" t="str">
        <f>IFERROR(__xludf.DUMMYFUNCTION("""COMPUTED_VALUE"""),"BLACK")</f>
        <v>BLACK</v>
      </c>
      <c r="G6635" s="20" t="str">
        <f>IFERROR(__xludf.DUMMYFUNCTION("""COMPUTED_VALUE"""),"Uncle Sams Cider (11/12/2021) 02")</f>
        <v>Uncle Sams Cider (11/12/2021) 02</v>
      </c>
      <c r="H6635" s="19"/>
    </row>
    <row r="6636">
      <c r="A6636" s="9"/>
      <c r="B6636" s="15"/>
      <c r="C6636" s="9">
        <f>IFERROR(__xludf.DUMMYFUNCTION("""COMPUTED_VALUE"""),44535.3986694444)</f>
        <v>44535.39867</v>
      </c>
      <c r="D6636" s="15">
        <f>IFERROR(__xludf.DUMMYFUNCTION("""COMPUTED_VALUE"""),1.032)</f>
        <v>1.032</v>
      </c>
      <c r="E6636" s="16">
        <f>IFERROR(__xludf.DUMMYFUNCTION("""COMPUTED_VALUE"""),64.0)</f>
        <v>64</v>
      </c>
      <c r="F6636" s="19" t="str">
        <f>IFERROR(__xludf.DUMMYFUNCTION("""COMPUTED_VALUE"""),"BLACK")</f>
        <v>BLACK</v>
      </c>
      <c r="G6636" s="20" t="str">
        <f>IFERROR(__xludf.DUMMYFUNCTION("""COMPUTED_VALUE"""),"Uncle Sams Cider (11/12/2021) 02")</f>
        <v>Uncle Sams Cider (11/12/2021) 02</v>
      </c>
      <c r="H6636" s="19"/>
    </row>
    <row r="6637">
      <c r="A6637" s="9"/>
      <c r="B6637" s="15"/>
      <c r="C6637" s="9">
        <f>IFERROR(__xludf.DUMMYFUNCTION("""COMPUTED_VALUE"""),44535.3882481712)</f>
        <v>44535.38825</v>
      </c>
      <c r="D6637" s="15">
        <f>IFERROR(__xludf.DUMMYFUNCTION("""COMPUTED_VALUE"""),1.032)</f>
        <v>1.032</v>
      </c>
      <c r="E6637" s="16">
        <f>IFERROR(__xludf.DUMMYFUNCTION("""COMPUTED_VALUE"""),64.0)</f>
        <v>64</v>
      </c>
      <c r="F6637" s="19" t="str">
        <f>IFERROR(__xludf.DUMMYFUNCTION("""COMPUTED_VALUE"""),"BLACK")</f>
        <v>BLACK</v>
      </c>
      <c r="G6637" s="20" t="str">
        <f>IFERROR(__xludf.DUMMYFUNCTION("""COMPUTED_VALUE"""),"Uncle Sams Cider (11/12/2021) 02")</f>
        <v>Uncle Sams Cider (11/12/2021) 02</v>
      </c>
      <c r="H6637" s="19"/>
    </row>
    <row r="6638">
      <c r="A6638" s="9"/>
      <c r="B6638" s="15"/>
      <c r="C6638" s="9">
        <f>IFERROR(__xludf.DUMMYFUNCTION("""COMPUTED_VALUE"""),44535.3778037268)</f>
        <v>44535.3778</v>
      </c>
      <c r="D6638" s="15">
        <f>IFERROR(__xludf.DUMMYFUNCTION("""COMPUTED_VALUE"""),1.032)</f>
        <v>1.032</v>
      </c>
      <c r="E6638" s="16">
        <f>IFERROR(__xludf.DUMMYFUNCTION("""COMPUTED_VALUE"""),64.0)</f>
        <v>64</v>
      </c>
      <c r="F6638" s="19" t="str">
        <f>IFERROR(__xludf.DUMMYFUNCTION("""COMPUTED_VALUE"""),"BLACK")</f>
        <v>BLACK</v>
      </c>
      <c r="G6638" s="20" t="str">
        <f>IFERROR(__xludf.DUMMYFUNCTION("""COMPUTED_VALUE"""),"Uncle Sams Cider (11/12/2021) 02")</f>
        <v>Uncle Sams Cider (11/12/2021) 02</v>
      </c>
      <c r="H6638" s="19"/>
    </row>
    <row r="6639">
      <c r="A6639" s="9"/>
      <c r="B6639" s="15"/>
      <c r="C6639" s="9">
        <f>IFERROR(__xludf.DUMMYFUNCTION("""COMPUTED_VALUE"""),44535.3673834837)</f>
        <v>44535.36738</v>
      </c>
      <c r="D6639" s="15">
        <f>IFERROR(__xludf.DUMMYFUNCTION("""COMPUTED_VALUE"""),1.032)</f>
        <v>1.032</v>
      </c>
      <c r="E6639" s="16">
        <f>IFERROR(__xludf.DUMMYFUNCTION("""COMPUTED_VALUE"""),64.0)</f>
        <v>64</v>
      </c>
      <c r="F6639" s="19" t="str">
        <f>IFERROR(__xludf.DUMMYFUNCTION("""COMPUTED_VALUE"""),"BLACK")</f>
        <v>BLACK</v>
      </c>
      <c r="G6639" s="20" t="str">
        <f>IFERROR(__xludf.DUMMYFUNCTION("""COMPUTED_VALUE"""),"Uncle Sams Cider (11/12/2021) 02")</f>
        <v>Uncle Sams Cider (11/12/2021) 02</v>
      </c>
      <c r="H6639" s="19"/>
    </row>
    <row r="6640">
      <c r="A6640" s="9"/>
      <c r="B6640" s="15"/>
      <c r="C6640" s="9">
        <f>IFERROR(__xludf.DUMMYFUNCTION("""COMPUTED_VALUE"""),44535.356963993)</f>
        <v>44535.35696</v>
      </c>
      <c r="D6640" s="15">
        <f>IFERROR(__xludf.DUMMYFUNCTION("""COMPUTED_VALUE"""),1.032)</f>
        <v>1.032</v>
      </c>
      <c r="E6640" s="16">
        <f>IFERROR(__xludf.DUMMYFUNCTION("""COMPUTED_VALUE"""),64.0)</f>
        <v>64</v>
      </c>
      <c r="F6640" s="19" t="str">
        <f>IFERROR(__xludf.DUMMYFUNCTION("""COMPUTED_VALUE"""),"BLACK")</f>
        <v>BLACK</v>
      </c>
      <c r="G6640" s="20" t="str">
        <f>IFERROR(__xludf.DUMMYFUNCTION("""COMPUTED_VALUE"""),"Uncle Sams Cider (11/12/2021) 02")</f>
        <v>Uncle Sams Cider (11/12/2021) 02</v>
      </c>
      <c r="H6640" s="19"/>
    </row>
    <row r="6641">
      <c r="A6641" s="9"/>
      <c r="B6641" s="15"/>
      <c r="C6641" s="9">
        <f>IFERROR(__xludf.DUMMYFUNCTION("""COMPUTED_VALUE"""),44535.3465323032)</f>
        <v>44535.34653</v>
      </c>
      <c r="D6641" s="15">
        <f>IFERROR(__xludf.DUMMYFUNCTION("""COMPUTED_VALUE"""),1.032)</f>
        <v>1.032</v>
      </c>
      <c r="E6641" s="16">
        <f>IFERROR(__xludf.DUMMYFUNCTION("""COMPUTED_VALUE"""),64.0)</f>
        <v>64</v>
      </c>
      <c r="F6641" s="19" t="str">
        <f>IFERROR(__xludf.DUMMYFUNCTION("""COMPUTED_VALUE"""),"BLACK")</f>
        <v>BLACK</v>
      </c>
      <c r="G6641" s="20" t="str">
        <f>IFERROR(__xludf.DUMMYFUNCTION("""COMPUTED_VALUE"""),"Uncle Sams Cider (11/12/2021) 02")</f>
        <v>Uncle Sams Cider (11/12/2021) 02</v>
      </c>
      <c r="H6641" s="19"/>
    </row>
    <row r="6642">
      <c r="A6642" s="9"/>
      <c r="B6642" s="15"/>
      <c r="C6642" s="9">
        <f>IFERROR(__xludf.DUMMYFUNCTION("""COMPUTED_VALUE"""),44535.3360978009)</f>
        <v>44535.3361</v>
      </c>
      <c r="D6642" s="15">
        <f>IFERROR(__xludf.DUMMYFUNCTION("""COMPUTED_VALUE"""),1.032)</f>
        <v>1.032</v>
      </c>
      <c r="E6642" s="16">
        <f>IFERROR(__xludf.DUMMYFUNCTION("""COMPUTED_VALUE"""),64.0)</f>
        <v>64</v>
      </c>
      <c r="F6642" s="19" t="str">
        <f>IFERROR(__xludf.DUMMYFUNCTION("""COMPUTED_VALUE"""),"BLACK")</f>
        <v>BLACK</v>
      </c>
      <c r="G6642" s="20" t="str">
        <f>IFERROR(__xludf.DUMMYFUNCTION("""COMPUTED_VALUE"""),"Uncle Sams Cider (11/12/2021) 02")</f>
        <v>Uncle Sams Cider (11/12/2021) 02</v>
      </c>
      <c r="H6642" s="19"/>
    </row>
    <row r="6643">
      <c r="A6643" s="9"/>
      <c r="B6643" s="15"/>
      <c r="C6643" s="9">
        <f>IFERROR(__xludf.DUMMYFUNCTION("""COMPUTED_VALUE"""),44535.3256640162)</f>
        <v>44535.32566</v>
      </c>
      <c r="D6643" s="15">
        <f>IFERROR(__xludf.DUMMYFUNCTION("""COMPUTED_VALUE"""),1.032)</f>
        <v>1.032</v>
      </c>
      <c r="E6643" s="16">
        <f>IFERROR(__xludf.DUMMYFUNCTION("""COMPUTED_VALUE"""),64.0)</f>
        <v>64</v>
      </c>
      <c r="F6643" s="19" t="str">
        <f>IFERROR(__xludf.DUMMYFUNCTION("""COMPUTED_VALUE"""),"BLACK")</f>
        <v>BLACK</v>
      </c>
      <c r="G6643" s="20" t="str">
        <f>IFERROR(__xludf.DUMMYFUNCTION("""COMPUTED_VALUE"""),"Uncle Sams Cider (11/12/2021) 02")</f>
        <v>Uncle Sams Cider (11/12/2021) 02</v>
      </c>
      <c r="H6643" s="19"/>
    </row>
    <row r="6644">
      <c r="A6644" s="9"/>
      <c r="B6644" s="15"/>
      <c r="C6644" s="9">
        <f>IFERROR(__xludf.DUMMYFUNCTION("""COMPUTED_VALUE"""),44535.3152426851)</f>
        <v>44535.31524</v>
      </c>
      <c r="D6644" s="15">
        <f>IFERROR(__xludf.DUMMYFUNCTION("""COMPUTED_VALUE"""),1.032)</f>
        <v>1.032</v>
      </c>
      <c r="E6644" s="16">
        <f>IFERROR(__xludf.DUMMYFUNCTION("""COMPUTED_VALUE"""),64.0)</f>
        <v>64</v>
      </c>
      <c r="F6644" s="19" t="str">
        <f>IFERROR(__xludf.DUMMYFUNCTION("""COMPUTED_VALUE"""),"BLACK")</f>
        <v>BLACK</v>
      </c>
      <c r="G6644" s="20" t="str">
        <f>IFERROR(__xludf.DUMMYFUNCTION("""COMPUTED_VALUE"""),"Uncle Sams Cider (11/12/2021) 02")</f>
        <v>Uncle Sams Cider (11/12/2021) 02</v>
      </c>
      <c r="H6644" s="19"/>
    </row>
    <row r="6645">
      <c r="A6645" s="9"/>
      <c r="B6645" s="15"/>
      <c r="C6645" s="9">
        <f>IFERROR(__xludf.DUMMYFUNCTION("""COMPUTED_VALUE"""),44535.304820324)</f>
        <v>44535.30482</v>
      </c>
      <c r="D6645" s="15">
        <f>IFERROR(__xludf.DUMMYFUNCTION("""COMPUTED_VALUE"""),1.032)</f>
        <v>1.032</v>
      </c>
      <c r="E6645" s="16">
        <f>IFERROR(__xludf.DUMMYFUNCTION("""COMPUTED_VALUE"""),64.0)</f>
        <v>64</v>
      </c>
      <c r="F6645" s="19" t="str">
        <f>IFERROR(__xludf.DUMMYFUNCTION("""COMPUTED_VALUE"""),"BLACK")</f>
        <v>BLACK</v>
      </c>
      <c r="G6645" s="20" t="str">
        <f>IFERROR(__xludf.DUMMYFUNCTION("""COMPUTED_VALUE"""),"Uncle Sams Cider (11/12/2021) 02")</f>
        <v>Uncle Sams Cider (11/12/2021) 02</v>
      </c>
      <c r="H6645" s="19"/>
    </row>
    <row r="6646">
      <c r="A6646" s="9"/>
      <c r="B6646" s="15"/>
      <c r="C6646" s="9">
        <f>IFERROR(__xludf.DUMMYFUNCTION("""COMPUTED_VALUE"""),44535.2943884143)</f>
        <v>44535.29439</v>
      </c>
      <c r="D6646" s="15">
        <f>IFERROR(__xludf.DUMMYFUNCTION("""COMPUTED_VALUE"""),1.032)</f>
        <v>1.032</v>
      </c>
      <c r="E6646" s="16">
        <f>IFERROR(__xludf.DUMMYFUNCTION("""COMPUTED_VALUE"""),64.0)</f>
        <v>64</v>
      </c>
      <c r="F6646" s="19" t="str">
        <f>IFERROR(__xludf.DUMMYFUNCTION("""COMPUTED_VALUE"""),"BLACK")</f>
        <v>BLACK</v>
      </c>
      <c r="G6646" s="20" t="str">
        <f>IFERROR(__xludf.DUMMYFUNCTION("""COMPUTED_VALUE"""),"Uncle Sams Cider (11/12/2021) 02")</f>
        <v>Uncle Sams Cider (11/12/2021) 02</v>
      </c>
      <c r="H6646" s="19"/>
    </row>
    <row r="6647">
      <c r="A6647" s="9"/>
      <c r="B6647" s="15"/>
      <c r="C6647" s="9">
        <f>IFERROR(__xludf.DUMMYFUNCTION("""COMPUTED_VALUE"""),44535.2839663194)</f>
        <v>44535.28397</v>
      </c>
      <c r="D6647" s="15">
        <f>IFERROR(__xludf.DUMMYFUNCTION("""COMPUTED_VALUE"""),1.033)</f>
        <v>1.033</v>
      </c>
      <c r="E6647" s="16">
        <f>IFERROR(__xludf.DUMMYFUNCTION("""COMPUTED_VALUE"""),64.0)</f>
        <v>64</v>
      </c>
      <c r="F6647" s="19" t="str">
        <f>IFERROR(__xludf.DUMMYFUNCTION("""COMPUTED_VALUE"""),"BLACK")</f>
        <v>BLACK</v>
      </c>
      <c r="G6647" s="20" t="str">
        <f>IFERROR(__xludf.DUMMYFUNCTION("""COMPUTED_VALUE"""),"Uncle Sams Cider (11/12/2021) 02")</f>
        <v>Uncle Sams Cider (11/12/2021) 02</v>
      </c>
      <c r="H6647" s="19"/>
    </row>
    <row r="6648">
      <c r="A6648" s="9"/>
      <c r="B6648" s="15"/>
      <c r="C6648" s="9">
        <f>IFERROR(__xludf.DUMMYFUNCTION("""COMPUTED_VALUE"""),44535.2735325231)</f>
        <v>44535.27353</v>
      </c>
      <c r="D6648" s="15">
        <f>IFERROR(__xludf.DUMMYFUNCTION("""COMPUTED_VALUE"""),1.032)</f>
        <v>1.032</v>
      </c>
      <c r="E6648" s="16">
        <f>IFERROR(__xludf.DUMMYFUNCTION("""COMPUTED_VALUE"""),64.0)</f>
        <v>64</v>
      </c>
      <c r="F6648" s="19" t="str">
        <f>IFERROR(__xludf.DUMMYFUNCTION("""COMPUTED_VALUE"""),"BLACK")</f>
        <v>BLACK</v>
      </c>
      <c r="G6648" s="20" t="str">
        <f>IFERROR(__xludf.DUMMYFUNCTION("""COMPUTED_VALUE"""),"Uncle Sams Cider (11/12/2021) 02")</f>
        <v>Uncle Sams Cider (11/12/2021) 02</v>
      </c>
      <c r="H6648" s="19"/>
    </row>
    <row r="6649">
      <c r="A6649" s="9"/>
      <c r="B6649" s="15"/>
      <c r="C6649" s="9">
        <f>IFERROR(__xludf.DUMMYFUNCTION("""COMPUTED_VALUE"""),44535.2631112962)</f>
        <v>44535.26311</v>
      </c>
      <c r="D6649" s="15">
        <f>IFERROR(__xludf.DUMMYFUNCTION("""COMPUTED_VALUE"""),1.032)</f>
        <v>1.032</v>
      </c>
      <c r="E6649" s="16">
        <f>IFERROR(__xludf.DUMMYFUNCTION("""COMPUTED_VALUE"""),64.0)</f>
        <v>64</v>
      </c>
      <c r="F6649" s="19" t="str">
        <f>IFERROR(__xludf.DUMMYFUNCTION("""COMPUTED_VALUE"""),"BLACK")</f>
        <v>BLACK</v>
      </c>
      <c r="G6649" s="20" t="str">
        <f>IFERROR(__xludf.DUMMYFUNCTION("""COMPUTED_VALUE"""),"Uncle Sams Cider (11/12/2021) 02")</f>
        <v>Uncle Sams Cider (11/12/2021) 02</v>
      </c>
      <c r="H6649" s="19"/>
    </row>
    <row r="6650">
      <c r="A6650" s="9"/>
      <c r="B6650" s="15"/>
      <c r="C6650" s="9">
        <f>IFERROR(__xludf.DUMMYFUNCTION("""COMPUTED_VALUE"""),44535.252688287)</f>
        <v>44535.25269</v>
      </c>
      <c r="D6650" s="15">
        <f>IFERROR(__xludf.DUMMYFUNCTION("""COMPUTED_VALUE"""),1.032)</f>
        <v>1.032</v>
      </c>
      <c r="E6650" s="16">
        <f>IFERROR(__xludf.DUMMYFUNCTION("""COMPUTED_VALUE"""),64.0)</f>
        <v>64</v>
      </c>
      <c r="F6650" s="19" t="str">
        <f>IFERROR(__xludf.DUMMYFUNCTION("""COMPUTED_VALUE"""),"BLACK")</f>
        <v>BLACK</v>
      </c>
      <c r="G6650" s="20" t="str">
        <f>IFERROR(__xludf.DUMMYFUNCTION("""COMPUTED_VALUE"""),"Uncle Sams Cider (11/12/2021) 02")</f>
        <v>Uncle Sams Cider (11/12/2021) 02</v>
      </c>
      <c r="H6650" s="19"/>
    </row>
    <row r="6651">
      <c r="A6651" s="9"/>
      <c r="B6651" s="15"/>
      <c r="C6651" s="9">
        <f>IFERROR(__xludf.DUMMYFUNCTION("""COMPUTED_VALUE"""),44535.2422655787)</f>
        <v>44535.24227</v>
      </c>
      <c r="D6651" s="15">
        <f>IFERROR(__xludf.DUMMYFUNCTION("""COMPUTED_VALUE"""),1.033)</f>
        <v>1.033</v>
      </c>
      <c r="E6651" s="16">
        <f>IFERROR(__xludf.DUMMYFUNCTION("""COMPUTED_VALUE"""),64.0)</f>
        <v>64</v>
      </c>
      <c r="F6651" s="19" t="str">
        <f>IFERROR(__xludf.DUMMYFUNCTION("""COMPUTED_VALUE"""),"BLACK")</f>
        <v>BLACK</v>
      </c>
      <c r="G6651" s="20" t="str">
        <f>IFERROR(__xludf.DUMMYFUNCTION("""COMPUTED_VALUE"""),"Uncle Sams Cider (11/12/2021) 02")</f>
        <v>Uncle Sams Cider (11/12/2021) 02</v>
      </c>
      <c r="H6651" s="19"/>
    </row>
    <row r="6652">
      <c r="A6652" s="9"/>
      <c r="B6652" s="15"/>
      <c r="C6652" s="9">
        <f>IFERROR(__xludf.DUMMYFUNCTION("""COMPUTED_VALUE"""),44535.2318446643)</f>
        <v>44535.23184</v>
      </c>
      <c r="D6652" s="15">
        <f>IFERROR(__xludf.DUMMYFUNCTION("""COMPUTED_VALUE"""),1.032)</f>
        <v>1.032</v>
      </c>
      <c r="E6652" s="16">
        <f>IFERROR(__xludf.DUMMYFUNCTION("""COMPUTED_VALUE"""),64.0)</f>
        <v>64</v>
      </c>
      <c r="F6652" s="19" t="str">
        <f>IFERROR(__xludf.DUMMYFUNCTION("""COMPUTED_VALUE"""),"BLACK")</f>
        <v>BLACK</v>
      </c>
      <c r="G6652" s="20" t="str">
        <f>IFERROR(__xludf.DUMMYFUNCTION("""COMPUTED_VALUE"""),"Uncle Sams Cider (11/12/2021) 02")</f>
        <v>Uncle Sams Cider (11/12/2021) 02</v>
      </c>
      <c r="H6652" s="19"/>
    </row>
    <row r="6653">
      <c r="A6653" s="9"/>
      <c r="B6653" s="15"/>
      <c r="C6653" s="9">
        <f>IFERROR(__xludf.DUMMYFUNCTION("""COMPUTED_VALUE"""),44535.2214237847)</f>
        <v>44535.22142</v>
      </c>
      <c r="D6653" s="15">
        <f>IFERROR(__xludf.DUMMYFUNCTION("""COMPUTED_VALUE"""),1.032)</f>
        <v>1.032</v>
      </c>
      <c r="E6653" s="16">
        <f>IFERROR(__xludf.DUMMYFUNCTION("""COMPUTED_VALUE"""),64.0)</f>
        <v>64</v>
      </c>
      <c r="F6653" s="19" t="str">
        <f>IFERROR(__xludf.DUMMYFUNCTION("""COMPUTED_VALUE"""),"BLACK")</f>
        <v>BLACK</v>
      </c>
      <c r="G6653" s="20" t="str">
        <f>IFERROR(__xludf.DUMMYFUNCTION("""COMPUTED_VALUE"""),"Uncle Sams Cider (11/12/2021) 02")</f>
        <v>Uncle Sams Cider (11/12/2021) 02</v>
      </c>
      <c r="H6653" s="19"/>
    </row>
    <row r="6654">
      <c r="A6654" s="9"/>
      <c r="B6654" s="15"/>
      <c r="C6654" s="9">
        <f>IFERROR(__xludf.DUMMYFUNCTION("""COMPUTED_VALUE"""),44535.2109931597)</f>
        <v>44535.21099</v>
      </c>
      <c r="D6654" s="15">
        <f>IFERROR(__xludf.DUMMYFUNCTION("""COMPUTED_VALUE"""),1.032)</f>
        <v>1.032</v>
      </c>
      <c r="E6654" s="16">
        <f>IFERROR(__xludf.DUMMYFUNCTION("""COMPUTED_VALUE"""),64.0)</f>
        <v>64</v>
      </c>
      <c r="F6654" s="19" t="str">
        <f>IFERROR(__xludf.DUMMYFUNCTION("""COMPUTED_VALUE"""),"BLACK")</f>
        <v>BLACK</v>
      </c>
      <c r="G6654" s="20" t="str">
        <f>IFERROR(__xludf.DUMMYFUNCTION("""COMPUTED_VALUE"""),"Uncle Sams Cider (11/12/2021) 02")</f>
        <v>Uncle Sams Cider (11/12/2021) 02</v>
      </c>
      <c r="H6654" s="19"/>
    </row>
    <row r="6655">
      <c r="A6655" s="9"/>
      <c r="B6655" s="15"/>
      <c r="C6655" s="9">
        <f>IFERROR(__xludf.DUMMYFUNCTION("""COMPUTED_VALUE"""),44535.2005596412)</f>
        <v>44535.20056</v>
      </c>
      <c r="D6655" s="15">
        <f>IFERROR(__xludf.DUMMYFUNCTION("""COMPUTED_VALUE"""),1.032)</f>
        <v>1.032</v>
      </c>
      <c r="E6655" s="16">
        <f>IFERROR(__xludf.DUMMYFUNCTION("""COMPUTED_VALUE"""),64.0)</f>
        <v>64</v>
      </c>
      <c r="F6655" s="19" t="str">
        <f>IFERROR(__xludf.DUMMYFUNCTION("""COMPUTED_VALUE"""),"BLACK")</f>
        <v>BLACK</v>
      </c>
      <c r="G6655" s="20" t="str">
        <f>IFERROR(__xludf.DUMMYFUNCTION("""COMPUTED_VALUE"""),"Uncle Sams Cider (11/12/2021) 02")</f>
        <v>Uncle Sams Cider (11/12/2021) 02</v>
      </c>
      <c r="H6655" s="19"/>
    </row>
    <row r="6656">
      <c r="A6656" s="9"/>
      <c r="B6656" s="15"/>
      <c r="C6656" s="9">
        <f>IFERROR(__xludf.DUMMYFUNCTION("""COMPUTED_VALUE"""),44535.1901255787)</f>
        <v>44535.19013</v>
      </c>
      <c r="D6656" s="15">
        <f>IFERROR(__xludf.DUMMYFUNCTION("""COMPUTED_VALUE"""),1.033)</f>
        <v>1.033</v>
      </c>
      <c r="E6656" s="16">
        <f>IFERROR(__xludf.DUMMYFUNCTION("""COMPUTED_VALUE"""),64.0)</f>
        <v>64</v>
      </c>
      <c r="F6656" s="19" t="str">
        <f>IFERROR(__xludf.DUMMYFUNCTION("""COMPUTED_VALUE"""),"BLACK")</f>
        <v>BLACK</v>
      </c>
      <c r="G6656" s="20" t="str">
        <f>IFERROR(__xludf.DUMMYFUNCTION("""COMPUTED_VALUE"""),"Uncle Sams Cider (11/12/2021) 02")</f>
        <v>Uncle Sams Cider (11/12/2021) 02</v>
      </c>
      <c r="H6656" s="19"/>
    </row>
    <row r="6657">
      <c r="A6657" s="9"/>
      <c r="B6657" s="15"/>
      <c r="C6657" s="9">
        <f>IFERROR(__xludf.DUMMYFUNCTION("""COMPUTED_VALUE"""),44535.1797053472)</f>
        <v>44535.17971</v>
      </c>
      <c r="D6657" s="15">
        <f>IFERROR(__xludf.DUMMYFUNCTION("""COMPUTED_VALUE"""),1.033)</f>
        <v>1.033</v>
      </c>
      <c r="E6657" s="16">
        <f>IFERROR(__xludf.DUMMYFUNCTION("""COMPUTED_VALUE"""),64.0)</f>
        <v>64</v>
      </c>
      <c r="F6657" s="19" t="str">
        <f>IFERROR(__xludf.DUMMYFUNCTION("""COMPUTED_VALUE"""),"BLACK")</f>
        <v>BLACK</v>
      </c>
      <c r="G6657" s="20" t="str">
        <f>IFERROR(__xludf.DUMMYFUNCTION("""COMPUTED_VALUE"""),"Uncle Sams Cider (11/12/2021) 02")</f>
        <v>Uncle Sams Cider (11/12/2021) 02</v>
      </c>
      <c r="H6657" s="19"/>
    </row>
    <row r="6658">
      <c r="A6658" s="9"/>
      <c r="B6658" s="15"/>
      <c r="C6658" s="9">
        <f>IFERROR(__xludf.DUMMYFUNCTION("""COMPUTED_VALUE"""),44535.1692842476)</f>
        <v>44535.16928</v>
      </c>
      <c r="D6658" s="15">
        <f>IFERROR(__xludf.DUMMYFUNCTION("""COMPUTED_VALUE"""),1.033)</f>
        <v>1.033</v>
      </c>
      <c r="E6658" s="16">
        <f>IFERROR(__xludf.DUMMYFUNCTION("""COMPUTED_VALUE"""),64.0)</f>
        <v>64</v>
      </c>
      <c r="F6658" s="19" t="str">
        <f>IFERROR(__xludf.DUMMYFUNCTION("""COMPUTED_VALUE"""),"BLACK")</f>
        <v>BLACK</v>
      </c>
      <c r="G6658" s="20" t="str">
        <f>IFERROR(__xludf.DUMMYFUNCTION("""COMPUTED_VALUE"""),"Uncle Sams Cider (11/12/2021) 02")</f>
        <v>Uncle Sams Cider (11/12/2021) 02</v>
      </c>
      <c r="H6658" s="19"/>
    </row>
    <row r="6659">
      <c r="A6659" s="9"/>
      <c r="B6659" s="15"/>
      <c r="C6659" s="9">
        <f>IFERROR(__xludf.DUMMYFUNCTION("""COMPUTED_VALUE"""),44535.158852905)</f>
        <v>44535.15885</v>
      </c>
      <c r="D6659" s="15">
        <f>IFERROR(__xludf.DUMMYFUNCTION("""COMPUTED_VALUE"""),1.033)</f>
        <v>1.033</v>
      </c>
      <c r="E6659" s="16">
        <f>IFERROR(__xludf.DUMMYFUNCTION("""COMPUTED_VALUE"""),64.0)</f>
        <v>64</v>
      </c>
      <c r="F6659" s="19" t="str">
        <f>IFERROR(__xludf.DUMMYFUNCTION("""COMPUTED_VALUE"""),"BLACK")</f>
        <v>BLACK</v>
      </c>
      <c r="G6659" s="20" t="str">
        <f>IFERROR(__xludf.DUMMYFUNCTION("""COMPUTED_VALUE"""),"Uncle Sams Cider (11/12/2021) 02")</f>
        <v>Uncle Sams Cider (11/12/2021) 02</v>
      </c>
      <c r="H6659" s="19"/>
    </row>
    <row r="6660">
      <c r="A6660" s="9"/>
      <c r="B6660" s="15"/>
      <c r="C6660" s="9">
        <f>IFERROR(__xludf.DUMMYFUNCTION("""COMPUTED_VALUE"""),44535.1484313194)</f>
        <v>44535.14843</v>
      </c>
      <c r="D6660" s="15">
        <f>IFERROR(__xludf.DUMMYFUNCTION("""COMPUTED_VALUE"""),1.033)</f>
        <v>1.033</v>
      </c>
      <c r="E6660" s="16">
        <f>IFERROR(__xludf.DUMMYFUNCTION("""COMPUTED_VALUE"""),64.0)</f>
        <v>64</v>
      </c>
      <c r="F6660" s="19" t="str">
        <f>IFERROR(__xludf.DUMMYFUNCTION("""COMPUTED_VALUE"""),"BLACK")</f>
        <v>BLACK</v>
      </c>
      <c r="G6660" s="20" t="str">
        <f>IFERROR(__xludf.DUMMYFUNCTION("""COMPUTED_VALUE"""),"Uncle Sams Cider (11/12/2021) 02")</f>
        <v>Uncle Sams Cider (11/12/2021) 02</v>
      </c>
      <c r="H6660" s="19"/>
    </row>
    <row r="6661">
      <c r="A6661" s="9"/>
      <c r="B6661" s="15"/>
      <c r="C6661" s="9">
        <f>IFERROR(__xludf.DUMMYFUNCTION("""COMPUTED_VALUE"""),44535.1379991319)</f>
        <v>44535.138</v>
      </c>
      <c r="D6661" s="15">
        <f>IFERROR(__xludf.DUMMYFUNCTION("""COMPUTED_VALUE"""),1.033)</f>
        <v>1.033</v>
      </c>
      <c r="E6661" s="16">
        <f>IFERROR(__xludf.DUMMYFUNCTION("""COMPUTED_VALUE"""),64.0)</f>
        <v>64</v>
      </c>
      <c r="F6661" s="19" t="str">
        <f>IFERROR(__xludf.DUMMYFUNCTION("""COMPUTED_VALUE"""),"BLACK")</f>
        <v>BLACK</v>
      </c>
      <c r="G6661" s="20" t="str">
        <f>IFERROR(__xludf.DUMMYFUNCTION("""COMPUTED_VALUE"""),"Uncle Sams Cider (11/12/2021) 02")</f>
        <v>Uncle Sams Cider (11/12/2021) 02</v>
      </c>
      <c r="H6661" s="19"/>
    </row>
    <row r="6662">
      <c r="A6662" s="9"/>
      <c r="B6662" s="15"/>
      <c r="C6662" s="9">
        <f>IFERROR(__xludf.DUMMYFUNCTION("""COMPUTED_VALUE"""),44535.1275422222)</f>
        <v>44535.12754</v>
      </c>
      <c r="D6662" s="15">
        <f>IFERROR(__xludf.DUMMYFUNCTION("""COMPUTED_VALUE"""),1.033)</f>
        <v>1.033</v>
      </c>
      <c r="E6662" s="16">
        <f>IFERROR(__xludf.DUMMYFUNCTION("""COMPUTED_VALUE"""),64.0)</f>
        <v>64</v>
      </c>
      <c r="F6662" s="19" t="str">
        <f>IFERROR(__xludf.DUMMYFUNCTION("""COMPUTED_VALUE"""),"BLACK")</f>
        <v>BLACK</v>
      </c>
      <c r="G6662" s="20" t="str">
        <f>IFERROR(__xludf.DUMMYFUNCTION("""COMPUTED_VALUE"""),"Uncle Sams Cider (11/12/2021) 02")</f>
        <v>Uncle Sams Cider (11/12/2021) 02</v>
      </c>
      <c r="H6662" s="19"/>
    </row>
    <row r="6663">
      <c r="A6663" s="9"/>
      <c r="B6663" s="15"/>
      <c r="C6663" s="9">
        <f>IFERROR(__xludf.DUMMYFUNCTION("""COMPUTED_VALUE"""),44535.1170868402)</f>
        <v>44535.11709</v>
      </c>
      <c r="D6663" s="15">
        <f>IFERROR(__xludf.DUMMYFUNCTION("""COMPUTED_VALUE"""),1.033)</f>
        <v>1.033</v>
      </c>
      <c r="E6663" s="16">
        <f>IFERROR(__xludf.DUMMYFUNCTION("""COMPUTED_VALUE"""),64.0)</f>
        <v>64</v>
      </c>
      <c r="F6663" s="19" t="str">
        <f>IFERROR(__xludf.DUMMYFUNCTION("""COMPUTED_VALUE"""),"BLACK")</f>
        <v>BLACK</v>
      </c>
      <c r="G6663" s="20" t="str">
        <f>IFERROR(__xludf.DUMMYFUNCTION("""COMPUTED_VALUE"""),"Uncle Sams Cider (11/12/2021) 02")</f>
        <v>Uncle Sams Cider (11/12/2021) 02</v>
      </c>
      <c r="H6663" s="19"/>
    </row>
    <row r="6664">
      <c r="A6664" s="9"/>
      <c r="B6664" s="15"/>
      <c r="C6664" s="9">
        <f>IFERROR(__xludf.DUMMYFUNCTION("""COMPUTED_VALUE"""),44535.1066542245)</f>
        <v>44535.10665</v>
      </c>
      <c r="D6664" s="15">
        <f>IFERROR(__xludf.DUMMYFUNCTION("""COMPUTED_VALUE"""),1.033)</f>
        <v>1.033</v>
      </c>
      <c r="E6664" s="16">
        <f>IFERROR(__xludf.DUMMYFUNCTION("""COMPUTED_VALUE"""),64.0)</f>
        <v>64</v>
      </c>
      <c r="F6664" s="19" t="str">
        <f>IFERROR(__xludf.DUMMYFUNCTION("""COMPUTED_VALUE"""),"BLACK")</f>
        <v>BLACK</v>
      </c>
      <c r="G6664" s="20" t="str">
        <f>IFERROR(__xludf.DUMMYFUNCTION("""COMPUTED_VALUE"""),"Uncle Sams Cider (11/12/2021) 02")</f>
        <v>Uncle Sams Cider (11/12/2021) 02</v>
      </c>
      <c r="H6664" s="19"/>
    </row>
    <row r="6665">
      <c r="A6665" s="9"/>
      <c r="B6665" s="15"/>
      <c r="C6665" s="9">
        <f>IFERROR(__xludf.DUMMYFUNCTION("""COMPUTED_VALUE"""),44535.0962213888)</f>
        <v>44535.09622</v>
      </c>
      <c r="D6665" s="15">
        <f>IFERROR(__xludf.DUMMYFUNCTION("""COMPUTED_VALUE"""),1.033)</f>
        <v>1.033</v>
      </c>
      <c r="E6665" s="16">
        <f>IFERROR(__xludf.DUMMYFUNCTION("""COMPUTED_VALUE"""),64.0)</f>
        <v>64</v>
      </c>
      <c r="F6665" s="19" t="str">
        <f>IFERROR(__xludf.DUMMYFUNCTION("""COMPUTED_VALUE"""),"BLACK")</f>
        <v>BLACK</v>
      </c>
      <c r="G6665" s="20" t="str">
        <f>IFERROR(__xludf.DUMMYFUNCTION("""COMPUTED_VALUE"""),"Uncle Sams Cider (11/12/2021) 02")</f>
        <v>Uncle Sams Cider (11/12/2021) 02</v>
      </c>
      <c r="H6665" s="19"/>
    </row>
    <row r="6666">
      <c r="A6666" s="9"/>
      <c r="B6666" s="15"/>
      <c r="C6666" s="9">
        <f>IFERROR(__xludf.DUMMYFUNCTION("""COMPUTED_VALUE"""),44535.0857995023)</f>
        <v>44535.0858</v>
      </c>
      <c r="D6666" s="15">
        <f>IFERROR(__xludf.DUMMYFUNCTION("""COMPUTED_VALUE"""),1.033)</f>
        <v>1.033</v>
      </c>
      <c r="E6666" s="16">
        <f>IFERROR(__xludf.DUMMYFUNCTION("""COMPUTED_VALUE"""),64.0)</f>
        <v>64</v>
      </c>
      <c r="F6666" s="19" t="str">
        <f>IFERROR(__xludf.DUMMYFUNCTION("""COMPUTED_VALUE"""),"BLACK")</f>
        <v>BLACK</v>
      </c>
      <c r="G6666" s="20" t="str">
        <f>IFERROR(__xludf.DUMMYFUNCTION("""COMPUTED_VALUE"""),"Uncle Sams Cider (11/12/2021) 02")</f>
        <v>Uncle Sams Cider (11/12/2021) 02</v>
      </c>
      <c r="H6666" s="19"/>
    </row>
    <row r="6667">
      <c r="A6667" s="9"/>
      <c r="B6667" s="15"/>
      <c r="C6667" s="9">
        <f>IFERROR(__xludf.DUMMYFUNCTION("""COMPUTED_VALUE"""),44535.0753774421)</f>
        <v>44535.07538</v>
      </c>
      <c r="D6667" s="15">
        <f>IFERROR(__xludf.DUMMYFUNCTION("""COMPUTED_VALUE"""),1.033)</f>
        <v>1.033</v>
      </c>
      <c r="E6667" s="16">
        <f>IFERROR(__xludf.DUMMYFUNCTION("""COMPUTED_VALUE"""),64.0)</f>
        <v>64</v>
      </c>
      <c r="F6667" s="19" t="str">
        <f>IFERROR(__xludf.DUMMYFUNCTION("""COMPUTED_VALUE"""),"BLACK")</f>
        <v>BLACK</v>
      </c>
      <c r="G6667" s="20" t="str">
        <f>IFERROR(__xludf.DUMMYFUNCTION("""COMPUTED_VALUE"""),"Uncle Sams Cider (11/12/2021) 02")</f>
        <v>Uncle Sams Cider (11/12/2021) 02</v>
      </c>
      <c r="H6667" s="19"/>
    </row>
    <row r="6668">
      <c r="A6668" s="9"/>
      <c r="B6668" s="15"/>
      <c r="C6668" s="9">
        <f>IFERROR(__xludf.DUMMYFUNCTION("""COMPUTED_VALUE"""),44535.0649446759)</f>
        <v>44535.06494</v>
      </c>
      <c r="D6668" s="15">
        <f>IFERROR(__xludf.DUMMYFUNCTION("""COMPUTED_VALUE"""),1.033)</f>
        <v>1.033</v>
      </c>
      <c r="E6668" s="16">
        <f>IFERROR(__xludf.DUMMYFUNCTION("""COMPUTED_VALUE"""),64.0)</f>
        <v>64</v>
      </c>
      <c r="F6668" s="19" t="str">
        <f>IFERROR(__xludf.DUMMYFUNCTION("""COMPUTED_VALUE"""),"BLACK")</f>
        <v>BLACK</v>
      </c>
      <c r="G6668" s="20" t="str">
        <f>IFERROR(__xludf.DUMMYFUNCTION("""COMPUTED_VALUE"""),"Uncle Sams Cider (11/12/2021) 02")</f>
        <v>Uncle Sams Cider (11/12/2021) 02</v>
      </c>
      <c r="H6668" s="19"/>
    </row>
    <row r="6669">
      <c r="A6669" s="9"/>
      <c r="B6669" s="15"/>
      <c r="C6669" s="9">
        <f>IFERROR(__xludf.DUMMYFUNCTION("""COMPUTED_VALUE"""),44535.0545223726)</f>
        <v>44535.05452</v>
      </c>
      <c r="D6669" s="15">
        <f>IFERROR(__xludf.DUMMYFUNCTION("""COMPUTED_VALUE"""),1.033)</f>
        <v>1.033</v>
      </c>
      <c r="E6669" s="16">
        <f>IFERROR(__xludf.DUMMYFUNCTION("""COMPUTED_VALUE"""),64.0)</f>
        <v>64</v>
      </c>
      <c r="F6669" s="19" t="str">
        <f>IFERROR(__xludf.DUMMYFUNCTION("""COMPUTED_VALUE"""),"BLACK")</f>
        <v>BLACK</v>
      </c>
      <c r="G6669" s="20" t="str">
        <f>IFERROR(__xludf.DUMMYFUNCTION("""COMPUTED_VALUE"""),"Uncle Sams Cider (11/12/2021) 02")</f>
        <v>Uncle Sams Cider (11/12/2021) 02</v>
      </c>
      <c r="H6669" s="19"/>
    </row>
    <row r="6670">
      <c r="A6670" s="9"/>
      <c r="B6670" s="15"/>
      <c r="C6670" s="9">
        <f>IFERROR(__xludf.DUMMYFUNCTION("""COMPUTED_VALUE"""),44535.0441022569)</f>
        <v>44535.0441</v>
      </c>
      <c r="D6670" s="15">
        <f>IFERROR(__xludf.DUMMYFUNCTION("""COMPUTED_VALUE"""),1.033)</f>
        <v>1.033</v>
      </c>
      <c r="E6670" s="16">
        <f>IFERROR(__xludf.DUMMYFUNCTION("""COMPUTED_VALUE"""),64.0)</f>
        <v>64</v>
      </c>
      <c r="F6670" s="19" t="str">
        <f>IFERROR(__xludf.DUMMYFUNCTION("""COMPUTED_VALUE"""),"BLACK")</f>
        <v>BLACK</v>
      </c>
      <c r="G6670" s="20" t="str">
        <f>IFERROR(__xludf.DUMMYFUNCTION("""COMPUTED_VALUE"""),"Uncle Sams Cider (11/12/2021) 02")</f>
        <v>Uncle Sams Cider (11/12/2021) 02</v>
      </c>
      <c r="H6670" s="19"/>
    </row>
    <row r="6671">
      <c r="A6671" s="9"/>
      <c r="B6671" s="15"/>
      <c r="C6671" s="9">
        <f>IFERROR(__xludf.DUMMYFUNCTION("""COMPUTED_VALUE"""),44535.0336707407)</f>
        <v>44535.03367</v>
      </c>
      <c r="D6671" s="15">
        <f>IFERROR(__xludf.DUMMYFUNCTION("""COMPUTED_VALUE"""),1.033)</f>
        <v>1.033</v>
      </c>
      <c r="E6671" s="16">
        <f>IFERROR(__xludf.DUMMYFUNCTION("""COMPUTED_VALUE"""),64.0)</f>
        <v>64</v>
      </c>
      <c r="F6671" s="19" t="str">
        <f>IFERROR(__xludf.DUMMYFUNCTION("""COMPUTED_VALUE"""),"BLACK")</f>
        <v>BLACK</v>
      </c>
      <c r="G6671" s="20" t="str">
        <f>IFERROR(__xludf.DUMMYFUNCTION("""COMPUTED_VALUE"""),"Uncle Sams Cider (11/12/2021) 02")</f>
        <v>Uncle Sams Cider (11/12/2021) 02</v>
      </c>
      <c r="H6671" s="19"/>
    </row>
    <row r="6672">
      <c r="A6672" s="9"/>
      <c r="B6672" s="15"/>
      <c r="C6672" s="9">
        <f>IFERROR(__xludf.DUMMYFUNCTION("""COMPUTED_VALUE"""),44535.0232501967)</f>
        <v>44535.02325</v>
      </c>
      <c r="D6672" s="15">
        <f>IFERROR(__xludf.DUMMYFUNCTION("""COMPUTED_VALUE"""),1.033)</f>
        <v>1.033</v>
      </c>
      <c r="E6672" s="16">
        <f>IFERROR(__xludf.DUMMYFUNCTION("""COMPUTED_VALUE"""),64.0)</f>
        <v>64</v>
      </c>
      <c r="F6672" s="19" t="str">
        <f>IFERROR(__xludf.DUMMYFUNCTION("""COMPUTED_VALUE"""),"BLACK")</f>
        <v>BLACK</v>
      </c>
      <c r="G6672" s="20" t="str">
        <f>IFERROR(__xludf.DUMMYFUNCTION("""COMPUTED_VALUE"""),"Uncle Sams Cider (11/12/2021) 02")</f>
        <v>Uncle Sams Cider (11/12/2021) 02</v>
      </c>
      <c r="H6672" s="19"/>
    </row>
    <row r="6673">
      <c r="A6673" s="9"/>
      <c r="B6673" s="15"/>
      <c r="C6673" s="9">
        <f>IFERROR(__xludf.DUMMYFUNCTION("""COMPUTED_VALUE"""),44535.0128177893)</f>
        <v>44535.01282</v>
      </c>
      <c r="D6673" s="15">
        <f>IFERROR(__xludf.DUMMYFUNCTION("""COMPUTED_VALUE"""),1.033)</f>
        <v>1.033</v>
      </c>
      <c r="E6673" s="16">
        <f>IFERROR(__xludf.DUMMYFUNCTION("""COMPUTED_VALUE"""),64.0)</f>
        <v>64</v>
      </c>
      <c r="F6673" s="19" t="str">
        <f>IFERROR(__xludf.DUMMYFUNCTION("""COMPUTED_VALUE"""),"BLACK")</f>
        <v>BLACK</v>
      </c>
      <c r="G6673" s="20" t="str">
        <f>IFERROR(__xludf.DUMMYFUNCTION("""COMPUTED_VALUE"""),"Uncle Sams Cider (11/12/2021) 02")</f>
        <v>Uncle Sams Cider (11/12/2021) 02</v>
      </c>
      <c r="H6673" s="19"/>
    </row>
    <row r="6674">
      <c r="A6674" s="9"/>
      <c r="B6674" s="15"/>
      <c r="C6674" s="9">
        <f>IFERROR(__xludf.DUMMYFUNCTION("""COMPUTED_VALUE"""),44535.0023731944)</f>
        <v>44535.00237</v>
      </c>
      <c r="D6674" s="15">
        <f>IFERROR(__xludf.DUMMYFUNCTION("""COMPUTED_VALUE"""),1.033)</f>
        <v>1.033</v>
      </c>
      <c r="E6674" s="16">
        <f>IFERROR(__xludf.DUMMYFUNCTION("""COMPUTED_VALUE"""),64.0)</f>
        <v>64</v>
      </c>
      <c r="F6674" s="19" t="str">
        <f>IFERROR(__xludf.DUMMYFUNCTION("""COMPUTED_VALUE"""),"BLACK")</f>
        <v>BLACK</v>
      </c>
      <c r="G6674" s="20" t="str">
        <f>IFERROR(__xludf.DUMMYFUNCTION("""COMPUTED_VALUE"""),"Uncle Sams Cider (11/12/2021) 02")</f>
        <v>Uncle Sams Cider (11/12/2021) 02</v>
      </c>
      <c r="H6674" s="19"/>
    </row>
    <row r="6675">
      <c r="A6675" s="9"/>
      <c r="B6675" s="15"/>
      <c r="C6675" s="9">
        <f>IFERROR(__xludf.DUMMYFUNCTION("""COMPUTED_VALUE"""),44534.991938449)</f>
        <v>44534.99194</v>
      </c>
      <c r="D6675" s="15">
        <f>IFERROR(__xludf.DUMMYFUNCTION("""COMPUTED_VALUE"""),1.033)</f>
        <v>1.033</v>
      </c>
      <c r="E6675" s="16">
        <f>IFERROR(__xludf.DUMMYFUNCTION("""COMPUTED_VALUE"""),64.0)</f>
        <v>64</v>
      </c>
      <c r="F6675" s="19" t="str">
        <f>IFERROR(__xludf.DUMMYFUNCTION("""COMPUTED_VALUE"""),"BLACK")</f>
        <v>BLACK</v>
      </c>
      <c r="G6675" s="20" t="str">
        <f>IFERROR(__xludf.DUMMYFUNCTION("""COMPUTED_VALUE"""),"Uncle Sams Cider (11/12/2021) 02")</f>
        <v>Uncle Sams Cider (11/12/2021) 02</v>
      </c>
      <c r="H6675" s="19"/>
    </row>
    <row r="6676">
      <c r="A6676" s="9"/>
      <c r="B6676" s="15"/>
      <c r="C6676" s="9">
        <f>IFERROR(__xludf.DUMMYFUNCTION("""COMPUTED_VALUE"""),44534.9815165625)</f>
        <v>44534.98152</v>
      </c>
      <c r="D6676" s="15">
        <f>IFERROR(__xludf.DUMMYFUNCTION("""COMPUTED_VALUE"""),1.033)</f>
        <v>1.033</v>
      </c>
      <c r="E6676" s="16">
        <f>IFERROR(__xludf.DUMMYFUNCTION("""COMPUTED_VALUE"""),64.0)</f>
        <v>64</v>
      </c>
      <c r="F6676" s="19" t="str">
        <f>IFERROR(__xludf.DUMMYFUNCTION("""COMPUTED_VALUE"""),"BLACK")</f>
        <v>BLACK</v>
      </c>
      <c r="G6676" s="20" t="str">
        <f>IFERROR(__xludf.DUMMYFUNCTION("""COMPUTED_VALUE"""),"Uncle Sams Cider (11/12/2021) 02")</f>
        <v>Uncle Sams Cider (11/12/2021) 02</v>
      </c>
      <c r="H6676" s="19"/>
    </row>
    <row r="6677">
      <c r="A6677" s="9"/>
      <c r="B6677" s="15"/>
      <c r="C6677" s="9">
        <f>IFERROR(__xludf.DUMMYFUNCTION("""COMPUTED_VALUE"""),44534.9710837615)</f>
        <v>44534.97108</v>
      </c>
      <c r="D6677" s="15">
        <f>IFERROR(__xludf.DUMMYFUNCTION("""COMPUTED_VALUE"""),1.033)</f>
        <v>1.033</v>
      </c>
      <c r="E6677" s="16">
        <f>IFERROR(__xludf.DUMMYFUNCTION("""COMPUTED_VALUE"""),64.0)</f>
        <v>64</v>
      </c>
      <c r="F6677" s="19" t="str">
        <f>IFERROR(__xludf.DUMMYFUNCTION("""COMPUTED_VALUE"""),"BLACK")</f>
        <v>BLACK</v>
      </c>
      <c r="G6677" s="20" t="str">
        <f>IFERROR(__xludf.DUMMYFUNCTION("""COMPUTED_VALUE"""),"Uncle Sams Cider (11/12/2021) 02")</f>
        <v>Uncle Sams Cider (11/12/2021) 02</v>
      </c>
      <c r="H6677" s="19"/>
    </row>
    <row r="6678">
      <c r="A6678" s="9"/>
      <c r="B6678" s="15"/>
      <c r="C6678" s="9">
        <f>IFERROR(__xludf.DUMMYFUNCTION("""COMPUTED_VALUE"""),44534.9606520833)</f>
        <v>44534.96065</v>
      </c>
      <c r="D6678" s="15">
        <f>IFERROR(__xludf.DUMMYFUNCTION("""COMPUTED_VALUE"""),1.033)</f>
        <v>1.033</v>
      </c>
      <c r="E6678" s="16">
        <f>IFERROR(__xludf.DUMMYFUNCTION("""COMPUTED_VALUE"""),64.0)</f>
        <v>64</v>
      </c>
      <c r="F6678" s="19" t="str">
        <f>IFERROR(__xludf.DUMMYFUNCTION("""COMPUTED_VALUE"""),"BLACK")</f>
        <v>BLACK</v>
      </c>
      <c r="G6678" s="20" t="str">
        <f>IFERROR(__xludf.DUMMYFUNCTION("""COMPUTED_VALUE"""),"Uncle Sams Cider (11/12/2021) 02")</f>
        <v>Uncle Sams Cider (11/12/2021) 02</v>
      </c>
      <c r="H6678" s="19"/>
    </row>
    <row r="6679">
      <c r="A6679" s="9"/>
      <c r="B6679" s="15"/>
      <c r="C6679" s="9">
        <f>IFERROR(__xludf.DUMMYFUNCTION("""COMPUTED_VALUE"""),44534.9502305092)</f>
        <v>44534.95023</v>
      </c>
      <c r="D6679" s="15">
        <f>IFERROR(__xludf.DUMMYFUNCTION("""COMPUTED_VALUE"""),1.033)</f>
        <v>1.033</v>
      </c>
      <c r="E6679" s="16">
        <f>IFERROR(__xludf.DUMMYFUNCTION("""COMPUTED_VALUE"""),64.0)</f>
        <v>64</v>
      </c>
      <c r="F6679" s="19" t="str">
        <f>IFERROR(__xludf.DUMMYFUNCTION("""COMPUTED_VALUE"""),"BLACK")</f>
        <v>BLACK</v>
      </c>
      <c r="G6679" s="20" t="str">
        <f>IFERROR(__xludf.DUMMYFUNCTION("""COMPUTED_VALUE"""),"Uncle Sams Cider (11/12/2021) 02")</f>
        <v>Uncle Sams Cider (11/12/2021) 02</v>
      </c>
      <c r="H6679" s="19"/>
    </row>
    <row r="6680">
      <c r="A6680" s="9"/>
      <c r="B6680" s="15"/>
      <c r="C6680" s="9">
        <f>IFERROR(__xludf.DUMMYFUNCTION("""COMPUTED_VALUE"""),44534.939786412)</f>
        <v>44534.93979</v>
      </c>
      <c r="D6680" s="15">
        <f>IFERROR(__xludf.DUMMYFUNCTION("""COMPUTED_VALUE"""),1.033)</f>
        <v>1.033</v>
      </c>
      <c r="E6680" s="16">
        <f>IFERROR(__xludf.DUMMYFUNCTION("""COMPUTED_VALUE"""),64.0)</f>
        <v>64</v>
      </c>
      <c r="F6680" s="19" t="str">
        <f>IFERROR(__xludf.DUMMYFUNCTION("""COMPUTED_VALUE"""),"BLACK")</f>
        <v>BLACK</v>
      </c>
      <c r="G6680" s="20" t="str">
        <f>IFERROR(__xludf.DUMMYFUNCTION("""COMPUTED_VALUE"""),"Uncle Sams Cider (11/12/2021) 02")</f>
        <v>Uncle Sams Cider (11/12/2021) 02</v>
      </c>
      <c r="H6680" s="19"/>
    </row>
    <row r="6681">
      <c r="A6681" s="9"/>
      <c r="B6681" s="15"/>
      <c r="C6681" s="9">
        <f>IFERROR(__xludf.DUMMYFUNCTION("""COMPUTED_VALUE"""),44534.9293626388)</f>
        <v>44534.92936</v>
      </c>
      <c r="D6681" s="15">
        <f>IFERROR(__xludf.DUMMYFUNCTION("""COMPUTED_VALUE"""),1.033)</f>
        <v>1.033</v>
      </c>
      <c r="E6681" s="16">
        <f>IFERROR(__xludf.DUMMYFUNCTION("""COMPUTED_VALUE"""),64.0)</f>
        <v>64</v>
      </c>
      <c r="F6681" s="19" t="str">
        <f>IFERROR(__xludf.DUMMYFUNCTION("""COMPUTED_VALUE"""),"BLACK")</f>
        <v>BLACK</v>
      </c>
      <c r="G6681" s="20" t="str">
        <f>IFERROR(__xludf.DUMMYFUNCTION("""COMPUTED_VALUE"""),"Uncle Sams Cider (11/12/2021) 02")</f>
        <v>Uncle Sams Cider (11/12/2021) 02</v>
      </c>
      <c r="H6681" s="19"/>
    </row>
    <row r="6682">
      <c r="A6682" s="9"/>
      <c r="B6682" s="15"/>
      <c r="C6682" s="9">
        <f>IFERROR(__xludf.DUMMYFUNCTION("""COMPUTED_VALUE"""),44534.9189411921)</f>
        <v>44534.91894</v>
      </c>
      <c r="D6682" s="15">
        <f>IFERROR(__xludf.DUMMYFUNCTION("""COMPUTED_VALUE"""),1.033)</f>
        <v>1.033</v>
      </c>
      <c r="E6682" s="16">
        <f>IFERROR(__xludf.DUMMYFUNCTION("""COMPUTED_VALUE"""),64.0)</f>
        <v>64</v>
      </c>
      <c r="F6682" s="19" t="str">
        <f>IFERROR(__xludf.DUMMYFUNCTION("""COMPUTED_VALUE"""),"BLACK")</f>
        <v>BLACK</v>
      </c>
      <c r="G6682" s="20" t="str">
        <f>IFERROR(__xludf.DUMMYFUNCTION("""COMPUTED_VALUE"""),"Uncle Sams Cider (11/12/2021) 02")</f>
        <v>Uncle Sams Cider (11/12/2021) 02</v>
      </c>
      <c r="H6682" s="19"/>
    </row>
    <row r="6683">
      <c r="A6683" s="9"/>
      <c r="B6683" s="15"/>
      <c r="C6683" s="9">
        <f>IFERROR(__xludf.DUMMYFUNCTION("""COMPUTED_VALUE"""),44534.9085221412)</f>
        <v>44534.90852</v>
      </c>
      <c r="D6683" s="15">
        <f>IFERROR(__xludf.DUMMYFUNCTION("""COMPUTED_VALUE"""),1.033)</f>
        <v>1.033</v>
      </c>
      <c r="E6683" s="16">
        <f>IFERROR(__xludf.DUMMYFUNCTION("""COMPUTED_VALUE"""),64.0)</f>
        <v>64</v>
      </c>
      <c r="F6683" s="19" t="str">
        <f>IFERROR(__xludf.DUMMYFUNCTION("""COMPUTED_VALUE"""),"BLACK")</f>
        <v>BLACK</v>
      </c>
      <c r="G6683" s="20" t="str">
        <f>IFERROR(__xludf.DUMMYFUNCTION("""COMPUTED_VALUE"""),"Uncle Sams Cider (11/12/2021) 02")</f>
        <v>Uncle Sams Cider (11/12/2021) 02</v>
      </c>
      <c r="H6683" s="19"/>
    </row>
    <row r="6684">
      <c r="A6684" s="9"/>
      <c r="B6684" s="15"/>
      <c r="C6684" s="9">
        <f>IFERROR(__xludf.DUMMYFUNCTION("""COMPUTED_VALUE"""),44534.898100868)</f>
        <v>44534.8981</v>
      </c>
      <c r="D6684" s="15">
        <f>IFERROR(__xludf.DUMMYFUNCTION("""COMPUTED_VALUE"""),1.033)</f>
        <v>1.033</v>
      </c>
      <c r="E6684" s="16">
        <f>IFERROR(__xludf.DUMMYFUNCTION("""COMPUTED_VALUE"""),64.0)</f>
        <v>64</v>
      </c>
      <c r="F6684" s="19" t="str">
        <f>IFERROR(__xludf.DUMMYFUNCTION("""COMPUTED_VALUE"""),"BLACK")</f>
        <v>BLACK</v>
      </c>
      <c r="G6684" s="20" t="str">
        <f>IFERROR(__xludf.DUMMYFUNCTION("""COMPUTED_VALUE"""),"Uncle Sams Cider (11/12/2021) 02")</f>
        <v>Uncle Sams Cider (11/12/2021) 02</v>
      </c>
      <c r="H6684" s="19"/>
    </row>
    <row r="6685">
      <c r="A6685" s="9"/>
      <c r="B6685" s="15"/>
      <c r="C6685" s="9">
        <f>IFERROR(__xludf.DUMMYFUNCTION("""COMPUTED_VALUE"""),44534.8876810069)</f>
        <v>44534.88768</v>
      </c>
      <c r="D6685" s="15">
        <f>IFERROR(__xludf.DUMMYFUNCTION("""COMPUTED_VALUE"""),1.033)</f>
        <v>1.033</v>
      </c>
      <c r="E6685" s="16">
        <f>IFERROR(__xludf.DUMMYFUNCTION("""COMPUTED_VALUE"""),64.0)</f>
        <v>64</v>
      </c>
      <c r="F6685" s="19" t="str">
        <f>IFERROR(__xludf.DUMMYFUNCTION("""COMPUTED_VALUE"""),"BLACK")</f>
        <v>BLACK</v>
      </c>
      <c r="G6685" s="20" t="str">
        <f>IFERROR(__xludf.DUMMYFUNCTION("""COMPUTED_VALUE"""),"Uncle Sams Cider (11/12/2021) 02")</f>
        <v>Uncle Sams Cider (11/12/2021) 02</v>
      </c>
      <c r="H6685" s="19"/>
    </row>
    <row r="6686">
      <c r="A6686" s="9"/>
      <c r="B6686" s="15"/>
      <c r="C6686" s="9">
        <f>IFERROR(__xludf.DUMMYFUNCTION("""COMPUTED_VALUE"""),44534.8772613657)</f>
        <v>44534.87726</v>
      </c>
      <c r="D6686" s="15">
        <f>IFERROR(__xludf.DUMMYFUNCTION("""COMPUTED_VALUE"""),1.033)</f>
        <v>1.033</v>
      </c>
      <c r="E6686" s="16">
        <f>IFERROR(__xludf.DUMMYFUNCTION("""COMPUTED_VALUE"""),64.0)</f>
        <v>64</v>
      </c>
      <c r="F6686" s="19" t="str">
        <f>IFERROR(__xludf.DUMMYFUNCTION("""COMPUTED_VALUE"""),"BLACK")</f>
        <v>BLACK</v>
      </c>
      <c r="G6686" s="20" t="str">
        <f>IFERROR(__xludf.DUMMYFUNCTION("""COMPUTED_VALUE"""),"Uncle Sams Cider (11/12/2021) 02")</f>
        <v>Uncle Sams Cider (11/12/2021) 02</v>
      </c>
      <c r="H6686" s="19"/>
    </row>
    <row r="6687">
      <c r="A6687" s="9"/>
      <c r="B6687" s="15"/>
      <c r="C6687" s="9">
        <f>IFERROR(__xludf.DUMMYFUNCTION("""COMPUTED_VALUE"""),44534.8668405786)</f>
        <v>44534.86684</v>
      </c>
      <c r="D6687" s="15">
        <f>IFERROR(__xludf.DUMMYFUNCTION("""COMPUTED_VALUE"""),1.033)</f>
        <v>1.033</v>
      </c>
      <c r="E6687" s="16">
        <f>IFERROR(__xludf.DUMMYFUNCTION("""COMPUTED_VALUE"""),64.0)</f>
        <v>64</v>
      </c>
      <c r="F6687" s="19" t="str">
        <f>IFERROR(__xludf.DUMMYFUNCTION("""COMPUTED_VALUE"""),"BLACK")</f>
        <v>BLACK</v>
      </c>
      <c r="G6687" s="20" t="str">
        <f>IFERROR(__xludf.DUMMYFUNCTION("""COMPUTED_VALUE"""),"Uncle Sams Cider (11/12/2021) 02")</f>
        <v>Uncle Sams Cider (11/12/2021) 02</v>
      </c>
      <c r="H6687" s="19"/>
    </row>
    <row r="6688">
      <c r="A6688" s="9"/>
      <c r="B6688" s="15"/>
      <c r="C6688" s="9">
        <f>IFERROR(__xludf.DUMMYFUNCTION("""COMPUTED_VALUE"""),44534.8564213194)</f>
        <v>44534.85642</v>
      </c>
      <c r="D6688" s="15">
        <f>IFERROR(__xludf.DUMMYFUNCTION("""COMPUTED_VALUE"""),1.033)</f>
        <v>1.033</v>
      </c>
      <c r="E6688" s="16">
        <f>IFERROR(__xludf.DUMMYFUNCTION("""COMPUTED_VALUE"""),64.0)</f>
        <v>64</v>
      </c>
      <c r="F6688" s="19" t="str">
        <f>IFERROR(__xludf.DUMMYFUNCTION("""COMPUTED_VALUE"""),"BLACK")</f>
        <v>BLACK</v>
      </c>
      <c r="G6688" s="20" t="str">
        <f>IFERROR(__xludf.DUMMYFUNCTION("""COMPUTED_VALUE"""),"Uncle Sams Cider (11/12/2021) 02")</f>
        <v>Uncle Sams Cider (11/12/2021) 02</v>
      </c>
      <c r="H6688" s="19"/>
    </row>
    <row r="6689">
      <c r="A6689" s="9"/>
      <c r="B6689" s="15"/>
      <c r="C6689" s="9">
        <f>IFERROR(__xludf.DUMMYFUNCTION("""COMPUTED_VALUE"""),44534.8460012847)</f>
        <v>44534.846</v>
      </c>
      <c r="D6689" s="15">
        <f>IFERROR(__xludf.DUMMYFUNCTION("""COMPUTED_VALUE"""),1.033)</f>
        <v>1.033</v>
      </c>
      <c r="E6689" s="16">
        <f>IFERROR(__xludf.DUMMYFUNCTION("""COMPUTED_VALUE"""),64.0)</f>
        <v>64</v>
      </c>
      <c r="F6689" s="19" t="str">
        <f>IFERROR(__xludf.DUMMYFUNCTION("""COMPUTED_VALUE"""),"BLACK")</f>
        <v>BLACK</v>
      </c>
      <c r="G6689" s="20" t="str">
        <f>IFERROR(__xludf.DUMMYFUNCTION("""COMPUTED_VALUE"""),"Uncle Sams Cider (11/12/2021) 02")</f>
        <v>Uncle Sams Cider (11/12/2021) 02</v>
      </c>
      <c r="H6689" s="19"/>
    </row>
    <row r="6690">
      <c r="A6690" s="9"/>
      <c r="B6690" s="15"/>
      <c r="C6690" s="9">
        <f>IFERROR(__xludf.DUMMYFUNCTION("""COMPUTED_VALUE"""),44534.8355791319)</f>
        <v>44534.83558</v>
      </c>
      <c r="D6690" s="15">
        <f>IFERROR(__xludf.DUMMYFUNCTION("""COMPUTED_VALUE"""),1.033)</f>
        <v>1.033</v>
      </c>
      <c r="E6690" s="16">
        <f>IFERROR(__xludf.DUMMYFUNCTION("""COMPUTED_VALUE"""),64.0)</f>
        <v>64</v>
      </c>
      <c r="F6690" s="19" t="str">
        <f>IFERROR(__xludf.DUMMYFUNCTION("""COMPUTED_VALUE"""),"BLACK")</f>
        <v>BLACK</v>
      </c>
      <c r="G6690" s="20" t="str">
        <f>IFERROR(__xludf.DUMMYFUNCTION("""COMPUTED_VALUE"""),"Uncle Sams Cider (11/12/2021) 02")</f>
        <v>Uncle Sams Cider (11/12/2021) 02</v>
      </c>
      <c r="H6690" s="19"/>
    </row>
    <row r="6691">
      <c r="A6691" s="9"/>
      <c r="B6691" s="15"/>
      <c r="C6691" s="9">
        <f>IFERROR(__xludf.DUMMYFUNCTION("""COMPUTED_VALUE"""),44534.825147824)</f>
        <v>44534.82515</v>
      </c>
      <c r="D6691" s="15">
        <f>IFERROR(__xludf.DUMMYFUNCTION("""COMPUTED_VALUE"""),1.033)</f>
        <v>1.033</v>
      </c>
      <c r="E6691" s="16">
        <f>IFERROR(__xludf.DUMMYFUNCTION("""COMPUTED_VALUE"""),64.0)</f>
        <v>64</v>
      </c>
      <c r="F6691" s="19" t="str">
        <f>IFERROR(__xludf.DUMMYFUNCTION("""COMPUTED_VALUE"""),"BLACK")</f>
        <v>BLACK</v>
      </c>
      <c r="G6691" s="20" t="str">
        <f>IFERROR(__xludf.DUMMYFUNCTION("""COMPUTED_VALUE"""),"Uncle Sams Cider (11/12/2021) 02")</f>
        <v>Uncle Sams Cider (11/12/2021) 02</v>
      </c>
      <c r="H6691" s="19"/>
    </row>
    <row r="6692">
      <c r="A6692" s="9"/>
      <c r="B6692" s="15"/>
      <c r="C6692" s="9">
        <f>IFERROR(__xludf.DUMMYFUNCTION("""COMPUTED_VALUE"""),44534.8147164467)</f>
        <v>44534.81472</v>
      </c>
      <c r="D6692" s="15">
        <f>IFERROR(__xludf.DUMMYFUNCTION("""COMPUTED_VALUE"""),1.033)</f>
        <v>1.033</v>
      </c>
      <c r="E6692" s="16">
        <f>IFERROR(__xludf.DUMMYFUNCTION("""COMPUTED_VALUE"""),64.0)</f>
        <v>64</v>
      </c>
      <c r="F6692" s="19" t="str">
        <f>IFERROR(__xludf.DUMMYFUNCTION("""COMPUTED_VALUE"""),"BLACK")</f>
        <v>BLACK</v>
      </c>
      <c r="G6692" s="20" t="str">
        <f>IFERROR(__xludf.DUMMYFUNCTION("""COMPUTED_VALUE"""),"Uncle Sams Cider (11/12/2021) 02")</f>
        <v>Uncle Sams Cider (11/12/2021) 02</v>
      </c>
      <c r="H6692" s="19"/>
    </row>
    <row r="6693">
      <c r="A6693" s="9"/>
      <c r="B6693" s="15"/>
      <c r="C6693" s="9">
        <f>IFERROR(__xludf.DUMMYFUNCTION("""COMPUTED_VALUE"""),44534.8042836805)</f>
        <v>44534.80428</v>
      </c>
      <c r="D6693" s="15">
        <f>IFERROR(__xludf.DUMMYFUNCTION("""COMPUTED_VALUE"""),1.033)</f>
        <v>1.033</v>
      </c>
      <c r="E6693" s="16">
        <f>IFERROR(__xludf.DUMMYFUNCTION("""COMPUTED_VALUE"""),64.0)</f>
        <v>64</v>
      </c>
      <c r="F6693" s="19" t="str">
        <f>IFERROR(__xludf.DUMMYFUNCTION("""COMPUTED_VALUE"""),"BLACK")</f>
        <v>BLACK</v>
      </c>
      <c r="G6693" s="20" t="str">
        <f>IFERROR(__xludf.DUMMYFUNCTION("""COMPUTED_VALUE"""),"Uncle Sams Cider (11/12/2021) 02")</f>
        <v>Uncle Sams Cider (11/12/2021) 02</v>
      </c>
      <c r="H6693" s="19"/>
    </row>
    <row r="6694">
      <c r="A6694" s="9"/>
      <c r="B6694" s="15"/>
      <c r="C6694" s="9">
        <f>IFERROR(__xludf.DUMMYFUNCTION("""COMPUTED_VALUE"""),44534.7938622916)</f>
        <v>44534.79386</v>
      </c>
      <c r="D6694" s="15">
        <f>IFERROR(__xludf.DUMMYFUNCTION("""COMPUTED_VALUE"""),1.033)</f>
        <v>1.033</v>
      </c>
      <c r="E6694" s="16">
        <f>IFERROR(__xludf.DUMMYFUNCTION("""COMPUTED_VALUE"""),64.0)</f>
        <v>64</v>
      </c>
      <c r="F6694" s="19" t="str">
        <f>IFERROR(__xludf.DUMMYFUNCTION("""COMPUTED_VALUE"""),"BLACK")</f>
        <v>BLACK</v>
      </c>
      <c r="G6694" s="20" t="str">
        <f>IFERROR(__xludf.DUMMYFUNCTION("""COMPUTED_VALUE"""),"Uncle Sams Cider (11/12/2021) 02")</f>
        <v>Uncle Sams Cider (11/12/2021) 02</v>
      </c>
      <c r="H6694" s="19"/>
    </row>
    <row r="6695">
      <c r="A6695" s="9"/>
      <c r="B6695" s="15"/>
      <c r="C6695" s="9">
        <f>IFERROR(__xludf.DUMMYFUNCTION("""COMPUTED_VALUE"""),44534.7834294907)</f>
        <v>44534.78343</v>
      </c>
      <c r="D6695" s="15">
        <f>IFERROR(__xludf.DUMMYFUNCTION("""COMPUTED_VALUE"""),1.033)</f>
        <v>1.033</v>
      </c>
      <c r="E6695" s="16">
        <f>IFERROR(__xludf.DUMMYFUNCTION("""COMPUTED_VALUE"""),64.0)</f>
        <v>64</v>
      </c>
      <c r="F6695" s="19" t="str">
        <f>IFERROR(__xludf.DUMMYFUNCTION("""COMPUTED_VALUE"""),"BLACK")</f>
        <v>BLACK</v>
      </c>
      <c r="G6695" s="20" t="str">
        <f>IFERROR(__xludf.DUMMYFUNCTION("""COMPUTED_VALUE"""),"Uncle Sams Cider (11/12/2021) 02")</f>
        <v>Uncle Sams Cider (11/12/2021) 02</v>
      </c>
      <c r="H6695" s="19"/>
    </row>
    <row r="6696">
      <c r="A6696" s="9"/>
      <c r="B6696" s="15"/>
      <c r="C6696" s="9">
        <f>IFERROR(__xludf.DUMMYFUNCTION("""COMPUTED_VALUE"""),44534.7730080439)</f>
        <v>44534.77301</v>
      </c>
      <c r="D6696" s="15">
        <f>IFERROR(__xludf.DUMMYFUNCTION("""COMPUTED_VALUE"""),1.033)</f>
        <v>1.033</v>
      </c>
      <c r="E6696" s="16">
        <f>IFERROR(__xludf.DUMMYFUNCTION("""COMPUTED_VALUE"""),64.0)</f>
        <v>64</v>
      </c>
      <c r="F6696" s="19" t="str">
        <f>IFERROR(__xludf.DUMMYFUNCTION("""COMPUTED_VALUE"""),"BLACK")</f>
        <v>BLACK</v>
      </c>
      <c r="G6696" s="20" t="str">
        <f>IFERROR(__xludf.DUMMYFUNCTION("""COMPUTED_VALUE"""),"Uncle Sams Cider (11/12/2021) 02")</f>
        <v>Uncle Sams Cider (11/12/2021) 02</v>
      </c>
      <c r="H6696" s="19"/>
    </row>
    <row r="6697">
      <c r="A6697" s="9"/>
      <c r="B6697" s="15"/>
      <c r="C6697" s="9">
        <f>IFERROR(__xludf.DUMMYFUNCTION("""COMPUTED_VALUE"""),44534.7625850115)</f>
        <v>44534.76259</v>
      </c>
      <c r="D6697" s="15">
        <f>IFERROR(__xludf.DUMMYFUNCTION("""COMPUTED_VALUE"""),1.033)</f>
        <v>1.033</v>
      </c>
      <c r="E6697" s="16">
        <f>IFERROR(__xludf.DUMMYFUNCTION("""COMPUTED_VALUE"""),64.0)</f>
        <v>64</v>
      </c>
      <c r="F6697" s="19" t="str">
        <f>IFERROR(__xludf.DUMMYFUNCTION("""COMPUTED_VALUE"""),"BLACK")</f>
        <v>BLACK</v>
      </c>
      <c r="G6697" s="20" t="str">
        <f>IFERROR(__xludf.DUMMYFUNCTION("""COMPUTED_VALUE"""),"Uncle Sams Cider (11/12/2021) 02")</f>
        <v>Uncle Sams Cider (11/12/2021) 02</v>
      </c>
      <c r="H6697" s="19"/>
    </row>
    <row r="6698">
      <c r="A6698" s="9"/>
      <c r="B6698" s="15"/>
      <c r="C6698" s="9">
        <f>IFERROR(__xludf.DUMMYFUNCTION("""COMPUTED_VALUE"""),44534.7521539467)</f>
        <v>44534.75215</v>
      </c>
      <c r="D6698" s="15">
        <f>IFERROR(__xludf.DUMMYFUNCTION("""COMPUTED_VALUE"""),1.033)</f>
        <v>1.033</v>
      </c>
      <c r="E6698" s="16">
        <f>IFERROR(__xludf.DUMMYFUNCTION("""COMPUTED_VALUE"""),64.0)</f>
        <v>64</v>
      </c>
      <c r="F6698" s="19" t="str">
        <f>IFERROR(__xludf.DUMMYFUNCTION("""COMPUTED_VALUE"""),"BLACK")</f>
        <v>BLACK</v>
      </c>
      <c r="G6698" s="20" t="str">
        <f>IFERROR(__xludf.DUMMYFUNCTION("""COMPUTED_VALUE"""),"Uncle Sams Cider (11/12/2021) 02")</f>
        <v>Uncle Sams Cider (11/12/2021) 02</v>
      </c>
      <c r="H6698" s="19"/>
    </row>
    <row r="6699">
      <c r="A6699" s="9"/>
      <c r="B6699" s="15"/>
      <c r="C6699" s="9">
        <f>IFERROR(__xludf.DUMMYFUNCTION("""COMPUTED_VALUE"""),44534.7417200694)</f>
        <v>44534.74172</v>
      </c>
      <c r="D6699" s="15">
        <f>IFERROR(__xludf.DUMMYFUNCTION("""COMPUTED_VALUE"""),1.033)</f>
        <v>1.033</v>
      </c>
      <c r="E6699" s="16">
        <f>IFERROR(__xludf.DUMMYFUNCTION("""COMPUTED_VALUE"""),64.0)</f>
        <v>64</v>
      </c>
      <c r="F6699" s="19" t="str">
        <f>IFERROR(__xludf.DUMMYFUNCTION("""COMPUTED_VALUE"""),"BLACK")</f>
        <v>BLACK</v>
      </c>
      <c r="G6699" s="20" t="str">
        <f>IFERROR(__xludf.DUMMYFUNCTION("""COMPUTED_VALUE"""),"Uncle Sams Cider (11/12/2021) 02")</f>
        <v>Uncle Sams Cider (11/12/2021) 02</v>
      </c>
      <c r="H6699" s="19"/>
    </row>
    <row r="6700">
      <c r="A6700" s="9"/>
      <c r="B6700" s="15"/>
      <c r="C6700" s="9">
        <f>IFERROR(__xludf.DUMMYFUNCTION("""COMPUTED_VALUE"""),44534.7312767245)</f>
        <v>44534.73128</v>
      </c>
      <c r="D6700" s="15">
        <f>IFERROR(__xludf.DUMMYFUNCTION("""COMPUTED_VALUE"""),1.033)</f>
        <v>1.033</v>
      </c>
      <c r="E6700" s="16">
        <f>IFERROR(__xludf.DUMMYFUNCTION("""COMPUTED_VALUE"""),64.0)</f>
        <v>64</v>
      </c>
      <c r="F6700" s="19" t="str">
        <f>IFERROR(__xludf.DUMMYFUNCTION("""COMPUTED_VALUE"""),"BLACK")</f>
        <v>BLACK</v>
      </c>
      <c r="G6700" s="20" t="str">
        <f>IFERROR(__xludf.DUMMYFUNCTION("""COMPUTED_VALUE"""),"Uncle Sams Cider (11/12/2021) 02")</f>
        <v>Uncle Sams Cider (11/12/2021) 02</v>
      </c>
      <c r="H6700" s="19"/>
    </row>
    <row r="6701">
      <c r="A6701" s="9"/>
      <c r="B6701" s="15"/>
      <c r="C6701" s="9">
        <f>IFERROR(__xludf.DUMMYFUNCTION("""COMPUTED_VALUE"""),44534.7208557638)</f>
        <v>44534.72086</v>
      </c>
      <c r="D6701" s="15">
        <f>IFERROR(__xludf.DUMMYFUNCTION("""COMPUTED_VALUE"""),1.033)</f>
        <v>1.033</v>
      </c>
      <c r="E6701" s="16">
        <f>IFERROR(__xludf.DUMMYFUNCTION("""COMPUTED_VALUE"""),64.0)</f>
        <v>64</v>
      </c>
      <c r="F6701" s="19" t="str">
        <f>IFERROR(__xludf.DUMMYFUNCTION("""COMPUTED_VALUE"""),"BLACK")</f>
        <v>BLACK</v>
      </c>
      <c r="G6701" s="20" t="str">
        <f>IFERROR(__xludf.DUMMYFUNCTION("""COMPUTED_VALUE"""),"Uncle Sams Cider (11/12/2021) 02")</f>
        <v>Uncle Sams Cider (11/12/2021) 02</v>
      </c>
      <c r="H6701" s="19"/>
    </row>
    <row r="6702">
      <c r="A6702" s="9"/>
      <c r="B6702" s="15"/>
      <c r="C6702" s="9">
        <f>IFERROR(__xludf.DUMMYFUNCTION("""COMPUTED_VALUE"""),44534.710435868)</f>
        <v>44534.71044</v>
      </c>
      <c r="D6702" s="15">
        <f>IFERROR(__xludf.DUMMYFUNCTION("""COMPUTED_VALUE"""),1.033)</f>
        <v>1.033</v>
      </c>
      <c r="E6702" s="16">
        <f>IFERROR(__xludf.DUMMYFUNCTION("""COMPUTED_VALUE"""),64.0)</f>
        <v>64</v>
      </c>
      <c r="F6702" s="19" t="str">
        <f>IFERROR(__xludf.DUMMYFUNCTION("""COMPUTED_VALUE"""),"BLACK")</f>
        <v>BLACK</v>
      </c>
      <c r="G6702" s="20" t="str">
        <f>IFERROR(__xludf.DUMMYFUNCTION("""COMPUTED_VALUE"""),"Uncle Sams Cider (11/12/2021) 02")</f>
        <v>Uncle Sams Cider (11/12/2021) 02</v>
      </c>
      <c r="H6702" s="19"/>
    </row>
    <row r="6703">
      <c r="A6703" s="9"/>
      <c r="B6703" s="15"/>
      <c r="C6703" s="9">
        <f>IFERROR(__xludf.DUMMYFUNCTION("""COMPUTED_VALUE"""),44534.7000045486)</f>
        <v>44534.7</v>
      </c>
      <c r="D6703" s="15">
        <f>IFERROR(__xludf.DUMMYFUNCTION("""COMPUTED_VALUE"""),1.033)</f>
        <v>1.033</v>
      </c>
      <c r="E6703" s="16">
        <f>IFERROR(__xludf.DUMMYFUNCTION("""COMPUTED_VALUE"""),64.0)</f>
        <v>64</v>
      </c>
      <c r="F6703" s="19" t="str">
        <f>IFERROR(__xludf.DUMMYFUNCTION("""COMPUTED_VALUE"""),"BLACK")</f>
        <v>BLACK</v>
      </c>
      <c r="G6703" s="20" t="str">
        <f>IFERROR(__xludf.DUMMYFUNCTION("""COMPUTED_VALUE"""),"Uncle Sams Cider (11/12/2021) 02")</f>
        <v>Uncle Sams Cider (11/12/2021) 02</v>
      </c>
      <c r="H6703" s="19"/>
    </row>
    <row r="6704">
      <c r="A6704" s="9"/>
      <c r="B6704" s="15"/>
      <c r="C6704" s="9">
        <f>IFERROR(__xludf.DUMMYFUNCTION("""COMPUTED_VALUE"""),44534.6895839583)</f>
        <v>44534.68958</v>
      </c>
      <c r="D6704" s="15">
        <f>IFERROR(__xludf.DUMMYFUNCTION("""COMPUTED_VALUE"""),1.033)</f>
        <v>1.033</v>
      </c>
      <c r="E6704" s="16">
        <f>IFERROR(__xludf.DUMMYFUNCTION("""COMPUTED_VALUE"""),64.0)</f>
        <v>64</v>
      </c>
      <c r="F6704" s="19" t="str">
        <f>IFERROR(__xludf.DUMMYFUNCTION("""COMPUTED_VALUE"""),"BLACK")</f>
        <v>BLACK</v>
      </c>
      <c r="G6704" s="20" t="str">
        <f>IFERROR(__xludf.DUMMYFUNCTION("""COMPUTED_VALUE"""),"Uncle Sams Cider (11/12/2021) 02")</f>
        <v>Uncle Sams Cider (11/12/2021) 02</v>
      </c>
      <c r="H6704" s="19"/>
    </row>
    <row r="6705">
      <c r="A6705" s="9"/>
      <c r="B6705" s="15"/>
      <c r="C6705" s="9">
        <f>IFERROR(__xludf.DUMMYFUNCTION("""COMPUTED_VALUE"""),44534.6791644791)</f>
        <v>44534.67916</v>
      </c>
      <c r="D6705" s="15">
        <f>IFERROR(__xludf.DUMMYFUNCTION("""COMPUTED_VALUE"""),1.033)</f>
        <v>1.033</v>
      </c>
      <c r="E6705" s="16">
        <f>IFERROR(__xludf.DUMMYFUNCTION("""COMPUTED_VALUE"""),64.0)</f>
        <v>64</v>
      </c>
      <c r="F6705" s="19" t="str">
        <f>IFERROR(__xludf.DUMMYFUNCTION("""COMPUTED_VALUE"""),"BLACK")</f>
        <v>BLACK</v>
      </c>
      <c r="G6705" s="20" t="str">
        <f>IFERROR(__xludf.DUMMYFUNCTION("""COMPUTED_VALUE"""),"Uncle Sams Cider (11/12/2021) 02")</f>
        <v>Uncle Sams Cider (11/12/2021) 02</v>
      </c>
      <c r="H6705" s="19"/>
    </row>
    <row r="6706">
      <c r="A6706" s="9"/>
      <c r="B6706" s="15"/>
      <c r="C6706" s="9">
        <f>IFERROR(__xludf.DUMMYFUNCTION("""COMPUTED_VALUE"""),44534.668730625)</f>
        <v>44534.66873</v>
      </c>
      <c r="D6706" s="15">
        <f>IFERROR(__xludf.DUMMYFUNCTION("""COMPUTED_VALUE"""),1.033)</f>
        <v>1.033</v>
      </c>
      <c r="E6706" s="16">
        <f>IFERROR(__xludf.DUMMYFUNCTION("""COMPUTED_VALUE"""),64.0)</f>
        <v>64</v>
      </c>
      <c r="F6706" s="19" t="str">
        <f>IFERROR(__xludf.DUMMYFUNCTION("""COMPUTED_VALUE"""),"BLACK")</f>
        <v>BLACK</v>
      </c>
      <c r="G6706" s="20" t="str">
        <f>IFERROR(__xludf.DUMMYFUNCTION("""COMPUTED_VALUE"""),"Uncle Sams Cider (11/12/2021) 02")</f>
        <v>Uncle Sams Cider (11/12/2021) 02</v>
      </c>
      <c r="H6706" s="19"/>
    </row>
    <row r="6707">
      <c r="A6707" s="9"/>
      <c r="B6707" s="15"/>
      <c r="C6707" s="9">
        <f>IFERROR(__xludf.DUMMYFUNCTION("""COMPUTED_VALUE"""),44534.6583101157)</f>
        <v>44534.65831</v>
      </c>
      <c r="D6707" s="15">
        <f>IFERROR(__xludf.DUMMYFUNCTION("""COMPUTED_VALUE"""),1.033)</f>
        <v>1.033</v>
      </c>
      <c r="E6707" s="16">
        <f>IFERROR(__xludf.DUMMYFUNCTION("""COMPUTED_VALUE"""),64.0)</f>
        <v>64</v>
      </c>
      <c r="F6707" s="19" t="str">
        <f>IFERROR(__xludf.DUMMYFUNCTION("""COMPUTED_VALUE"""),"BLACK")</f>
        <v>BLACK</v>
      </c>
      <c r="G6707" s="20" t="str">
        <f>IFERROR(__xludf.DUMMYFUNCTION("""COMPUTED_VALUE"""),"Uncle Sams Cider (11/12/2021) 02")</f>
        <v>Uncle Sams Cider (11/12/2021) 02</v>
      </c>
      <c r="H6707" s="19"/>
    </row>
    <row r="6708">
      <c r="A6708" s="9"/>
      <c r="B6708" s="15"/>
      <c r="C6708" s="9">
        <f>IFERROR(__xludf.DUMMYFUNCTION("""COMPUTED_VALUE"""),44534.6478767129)</f>
        <v>44534.64788</v>
      </c>
      <c r="D6708" s="15">
        <f>IFERROR(__xludf.DUMMYFUNCTION("""COMPUTED_VALUE"""),1.033)</f>
        <v>1.033</v>
      </c>
      <c r="E6708" s="16">
        <f>IFERROR(__xludf.DUMMYFUNCTION("""COMPUTED_VALUE"""),64.0)</f>
        <v>64</v>
      </c>
      <c r="F6708" s="19" t="str">
        <f>IFERROR(__xludf.DUMMYFUNCTION("""COMPUTED_VALUE"""),"BLACK")</f>
        <v>BLACK</v>
      </c>
      <c r="G6708" s="20" t="str">
        <f>IFERROR(__xludf.DUMMYFUNCTION("""COMPUTED_VALUE"""),"Uncle Sams Cider (11/12/2021) 02")</f>
        <v>Uncle Sams Cider (11/12/2021) 02</v>
      </c>
      <c r="H6708" s="19"/>
    </row>
    <row r="6709">
      <c r="A6709" s="9"/>
      <c r="B6709" s="15"/>
      <c r="C6709" s="9">
        <f>IFERROR(__xludf.DUMMYFUNCTION("""COMPUTED_VALUE"""),44534.6374539583)</f>
        <v>44534.63745</v>
      </c>
      <c r="D6709" s="15">
        <f>IFERROR(__xludf.DUMMYFUNCTION("""COMPUTED_VALUE"""),1.033)</f>
        <v>1.033</v>
      </c>
      <c r="E6709" s="16">
        <f>IFERROR(__xludf.DUMMYFUNCTION("""COMPUTED_VALUE"""),64.0)</f>
        <v>64</v>
      </c>
      <c r="F6709" s="19" t="str">
        <f>IFERROR(__xludf.DUMMYFUNCTION("""COMPUTED_VALUE"""),"BLACK")</f>
        <v>BLACK</v>
      </c>
      <c r="G6709" s="20" t="str">
        <f>IFERROR(__xludf.DUMMYFUNCTION("""COMPUTED_VALUE"""),"Uncle Sams Cider (11/12/2021) 02")</f>
        <v>Uncle Sams Cider (11/12/2021) 02</v>
      </c>
      <c r="H6709" s="19"/>
    </row>
    <row r="6710">
      <c r="A6710" s="9"/>
      <c r="B6710" s="15"/>
      <c r="C6710" s="9">
        <f>IFERROR(__xludf.DUMMYFUNCTION("""COMPUTED_VALUE"""),44534.6270198148)</f>
        <v>44534.62702</v>
      </c>
      <c r="D6710" s="15">
        <f>IFERROR(__xludf.DUMMYFUNCTION("""COMPUTED_VALUE"""),1.033)</f>
        <v>1.033</v>
      </c>
      <c r="E6710" s="16">
        <f>IFERROR(__xludf.DUMMYFUNCTION("""COMPUTED_VALUE"""),64.0)</f>
        <v>64</v>
      </c>
      <c r="F6710" s="19" t="str">
        <f>IFERROR(__xludf.DUMMYFUNCTION("""COMPUTED_VALUE"""),"BLACK")</f>
        <v>BLACK</v>
      </c>
      <c r="G6710" s="20" t="str">
        <f>IFERROR(__xludf.DUMMYFUNCTION("""COMPUTED_VALUE"""),"Uncle Sams Cider (11/12/2021) 02")</f>
        <v>Uncle Sams Cider (11/12/2021) 02</v>
      </c>
      <c r="H6710" s="19"/>
    </row>
    <row r="6711">
      <c r="A6711" s="9"/>
      <c r="B6711" s="15"/>
      <c r="C6711" s="9">
        <f>IFERROR(__xludf.DUMMYFUNCTION("""COMPUTED_VALUE"""),44534.61656375)</f>
        <v>44534.61656</v>
      </c>
      <c r="D6711" s="15">
        <f>IFERROR(__xludf.DUMMYFUNCTION("""COMPUTED_VALUE"""),1.033)</f>
        <v>1.033</v>
      </c>
      <c r="E6711" s="16">
        <f>IFERROR(__xludf.DUMMYFUNCTION("""COMPUTED_VALUE"""),64.0)</f>
        <v>64</v>
      </c>
      <c r="F6711" s="19" t="str">
        <f>IFERROR(__xludf.DUMMYFUNCTION("""COMPUTED_VALUE"""),"BLACK")</f>
        <v>BLACK</v>
      </c>
      <c r="G6711" s="20" t="str">
        <f>IFERROR(__xludf.DUMMYFUNCTION("""COMPUTED_VALUE"""),"Uncle Sams Cider (11/12/2021) 02")</f>
        <v>Uncle Sams Cider (11/12/2021) 02</v>
      </c>
      <c r="H6711" s="19"/>
    </row>
    <row r="6712">
      <c r="A6712" s="9"/>
      <c r="B6712" s="15"/>
      <c r="C6712" s="9">
        <f>IFERROR(__xludf.DUMMYFUNCTION("""COMPUTED_VALUE"""),44534.6061305208)</f>
        <v>44534.60613</v>
      </c>
      <c r="D6712" s="15">
        <f>IFERROR(__xludf.DUMMYFUNCTION("""COMPUTED_VALUE"""),1.033)</f>
        <v>1.033</v>
      </c>
      <c r="E6712" s="16">
        <f>IFERROR(__xludf.DUMMYFUNCTION("""COMPUTED_VALUE"""),64.0)</f>
        <v>64</v>
      </c>
      <c r="F6712" s="19" t="str">
        <f>IFERROR(__xludf.DUMMYFUNCTION("""COMPUTED_VALUE"""),"BLACK")</f>
        <v>BLACK</v>
      </c>
      <c r="G6712" s="20" t="str">
        <f>IFERROR(__xludf.DUMMYFUNCTION("""COMPUTED_VALUE"""),"Uncle Sams Cider (11/12/2021) 02")</f>
        <v>Uncle Sams Cider (11/12/2021) 02</v>
      </c>
      <c r="H6712" s="19"/>
    </row>
    <row r="6713">
      <c r="A6713" s="9"/>
      <c r="B6713" s="15"/>
      <c r="C6713" s="9">
        <f>IFERROR(__xludf.DUMMYFUNCTION("""COMPUTED_VALUE"""),44534.5956994444)</f>
        <v>44534.5957</v>
      </c>
      <c r="D6713" s="15">
        <f>IFERROR(__xludf.DUMMYFUNCTION("""COMPUTED_VALUE"""),1.033)</f>
        <v>1.033</v>
      </c>
      <c r="E6713" s="16">
        <f>IFERROR(__xludf.DUMMYFUNCTION("""COMPUTED_VALUE"""),64.0)</f>
        <v>64</v>
      </c>
      <c r="F6713" s="19" t="str">
        <f>IFERROR(__xludf.DUMMYFUNCTION("""COMPUTED_VALUE"""),"BLACK")</f>
        <v>BLACK</v>
      </c>
      <c r="G6713" s="20" t="str">
        <f>IFERROR(__xludf.DUMMYFUNCTION("""COMPUTED_VALUE"""),"Uncle Sams Cider (11/12/2021) 02")</f>
        <v>Uncle Sams Cider (11/12/2021) 02</v>
      </c>
      <c r="H6713" s="19"/>
    </row>
    <row r="6714">
      <c r="A6714" s="9"/>
      <c r="B6714" s="15"/>
      <c r="C6714" s="9">
        <f>IFERROR(__xludf.DUMMYFUNCTION("""COMPUTED_VALUE"""),44534.5852786689)</f>
        <v>44534.58528</v>
      </c>
      <c r="D6714" s="15">
        <f>IFERROR(__xludf.DUMMYFUNCTION("""COMPUTED_VALUE"""),1.033)</f>
        <v>1.033</v>
      </c>
      <c r="E6714" s="16">
        <f>IFERROR(__xludf.DUMMYFUNCTION("""COMPUTED_VALUE"""),64.0)</f>
        <v>64</v>
      </c>
      <c r="F6714" s="19" t="str">
        <f>IFERROR(__xludf.DUMMYFUNCTION("""COMPUTED_VALUE"""),"BLACK")</f>
        <v>BLACK</v>
      </c>
      <c r="G6714" s="20" t="str">
        <f>IFERROR(__xludf.DUMMYFUNCTION("""COMPUTED_VALUE"""),"Uncle Sams Cider (11/12/2021) 02")</f>
        <v>Uncle Sams Cider (11/12/2021) 02</v>
      </c>
      <c r="H6714" s="19"/>
    </row>
    <row r="6715">
      <c r="A6715" s="9"/>
      <c r="B6715" s="15"/>
      <c r="C6715" s="9">
        <f>IFERROR(__xludf.DUMMYFUNCTION("""COMPUTED_VALUE"""),44534.5748567592)</f>
        <v>44534.57486</v>
      </c>
      <c r="D6715" s="15">
        <f>IFERROR(__xludf.DUMMYFUNCTION("""COMPUTED_VALUE"""),1.034)</f>
        <v>1.034</v>
      </c>
      <c r="E6715" s="16">
        <f>IFERROR(__xludf.DUMMYFUNCTION("""COMPUTED_VALUE"""),64.0)</f>
        <v>64</v>
      </c>
      <c r="F6715" s="19" t="str">
        <f>IFERROR(__xludf.DUMMYFUNCTION("""COMPUTED_VALUE"""),"BLACK")</f>
        <v>BLACK</v>
      </c>
      <c r="G6715" s="20" t="str">
        <f>IFERROR(__xludf.DUMMYFUNCTION("""COMPUTED_VALUE"""),"Uncle Sams Cider (11/12/2021) 02")</f>
        <v>Uncle Sams Cider (11/12/2021) 02</v>
      </c>
      <c r="H6715" s="19"/>
    </row>
    <row r="6716">
      <c r="A6716" s="9"/>
      <c r="B6716" s="15"/>
      <c r="C6716" s="9">
        <f>IFERROR(__xludf.DUMMYFUNCTION("""COMPUTED_VALUE"""),44534.5644251736)</f>
        <v>44534.56443</v>
      </c>
      <c r="D6716" s="15">
        <f>IFERROR(__xludf.DUMMYFUNCTION("""COMPUTED_VALUE"""),1.033)</f>
        <v>1.033</v>
      </c>
      <c r="E6716" s="16">
        <f>IFERROR(__xludf.DUMMYFUNCTION("""COMPUTED_VALUE"""),64.0)</f>
        <v>64</v>
      </c>
      <c r="F6716" s="19" t="str">
        <f>IFERROR(__xludf.DUMMYFUNCTION("""COMPUTED_VALUE"""),"BLACK")</f>
        <v>BLACK</v>
      </c>
      <c r="G6716" s="20" t="str">
        <f>IFERROR(__xludf.DUMMYFUNCTION("""COMPUTED_VALUE"""),"Uncle Sams Cider (11/12/2021) 02")</f>
        <v>Uncle Sams Cider (11/12/2021) 02</v>
      </c>
      <c r="H6716" s="19"/>
    </row>
    <row r="6717">
      <c r="A6717" s="9"/>
      <c r="B6717" s="15"/>
      <c r="C6717" s="9">
        <f>IFERROR(__xludf.DUMMYFUNCTION("""COMPUTED_VALUE"""),44534.554005162)</f>
        <v>44534.55401</v>
      </c>
      <c r="D6717" s="15">
        <f>IFERROR(__xludf.DUMMYFUNCTION("""COMPUTED_VALUE"""),1.033)</f>
        <v>1.033</v>
      </c>
      <c r="E6717" s="16">
        <f>IFERROR(__xludf.DUMMYFUNCTION("""COMPUTED_VALUE"""),64.0)</f>
        <v>64</v>
      </c>
      <c r="F6717" s="19" t="str">
        <f>IFERROR(__xludf.DUMMYFUNCTION("""COMPUTED_VALUE"""),"BLACK")</f>
        <v>BLACK</v>
      </c>
      <c r="G6717" s="20" t="str">
        <f>IFERROR(__xludf.DUMMYFUNCTION("""COMPUTED_VALUE"""),"Uncle Sams Cider (11/12/2021) 02")</f>
        <v>Uncle Sams Cider (11/12/2021) 02</v>
      </c>
      <c r="H6717" s="19"/>
    </row>
    <row r="6718">
      <c r="A6718" s="9"/>
      <c r="B6718" s="15"/>
      <c r="C6718" s="9">
        <f>IFERROR(__xludf.DUMMYFUNCTION("""COMPUTED_VALUE"""),44534.5435866782)</f>
        <v>44534.54359</v>
      </c>
      <c r="D6718" s="15">
        <f>IFERROR(__xludf.DUMMYFUNCTION("""COMPUTED_VALUE"""),1.034)</f>
        <v>1.034</v>
      </c>
      <c r="E6718" s="16">
        <f>IFERROR(__xludf.DUMMYFUNCTION("""COMPUTED_VALUE"""),64.0)</f>
        <v>64</v>
      </c>
      <c r="F6718" s="19" t="str">
        <f>IFERROR(__xludf.DUMMYFUNCTION("""COMPUTED_VALUE"""),"BLACK")</f>
        <v>BLACK</v>
      </c>
      <c r="G6718" s="20" t="str">
        <f>IFERROR(__xludf.DUMMYFUNCTION("""COMPUTED_VALUE"""),"Uncle Sams Cider (11/12/2021) 02")</f>
        <v>Uncle Sams Cider (11/12/2021) 02</v>
      </c>
      <c r="H6718" s="19"/>
    </row>
    <row r="6719">
      <c r="A6719" s="9"/>
      <c r="B6719" s="15"/>
      <c r="C6719" s="9">
        <f>IFERROR(__xludf.DUMMYFUNCTION("""COMPUTED_VALUE"""),44534.5331526388)</f>
        <v>44534.53315</v>
      </c>
      <c r="D6719" s="15">
        <f>IFERROR(__xludf.DUMMYFUNCTION("""COMPUTED_VALUE"""),1.034)</f>
        <v>1.034</v>
      </c>
      <c r="E6719" s="16">
        <f>IFERROR(__xludf.DUMMYFUNCTION("""COMPUTED_VALUE"""),64.0)</f>
        <v>64</v>
      </c>
      <c r="F6719" s="19" t="str">
        <f>IFERROR(__xludf.DUMMYFUNCTION("""COMPUTED_VALUE"""),"BLACK")</f>
        <v>BLACK</v>
      </c>
      <c r="G6719" s="20" t="str">
        <f>IFERROR(__xludf.DUMMYFUNCTION("""COMPUTED_VALUE"""),"Uncle Sams Cider (11/12/2021) 02")</f>
        <v>Uncle Sams Cider (11/12/2021) 02</v>
      </c>
      <c r="H6719" s="19"/>
    </row>
    <row r="6720">
      <c r="A6720" s="9"/>
      <c r="B6720" s="15"/>
      <c r="C6720" s="9">
        <f>IFERROR(__xludf.DUMMYFUNCTION("""COMPUTED_VALUE"""),44534.522732037)</f>
        <v>44534.52273</v>
      </c>
      <c r="D6720" s="15">
        <f>IFERROR(__xludf.DUMMYFUNCTION("""COMPUTED_VALUE"""),1.034)</f>
        <v>1.034</v>
      </c>
      <c r="E6720" s="16">
        <f>IFERROR(__xludf.DUMMYFUNCTION("""COMPUTED_VALUE"""),64.0)</f>
        <v>64</v>
      </c>
      <c r="F6720" s="19" t="str">
        <f>IFERROR(__xludf.DUMMYFUNCTION("""COMPUTED_VALUE"""),"BLACK")</f>
        <v>BLACK</v>
      </c>
      <c r="G6720" s="20" t="str">
        <f>IFERROR(__xludf.DUMMYFUNCTION("""COMPUTED_VALUE"""),"Uncle Sams Cider (11/12/2021) 02")</f>
        <v>Uncle Sams Cider (11/12/2021) 02</v>
      </c>
      <c r="H6720" s="19"/>
    </row>
    <row r="6721">
      <c r="A6721" s="9"/>
      <c r="B6721" s="15"/>
      <c r="C6721" s="9">
        <f>IFERROR(__xludf.DUMMYFUNCTION("""COMPUTED_VALUE"""),44534.5122644791)</f>
        <v>44534.51226</v>
      </c>
      <c r="D6721" s="15">
        <f>IFERROR(__xludf.DUMMYFUNCTION("""COMPUTED_VALUE"""),1.034)</f>
        <v>1.034</v>
      </c>
      <c r="E6721" s="16">
        <f>IFERROR(__xludf.DUMMYFUNCTION("""COMPUTED_VALUE"""),64.0)</f>
        <v>64</v>
      </c>
      <c r="F6721" s="19" t="str">
        <f>IFERROR(__xludf.DUMMYFUNCTION("""COMPUTED_VALUE"""),"BLACK")</f>
        <v>BLACK</v>
      </c>
      <c r="G6721" s="20" t="str">
        <f>IFERROR(__xludf.DUMMYFUNCTION("""COMPUTED_VALUE"""),"Uncle Sams Cider (11/12/2021) 02")</f>
        <v>Uncle Sams Cider (11/12/2021) 02</v>
      </c>
      <c r="H6721" s="19"/>
    </row>
    <row r="6722">
      <c r="A6722" s="9"/>
      <c r="B6722" s="15"/>
      <c r="C6722" s="9">
        <f>IFERROR(__xludf.DUMMYFUNCTION("""COMPUTED_VALUE"""),44534.5018426851)</f>
        <v>44534.50184</v>
      </c>
      <c r="D6722" s="15">
        <f>IFERROR(__xludf.DUMMYFUNCTION("""COMPUTED_VALUE"""),1.034)</f>
        <v>1.034</v>
      </c>
      <c r="E6722" s="16">
        <f>IFERROR(__xludf.DUMMYFUNCTION("""COMPUTED_VALUE"""),64.0)</f>
        <v>64</v>
      </c>
      <c r="F6722" s="19" t="str">
        <f>IFERROR(__xludf.DUMMYFUNCTION("""COMPUTED_VALUE"""),"BLACK")</f>
        <v>BLACK</v>
      </c>
      <c r="G6722" s="20" t="str">
        <f>IFERROR(__xludf.DUMMYFUNCTION("""COMPUTED_VALUE"""),"Uncle Sams Cider (11/12/2021) 02")</f>
        <v>Uncle Sams Cider (11/12/2021) 02</v>
      </c>
      <c r="H6722" s="19"/>
    </row>
    <row r="6723">
      <c r="A6723" s="9"/>
      <c r="B6723" s="15"/>
      <c r="C6723" s="9">
        <f>IFERROR(__xludf.DUMMYFUNCTION("""COMPUTED_VALUE"""),44534.4914074537)</f>
        <v>44534.49141</v>
      </c>
      <c r="D6723" s="15">
        <f>IFERROR(__xludf.DUMMYFUNCTION("""COMPUTED_VALUE"""),1.034)</f>
        <v>1.034</v>
      </c>
      <c r="E6723" s="16">
        <f>IFERROR(__xludf.DUMMYFUNCTION("""COMPUTED_VALUE"""),64.0)</f>
        <v>64</v>
      </c>
      <c r="F6723" s="19" t="str">
        <f>IFERROR(__xludf.DUMMYFUNCTION("""COMPUTED_VALUE"""),"BLACK")</f>
        <v>BLACK</v>
      </c>
      <c r="G6723" s="20" t="str">
        <f>IFERROR(__xludf.DUMMYFUNCTION("""COMPUTED_VALUE"""),"Uncle Sams Cider (11/12/2021) 02")</f>
        <v>Uncle Sams Cider (11/12/2021) 02</v>
      </c>
      <c r="H6723" s="19"/>
    </row>
    <row r="6724">
      <c r="A6724" s="9"/>
      <c r="B6724" s="15"/>
      <c r="C6724" s="9">
        <f>IFERROR(__xludf.DUMMYFUNCTION("""COMPUTED_VALUE"""),44534.4809867245)</f>
        <v>44534.48099</v>
      </c>
      <c r="D6724" s="15">
        <f>IFERROR(__xludf.DUMMYFUNCTION("""COMPUTED_VALUE"""),1.034)</f>
        <v>1.034</v>
      </c>
      <c r="E6724" s="16">
        <f>IFERROR(__xludf.DUMMYFUNCTION("""COMPUTED_VALUE"""),64.0)</f>
        <v>64</v>
      </c>
      <c r="F6724" s="19" t="str">
        <f>IFERROR(__xludf.DUMMYFUNCTION("""COMPUTED_VALUE"""),"BLACK")</f>
        <v>BLACK</v>
      </c>
      <c r="G6724" s="20" t="str">
        <f>IFERROR(__xludf.DUMMYFUNCTION("""COMPUTED_VALUE"""),"Uncle Sams Cider (11/12/2021) 02")</f>
        <v>Uncle Sams Cider (11/12/2021) 02</v>
      </c>
      <c r="H6724" s="19"/>
    </row>
    <row r="6725">
      <c r="A6725" s="9"/>
      <c r="B6725" s="15"/>
      <c r="C6725" s="9">
        <f>IFERROR(__xludf.DUMMYFUNCTION("""COMPUTED_VALUE"""),44534.4705535069)</f>
        <v>44534.47055</v>
      </c>
      <c r="D6725" s="15">
        <f>IFERROR(__xludf.DUMMYFUNCTION("""COMPUTED_VALUE"""),1.034)</f>
        <v>1.034</v>
      </c>
      <c r="E6725" s="16">
        <f>IFERROR(__xludf.DUMMYFUNCTION("""COMPUTED_VALUE"""),64.0)</f>
        <v>64</v>
      </c>
      <c r="F6725" s="19" t="str">
        <f>IFERROR(__xludf.DUMMYFUNCTION("""COMPUTED_VALUE"""),"BLACK")</f>
        <v>BLACK</v>
      </c>
      <c r="G6725" s="20" t="str">
        <f>IFERROR(__xludf.DUMMYFUNCTION("""COMPUTED_VALUE"""),"Uncle Sams Cider (11/12/2021) 02")</f>
        <v>Uncle Sams Cider (11/12/2021) 02</v>
      </c>
      <c r="H6725" s="19"/>
    </row>
    <row r="6726">
      <c r="A6726" s="9"/>
      <c r="B6726" s="15"/>
      <c r="C6726" s="9">
        <f>IFERROR(__xludf.DUMMYFUNCTION("""COMPUTED_VALUE"""),44534.4601314351)</f>
        <v>44534.46013</v>
      </c>
      <c r="D6726" s="15">
        <f>IFERROR(__xludf.DUMMYFUNCTION("""COMPUTED_VALUE"""),1.034)</f>
        <v>1.034</v>
      </c>
      <c r="E6726" s="16">
        <f>IFERROR(__xludf.DUMMYFUNCTION("""COMPUTED_VALUE"""),64.0)</f>
        <v>64</v>
      </c>
      <c r="F6726" s="19" t="str">
        <f>IFERROR(__xludf.DUMMYFUNCTION("""COMPUTED_VALUE"""),"BLACK")</f>
        <v>BLACK</v>
      </c>
      <c r="G6726" s="20" t="str">
        <f>IFERROR(__xludf.DUMMYFUNCTION("""COMPUTED_VALUE"""),"Uncle Sams Cider (11/12/2021) 02")</f>
        <v>Uncle Sams Cider (11/12/2021) 02</v>
      </c>
      <c r="H6726" s="19"/>
    </row>
    <row r="6727">
      <c r="A6727" s="9"/>
      <c r="B6727" s="15"/>
      <c r="C6727" s="9">
        <f>IFERROR(__xludf.DUMMYFUNCTION("""COMPUTED_VALUE"""),44534.449687037)</f>
        <v>44534.44969</v>
      </c>
      <c r="D6727" s="15">
        <f>IFERROR(__xludf.DUMMYFUNCTION("""COMPUTED_VALUE"""),1.034)</f>
        <v>1.034</v>
      </c>
      <c r="E6727" s="16">
        <f>IFERROR(__xludf.DUMMYFUNCTION("""COMPUTED_VALUE"""),64.0)</f>
        <v>64</v>
      </c>
      <c r="F6727" s="19" t="str">
        <f>IFERROR(__xludf.DUMMYFUNCTION("""COMPUTED_VALUE"""),"BLACK")</f>
        <v>BLACK</v>
      </c>
      <c r="G6727" s="20" t="str">
        <f>IFERROR(__xludf.DUMMYFUNCTION("""COMPUTED_VALUE"""),"Uncle Sams Cider (11/12/2021) 02")</f>
        <v>Uncle Sams Cider (11/12/2021) 02</v>
      </c>
      <c r="H6727" s="19"/>
    </row>
    <row r="6728">
      <c r="A6728" s="9"/>
      <c r="B6728" s="15"/>
      <c r="C6728" s="9">
        <f>IFERROR(__xludf.DUMMYFUNCTION("""COMPUTED_VALUE"""),44534.4392671643)</f>
        <v>44534.43927</v>
      </c>
      <c r="D6728" s="15">
        <f>IFERROR(__xludf.DUMMYFUNCTION("""COMPUTED_VALUE"""),1.033)</f>
        <v>1.033</v>
      </c>
      <c r="E6728" s="16">
        <f>IFERROR(__xludf.DUMMYFUNCTION("""COMPUTED_VALUE"""),64.0)</f>
        <v>64</v>
      </c>
      <c r="F6728" s="19" t="str">
        <f>IFERROR(__xludf.DUMMYFUNCTION("""COMPUTED_VALUE"""),"BLACK")</f>
        <v>BLACK</v>
      </c>
      <c r="G6728" s="20" t="str">
        <f>IFERROR(__xludf.DUMMYFUNCTION("""COMPUTED_VALUE"""),"Uncle Sams Cider (11/12/2021) 02")</f>
        <v>Uncle Sams Cider (11/12/2021) 02</v>
      </c>
      <c r="H6728" s="19"/>
    </row>
    <row r="6729">
      <c r="A6729" s="9"/>
      <c r="B6729" s="15"/>
      <c r="C6729" s="9">
        <f>IFERROR(__xludf.DUMMYFUNCTION("""COMPUTED_VALUE"""),44534.4288444675)</f>
        <v>44534.42884</v>
      </c>
      <c r="D6729" s="15">
        <f>IFERROR(__xludf.DUMMYFUNCTION("""COMPUTED_VALUE"""),1.034)</f>
        <v>1.034</v>
      </c>
      <c r="E6729" s="16">
        <f>IFERROR(__xludf.DUMMYFUNCTION("""COMPUTED_VALUE"""),64.0)</f>
        <v>64</v>
      </c>
      <c r="F6729" s="19" t="str">
        <f>IFERROR(__xludf.DUMMYFUNCTION("""COMPUTED_VALUE"""),"BLACK")</f>
        <v>BLACK</v>
      </c>
      <c r="G6729" s="20" t="str">
        <f>IFERROR(__xludf.DUMMYFUNCTION("""COMPUTED_VALUE"""),"Uncle Sams Cider (11/12/2021) 02")</f>
        <v>Uncle Sams Cider (11/12/2021) 02</v>
      </c>
      <c r="H6729" s="19"/>
    </row>
    <row r="6730">
      <c r="A6730" s="9"/>
      <c r="B6730" s="15"/>
      <c r="C6730" s="9">
        <f>IFERROR(__xludf.DUMMYFUNCTION("""COMPUTED_VALUE"""),44534.4184117476)</f>
        <v>44534.41841</v>
      </c>
      <c r="D6730" s="15">
        <f>IFERROR(__xludf.DUMMYFUNCTION("""COMPUTED_VALUE"""),1.034)</f>
        <v>1.034</v>
      </c>
      <c r="E6730" s="16">
        <f>IFERROR(__xludf.DUMMYFUNCTION("""COMPUTED_VALUE"""),64.0)</f>
        <v>64</v>
      </c>
      <c r="F6730" s="19" t="str">
        <f>IFERROR(__xludf.DUMMYFUNCTION("""COMPUTED_VALUE"""),"BLACK")</f>
        <v>BLACK</v>
      </c>
      <c r="G6730" s="20" t="str">
        <f>IFERROR(__xludf.DUMMYFUNCTION("""COMPUTED_VALUE"""),"Uncle Sams Cider (11/12/2021) 02")</f>
        <v>Uncle Sams Cider (11/12/2021) 02</v>
      </c>
      <c r="H6730" s="19"/>
    </row>
    <row r="6731">
      <c r="A6731" s="9"/>
      <c r="B6731" s="15"/>
      <c r="C6731" s="9">
        <f>IFERROR(__xludf.DUMMYFUNCTION("""COMPUTED_VALUE"""),44534.4079772569)</f>
        <v>44534.40798</v>
      </c>
      <c r="D6731" s="15">
        <f>IFERROR(__xludf.DUMMYFUNCTION("""COMPUTED_VALUE"""),1.034)</f>
        <v>1.034</v>
      </c>
      <c r="E6731" s="16">
        <f>IFERROR(__xludf.DUMMYFUNCTION("""COMPUTED_VALUE"""),64.0)</f>
        <v>64</v>
      </c>
      <c r="F6731" s="19" t="str">
        <f>IFERROR(__xludf.DUMMYFUNCTION("""COMPUTED_VALUE"""),"BLACK")</f>
        <v>BLACK</v>
      </c>
      <c r="G6731" s="20" t="str">
        <f>IFERROR(__xludf.DUMMYFUNCTION("""COMPUTED_VALUE"""),"Uncle Sams Cider (11/12/2021) 02")</f>
        <v>Uncle Sams Cider (11/12/2021) 02</v>
      </c>
      <c r="H6731" s="19"/>
    </row>
    <row r="6732">
      <c r="A6732" s="9"/>
      <c r="B6732" s="15"/>
      <c r="C6732" s="9">
        <f>IFERROR(__xludf.DUMMYFUNCTION("""COMPUTED_VALUE"""),44534.3975558912)</f>
        <v>44534.39756</v>
      </c>
      <c r="D6732" s="15">
        <f>IFERROR(__xludf.DUMMYFUNCTION("""COMPUTED_VALUE"""),1.034)</f>
        <v>1.034</v>
      </c>
      <c r="E6732" s="16">
        <f>IFERROR(__xludf.DUMMYFUNCTION("""COMPUTED_VALUE"""),64.0)</f>
        <v>64</v>
      </c>
      <c r="F6732" s="19" t="str">
        <f>IFERROR(__xludf.DUMMYFUNCTION("""COMPUTED_VALUE"""),"BLACK")</f>
        <v>BLACK</v>
      </c>
      <c r="G6732" s="20" t="str">
        <f>IFERROR(__xludf.DUMMYFUNCTION("""COMPUTED_VALUE"""),"Uncle Sams Cider (11/12/2021) 02")</f>
        <v>Uncle Sams Cider (11/12/2021) 02</v>
      </c>
      <c r="H6732" s="19"/>
    </row>
    <row r="6733">
      <c r="A6733" s="9"/>
      <c r="B6733" s="15"/>
      <c r="C6733" s="9">
        <f>IFERROR(__xludf.DUMMYFUNCTION("""COMPUTED_VALUE"""),44534.3871242824)</f>
        <v>44534.38712</v>
      </c>
      <c r="D6733" s="15">
        <f>IFERROR(__xludf.DUMMYFUNCTION("""COMPUTED_VALUE"""),1.034)</f>
        <v>1.034</v>
      </c>
      <c r="E6733" s="16">
        <f>IFERROR(__xludf.DUMMYFUNCTION("""COMPUTED_VALUE"""),64.0)</f>
        <v>64</v>
      </c>
      <c r="F6733" s="19" t="str">
        <f>IFERROR(__xludf.DUMMYFUNCTION("""COMPUTED_VALUE"""),"BLACK")</f>
        <v>BLACK</v>
      </c>
      <c r="G6733" s="20" t="str">
        <f>IFERROR(__xludf.DUMMYFUNCTION("""COMPUTED_VALUE"""),"Uncle Sams Cider (11/12/2021) 02")</f>
        <v>Uncle Sams Cider (11/12/2021) 02</v>
      </c>
      <c r="H6733" s="19"/>
    </row>
    <row r="6734">
      <c r="A6734" s="9"/>
      <c r="B6734" s="15"/>
      <c r="C6734" s="9">
        <f>IFERROR(__xludf.DUMMYFUNCTION("""COMPUTED_VALUE"""),44534.3767033564)</f>
        <v>44534.3767</v>
      </c>
      <c r="D6734" s="15">
        <f>IFERROR(__xludf.DUMMYFUNCTION("""COMPUTED_VALUE"""),1.034)</f>
        <v>1.034</v>
      </c>
      <c r="E6734" s="16">
        <f>IFERROR(__xludf.DUMMYFUNCTION("""COMPUTED_VALUE"""),64.0)</f>
        <v>64</v>
      </c>
      <c r="F6734" s="19" t="str">
        <f>IFERROR(__xludf.DUMMYFUNCTION("""COMPUTED_VALUE"""),"BLACK")</f>
        <v>BLACK</v>
      </c>
      <c r="G6734" s="20" t="str">
        <f>IFERROR(__xludf.DUMMYFUNCTION("""COMPUTED_VALUE"""),"Uncle Sams Cider (11/12/2021) 02")</f>
        <v>Uncle Sams Cider (11/12/2021) 02</v>
      </c>
      <c r="H6734" s="19"/>
    </row>
    <row r="6735">
      <c r="A6735" s="9"/>
      <c r="B6735" s="15"/>
      <c r="C6735" s="9">
        <f>IFERROR(__xludf.DUMMYFUNCTION("""COMPUTED_VALUE"""),44534.3662820138)</f>
        <v>44534.36628</v>
      </c>
      <c r="D6735" s="15">
        <f>IFERROR(__xludf.DUMMYFUNCTION("""COMPUTED_VALUE"""),1.034)</f>
        <v>1.034</v>
      </c>
      <c r="E6735" s="16">
        <f>IFERROR(__xludf.DUMMYFUNCTION("""COMPUTED_VALUE"""),64.0)</f>
        <v>64</v>
      </c>
      <c r="F6735" s="19" t="str">
        <f>IFERROR(__xludf.DUMMYFUNCTION("""COMPUTED_VALUE"""),"BLACK")</f>
        <v>BLACK</v>
      </c>
      <c r="G6735" s="20" t="str">
        <f>IFERROR(__xludf.DUMMYFUNCTION("""COMPUTED_VALUE"""),"Uncle Sams Cider (11/12/2021) 02")</f>
        <v>Uncle Sams Cider (11/12/2021) 02</v>
      </c>
      <c r="H6735" s="19"/>
    </row>
    <row r="6736">
      <c r="A6736" s="9"/>
      <c r="B6736" s="15"/>
      <c r="C6736" s="9">
        <f>IFERROR(__xludf.DUMMYFUNCTION("""COMPUTED_VALUE"""),44534.3558606597)</f>
        <v>44534.35586</v>
      </c>
      <c r="D6736" s="15">
        <f>IFERROR(__xludf.DUMMYFUNCTION("""COMPUTED_VALUE"""),1.034)</f>
        <v>1.034</v>
      </c>
      <c r="E6736" s="16">
        <f>IFERROR(__xludf.DUMMYFUNCTION("""COMPUTED_VALUE"""),64.0)</f>
        <v>64</v>
      </c>
      <c r="F6736" s="19" t="str">
        <f>IFERROR(__xludf.DUMMYFUNCTION("""COMPUTED_VALUE"""),"BLACK")</f>
        <v>BLACK</v>
      </c>
      <c r="G6736" s="20" t="str">
        <f>IFERROR(__xludf.DUMMYFUNCTION("""COMPUTED_VALUE"""),"Uncle Sams Cider (11/12/2021) 02")</f>
        <v>Uncle Sams Cider (11/12/2021) 02</v>
      </c>
      <c r="H6736" s="19"/>
    </row>
    <row r="6737">
      <c r="A6737" s="9"/>
      <c r="B6737" s="15"/>
      <c r="C6737" s="9">
        <f>IFERROR(__xludf.DUMMYFUNCTION("""COMPUTED_VALUE"""),44534.3454281944)</f>
        <v>44534.34543</v>
      </c>
      <c r="D6737" s="15">
        <f>IFERROR(__xludf.DUMMYFUNCTION("""COMPUTED_VALUE"""),1.034)</f>
        <v>1.034</v>
      </c>
      <c r="E6737" s="16">
        <f>IFERROR(__xludf.DUMMYFUNCTION("""COMPUTED_VALUE"""),64.0)</f>
        <v>64</v>
      </c>
      <c r="F6737" s="19" t="str">
        <f>IFERROR(__xludf.DUMMYFUNCTION("""COMPUTED_VALUE"""),"BLACK")</f>
        <v>BLACK</v>
      </c>
      <c r="G6737" s="20" t="str">
        <f>IFERROR(__xludf.DUMMYFUNCTION("""COMPUTED_VALUE"""),"Uncle Sams Cider (11/12/2021) 02")</f>
        <v>Uncle Sams Cider (11/12/2021) 02</v>
      </c>
      <c r="H6737" s="19"/>
    </row>
    <row r="6738">
      <c r="A6738" s="9"/>
      <c r="B6738" s="15"/>
      <c r="C6738" s="9">
        <f>IFERROR(__xludf.DUMMYFUNCTION("""COMPUTED_VALUE"""),44534.3349958217)</f>
        <v>44534.335</v>
      </c>
      <c r="D6738" s="15">
        <f>IFERROR(__xludf.DUMMYFUNCTION("""COMPUTED_VALUE"""),1.034)</f>
        <v>1.034</v>
      </c>
      <c r="E6738" s="16">
        <f>IFERROR(__xludf.DUMMYFUNCTION("""COMPUTED_VALUE"""),64.0)</f>
        <v>64</v>
      </c>
      <c r="F6738" s="19" t="str">
        <f>IFERROR(__xludf.DUMMYFUNCTION("""COMPUTED_VALUE"""),"BLACK")</f>
        <v>BLACK</v>
      </c>
      <c r="G6738" s="20" t="str">
        <f>IFERROR(__xludf.DUMMYFUNCTION("""COMPUTED_VALUE"""),"Uncle Sams Cider (11/12/2021) 02")</f>
        <v>Uncle Sams Cider (11/12/2021) 02</v>
      </c>
      <c r="H6738" s="19"/>
    </row>
    <row r="6739">
      <c r="A6739" s="9"/>
      <c r="B6739" s="15"/>
      <c r="C6739" s="9">
        <f>IFERROR(__xludf.DUMMYFUNCTION("""COMPUTED_VALUE"""),44534.3245745254)</f>
        <v>44534.32457</v>
      </c>
      <c r="D6739" s="15">
        <f>IFERROR(__xludf.DUMMYFUNCTION("""COMPUTED_VALUE"""),1.034)</f>
        <v>1.034</v>
      </c>
      <c r="E6739" s="16">
        <f>IFERROR(__xludf.DUMMYFUNCTION("""COMPUTED_VALUE"""),64.0)</f>
        <v>64</v>
      </c>
      <c r="F6739" s="19" t="str">
        <f>IFERROR(__xludf.DUMMYFUNCTION("""COMPUTED_VALUE"""),"BLACK")</f>
        <v>BLACK</v>
      </c>
      <c r="G6739" s="20" t="str">
        <f>IFERROR(__xludf.DUMMYFUNCTION("""COMPUTED_VALUE"""),"Uncle Sams Cider (11/12/2021) 02")</f>
        <v>Uncle Sams Cider (11/12/2021) 02</v>
      </c>
      <c r="H6739" s="19"/>
    </row>
    <row r="6740">
      <c r="A6740" s="9"/>
      <c r="B6740" s="15"/>
      <c r="C6740" s="9">
        <f>IFERROR(__xludf.DUMMYFUNCTION("""COMPUTED_VALUE"""),44534.3141550115)</f>
        <v>44534.31416</v>
      </c>
      <c r="D6740" s="15">
        <f>IFERROR(__xludf.DUMMYFUNCTION("""COMPUTED_VALUE"""),1.034)</f>
        <v>1.034</v>
      </c>
      <c r="E6740" s="16">
        <f>IFERROR(__xludf.DUMMYFUNCTION("""COMPUTED_VALUE"""),64.0)</f>
        <v>64</v>
      </c>
      <c r="F6740" s="19" t="str">
        <f>IFERROR(__xludf.DUMMYFUNCTION("""COMPUTED_VALUE"""),"BLACK")</f>
        <v>BLACK</v>
      </c>
      <c r="G6740" s="20" t="str">
        <f>IFERROR(__xludf.DUMMYFUNCTION("""COMPUTED_VALUE"""),"Uncle Sams Cider (11/12/2021) 02")</f>
        <v>Uncle Sams Cider (11/12/2021) 02</v>
      </c>
      <c r="H6740" s="19"/>
    </row>
    <row r="6741">
      <c r="A6741" s="9"/>
      <c r="B6741" s="15"/>
      <c r="C6741" s="9">
        <f>IFERROR(__xludf.DUMMYFUNCTION("""COMPUTED_VALUE"""),44534.303721956)</f>
        <v>44534.30372</v>
      </c>
      <c r="D6741" s="15">
        <f>IFERROR(__xludf.DUMMYFUNCTION("""COMPUTED_VALUE"""),1.034)</f>
        <v>1.034</v>
      </c>
      <c r="E6741" s="16">
        <f>IFERROR(__xludf.DUMMYFUNCTION("""COMPUTED_VALUE"""),64.0)</f>
        <v>64</v>
      </c>
      <c r="F6741" s="19" t="str">
        <f>IFERROR(__xludf.DUMMYFUNCTION("""COMPUTED_VALUE"""),"BLACK")</f>
        <v>BLACK</v>
      </c>
      <c r="G6741" s="20" t="str">
        <f>IFERROR(__xludf.DUMMYFUNCTION("""COMPUTED_VALUE"""),"Uncle Sams Cider (11/12/2021) 02")</f>
        <v>Uncle Sams Cider (11/12/2021) 02</v>
      </c>
      <c r="H6741" s="19"/>
    </row>
    <row r="6742">
      <c r="A6742" s="9"/>
      <c r="B6742" s="15"/>
      <c r="C6742" s="9">
        <f>IFERROR(__xludf.DUMMYFUNCTION("""COMPUTED_VALUE"""),44534.2933018865)</f>
        <v>44534.2933</v>
      </c>
      <c r="D6742" s="15">
        <f>IFERROR(__xludf.DUMMYFUNCTION("""COMPUTED_VALUE"""),1.034)</f>
        <v>1.034</v>
      </c>
      <c r="E6742" s="16">
        <f>IFERROR(__xludf.DUMMYFUNCTION("""COMPUTED_VALUE"""),64.0)</f>
        <v>64</v>
      </c>
      <c r="F6742" s="19" t="str">
        <f>IFERROR(__xludf.DUMMYFUNCTION("""COMPUTED_VALUE"""),"BLACK")</f>
        <v>BLACK</v>
      </c>
      <c r="G6742" s="20" t="str">
        <f>IFERROR(__xludf.DUMMYFUNCTION("""COMPUTED_VALUE"""),"Uncle Sams Cider (11/12/2021) 02")</f>
        <v>Uncle Sams Cider (11/12/2021) 02</v>
      </c>
      <c r="H6742" s="19"/>
    </row>
    <row r="6743">
      <c r="A6743" s="9"/>
      <c r="B6743" s="15"/>
      <c r="C6743" s="9">
        <f>IFERROR(__xludf.DUMMYFUNCTION("""COMPUTED_VALUE"""),44534.2828798263)</f>
        <v>44534.28288</v>
      </c>
      <c r="D6743" s="15">
        <f>IFERROR(__xludf.DUMMYFUNCTION("""COMPUTED_VALUE"""),1.034)</f>
        <v>1.034</v>
      </c>
      <c r="E6743" s="16">
        <f>IFERROR(__xludf.DUMMYFUNCTION("""COMPUTED_VALUE"""),64.0)</f>
        <v>64</v>
      </c>
      <c r="F6743" s="19" t="str">
        <f>IFERROR(__xludf.DUMMYFUNCTION("""COMPUTED_VALUE"""),"BLACK")</f>
        <v>BLACK</v>
      </c>
      <c r="G6743" s="20" t="str">
        <f>IFERROR(__xludf.DUMMYFUNCTION("""COMPUTED_VALUE"""),"Uncle Sams Cider (11/12/2021) 02")</f>
        <v>Uncle Sams Cider (11/12/2021) 02</v>
      </c>
      <c r="H6743" s="19"/>
    </row>
    <row r="6744">
      <c r="A6744" s="9"/>
      <c r="B6744" s="15"/>
      <c r="C6744" s="9">
        <f>IFERROR(__xludf.DUMMYFUNCTION("""COMPUTED_VALUE"""),44534.2724594907)</f>
        <v>44534.27246</v>
      </c>
      <c r="D6744" s="15">
        <f>IFERROR(__xludf.DUMMYFUNCTION("""COMPUTED_VALUE"""),1.034)</f>
        <v>1.034</v>
      </c>
      <c r="E6744" s="16">
        <f>IFERROR(__xludf.DUMMYFUNCTION("""COMPUTED_VALUE"""),64.0)</f>
        <v>64</v>
      </c>
      <c r="F6744" s="19" t="str">
        <f>IFERROR(__xludf.DUMMYFUNCTION("""COMPUTED_VALUE"""),"BLACK")</f>
        <v>BLACK</v>
      </c>
      <c r="G6744" s="20" t="str">
        <f>IFERROR(__xludf.DUMMYFUNCTION("""COMPUTED_VALUE"""),"Uncle Sams Cider (11/12/2021) 02")</f>
        <v>Uncle Sams Cider (11/12/2021) 02</v>
      </c>
      <c r="H6744" s="19"/>
    </row>
    <row r="6745">
      <c r="A6745" s="9"/>
      <c r="B6745" s="15"/>
      <c r="C6745" s="9">
        <f>IFERROR(__xludf.DUMMYFUNCTION("""COMPUTED_VALUE"""),44534.2620248032)</f>
        <v>44534.26202</v>
      </c>
      <c r="D6745" s="15">
        <f>IFERROR(__xludf.DUMMYFUNCTION("""COMPUTED_VALUE"""),1.034)</f>
        <v>1.034</v>
      </c>
      <c r="E6745" s="16">
        <f>IFERROR(__xludf.DUMMYFUNCTION("""COMPUTED_VALUE"""),64.0)</f>
        <v>64</v>
      </c>
      <c r="F6745" s="19" t="str">
        <f>IFERROR(__xludf.DUMMYFUNCTION("""COMPUTED_VALUE"""),"BLACK")</f>
        <v>BLACK</v>
      </c>
      <c r="G6745" s="20" t="str">
        <f>IFERROR(__xludf.DUMMYFUNCTION("""COMPUTED_VALUE"""),"Uncle Sams Cider (11/12/2021) 02")</f>
        <v>Uncle Sams Cider (11/12/2021) 02</v>
      </c>
      <c r="H6745" s="19"/>
    </row>
    <row r="6746">
      <c r="A6746" s="9"/>
      <c r="B6746" s="15"/>
      <c r="C6746" s="9">
        <f>IFERROR(__xludf.DUMMYFUNCTION("""COMPUTED_VALUE"""),44534.2516063078)</f>
        <v>44534.25161</v>
      </c>
      <c r="D6746" s="15">
        <f>IFERROR(__xludf.DUMMYFUNCTION("""COMPUTED_VALUE"""),1.034)</f>
        <v>1.034</v>
      </c>
      <c r="E6746" s="16">
        <f>IFERROR(__xludf.DUMMYFUNCTION("""COMPUTED_VALUE"""),64.0)</f>
        <v>64</v>
      </c>
      <c r="F6746" s="19" t="str">
        <f>IFERROR(__xludf.DUMMYFUNCTION("""COMPUTED_VALUE"""),"BLACK")</f>
        <v>BLACK</v>
      </c>
      <c r="G6746" s="20" t="str">
        <f>IFERROR(__xludf.DUMMYFUNCTION("""COMPUTED_VALUE"""),"Uncle Sams Cider (11/12/2021) 02")</f>
        <v>Uncle Sams Cider (11/12/2021) 02</v>
      </c>
      <c r="H6746" s="19"/>
    </row>
    <row r="6747">
      <c r="A6747" s="9"/>
      <c r="B6747" s="15"/>
      <c r="C6747" s="9">
        <f>IFERROR(__xludf.DUMMYFUNCTION("""COMPUTED_VALUE"""),44534.2411869212)</f>
        <v>44534.24119</v>
      </c>
      <c r="D6747" s="15">
        <f>IFERROR(__xludf.DUMMYFUNCTION("""COMPUTED_VALUE"""),1.034)</f>
        <v>1.034</v>
      </c>
      <c r="E6747" s="16">
        <f>IFERROR(__xludf.DUMMYFUNCTION("""COMPUTED_VALUE"""),64.0)</f>
        <v>64</v>
      </c>
      <c r="F6747" s="19" t="str">
        <f>IFERROR(__xludf.DUMMYFUNCTION("""COMPUTED_VALUE"""),"BLACK")</f>
        <v>BLACK</v>
      </c>
      <c r="G6747" s="20" t="str">
        <f>IFERROR(__xludf.DUMMYFUNCTION("""COMPUTED_VALUE"""),"Uncle Sams Cider (11/12/2021) 02")</f>
        <v>Uncle Sams Cider (11/12/2021) 02</v>
      </c>
      <c r="H6747" s="19"/>
    </row>
    <row r="6748">
      <c r="A6748" s="9"/>
      <c r="B6748" s="15"/>
      <c r="C6748" s="9">
        <f>IFERROR(__xludf.DUMMYFUNCTION("""COMPUTED_VALUE"""),44534.2307434143)</f>
        <v>44534.23074</v>
      </c>
      <c r="D6748" s="15">
        <f>IFERROR(__xludf.DUMMYFUNCTION("""COMPUTED_VALUE"""),1.034)</f>
        <v>1.034</v>
      </c>
      <c r="E6748" s="16">
        <f>IFERROR(__xludf.DUMMYFUNCTION("""COMPUTED_VALUE"""),64.0)</f>
        <v>64</v>
      </c>
      <c r="F6748" s="19" t="str">
        <f>IFERROR(__xludf.DUMMYFUNCTION("""COMPUTED_VALUE"""),"BLACK")</f>
        <v>BLACK</v>
      </c>
      <c r="G6748" s="20" t="str">
        <f>IFERROR(__xludf.DUMMYFUNCTION("""COMPUTED_VALUE"""),"Uncle Sams Cider (11/12/2021) 02")</f>
        <v>Uncle Sams Cider (11/12/2021) 02</v>
      </c>
      <c r="H6748" s="19"/>
    </row>
    <row r="6749">
      <c r="A6749" s="9"/>
      <c r="B6749" s="15"/>
      <c r="C6749" s="9">
        <f>IFERROR(__xludf.DUMMYFUNCTION("""COMPUTED_VALUE"""),44534.2203231481)</f>
        <v>44534.22032</v>
      </c>
      <c r="D6749" s="15">
        <f>IFERROR(__xludf.DUMMYFUNCTION("""COMPUTED_VALUE"""),1.034)</f>
        <v>1.034</v>
      </c>
      <c r="E6749" s="16">
        <f>IFERROR(__xludf.DUMMYFUNCTION("""COMPUTED_VALUE"""),64.0)</f>
        <v>64</v>
      </c>
      <c r="F6749" s="19" t="str">
        <f>IFERROR(__xludf.DUMMYFUNCTION("""COMPUTED_VALUE"""),"BLACK")</f>
        <v>BLACK</v>
      </c>
      <c r="G6749" s="20" t="str">
        <f>IFERROR(__xludf.DUMMYFUNCTION("""COMPUTED_VALUE"""),"Uncle Sams Cider (11/12/2021) 02")</f>
        <v>Uncle Sams Cider (11/12/2021) 02</v>
      </c>
      <c r="H6749" s="19"/>
    </row>
    <row r="6750">
      <c r="A6750" s="9"/>
      <c r="B6750" s="15"/>
      <c r="C6750" s="9">
        <f>IFERROR(__xludf.DUMMYFUNCTION("""COMPUTED_VALUE"""),44534.2098887268)</f>
        <v>44534.20989</v>
      </c>
      <c r="D6750" s="15">
        <f>IFERROR(__xludf.DUMMYFUNCTION("""COMPUTED_VALUE"""),1.034)</f>
        <v>1.034</v>
      </c>
      <c r="E6750" s="16">
        <f>IFERROR(__xludf.DUMMYFUNCTION("""COMPUTED_VALUE"""),64.0)</f>
        <v>64</v>
      </c>
      <c r="F6750" s="19" t="str">
        <f>IFERROR(__xludf.DUMMYFUNCTION("""COMPUTED_VALUE"""),"BLACK")</f>
        <v>BLACK</v>
      </c>
      <c r="G6750" s="20" t="str">
        <f>IFERROR(__xludf.DUMMYFUNCTION("""COMPUTED_VALUE"""),"Uncle Sams Cider (11/12/2021) 02")</f>
        <v>Uncle Sams Cider (11/12/2021) 02</v>
      </c>
      <c r="H6750" s="19"/>
    </row>
    <row r="6751">
      <c r="A6751" s="9"/>
      <c r="B6751" s="15"/>
      <c r="C6751" s="9">
        <f>IFERROR(__xludf.DUMMYFUNCTION("""COMPUTED_VALUE"""),44534.1994549189)</f>
        <v>44534.19945</v>
      </c>
      <c r="D6751" s="15">
        <f>IFERROR(__xludf.DUMMYFUNCTION("""COMPUTED_VALUE"""),1.034)</f>
        <v>1.034</v>
      </c>
      <c r="E6751" s="16">
        <f>IFERROR(__xludf.DUMMYFUNCTION("""COMPUTED_VALUE"""),64.0)</f>
        <v>64</v>
      </c>
      <c r="F6751" s="19" t="str">
        <f>IFERROR(__xludf.DUMMYFUNCTION("""COMPUTED_VALUE"""),"BLACK")</f>
        <v>BLACK</v>
      </c>
      <c r="G6751" s="20" t="str">
        <f>IFERROR(__xludf.DUMMYFUNCTION("""COMPUTED_VALUE"""),"Uncle Sams Cider (11/12/2021) 02")</f>
        <v>Uncle Sams Cider (11/12/2021) 02</v>
      </c>
      <c r="H6751" s="19"/>
    </row>
    <row r="6752">
      <c r="A6752" s="9"/>
      <c r="B6752" s="15"/>
      <c r="C6752" s="9">
        <f>IFERROR(__xludf.DUMMYFUNCTION("""COMPUTED_VALUE"""),44534.1890331597)</f>
        <v>44534.18903</v>
      </c>
      <c r="D6752" s="15">
        <f>IFERROR(__xludf.DUMMYFUNCTION("""COMPUTED_VALUE"""),1.034)</f>
        <v>1.034</v>
      </c>
      <c r="E6752" s="16">
        <f>IFERROR(__xludf.DUMMYFUNCTION("""COMPUTED_VALUE"""),64.0)</f>
        <v>64</v>
      </c>
      <c r="F6752" s="19" t="str">
        <f>IFERROR(__xludf.DUMMYFUNCTION("""COMPUTED_VALUE"""),"BLACK")</f>
        <v>BLACK</v>
      </c>
      <c r="G6752" s="20" t="str">
        <f>IFERROR(__xludf.DUMMYFUNCTION("""COMPUTED_VALUE"""),"Uncle Sams Cider (11/12/2021) 02")</f>
        <v>Uncle Sams Cider (11/12/2021) 02</v>
      </c>
      <c r="H6752" s="19"/>
    </row>
    <row r="6753">
      <c r="A6753" s="9"/>
      <c r="B6753" s="15"/>
      <c r="C6753" s="9">
        <f>IFERROR(__xludf.DUMMYFUNCTION("""COMPUTED_VALUE"""),44534.1786114351)</f>
        <v>44534.17861</v>
      </c>
      <c r="D6753" s="15">
        <f>IFERROR(__xludf.DUMMYFUNCTION("""COMPUTED_VALUE"""),1.034)</f>
        <v>1.034</v>
      </c>
      <c r="E6753" s="16">
        <f>IFERROR(__xludf.DUMMYFUNCTION("""COMPUTED_VALUE"""),64.0)</f>
        <v>64</v>
      </c>
      <c r="F6753" s="19" t="str">
        <f>IFERROR(__xludf.DUMMYFUNCTION("""COMPUTED_VALUE"""),"BLACK")</f>
        <v>BLACK</v>
      </c>
      <c r="G6753" s="20" t="str">
        <f>IFERROR(__xludf.DUMMYFUNCTION("""COMPUTED_VALUE"""),"Uncle Sams Cider (11/12/2021) 02")</f>
        <v>Uncle Sams Cider (11/12/2021) 02</v>
      </c>
      <c r="H6753" s="19"/>
    </row>
    <row r="6754">
      <c r="A6754" s="9"/>
      <c r="B6754" s="15"/>
      <c r="C6754" s="9">
        <f>IFERROR(__xludf.DUMMYFUNCTION("""COMPUTED_VALUE"""),44534.1681778587)</f>
        <v>44534.16818</v>
      </c>
      <c r="D6754" s="15">
        <f>IFERROR(__xludf.DUMMYFUNCTION("""COMPUTED_VALUE"""),1.034)</f>
        <v>1.034</v>
      </c>
      <c r="E6754" s="16">
        <f>IFERROR(__xludf.DUMMYFUNCTION("""COMPUTED_VALUE"""),64.0)</f>
        <v>64</v>
      </c>
      <c r="F6754" s="19" t="str">
        <f>IFERROR(__xludf.DUMMYFUNCTION("""COMPUTED_VALUE"""),"BLACK")</f>
        <v>BLACK</v>
      </c>
      <c r="G6754" s="20" t="str">
        <f>IFERROR(__xludf.DUMMYFUNCTION("""COMPUTED_VALUE"""),"Uncle Sams Cider (11/12/2021) 02")</f>
        <v>Uncle Sams Cider (11/12/2021) 02</v>
      </c>
      <c r="H6754" s="19"/>
    </row>
    <row r="6755">
      <c r="A6755" s="9"/>
      <c r="B6755" s="15"/>
      <c r="C6755" s="9">
        <f>IFERROR(__xludf.DUMMYFUNCTION("""COMPUTED_VALUE"""),44534.1577554745)</f>
        <v>44534.15776</v>
      </c>
      <c r="D6755" s="15">
        <f>IFERROR(__xludf.DUMMYFUNCTION("""COMPUTED_VALUE"""),1.034)</f>
        <v>1.034</v>
      </c>
      <c r="E6755" s="16">
        <f>IFERROR(__xludf.DUMMYFUNCTION("""COMPUTED_VALUE"""),64.0)</f>
        <v>64</v>
      </c>
      <c r="F6755" s="19" t="str">
        <f>IFERROR(__xludf.DUMMYFUNCTION("""COMPUTED_VALUE"""),"BLACK")</f>
        <v>BLACK</v>
      </c>
      <c r="G6755" s="20" t="str">
        <f>IFERROR(__xludf.DUMMYFUNCTION("""COMPUTED_VALUE"""),"Uncle Sams Cider (11/12/2021) 02")</f>
        <v>Uncle Sams Cider (11/12/2021) 02</v>
      </c>
      <c r="H6755" s="19"/>
    </row>
    <row r="6756">
      <c r="A6756" s="9"/>
      <c r="B6756" s="15"/>
      <c r="C6756" s="9">
        <f>IFERROR(__xludf.DUMMYFUNCTION("""COMPUTED_VALUE"""),44534.1473218634)</f>
        <v>44534.14732</v>
      </c>
      <c r="D6756" s="15">
        <f>IFERROR(__xludf.DUMMYFUNCTION("""COMPUTED_VALUE"""),1.034)</f>
        <v>1.034</v>
      </c>
      <c r="E6756" s="16">
        <f>IFERROR(__xludf.DUMMYFUNCTION("""COMPUTED_VALUE"""),64.0)</f>
        <v>64</v>
      </c>
      <c r="F6756" s="19" t="str">
        <f>IFERROR(__xludf.DUMMYFUNCTION("""COMPUTED_VALUE"""),"BLACK")</f>
        <v>BLACK</v>
      </c>
      <c r="G6756" s="20" t="str">
        <f>IFERROR(__xludf.DUMMYFUNCTION("""COMPUTED_VALUE"""),"Uncle Sams Cider (11/12/2021) 02")</f>
        <v>Uncle Sams Cider (11/12/2021) 02</v>
      </c>
      <c r="H6756" s="19"/>
    </row>
    <row r="6757">
      <c r="A6757" s="9"/>
      <c r="B6757" s="15"/>
      <c r="C6757" s="9">
        <f>IFERROR(__xludf.DUMMYFUNCTION("""COMPUTED_VALUE"""),44534.1368881944)</f>
        <v>44534.13689</v>
      </c>
      <c r="D6757" s="15">
        <f>IFERROR(__xludf.DUMMYFUNCTION("""COMPUTED_VALUE"""),1.034)</f>
        <v>1.034</v>
      </c>
      <c r="E6757" s="16">
        <f>IFERROR(__xludf.DUMMYFUNCTION("""COMPUTED_VALUE"""),64.0)</f>
        <v>64</v>
      </c>
      <c r="F6757" s="19" t="str">
        <f>IFERROR(__xludf.DUMMYFUNCTION("""COMPUTED_VALUE"""),"BLACK")</f>
        <v>BLACK</v>
      </c>
      <c r="G6757" s="20" t="str">
        <f>IFERROR(__xludf.DUMMYFUNCTION("""COMPUTED_VALUE"""),"Uncle Sams Cider (11/12/2021) 02")</f>
        <v>Uncle Sams Cider (11/12/2021) 02</v>
      </c>
      <c r="H6757" s="19"/>
    </row>
    <row r="6758">
      <c r="A6758" s="9"/>
      <c r="B6758" s="15"/>
      <c r="C6758" s="9">
        <f>IFERROR(__xludf.DUMMYFUNCTION("""COMPUTED_VALUE"""),44534.126465949)</f>
        <v>44534.12647</v>
      </c>
      <c r="D6758" s="15">
        <f>IFERROR(__xludf.DUMMYFUNCTION("""COMPUTED_VALUE"""),1.034)</f>
        <v>1.034</v>
      </c>
      <c r="E6758" s="16">
        <f>IFERROR(__xludf.DUMMYFUNCTION("""COMPUTED_VALUE"""),64.0)</f>
        <v>64</v>
      </c>
      <c r="F6758" s="19" t="str">
        <f>IFERROR(__xludf.DUMMYFUNCTION("""COMPUTED_VALUE"""),"BLACK")</f>
        <v>BLACK</v>
      </c>
      <c r="G6758" s="20" t="str">
        <f>IFERROR(__xludf.DUMMYFUNCTION("""COMPUTED_VALUE"""),"Uncle Sams Cider (11/12/2021) 02")</f>
        <v>Uncle Sams Cider (11/12/2021) 02</v>
      </c>
      <c r="H6758" s="19"/>
    </row>
    <row r="6759">
      <c r="A6759" s="9"/>
      <c r="B6759" s="15"/>
      <c r="C6759" s="9">
        <f>IFERROR(__xludf.DUMMYFUNCTION("""COMPUTED_VALUE"""),44534.1160313425)</f>
        <v>44534.11603</v>
      </c>
      <c r="D6759" s="15">
        <f>IFERROR(__xludf.DUMMYFUNCTION("""COMPUTED_VALUE"""),1.034)</f>
        <v>1.034</v>
      </c>
      <c r="E6759" s="16">
        <f>IFERROR(__xludf.DUMMYFUNCTION("""COMPUTED_VALUE"""),64.0)</f>
        <v>64</v>
      </c>
      <c r="F6759" s="19" t="str">
        <f>IFERROR(__xludf.DUMMYFUNCTION("""COMPUTED_VALUE"""),"BLACK")</f>
        <v>BLACK</v>
      </c>
      <c r="G6759" s="20" t="str">
        <f>IFERROR(__xludf.DUMMYFUNCTION("""COMPUTED_VALUE"""),"Uncle Sams Cider (11/12/2021) 02")</f>
        <v>Uncle Sams Cider (11/12/2021) 02</v>
      </c>
      <c r="H6759" s="19"/>
    </row>
    <row r="6760">
      <c r="A6760" s="9"/>
      <c r="B6760" s="15"/>
      <c r="C6760" s="9">
        <f>IFERROR(__xludf.DUMMYFUNCTION("""COMPUTED_VALUE"""),44534.1056088194)</f>
        <v>44534.10561</v>
      </c>
      <c r="D6760" s="15">
        <f>IFERROR(__xludf.DUMMYFUNCTION("""COMPUTED_VALUE"""),1.034)</f>
        <v>1.034</v>
      </c>
      <c r="E6760" s="16">
        <f>IFERROR(__xludf.DUMMYFUNCTION("""COMPUTED_VALUE"""),64.0)</f>
        <v>64</v>
      </c>
      <c r="F6760" s="19" t="str">
        <f>IFERROR(__xludf.DUMMYFUNCTION("""COMPUTED_VALUE"""),"BLACK")</f>
        <v>BLACK</v>
      </c>
      <c r="G6760" s="20" t="str">
        <f>IFERROR(__xludf.DUMMYFUNCTION("""COMPUTED_VALUE"""),"Uncle Sams Cider (11/12/2021) 02")</f>
        <v>Uncle Sams Cider (11/12/2021) 02</v>
      </c>
      <c r="H6760" s="19"/>
    </row>
    <row r="6761">
      <c r="A6761" s="9"/>
      <c r="B6761" s="15"/>
      <c r="C6761" s="9">
        <f>IFERROR(__xludf.DUMMYFUNCTION("""COMPUTED_VALUE"""),44534.0951884374)</f>
        <v>44534.09519</v>
      </c>
      <c r="D6761" s="15">
        <f>IFERROR(__xludf.DUMMYFUNCTION("""COMPUTED_VALUE"""),1.034)</f>
        <v>1.034</v>
      </c>
      <c r="E6761" s="16">
        <f>IFERROR(__xludf.DUMMYFUNCTION("""COMPUTED_VALUE"""),64.0)</f>
        <v>64</v>
      </c>
      <c r="F6761" s="19" t="str">
        <f>IFERROR(__xludf.DUMMYFUNCTION("""COMPUTED_VALUE"""),"BLACK")</f>
        <v>BLACK</v>
      </c>
      <c r="G6761" s="20" t="str">
        <f>IFERROR(__xludf.DUMMYFUNCTION("""COMPUTED_VALUE"""),"Uncle Sams Cider (11/12/2021) 02")</f>
        <v>Uncle Sams Cider (11/12/2021) 02</v>
      </c>
      <c r="H6761" s="19"/>
    </row>
    <row r="6762">
      <c r="A6762" s="9"/>
      <c r="B6762" s="15"/>
      <c r="C6762" s="9">
        <f>IFERROR(__xludf.DUMMYFUNCTION("""COMPUTED_VALUE"""),44534.0847447453)</f>
        <v>44534.08474</v>
      </c>
      <c r="D6762" s="15">
        <f>IFERROR(__xludf.DUMMYFUNCTION("""COMPUTED_VALUE"""),1.034)</f>
        <v>1.034</v>
      </c>
      <c r="E6762" s="16">
        <f>IFERROR(__xludf.DUMMYFUNCTION("""COMPUTED_VALUE"""),64.0)</f>
        <v>64</v>
      </c>
      <c r="F6762" s="19" t="str">
        <f>IFERROR(__xludf.DUMMYFUNCTION("""COMPUTED_VALUE"""),"BLACK")</f>
        <v>BLACK</v>
      </c>
      <c r="G6762" s="20" t="str">
        <f>IFERROR(__xludf.DUMMYFUNCTION("""COMPUTED_VALUE"""),"Uncle Sams Cider (11/12/2021) 02")</f>
        <v>Uncle Sams Cider (11/12/2021) 02</v>
      </c>
      <c r="H6762" s="19"/>
    </row>
    <row r="6763">
      <c r="A6763" s="9"/>
      <c r="B6763" s="15"/>
      <c r="C6763" s="9">
        <f>IFERROR(__xludf.DUMMYFUNCTION("""COMPUTED_VALUE"""),44534.0743231481)</f>
        <v>44534.07432</v>
      </c>
      <c r="D6763" s="15">
        <f>IFERROR(__xludf.DUMMYFUNCTION("""COMPUTED_VALUE"""),1.034)</f>
        <v>1.034</v>
      </c>
      <c r="E6763" s="16">
        <f>IFERROR(__xludf.DUMMYFUNCTION("""COMPUTED_VALUE"""),64.0)</f>
        <v>64</v>
      </c>
      <c r="F6763" s="19" t="str">
        <f>IFERROR(__xludf.DUMMYFUNCTION("""COMPUTED_VALUE"""),"BLACK")</f>
        <v>BLACK</v>
      </c>
      <c r="G6763" s="20" t="str">
        <f>IFERROR(__xludf.DUMMYFUNCTION("""COMPUTED_VALUE"""),"Uncle Sams Cider (11/12/2021) 02")</f>
        <v>Uncle Sams Cider (11/12/2021) 02</v>
      </c>
      <c r="H6763" s="19"/>
    </row>
    <row r="6764">
      <c r="A6764" s="9"/>
      <c r="B6764" s="15"/>
      <c r="C6764" s="9">
        <f>IFERROR(__xludf.DUMMYFUNCTION("""COMPUTED_VALUE"""),44534.0639016435)</f>
        <v>44534.0639</v>
      </c>
      <c r="D6764" s="15">
        <f>IFERROR(__xludf.DUMMYFUNCTION("""COMPUTED_VALUE"""),1.034)</f>
        <v>1.034</v>
      </c>
      <c r="E6764" s="16">
        <f>IFERROR(__xludf.DUMMYFUNCTION("""COMPUTED_VALUE"""),64.0)</f>
        <v>64</v>
      </c>
      <c r="F6764" s="19" t="str">
        <f>IFERROR(__xludf.DUMMYFUNCTION("""COMPUTED_VALUE"""),"BLACK")</f>
        <v>BLACK</v>
      </c>
      <c r="G6764" s="20" t="str">
        <f>IFERROR(__xludf.DUMMYFUNCTION("""COMPUTED_VALUE"""),"Uncle Sams Cider (11/12/2021) 02")</f>
        <v>Uncle Sams Cider (11/12/2021) 02</v>
      </c>
      <c r="H6764" s="19"/>
    </row>
    <row r="6765">
      <c r="A6765" s="9"/>
      <c r="B6765" s="15"/>
      <c r="C6765" s="9">
        <f>IFERROR(__xludf.DUMMYFUNCTION("""COMPUTED_VALUE"""),44534.0534805671)</f>
        <v>44534.05348</v>
      </c>
      <c r="D6765" s="15">
        <f>IFERROR(__xludf.DUMMYFUNCTION("""COMPUTED_VALUE"""),1.034)</f>
        <v>1.034</v>
      </c>
      <c r="E6765" s="16">
        <f>IFERROR(__xludf.DUMMYFUNCTION("""COMPUTED_VALUE"""),64.0)</f>
        <v>64</v>
      </c>
      <c r="F6765" s="19" t="str">
        <f>IFERROR(__xludf.DUMMYFUNCTION("""COMPUTED_VALUE"""),"BLACK")</f>
        <v>BLACK</v>
      </c>
      <c r="G6765" s="20" t="str">
        <f>IFERROR(__xludf.DUMMYFUNCTION("""COMPUTED_VALUE"""),"Uncle Sams Cider (11/12/2021) 02")</f>
        <v>Uncle Sams Cider (11/12/2021) 02</v>
      </c>
      <c r="H6765" s="19"/>
    </row>
    <row r="6766">
      <c r="A6766" s="9"/>
      <c r="B6766" s="15"/>
      <c r="C6766" s="9">
        <f>IFERROR(__xludf.DUMMYFUNCTION("""COMPUTED_VALUE"""),44534.0430588773)</f>
        <v>44534.04306</v>
      </c>
      <c r="D6766" s="15">
        <f>IFERROR(__xludf.DUMMYFUNCTION("""COMPUTED_VALUE"""),1.034)</f>
        <v>1.034</v>
      </c>
      <c r="E6766" s="16">
        <f>IFERROR(__xludf.DUMMYFUNCTION("""COMPUTED_VALUE"""),64.0)</f>
        <v>64</v>
      </c>
      <c r="F6766" s="19" t="str">
        <f>IFERROR(__xludf.DUMMYFUNCTION("""COMPUTED_VALUE"""),"BLACK")</f>
        <v>BLACK</v>
      </c>
      <c r="G6766" s="20" t="str">
        <f>IFERROR(__xludf.DUMMYFUNCTION("""COMPUTED_VALUE"""),"Uncle Sams Cider (11/12/2021) 02")</f>
        <v>Uncle Sams Cider (11/12/2021) 02</v>
      </c>
      <c r="H6766" s="19"/>
    </row>
    <row r="6767">
      <c r="A6767" s="9"/>
      <c r="B6767" s="15"/>
      <c r="C6767" s="9">
        <f>IFERROR(__xludf.DUMMYFUNCTION("""COMPUTED_VALUE"""),44534.0326244791)</f>
        <v>44534.03262</v>
      </c>
      <c r="D6767" s="15">
        <f>IFERROR(__xludf.DUMMYFUNCTION("""COMPUTED_VALUE"""),1.034)</f>
        <v>1.034</v>
      </c>
      <c r="E6767" s="16">
        <f>IFERROR(__xludf.DUMMYFUNCTION("""COMPUTED_VALUE"""),64.0)</f>
        <v>64</v>
      </c>
      <c r="F6767" s="19" t="str">
        <f>IFERROR(__xludf.DUMMYFUNCTION("""COMPUTED_VALUE"""),"BLACK")</f>
        <v>BLACK</v>
      </c>
      <c r="G6767" s="20" t="str">
        <f>IFERROR(__xludf.DUMMYFUNCTION("""COMPUTED_VALUE"""),"Uncle Sams Cider (11/12/2021) 02")</f>
        <v>Uncle Sams Cider (11/12/2021) 02</v>
      </c>
      <c r="H6767" s="19"/>
    </row>
    <row r="6768">
      <c r="A6768" s="9"/>
      <c r="B6768" s="15"/>
      <c r="C6768" s="9">
        <f>IFERROR(__xludf.DUMMYFUNCTION("""COMPUTED_VALUE"""),44534.0222033217)</f>
        <v>44534.0222</v>
      </c>
      <c r="D6768" s="15">
        <f>IFERROR(__xludf.DUMMYFUNCTION("""COMPUTED_VALUE"""),1.034)</f>
        <v>1.034</v>
      </c>
      <c r="E6768" s="16">
        <f>IFERROR(__xludf.DUMMYFUNCTION("""COMPUTED_VALUE"""),64.0)</f>
        <v>64</v>
      </c>
      <c r="F6768" s="19" t="str">
        <f>IFERROR(__xludf.DUMMYFUNCTION("""COMPUTED_VALUE"""),"BLACK")</f>
        <v>BLACK</v>
      </c>
      <c r="G6768" s="20" t="str">
        <f>IFERROR(__xludf.DUMMYFUNCTION("""COMPUTED_VALUE"""),"Uncle Sams Cider (11/12/2021) 02")</f>
        <v>Uncle Sams Cider (11/12/2021) 02</v>
      </c>
      <c r="H6768" s="19"/>
    </row>
    <row r="6769">
      <c r="A6769" s="9"/>
      <c r="B6769" s="15"/>
      <c r="C6769" s="9">
        <f>IFERROR(__xludf.DUMMYFUNCTION("""COMPUTED_VALUE"""),44534.011781956)</f>
        <v>44534.01178</v>
      </c>
      <c r="D6769" s="15">
        <f>IFERROR(__xludf.DUMMYFUNCTION("""COMPUTED_VALUE"""),1.034)</f>
        <v>1.034</v>
      </c>
      <c r="E6769" s="16">
        <f>IFERROR(__xludf.DUMMYFUNCTION("""COMPUTED_VALUE"""),64.0)</f>
        <v>64</v>
      </c>
      <c r="F6769" s="19" t="str">
        <f>IFERROR(__xludf.DUMMYFUNCTION("""COMPUTED_VALUE"""),"BLACK")</f>
        <v>BLACK</v>
      </c>
      <c r="G6769" s="20" t="str">
        <f>IFERROR(__xludf.DUMMYFUNCTION("""COMPUTED_VALUE"""),"Uncle Sams Cider (11/12/2021) 02")</f>
        <v>Uncle Sams Cider (11/12/2021) 02</v>
      </c>
      <c r="H6769" s="19"/>
    </row>
    <row r="6770">
      <c r="A6770" s="9"/>
      <c r="B6770" s="15"/>
      <c r="C6770" s="9">
        <f>IFERROR(__xludf.DUMMYFUNCTION("""COMPUTED_VALUE"""),44534.0013506365)</f>
        <v>44534.00135</v>
      </c>
      <c r="D6770" s="15">
        <f>IFERROR(__xludf.DUMMYFUNCTION("""COMPUTED_VALUE"""),1.034)</f>
        <v>1.034</v>
      </c>
      <c r="E6770" s="16">
        <f>IFERROR(__xludf.DUMMYFUNCTION("""COMPUTED_VALUE"""),64.0)</f>
        <v>64</v>
      </c>
      <c r="F6770" s="19" t="str">
        <f>IFERROR(__xludf.DUMMYFUNCTION("""COMPUTED_VALUE"""),"BLACK")</f>
        <v>BLACK</v>
      </c>
      <c r="G6770" s="20" t="str">
        <f>IFERROR(__xludf.DUMMYFUNCTION("""COMPUTED_VALUE"""),"Uncle Sams Cider (11/12/2021) 02")</f>
        <v>Uncle Sams Cider (11/12/2021) 02</v>
      </c>
      <c r="H6770" s="19"/>
    </row>
    <row r="6771">
      <c r="A6771" s="9"/>
      <c r="B6771" s="15"/>
      <c r="C6771" s="9">
        <f>IFERROR(__xludf.DUMMYFUNCTION("""COMPUTED_VALUE"""),44533.9909191319)</f>
        <v>44533.99092</v>
      </c>
      <c r="D6771" s="15">
        <f>IFERROR(__xludf.DUMMYFUNCTION("""COMPUTED_VALUE"""),1.034)</f>
        <v>1.034</v>
      </c>
      <c r="E6771" s="16">
        <f>IFERROR(__xludf.DUMMYFUNCTION("""COMPUTED_VALUE"""),64.0)</f>
        <v>64</v>
      </c>
      <c r="F6771" s="19" t="str">
        <f>IFERROR(__xludf.DUMMYFUNCTION("""COMPUTED_VALUE"""),"BLACK")</f>
        <v>BLACK</v>
      </c>
      <c r="G6771" s="20" t="str">
        <f>IFERROR(__xludf.DUMMYFUNCTION("""COMPUTED_VALUE"""),"Uncle Sams Cider (11/12/2021) 02")</f>
        <v>Uncle Sams Cider (11/12/2021) 02</v>
      </c>
      <c r="H6771" s="19"/>
    </row>
    <row r="6772">
      <c r="A6772" s="9"/>
      <c r="B6772" s="15"/>
      <c r="C6772" s="9">
        <f>IFERROR(__xludf.DUMMYFUNCTION("""COMPUTED_VALUE"""),44533.9804982638)</f>
        <v>44533.9805</v>
      </c>
      <c r="D6772" s="15">
        <f>IFERROR(__xludf.DUMMYFUNCTION("""COMPUTED_VALUE"""),1.034)</f>
        <v>1.034</v>
      </c>
      <c r="E6772" s="16">
        <f>IFERROR(__xludf.DUMMYFUNCTION("""COMPUTED_VALUE"""),64.0)</f>
        <v>64</v>
      </c>
      <c r="F6772" s="19" t="str">
        <f>IFERROR(__xludf.DUMMYFUNCTION("""COMPUTED_VALUE"""),"BLACK")</f>
        <v>BLACK</v>
      </c>
      <c r="G6772" s="20" t="str">
        <f>IFERROR(__xludf.DUMMYFUNCTION("""COMPUTED_VALUE"""),"Uncle Sams Cider (11/12/2021) 02")</f>
        <v>Uncle Sams Cider (11/12/2021) 02</v>
      </c>
      <c r="H6772" s="19"/>
    </row>
    <row r="6773">
      <c r="A6773" s="9"/>
      <c r="B6773" s="15"/>
      <c r="C6773" s="9">
        <f>IFERROR(__xludf.DUMMYFUNCTION("""COMPUTED_VALUE"""),44533.9700649189)</f>
        <v>44533.97006</v>
      </c>
      <c r="D6773" s="15">
        <f>IFERROR(__xludf.DUMMYFUNCTION("""COMPUTED_VALUE"""),1.034)</f>
        <v>1.034</v>
      </c>
      <c r="E6773" s="16">
        <f>IFERROR(__xludf.DUMMYFUNCTION("""COMPUTED_VALUE"""),64.0)</f>
        <v>64</v>
      </c>
      <c r="F6773" s="19" t="str">
        <f>IFERROR(__xludf.DUMMYFUNCTION("""COMPUTED_VALUE"""),"BLACK")</f>
        <v>BLACK</v>
      </c>
      <c r="G6773" s="20" t="str">
        <f>IFERROR(__xludf.DUMMYFUNCTION("""COMPUTED_VALUE"""),"Uncle Sams Cider (11/12/2021) 02")</f>
        <v>Uncle Sams Cider (11/12/2021) 02</v>
      </c>
      <c r="H6773" s="19"/>
    </row>
    <row r="6774">
      <c r="A6774" s="9"/>
      <c r="B6774" s="15"/>
      <c r="C6774" s="9">
        <f>IFERROR(__xludf.DUMMYFUNCTION("""COMPUTED_VALUE"""),44533.9596436805)</f>
        <v>44533.95964</v>
      </c>
      <c r="D6774" s="15">
        <f>IFERROR(__xludf.DUMMYFUNCTION("""COMPUTED_VALUE"""),1.034)</f>
        <v>1.034</v>
      </c>
      <c r="E6774" s="16">
        <f>IFERROR(__xludf.DUMMYFUNCTION("""COMPUTED_VALUE"""),64.0)</f>
        <v>64</v>
      </c>
      <c r="F6774" s="19" t="str">
        <f>IFERROR(__xludf.DUMMYFUNCTION("""COMPUTED_VALUE"""),"BLACK")</f>
        <v>BLACK</v>
      </c>
      <c r="G6774" s="20" t="str">
        <f>IFERROR(__xludf.DUMMYFUNCTION("""COMPUTED_VALUE"""),"Uncle Sams Cider (11/12/2021) 02")</f>
        <v>Uncle Sams Cider (11/12/2021) 02</v>
      </c>
      <c r="H6774" s="19"/>
    </row>
    <row r="6775">
      <c r="A6775" s="9"/>
      <c r="B6775" s="15"/>
      <c r="C6775" s="9">
        <f>IFERROR(__xludf.DUMMYFUNCTION("""COMPUTED_VALUE"""),44533.9492236689)</f>
        <v>44533.94922</v>
      </c>
      <c r="D6775" s="15">
        <f>IFERROR(__xludf.DUMMYFUNCTION("""COMPUTED_VALUE"""),1.034)</f>
        <v>1.034</v>
      </c>
      <c r="E6775" s="16">
        <f>IFERROR(__xludf.DUMMYFUNCTION("""COMPUTED_VALUE"""),64.0)</f>
        <v>64</v>
      </c>
      <c r="F6775" s="19" t="str">
        <f>IFERROR(__xludf.DUMMYFUNCTION("""COMPUTED_VALUE"""),"BLACK")</f>
        <v>BLACK</v>
      </c>
      <c r="G6775" s="20" t="str">
        <f>IFERROR(__xludf.DUMMYFUNCTION("""COMPUTED_VALUE"""),"Uncle Sams Cider (11/12/2021) 02")</f>
        <v>Uncle Sams Cider (11/12/2021) 02</v>
      </c>
      <c r="H6775" s="19"/>
    </row>
    <row r="6776">
      <c r="A6776" s="9"/>
      <c r="B6776" s="15"/>
      <c r="C6776" s="9">
        <f>IFERROR(__xludf.DUMMYFUNCTION("""COMPUTED_VALUE"""),44533.9388031597)</f>
        <v>44533.9388</v>
      </c>
      <c r="D6776" s="15">
        <f>IFERROR(__xludf.DUMMYFUNCTION("""COMPUTED_VALUE"""),1.034)</f>
        <v>1.034</v>
      </c>
      <c r="E6776" s="16">
        <f>IFERROR(__xludf.DUMMYFUNCTION("""COMPUTED_VALUE"""),64.0)</f>
        <v>64</v>
      </c>
      <c r="F6776" s="19" t="str">
        <f>IFERROR(__xludf.DUMMYFUNCTION("""COMPUTED_VALUE"""),"BLACK")</f>
        <v>BLACK</v>
      </c>
      <c r="G6776" s="20" t="str">
        <f>IFERROR(__xludf.DUMMYFUNCTION("""COMPUTED_VALUE"""),"Uncle Sams Cider (11/12/2021) 02")</f>
        <v>Uncle Sams Cider (11/12/2021) 02</v>
      </c>
      <c r="H6776" s="19"/>
    </row>
    <row r="6777">
      <c r="A6777" s="9"/>
      <c r="B6777" s="15"/>
      <c r="C6777" s="9">
        <f>IFERROR(__xludf.DUMMYFUNCTION("""COMPUTED_VALUE"""),44533.9283816087)</f>
        <v>44533.92838</v>
      </c>
      <c r="D6777" s="15">
        <f>IFERROR(__xludf.DUMMYFUNCTION("""COMPUTED_VALUE"""),1.034)</f>
        <v>1.034</v>
      </c>
      <c r="E6777" s="16">
        <f>IFERROR(__xludf.DUMMYFUNCTION("""COMPUTED_VALUE"""),64.0)</f>
        <v>64</v>
      </c>
      <c r="F6777" s="19" t="str">
        <f>IFERROR(__xludf.DUMMYFUNCTION("""COMPUTED_VALUE"""),"BLACK")</f>
        <v>BLACK</v>
      </c>
      <c r="G6777" s="20" t="str">
        <f>IFERROR(__xludf.DUMMYFUNCTION("""COMPUTED_VALUE"""),"Uncle Sams Cider (11/12/2021) 02")</f>
        <v>Uncle Sams Cider (11/12/2021) 02</v>
      </c>
      <c r="H6777" s="19"/>
    </row>
    <row r="6778">
      <c r="A6778" s="9"/>
      <c r="B6778" s="15"/>
      <c r="C6778" s="9">
        <f>IFERROR(__xludf.DUMMYFUNCTION("""COMPUTED_VALUE"""),44533.9179596064)</f>
        <v>44533.91796</v>
      </c>
      <c r="D6778" s="15">
        <f>IFERROR(__xludf.DUMMYFUNCTION("""COMPUTED_VALUE"""),1.034)</f>
        <v>1.034</v>
      </c>
      <c r="E6778" s="16">
        <f>IFERROR(__xludf.DUMMYFUNCTION("""COMPUTED_VALUE"""),64.0)</f>
        <v>64</v>
      </c>
      <c r="F6778" s="19" t="str">
        <f>IFERROR(__xludf.DUMMYFUNCTION("""COMPUTED_VALUE"""),"BLACK")</f>
        <v>BLACK</v>
      </c>
      <c r="G6778" s="20" t="str">
        <f>IFERROR(__xludf.DUMMYFUNCTION("""COMPUTED_VALUE"""),"Uncle Sams Cider (11/12/2021) 02")</f>
        <v>Uncle Sams Cider (11/12/2021) 02</v>
      </c>
      <c r="H6778" s="19"/>
    </row>
    <row r="6779">
      <c r="A6779" s="9"/>
      <c r="B6779" s="15"/>
      <c r="C6779" s="9">
        <f>IFERROR(__xludf.DUMMYFUNCTION("""COMPUTED_VALUE"""),44533.9075394097)</f>
        <v>44533.90754</v>
      </c>
      <c r="D6779" s="15">
        <f>IFERROR(__xludf.DUMMYFUNCTION("""COMPUTED_VALUE"""),1.034)</f>
        <v>1.034</v>
      </c>
      <c r="E6779" s="16">
        <f>IFERROR(__xludf.DUMMYFUNCTION("""COMPUTED_VALUE"""),64.0)</f>
        <v>64</v>
      </c>
      <c r="F6779" s="19" t="str">
        <f>IFERROR(__xludf.DUMMYFUNCTION("""COMPUTED_VALUE"""),"BLACK")</f>
        <v>BLACK</v>
      </c>
      <c r="G6779" s="20" t="str">
        <f>IFERROR(__xludf.DUMMYFUNCTION("""COMPUTED_VALUE"""),"Uncle Sams Cider (11/12/2021) 02")</f>
        <v>Uncle Sams Cider (11/12/2021) 02</v>
      </c>
      <c r="H6779" s="19"/>
    </row>
    <row r="6780">
      <c r="A6780" s="9"/>
      <c r="B6780" s="15"/>
      <c r="C6780" s="9">
        <f>IFERROR(__xludf.DUMMYFUNCTION("""COMPUTED_VALUE"""),44533.8971074999)</f>
        <v>44533.89711</v>
      </c>
      <c r="D6780" s="15">
        <f>IFERROR(__xludf.DUMMYFUNCTION("""COMPUTED_VALUE"""),1.034)</f>
        <v>1.034</v>
      </c>
      <c r="E6780" s="16">
        <f>IFERROR(__xludf.DUMMYFUNCTION("""COMPUTED_VALUE"""),64.0)</f>
        <v>64</v>
      </c>
      <c r="F6780" s="19" t="str">
        <f>IFERROR(__xludf.DUMMYFUNCTION("""COMPUTED_VALUE"""),"BLACK")</f>
        <v>BLACK</v>
      </c>
      <c r="G6780" s="20" t="str">
        <f>IFERROR(__xludf.DUMMYFUNCTION("""COMPUTED_VALUE"""),"Uncle Sams Cider (11/12/2021) 02")</f>
        <v>Uncle Sams Cider (11/12/2021) 02</v>
      </c>
      <c r="H6780" s="19"/>
    </row>
    <row r="6781">
      <c r="A6781" s="9"/>
      <c r="B6781" s="15"/>
      <c r="C6781" s="9">
        <f>IFERROR(__xludf.DUMMYFUNCTION("""COMPUTED_VALUE"""),44533.8866623379)</f>
        <v>44533.88666</v>
      </c>
      <c r="D6781" s="15">
        <f>IFERROR(__xludf.DUMMYFUNCTION("""COMPUTED_VALUE"""),1.034)</f>
        <v>1.034</v>
      </c>
      <c r="E6781" s="16">
        <f>IFERROR(__xludf.DUMMYFUNCTION("""COMPUTED_VALUE"""),64.0)</f>
        <v>64</v>
      </c>
      <c r="F6781" s="19" t="str">
        <f>IFERROR(__xludf.DUMMYFUNCTION("""COMPUTED_VALUE"""),"BLACK")</f>
        <v>BLACK</v>
      </c>
      <c r="G6781" s="20" t="str">
        <f>IFERROR(__xludf.DUMMYFUNCTION("""COMPUTED_VALUE"""),"Uncle Sams Cider (11/12/2021) 02")</f>
        <v>Uncle Sams Cider (11/12/2021) 02</v>
      </c>
      <c r="H6781" s="19"/>
    </row>
    <row r="6782">
      <c r="A6782" s="9"/>
      <c r="B6782" s="15"/>
      <c r="C6782" s="9">
        <f>IFERROR(__xludf.DUMMYFUNCTION("""COMPUTED_VALUE"""),44533.8762414004)</f>
        <v>44533.87624</v>
      </c>
      <c r="D6782" s="15">
        <f>IFERROR(__xludf.DUMMYFUNCTION("""COMPUTED_VALUE"""),1.034)</f>
        <v>1.034</v>
      </c>
      <c r="E6782" s="16">
        <f>IFERROR(__xludf.DUMMYFUNCTION("""COMPUTED_VALUE"""),64.0)</f>
        <v>64</v>
      </c>
      <c r="F6782" s="19" t="str">
        <f>IFERROR(__xludf.DUMMYFUNCTION("""COMPUTED_VALUE"""),"BLACK")</f>
        <v>BLACK</v>
      </c>
      <c r="G6782" s="20" t="str">
        <f>IFERROR(__xludf.DUMMYFUNCTION("""COMPUTED_VALUE"""),"Uncle Sams Cider (11/12/2021) 02")</f>
        <v>Uncle Sams Cider (11/12/2021) 02</v>
      </c>
      <c r="H6782" s="19"/>
    </row>
    <row r="6783">
      <c r="A6783" s="9"/>
      <c r="B6783" s="15"/>
      <c r="C6783" s="9">
        <f>IFERROR(__xludf.DUMMYFUNCTION("""COMPUTED_VALUE"""),44533.8658201851)</f>
        <v>44533.86582</v>
      </c>
      <c r="D6783" s="15">
        <f>IFERROR(__xludf.DUMMYFUNCTION("""COMPUTED_VALUE"""),1.034)</f>
        <v>1.034</v>
      </c>
      <c r="E6783" s="16">
        <f>IFERROR(__xludf.DUMMYFUNCTION("""COMPUTED_VALUE"""),64.0)</f>
        <v>64</v>
      </c>
      <c r="F6783" s="19" t="str">
        <f>IFERROR(__xludf.DUMMYFUNCTION("""COMPUTED_VALUE"""),"BLACK")</f>
        <v>BLACK</v>
      </c>
      <c r="G6783" s="20" t="str">
        <f>IFERROR(__xludf.DUMMYFUNCTION("""COMPUTED_VALUE"""),"Uncle Sams Cider (11/12/2021) 02")</f>
        <v>Uncle Sams Cider (11/12/2021) 02</v>
      </c>
      <c r="H6783" s="19"/>
    </row>
    <row r="6784">
      <c r="A6784" s="9"/>
      <c r="B6784" s="15"/>
      <c r="C6784" s="9">
        <f>IFERROR(__xludf.DUMMYFUNCTION("""COMPUTED_VALUE"""),44533.8553868055)</f>
        <v>44533.85539</v>
      </c>
      <c r="D6784" s="15">
        <f>IFERROR(__xludf.DUMMYFUNCTION("""COMPUTED_VALUE"""),1.034)</f>
        <v>1.034</v>
      </c>
      <c r="E6784" s="16">
        <f>IFERROR(__xludf.DUMMYFUNCTION("""COMPUTED_VALUE"""),64.0)</f>
        <v>64</v>
      </c>
      <c r="F6784" s="19" t="str">
        <f>IFERROR(__xludf.DUMMYFUNCTION("""COMPUTED_VALUE"""),"BLACK")</f>
        <v>BLACK</v>
      </c>
      <c r="G6784" s="20" t="str">
        <f>IFERROR(__xludf.DUMMYFUNCTION("""COMPUTED_VALUE"""),"Uncle Sams Cider (11/12/2021) 02")</f>
        <v>Uncle Sams Cider (11/12/2021) 02</v>
      </c>
      <c r="H6784" s="19"/>
    </row>
    <row r="6785">
      <c r="A6785" s="9"/>
      <c r="B6785" s="15"/>
      <c r="C6785" s="9">
        <f>IFERROR(__xludf.DUMMYFUNCTION("""COMPUTED_VALUE"""),44533.8449658912)</f>
        <v>44533.84497</v>
      </c>
      <c r="D6785" s="15">
        <f>IFERROR(__xludf.DUMMYFUNCTION("""COMPUTED_VALUE"""),1.034)</f>
        <v>1.034</v>
      </c>
      <c r="E6785" s="16">
        <f>IFERROR(__xludf.DUMMYFUNCTION("""COMPUTED_VALUE"""),64.0)</f>
        <v>64</v>
      </c>
      <c r="F6785" s="19" t="str">
        <f>IFERROR(__xludf.DUMMYFUNCTION("""COMPUTED_VALUE"""),"BLACK")</f>
        <v>BLACK</v>
      </c>
      <c r="G6785" s="20" t="str">
        <f>IFERROR(__xludf.DUMMYFUNCTION("""COMPUTED_VALUE"""),"Uncle Sams Cider (11/12/2021) 02")</f>
        <v>Uncle Sams Cider (11/12/2021) 02</v>
      </c>
      <c r="H6785" s="19"/>
    </row>
    <row r="6786">
      <c r="A6786" s="9"/>
      <c r="B6786" s="15"/>
      <c r="C6786" s="9">
        <f>IFERROR(__xludf.DUMMYFUNCTION("""COMPUTED_VALUE"""),44533.8345325)</f>
        <v>44533.83453</v>
      </c>
      <c r="D6786" s="15">
        <f>IFERROR(__xludf.DUMMYFUNCTION("""COMPUTED_VALUE"""),1.034)</f>
        <v>1.034</v>
      </c>
      <c r="E6786" s="16">
        <f>IFERROR(__xludf.DUMMYFUNCTION("""COMPUTED_VALUE"""),64.0)</f>
        <v>64</v>
      </c>
      <c r="F6786" s="19" t="str">
        <f>IFERROR(__xludf.DUMMYFUNCTION("""COMPUTED_VALUE"""),"BLACK")</f>
        <v>BLACK</v>
      </c>
      <c r="G6786" s="20" t="str">
        <f>IFERROR(__xludf.DUMMYFUNCTION("""COMPUTED_VALUE"""),"Uncle Sams Cider (11/12/2021) 02")</f>
        <v>Uncle Sams Cider (11/12/2021) 02</v>
      </c>
      <c r="H6786" s="19"/>
    </row>
    <row r="6787">
      <c r="A6787" s="9"/>
      <c r="B6787" s="15"/>
      <c r="C6787" s="9">
        <f>IFERROR(__xludf.DUMMYFUNCTION("""COMPUTED_VALUE"""),44533.8240871874)</f>
        <v>44533.82409</v>
      </c>
      <c r="D6787" s="15">
        <f>IFERROR(__xludf.DUMMYFUNCTION("""COMPUTED_VALUE"""),1.034)</f>
        <v>1.034</v>
      </c>
      <c r="E6787" s="16">
        <f>IFERROR(__xludf.DUMMYFUNCTION("""COMPUTED_VALUE"""),64.0)</f>
        <v>64</v>
      </c>
      <c r="F6787" s="19" t="str">
        <f>IFERROR(__xludf.DUMMYFUNCTION("""COMPUTED_VALUE"""),"BLACK")</f>
        <v>BLACK</v>
      </c>
      <c r="G6787" s="20" t="str">
        <f>IFERROR(__xludf.DUMMYFUNCTION("""COMPUTED_VALUE"""),"Uncle Sams Cider (11/12/2021) 02")</f>
        <v>Uncle Sams Cider (11/12/2021) 02</v>
      </c>
      <c r="H6787" s="19"/>
    </row>
    <row r="6788">
      <c r="A6788" s="9"/>
      <c r="B6788" s="15"/>
      <c r="C6788" s="9">
        <f>IFERROR(__xludf.DUMMYFUNCTION("""COMPUTED_VALUE"""),44533.8136648611)</f>
        <v>44533.81366</v>
      </c>
      <c r="D6788" s="15">
        <f>IFERROR(__xludf.DUMMYFUNCTION("""COMPUTED_VALUE"""),1.035)</f>
        <v>1.035</v>
      </c>
      <c r="E6788" s="16">
        <f>IFERROR(__xludf.DUMMYFUNCTION("""COMPUTED_VALUE"""),64.0)</f>
        <v>64</v>
      </c>
      <c r="F6788" s="19" t="str">
        <f>IFERROR(__xludf.DUMMYFUNCTION("""COMPUTED_VALUE"""),"BLACK")</f>
        <v>BLACK</v>
      </c>
      <c r="G6788" s="20" t="str">
        <f>IFERROR(__xludf.DUMMYFUNCTION("""COMPUTED_VALUE"""),"Uncle Sams Cider (11/12/2021) 02")</f>
        <v>Uncle Sams Cider (11/12/2021) 02</v>
      </c>
      <c r="H6788" s="19"/>
    </row>
    <row r="6789">
      <c r="A6789" s="9"/>
      <c r="B6789" s="15"/>
      <c r="C6789" s="9">
        <f>IFERROR(__xludf.DUMMYFUNCTION("""COMPUTED_VALUE"""),44533.8032428819)</f>
        <v>44533.80324</v>
      </c>
      <c r="D6789" s="15">
        <f>IFERROR(__xludf.DUMMYFUNCTION("""COMPUTED_VALUE"""),1.034)</f>
        <v>1.034</v>
      </c>
      <c r="E6789" s="16">
        <f>IFERROR(__xludf.DUMMYFUNCTION("""COMPUTED_VALUE"""),64.0)</f>
        <v>64</v>
      </c>
      <c r="F6789" s="19" t="str">
        <f>IFERROR(__xludf.DUMMYFUNCTION("""COMPUTED_VALUE"""),"BLACK")</f>
        <v>BLACK</v>
      </c>
      <c r="G6789" s="20" t="str">
        <f>IFERROR(__xludf.DUMMYFUNCTION("""COMPUTED_VALUE"""),"Uncle Sams Cider (11/12/2021) 02")</f>
        <v>Uncle Sams Cider (11/12/2021) 02</v>
      </c>
      <c r="H6789" s="19"/>
    </row>
    <row r="6790">
      <c r="A6790" s="9"/>
      <c r="B6790" s="15"/>
      <c r="C6790" s="9">
        <f>IFERROR(__xludf.DUMMYFUNCTION("""COMPUTED_VALUE"""),44533.7928220023)</f>
        <v>44533.79282</v>
      </c>
      <c r="D6790" s="15">
        <f>IFERROR(__xludf.DUMMYFUNCTION("""COMPUTED_VALUE"""),1.035)</f>
        <v>1.035</v>
      </c>
      <c r="E6790" s="16">
        <f>IFERROR(__xludf.DUMMYFUNCTION("""COMPUTED_VALUE"""),64.0)</f>
        <v>64</v>
      </c>
      <c r="F6790" s="19" t="str">
        <f>IFERROR(__xludf.DUMMYFUNCTION("""COMPUTED_VALUE"""),"BLACK")</f>
        <v>BLACK</v>
      </c>
      <c r="G6790" s="20" t="str">
        <f>IFERROR(__xludf.DUMMYFUNCTION("""COMPUTED_VALUE"""),"Uncle Sams Cider (11/12/2021) 02")</f>
        <v>Uncle Sams Cider (11/12/2021) 02</v>
      </c>
      <c r="H6790" s="19"/>
    </row>
    <row r="6791">
      <c r="A6791" s="9"/>
      <c r="B6791" s="15"/>
      <c r="C6791" s="9">
        <f>IFERROR(__xludf.DUMMYFUNCTION("""COMPUTED_VALUE"""),44533.7823994097)</f>
        <v>44533.7824</v>
      </c>
      <c r="D6791" s="15">
        <f>IFERROR(__xludf.DUMMYFUNCTION("""COMPUTED_VALUE"""),1.035)</f>
        <v>1.035</v>
      </c>
      <c r="E6791" s="16">
        <f>IFERROR(__xludf.DUMMYFUNCTION("""COMPUTED_VALUE"""),64.0)</f>
        <v>64</v>
      </c>
      <c r="F6791" s="19" t="str">
        <f>IFERROR(__xludf.DUMMYFUNCTION("""COMPUTED_VALUE"""),"BLACK")</f>
        <v>BLACK</v>
      </c>
      <c r="G6791" s="20" t="str">
        <f>IFERROR(__xludf.DUMMYFUNCTION("""COMPUTED_VALUE"""),"Uncle Sams Cider (11/12/2021) 02")</f>
        <v>Uncle Sams Cider (11/12/2021) 02</v>
      </c>
      <c r="H6791" s="19"/>
    </row>
    <row r="6792">
      <c r="A6792" s="9"/>
      <c r="B6792" s="15"/>
      <c r="C6792" s="9">
        <f>IFERROR(__xludf.DUMMYFUNCTION("""COMPUTED_VALUE"""),44533.7719780902)</f>
        <v>44533.77198</v>
      </c>
      <c r="D6792" s="15">
        <f>IFERROR(__xludf.DUMMYFUNCTION("""COMPUTED_VALUE"""),1.035)</f>
        <v>1.035</v>
      </c>
      <c r="E6792" s="16">
        <f>IFERROR(__xludf.DUMMYFUNCTION("""COMPUTED_VALUE"""),64.0)</f>
        <v>64</v>
      </c>
      <c r="F6792" s="19" t="str">
        <f>IFERROR(__xludf.DUMMYFUNCTION("""COMPUTED_VALUE"""),"BLACK")</f>
        <v>BLACK</v>
      </c>
      <c r="G6792" s="20" t="str">
        <f>IFERROR(__xludf.DUMMYFUNCTION("""COMPUTED_VALUE"""),"Uncle Sams Cider (11/12/2021) 02")</f>
        <v>Uncle Sams Cider (11/12/2021) 02</v>
      </c>
      <c r="H6792" s="19"/>
    </row>
    <row r="6793">
      <c r="A6793" s="9"/>
      <c r="B6793" s="15"/>
      <c r="C6793" s="9">
        <f>IFERROR(__xludf.DUMMYFUNCTION("""COMPUTED_VALUE"""),44533.7615556018)</f>
        <v>44533.76156</v>
      </c>
      <c r="D6793" s="15">
        <f>IFERROR(__xludf.DUMMYFUNCTION("""COMPUTED_VALUE"""),1.035)</f>
        <v>1.035</v>
      </c>
      <c r="E6793" s="16">
        <f>IFERROR(__xludf.DUMMYFUNCTION("""COMPUTED_VALUE"""),64.0)</f>
        <v>64</v>
      </c>
      <c r="F6793" s="19" t="str">
        <f>IFERROR(__xludf.DUMMYFUNCTION("""COMPUTED_VALUE"""),"BLACK")</f>
        <v>BLACK</v>
      </c>
      <c r="G6793" s="20" t="str">
        <f>IFERROR(__xludf.DUMMYFUNCTION("""COMPUTED_VALUE"""),"Uncle Sams Cider (11/12/2021) 02")</f>
        <v>Uncle Sams Cider (11/12/2021) 02</v>
      </c>
      <c r="H6793" s="19"/>
    </row>
    <row r="6794">
      <c r="A6794" s="9"/>
      <c r="B6794" s="15"/>
      <c r="C6794" s="9">
        <f>IFERROR(__xludf.DUMMYFUNCTION("""COMPUTED_VALUE"""),44533.7511344328)</f>
        <v>44533.75113</v>
      </c>
      <c r="D6794" s="15">
        <f>IFERROR(__xludf.DUMMYFUNCTION("""COMPUTED_VALUE"""),1.035)</f>
        <v>1.035</v>
      </c>
      <c r="E6794" s="16">
        <f>IFERROR(__xludf.DUMMYFUNCTION("""COMPUTED_VALUE"""),64.0)</f>
        <v>64</v>
      </c>
      <c r="F6794" s="19" t="str">
        <f>IFERROR(__xludf.DUMMYFUNCTION("""COMPUTED_VALUE"""),"BLACK")</f>
        <v>BLACK</v>
      </c>
      <c r="G6794" s="20" t="str">
        <f>IFERROR(__xludf.DUMMYFUNCTION("""COMPUTED_VALUE"""),"Uncle Sams Cider (11/12/2021) 02")</f>
        <v>Uncle Sams Cider (11/12/2021) 02</v>
      </c>
      <c r="H6794" s="19"/>
    </row>
    <row r="6795">
      <c r="A6795" s="9"/>
      <c r="B6795" s="15"/>
      <c r="C6795" s="9">
        <f>IFERROR(__xludf.DUMMYFUNCTION("""COMPUTED_VALUE"""),44533.7407137615)</f>
        <v>44533.74071</v>
      </c>
      <c r="D6795" s="15">
        <f>IFERROR(__xludf.DUMMYFUNCTION("""COMPUTED_VALUE"""),1.035)</f>
        <v>1.035</v>
      </c>
      <c r="E6795" s="16">
        <f>IFERROR(__xludf.DUMMYFUNCTION("""COMPUTED_VALUE"""),64.0)</f>
        <v>64</v>
      </c>
      <c r="F6795" s="19" t="str">
        <f>IFERROR(__xludf.DUMMYFUNCTION("""COMPUTED_VALUE"""),"BLACK")</f>
        <v>BLACK</v>
      </c>
      <c r="G6795" s="20" t="str">
        <f>IFERROR(__xludf.DUMMYFUNCTION("""COMPUTED_VALUE"""),"Uncle Sams Cider (11/12/2021) 02")</f>
        <v>Uncle Sams Cider (11/12/2021) 02</v>
      </c>
      <c r="H6795" s="19"/>
    </row>
    <row r="6796">
      <c r="A6796" s="9"/>
      <c r="B6796" s="15"/>
      <c r="C6796" s="9">
        <f>IFERROR(__xludf.DUMMYFUNCTION("""COMPUTED_VALUE"""),44533.7302815162)</f>
        <v>44533.73028</v>
      </c>
      <c r="D6796" s="15">
        <f>IFERROR(__xludf.DUMMYFUNCTION("""COMPUTED_VALUE"""),1.035)</f>
        <v>1.035</v>
      </c>
      <c r="E6796" s="16">
        <f>IFERROR(__xludf.DUMMYFUNCTION("""COMPUTED_VALUE"""),64.0)</f>
        <v>64</v>
      </c>
      <c r="F6796" s="19" t="str">
        <f>IFERROR(__xludf.DUMMYFUNCTION("""COMPUTED_VALUE"""),"BLACK")</f>
        <v>BLACK</v>
      </c>
      <c r="G6796" s="20" t="str">
        <f>IFERROR(__xludf.DUMMYFUNCTION("""COMPUTED_VALUE"""),"Uncle Sams Cider (11/12/2021) 02")</f>
        <v>Uncle Sams Cider (11/12/2021) 02</v>
      </c>
      <c r="H6796" s="19"/>
    </row>
    <row r="6797">
      <c r="A6797" s="9"/>
      <c r="B6797" s="15"/>
      <c r="C6797" s="9">
        <f>IFERROR(__xludf.DUMMYFUNCTION("""COMPUTED_VALUE"""),44533.7198610879)</f>
        <v>44533.71986</v>
      </c>
      <c r="D6797" s="15">
        <f>IFERROR(__xludf.DUMMYFUNCTION("""COMPUTED_VALUE"""),1.035)</f>
        <v>1.035</v>
      </c>
      <c r="E6797" s="16">
        <f>IFERROR(__xludf.DUMMYFUNCTION("""COMPUTED_VALUE"""),64.0)</f>
        <v>64</v>
      </c>
      <c r="F6797" s="19" t="str">
        <f>IFERROR(__xludf.DUMMYFUNCTION("""COMPUTED_VALUE"""),"BLACK")</f>
        <v>BLACK</v>
      </c>
      <c r="G6797" s="20" t="str">
        <f>IFERROR(__xludf.DUMMYFUNCTION("""COMPUTED_VALUE"""),"Uncle Sams Cider (11/12/2021) 02")</f>
        <v>Uncle Sams Cider (11/12/2021) 02</v>
      </c>
      <c r="H6797" s="19"/>
    </row>
    <row r="6798">
      <c r="A6798" s="9"/>
      <c r="B6798" s="15"/>
      <c r="C6798" s="9">
        <f>IFERROR(__xludf.DUMMYFUNCTION("""COMPUTED_VALUE"""),44533.7094399768)</f>
        <v>44533.70944</v>
      </c>
      <c r="D6798" s="15">
        <f>IFERROR(__xludf.DUMMYFUNCTION("""COMPUTED_VALUE"""),1.035)</f>
        <v>1.035</v>
      </c>
      <c r="E6798" s="16">
        <f>IFERROR(__xludf.DUMMYFUNCTION("""COMPUTED_VALUE"""),64.0)</f>
        <v>64</v>
      </c>
      <c r="F6798" s="19" t="str">
        <f>IFERROR(__xludf.DUMMYFUNCTION("""COMPUTED_VALUE"""),"BLACK")</f>
        <v>BLACK</v>
      </c>
      <c r="G6798" s="20" t="str">
        <f>IFERROR(__xludf.DUMMYFUNCTION("""COMPUTED_VALUE"""),"Uncle Sams Cider (11/12/2021) 02")</f>
        <v>Uncle Sams Cider (11/12/2021) 02</v>
      </c>
      <c r="H6798" s="19"/>
    </row>
    <row r="6799">
      <c r="A6799" s="9"/>
      <c r="B6799" s="15"/>
      <c r="C6799" s="9">
        <f>IFERROR(__xludf.DUMMYFUNCTION("""COMPUTED_VALUE"""),44533.6990190393)</f>
        <v>44533.69902</v>
      </c>
      <c r="D6799" s="15">
        <f>IFERROR(__xludf.DUMMYFUNCTION("""COMPUTED_VALUE"""),1.035)</f>
        <v>1.035</v>
      </c>
      <c r="E6799" s="16">
        <f>IFERROR(__xludf.DUMMYFUNCTION("""COMPUTED_VALUE"""),64.0)</f>
        <v>64</v>
      </c>
      <c r="F6799" s="19" t="str">
        <f>IFERROR(__xludf.DUMMYFUNCTION("""COMPUTED_VALUE"""),"BLACK")</f>
        <v>BLACK</v>
      </c>
      <c r="G6799" s="20" t="str">
        <f>IFERROR(__xludf.DUMMYFUNCTION("""COMPUTED_VALUE"""),"Uncle Sams Cider (11/12/2021) 02")</f>
        <v>Uncle Sams Cider (11/12/2021) 02</v>
      </c>
      <c r="H6799" s="19"/>
    </row>
    <row r="6800">
      <c r="A6800" s="9"/>
      <c r="B6800" s="15"/>
      <c r="C6800" s="9">
        <f>IFERROR(__xludf.DUMMYFUNCTION("""COMPUTED_VALUE"""),44533.6885873032)</f>
        <v>44533.68859</v>
      </c>
      <c r="D6800" s="15">
        <f>IFERROR(__xludf.DUMMYFUNCTION("""COMPUTED_VALUE"""),1.035)</f>
        <v>1.035</v>
      </c>
      <c r="E6800" s="16">
        <f>IFERROR(__xludf.DUMMYFUNCTION("""COMPUTED_VALUE"""),64.0)</f>
        <v>64</v>
      </c>
      <c r="F6800" s="19" t="str">
        <f>IFERROR(__xludf.DUMMYFUNCTION("""COMPUTED_VALUE"""),"BLACK")</f>
        <v>BLACK</v>
      </c>
      <c r="G6800" s="20" t="str">
        <f>IFERROR(__xludf.DUMMYFUNCTION("""COMPUTED_VALUE"""),"Uncle Sams Cider (11/12/2021) 02")</f>
        <v>Uncle Sams Cider (11/12/2021) 02</v>
      </c>
      <c r="H6800" s="19"/>
    </row>
    <row r="6801">
      <c r="A6801" s="9"/>
      <c r="B6801" s="15"/>
      <c r="C6801" s="9">
        <f>IFERROR(__xludf.DUMMYFUNCTION("""COMPUTED_VALUE"""),44533.6781541087)</f>
        <v>44533.67815</v>
      </c>
      <c r="D6801" s="15">
        <f>IFERROR(__xludf.DUMMYFUNCTION("""COMPUTED_VALUE"""),1.035)</f>
        <v>1.035</v>
      </c>
      <c r="E6801" s="16">
        <f>IFERROR(__xludf.DUMMYFUNCTION("""COMPUTED_VALUE"""),64.0)</f>
        <v>64</v>
      </c>
      <c r="F6801" s="19" t="str">
        <f>IFERROR(__xludf.DUMMYFUNCTION("""COMPUTED_VALUE"""),"BLACK")</f>
        <v>BLACK</v>
      </c>
      <c r="G6801" s="20" t="str">
        <f>IFERROR(__xludf.DUMMYFUNCTION("""COMPUTED_VALUE"""),"Uncle Sams Cider (11/12/2021) 02")</f>
        <v>Uncle Sams Cider (11/12/2021) 02</v>
      </c>
      <c r="H6801" s="19"/>
    </row>
    <row r="6802">
      <c r="A6802" s="9"/>
      <c r="B6802" s="15"/>
      <c r="C6802" s="9">
        <f>IFERROR(__xludf.DUMMYFUNCTION("""COMPUTED_VALUE"""),44533.667732199)</f>
        <v>44533.66773</v>
      </c>
      <c r="D6802" s="15">
        <f>IFERROR(__xludf.DUMMYFUNCTION("""COMPUTED_VALUE"""),1.035)</f>
        <v>1.035</v>
      </c>
      <c r="E6802" s="16">
        <f>IFERROR(__xludf.DUMMYFUNCTION("""COMPUTED_VALUE"""),64.0)</f>
        <v>64</v>
      </c>
      <c r="F6802" s="19" t="str">
        <f>IFERROR(__xludf.DUMMYFUNCTION("""COMPUTED_VALUE"""),"BLACK")</f>
        <v>BLACK</v>
      </c>
      <c r="G6802" s="20" t="str">
        <f>IFERROR(__xludf.DUMMYFUNCTION("""COMPUTED_VALUE"""),"Uncle Sams Cider (11/12/2021) 02")</f>
        <v>Uncle Sams Cider (11/12/2021) 02</v>
      </c>
      <c r="H6802" s="19"/>
    </row>
    <row r="6803">
      <c r="A6803" s="9"/>
      <c r="B6803" s="15"/>
      <c r="C6803" s="9">
        <f>IFERROR(__xludf.DUMMYFUNCTION("""COMPUTED_VALUE"""),44533.6573105671)</f>
        <v>44533.65731</v>
      </c>
      <c r="D6803" s="15">
        <f>IFERROR(__xludf.DUMMYFUNCTION("""COMPUTED_VALUE"""),1.035)</f>
        <v>1.035</v>
      </c>
      <c r="E6803" s="16">
        <f>IFERROR(__xludf.DUMMYFUNCTION("""COMPUTED_VALUE"""),64.0)</f>
        <v>64</v>
      </c>
      <c r="F6803" s="19" t="str">
        <f>IFERROR(__xludf.DUMMYFUNCTION("""COMPUTED_VALUE"""),"BLACK")</f>
        <v>BLACK</v>
      </c>
      <c r="G6803" s="20" t="str">
        <f>IFERROR(__xludf.DUMMYFUNCTION("""COMPUTED_VALUE"""),"Uncle Sams Cider (11/12/2021) 02")</f>
        <v>Uncle Sams Cider (11/12/2021) 02</v>
      </c>
      <c r="H6803" s="19"/>
    </row>
    <row r="6804">
      <c r="A6804" s="9"/>
      <c r="B6804" s="15"/>
      <c r="C6804" s="9">
        <f>IFERROR(__xludf.DUMMYFUNCTION("""COMPUTED_VALUE"""),44533.6468781828)</f>
        <v>44533.64688</v>
      </c>
      <c r="D6804" s="15">
        <f>IFERROR(__xludf.DUMMYFUNCTION("""COMPUTED_VALUE"""),1.035)</f>
        <v>1.035</v>
      </c>
      <c r="E6804" s="16">
        <f>IFERROR(__xludf.DUMMYFUNCTION("""COMPUTED_VALUE"""),64.0)</f>
        <v>64</v>
      </c>
      <c r="F6804" s="19" t="str">
        <f>IFERROR(__xludf.DUMMYFUNCTION("""COMPUTED_VALUE"""),"BLACK")</f>
        <v>BLACK</v>
      </c>
      <c r="G6804" s="20" t="str">
        <f>IFERROR(__xludf.DUMMYFUNCTION("""COMPUTED_VALUE"""),"Uncle Sams Cider (11/12/2021) 02")</f>
        <v>Uncle Sams Cider (11/12/2021) 02</v>
      </c>
      <c r="H6804" s="19"/>
    </row>
    <row r="6805">
      <c r="A6805" s="9"/>
      <c r="B6805" s="15"/>
      <c r="C6805" s="9">
        <f>IFERROR(__xludf.DUMMYFUNCTION("""COMPUTED_VALUE"""),44533.6364445023)</f>
        <v>44533.63644</v>
      </c>
      <c r="D6805" s="15">
        <f>IFERROR(__xludf.DUMMYFUNCTION("""COMPUTED_VALUE"""),1.035)</f>
        <v>1.035</v>
      </c>
      <c r="E6805" s="16">
        <f>IFERROR(__xludf.DUMMYFUNCTION("""COMPUTED_VALUE"""),64.0)</f>
        <v>64</v>
      </c>
      <c r="F6805" s="19" t="str">
        <f>IFERROR(__xludf.DUMMYFUNCTION("""COMPUTED_VALUE"""),"BLACK")</f>
        <v>BLACK</v>
      </c>
      <c r="G6805" s="20" t="str">
        <f>IFERROR(__xludf.DUMMYFUNCTION("""COMPUTED_VALUE"""),"Uncle Sams Cider (11/12/2021) 02")</f>
        <v>Uncle Sams Cider (11/12/2021) 02</v>
      </c>
      <c r="H6805" s="19"/>
    </row>
    <row r="6806">
      <c r="A6806" s="9"/>
      <c r="B6806" s="15"/>
      <c r="C6806" s="9">
        <f>IFERROR(__xludf.DUMMYFUNCTION("""COMPUTED_VALUE"""),44533.6260013541)</f>
        <v>44533.626</v>
      </c>
      <c r="D6806" s="15">
        <f>IFERROR(__xludf.DUMMYFUNCTION("""COMPUTED_VALUE"""),1.035)</f>
        <v>1.035</v>
      </c>
      <c r="E6806" s="16">
        <f>IFERROR(__xludf.DUMMYFUNCTION("""COMPUTED_VALUE"""),64.0)</f>
        <v>64</v>
      </c>
      <c r="F6806" s="19" t="str">
        <f>IFERROR(__xludf.DUMMYFUNCTION("""COMPUTED_VALUE"""),"BLACK")</f>
        <v>BLACK</v>
      </c>
      <c r="G6806" s="20" t="str">
        <f>IFERROR(__xludf.DUMMYFUNCTION("""COMPUTED_VALUE"""),"Uncle Sams Cider (11/12/2021) 02")</f>
        <v>Uncle Sams Cider (11/12/2021) 02</v>
      </c>
      <c r="H6806" s="19"/>
    </row>
    <row r="6807">
      <c r="A6807" s="9"/>
      <c r="B6807" s="15"/>
      <c r="C6807" s="9">
        <f>IFERROR(__xludf.DUMMYFUNCTION("""COMPUTED_VALUE"""),44533.6155564583)</f>
        <v>44533.61556</v>
      </c>
      <c r="D6807" s="15">
        <f>IFERROR(__xludf.DUMMYFUNCTION("""COMPUTED_VALUE"""),1.035)</f>
        <v>1.035</v>
      </c>
      <c r="E6807" s="16">
        <f>IFERROR(__xludf.DUMMYFUNCTION("""COMPUTED_VALUE"""),64.0)</f>
        <v>64</v>
      </c>
      <c r="F6807" s="19" t="str">
        <f>IFERROR(__xludf.DUMMYFUNCTION("""COMPUTED_VALUE"""),"BLACK")</f>
        <v>BLACK</v>
      </c>
      <c r="G6807" s="20" t="str">
        <f>IFERROR(__xludf.DUMMYFUNCTION("""COMPUTED_VALUE"""),"Uncle Sams Cider (11/12/2021) 02")</f>
        <v>Uncle Sams Cider (11/12/2021) 02</v>
      </c>
      <c r="H6807" s="19"/>
    </row>
    <row r="6808">
      <c r="A6808" s="9"/>
      <c r="B6808" s="15"/>
      <c r="C6808" s="9">
        <f>IFERROR(__xludf.DUMMYFUNCTION("""COMPUTED_VALUE"""),44533.6051327314)</f>
        <v>44533.60513</v>
      </c>
      <c r="D6808" s="15">
        <f>IFERROR(__xludf.DUMMYFUNCTION("""COMPUTED_VALUE"""),1.035)</f>
        <v>1.035</v>
      </c>
      <c r="E6808" s="16">
        <f>IFERROR(__xludf.DUMMYFUNCTION("""COMPUTED_VALUE"""),64.0)</f>
        <v>64</v>
      </c>
      <c r="F6808" s="19" t="str">
        <f>IFERROR(__xludf.DUMMYFUNCTION("""COMPUTED_VALUE"""),"BLACK")</f>
        <v>BLACK</v>
      </c>
      <c r="G6808" s="20" t="str">
        <f>IFERROR(__xludf.DUMMYFUNCTION("""COMPUTED_VALUE"""),"Uncle Sams Cider (11/12/2021) 02")</f>
        <v>Uncle Sams Cider (11/12/2021) 02</v>
      </c>
      <c r="H6808" s="19"/>
    </row>
    <row r="6809">
      <c r="A6809" s="9"/>
      <c r="B6809" s="15"/>
      <c r="C6809" s="9">
        <f>IFERROR(__xludf.DUMMYFUNCTION("""COMPUTED_VALUE"""),44533.5947000463)</f>
        <v>44533.5947</v>
      </c>
      <c r="D6809" s="15">
        <f>IFERROR(__xludf.DUMMYFUNCTION("""COMPUTED_VALUE"""),1.035)</f>
        <v>1.035</v>
      </c>
      <c r="E6809" s="16">
        <f>IFERROR(__xludf.DUMMYFUNCTION("""COMPUTED_VALUE"""),64.0)</f>
        <v>64</v>
      </c>
      <c r="F6809" s="19" t="str">
        <f>IFERROR(__xludf.DUMMYFUNCTION("""COMPUTED_VALUE"""),"BLACK")</f>
        <v>BLACK</v>
      </c>
      <c r="G6809" s="20" t="str">
        <f>IFERROR(__xludf.DUMMYFUNCTION("""COMPUTED_VALUE"""),"Uncle Sams Cider (11/12/2021) 02")</f>
        <v>Uncle Sams Cider (11/12/2021) 02</v>
      </c>
      <c r="H6809" s="19"/>
    </row>
    <row r="6810">
      <c r="A6810" s="9"/>
      <c r="B6810" s="15"/>
      <c r="C6810" s="9">
        <f>IFERROR(__xludf.DUMMYFUNCTION("""COMPUTED_VALUE"""),44533.5842784606)</f>
        <v>44533.58428</v>
      </c>
      <c r="D6810" s="15">
        <f>IFERROR(__xludf.DUMMYFUNCTION("""COMPUTED_VALUE"""),1.035)</f>
        <v>1.035</v>
      </c>
      <c r="E6810" s="16">
        <f>IFERROR(__xludf.DUMMYFUNCTION("""COMPUTED_VALUE"""),64.0)</f>
        <v>64</v>
      </c>
      <c r="F6810" s="19" t="str">
        <f>IFERROR(__xludf.DUMMYFUNCTION("""COMPUTED_VALUE"""),"BLACK")</f>
        <v>BLACK</v>
      </c>
      <c r="G6810" s="20" t="str">
        <f>IFERROR(__xludf.DUMMYFUNCTION("""COMPUTED_VALUE"""),"Uncle Sams Cider (11/12/2021) 02")</f>
        <v>Uncle Sams Cider (11/12/2021) 02</v>
      </c>
      <c r="H6810" s="19"/>
    </row>
    <row r="6811">
      <c r="A6811" s="9"/>
      <c r="B6811" s="15"/>
      <c r="C6811" s="9">
        <f>IFERROR(__xludf.DUMMYFUNCTION("""COMPUTED_VALUE"""),44533.5738578472)</f>
        <v>44533.57386</v>
      </c>
      <c r="D6811" s="15">
        <f>IFERROR(__xludf.DUMMYFUNCTION("""COMPUTED_VALUE"""),1.035)</f>
        <v>1.035</v>
      </c>
      <c r="E6811" s="16">
        <f>IFERROR(__xludf.DUMMYFUNCTION("""COMPUTED_VALUE"""),64.0)</f>
        <v>64</v>
      </c>
      <c r="F6811" s="19" t="str">
        <f>IFERROR(__xludf.DUMMYFUNCTION("""COMPUTED_VALUE"""),"BLACK")</f>
        <v>BLACK</v>
      </c>
      <c r="G6811" s="20" t="str">
        <f>IFERROR(__xludf.DUMMYFUNCTION("""COMPUTED_VALUE"""),"Uncle Sams Cider (11/12/2021) 02")</f>
        <v>Uncle Sams Cider (11/12/2021) 02</v>
      </c>
      <c r="H6811" s="19"/>
    </row>
    <row r="6812">
      <c r="A6812" s="9"/>
      <c r="B6812" s="15"/>
      <c r="C6812" s="9">
        <f>IFERROR(__xludf.DUMMYFUNCTION("""COMPUTED_VALUE"""),44533.5634357407)</f>
        <v>44533.56344</v>
      </c>
      <c r="D6812" s="15">
        <f>IFERROR(__xludf.DUMMYFUNCTION("""COMPUTED_VALUE"""),1.035)</f>
        <v>1.035</v>
      </c>
      <c r="E6812" s="16">
        <f>IFERROR(__xludf.DUMMYFUNCTION("""COMPUTED_VALUE"""),64.0)</f>
        <v>64</v>
      </c>
      <c r="F6812" s="19" t="str">
        <f>IFERROR(__xludf.DUMMYFUNCTION("""COMPUTED_VALUE"""),"BLACK")</f>
        <v>BLACK</v>
      </c>
      <c r="G6812" s="20" t="str">
        <f>IFERROR(__xludf.DUMMYFUNCTION("""COMPUTED_VALUE"""),"Uncle Sams Cider (11/12/2021) 02")</f>
        <v>Uncle Sams Cider (11/12/2021) 02</v>
      </c>
      <c r="H6812" s="19"/>
    </row>
    <row r="6813">
      <c r="A6813" s="9"/>
      <c r="B6813" s="15"/>
      <c r="C6813" s="9">
        <f>IFERROR(__xludf.DUMMYFUNCTION("""COMPUTED_VALUE"""),44533.5530143402)</f>
        <v>44533.55301</v>
      </c>
      <c r="D6813" s="15">
        <f>IFERROR(__xludf.DUMMYFUNCTION("""COMPUTED_VALUE"""),1.035)</f>
        <v>1.035</v>
      </c>
      <c r="E6813" s="16">
        <f>IFERROR(__xludf.DUMMYFUNCTION("""COMPUTED_VALUE"""),64.0)</f>
        <v>64</v>
      </c>
      <c r="F6813" s="19" t="str">
        <f>IFERROR(__xludf.DUMMYFUNCTION("""COMPUTED_VALUE"""),"BLACK")</f>
        <v>BLACK</v>
      </c>
      <c r="G6813" s="20" t="str">
        <f>IFERROR(__xludf.DUMMYFUNCTION("""COMPUTED_VALUE"""),"Uncle Sams Cider (11/12/2021) 02")</f>
        <v>Uncle Sams Cider (11/12/2021) 02</v>
      </c>
      <c r="H6813" s="19"/>
    </row>
    <row r="6814">
      <c r="A6814" s="9"/>
      <c r="B6814" s="15"/>
      <c r="C6814" s="9">
        <f>IFERROR(__xludf.DUMMYFUNCTION("""COMPUTED_VALUE"""),44533.5425923379)</f>
        <v>44533.54259</v>
      </c>
      <c r="D6814" s="15">
        <f>IFERROR(__xludf.DUMMYFUNCTION("""COMPUTED_VALUE"""),1.035)</f>
        <v>1.035</v>
      </c>
      <c r="E6814" s="16">
        <f>IFERROR(__xludf.DUMMYFUNCTION("""COMPUTED_VALUE"""),64.0)</f>
        <v>64</v>
      </c>
      <c r="F6814" s="19" t="str">
        <f>IFERROR(__xludf.DUMMYFUNCTION("""COMPUTED_VALUE"""),"BLACK")</f>
        <v>BLACK</v>
      </c>
      <c r="G6814" s="20" t="str">
        <f>IFERROR(__xludf.DUMMYFUNCTION("""COMPUTED_VALUE"""),"Uncle Sams Cider (11/12/2021) 02")</f>
        <v>Uncle Sams Cider (11/12/2021) 02</v>
      </c>
      <c r="H6814" s="19"/>
    </row>
    <row r="6815">
      <c r="A6815" s="9"/>
      <c r="B6815" s="15"/>
      <c r="C6815" s="9">
        <f>IFERROR(__xludf.DUMMYFUNCTION("""COMPUTED_VALUE"""),44533.5321699189)</f>
        <v>44533.53217</v>
      </c>
      <c r="D6815" s="15">
        <f>IFERROR(__xludf.DUMMYFUNCTION("""COMPUTED_VALUE"""),1.035)</f>
        <v>1.035</v>
      </c>
      <c r="E6815" s="16">
        <f>IFERROR(__xludf.DUMMYFUNCTION("""COMPUTED_VALUE"""),64.0)</f>
        <v>64</v>
      </c>
      <c r="F6815" s="19" t="str">
        <f>IFERROR(__xludf.DUMMYFUNCTION("""COMPUTED_VALUE"""),"BLACK")</f>
        <v>BLACK</v>
      </c>
      <c r="G6815" s="20" t="str">
        <f>IFERROR(__xludf.DUMMYFUNCTION("""COMPUTED_VALUE"""),"Uncle Sams Cider (11/12/2021) 02")</f>
        <v>Uncle Sams Cider (11/12/2021) 02</v>
      </c>
      <c r="H6815" s="19"/>
    </row>
    <row r="6816">
      <c r="A6816" s="9"/>
      <c r="B6816" s="15"/>
      <c r="C6816" s="9">
        <f>IFERROR(__xludf.DUMMYFUNCTION("""COMPUTED_VALUE"""),44533.5217263773)</f>
        <v>44533.52173</v>
      </c>
      <c r="D6816" s="15">
        <f>IFERROR(__xludf.DUMMYFUNCTION("""COMPUTED_VALUE"""),1.035)</f>
        <v>1.035</v>
      </c>
      <c r="E6816" s="16">
        <f>IFERROR(__xludf.DUMMYFUNCTION("""COMPUTED_VALUE"""),64.0)</f>
        <v>64</v>
      </c>
      <c r="F6816" s="19" t="str">
        <f>IFERROR(__xludf.DUMMYFUNCTION("""COMPUTED_VALUE"""),"BLACK")</f>
        <v>BLACK</v>
      </c>
      <c r="G6816" s="20" t="str">
        <f>IFERROR(__xludf.DUMMYFUNCTION("""COMPUTED_VALUE"""),"Uncle Sams Cider (11/12/2021) 02")</f>
        <v>Uncle Sams Cider (11/12/2021) 02</v>
      </c>
      <c r="H6816" s="19"/>
    </row>
    <row r="6817">
      <c r="A6817" s="9"/>
      <c r="B6817" s="15"/>
      <c r="C6817" s="9">
        <f>IFERROR(__xludf.DUMMYFUNCTION("""COMPUTED_VALUE"""),44533.5113074421)</f>
        <v>44533.51131</v>
      </c>
      <c r="D6817" s="15">
        <f>IFERROR(__xludf.DUMMYFUNCTION("""COMPUTED_VALUE"""),1.035)</f>
        <v>1.035</v>
      </c>
      <c r="E6817" s="16">
        <f>IFERROR(__xludf.DUMMYFUNCTION("""COMPUTED_VALUE"""),64.0)</f>
        <v>64</v>
      </c>
      <c r="F6817" s="19" t="str">
        <f>IFERROR(__xludf.DUMMYFUNCTION("""COMPUTED_VALUE"""),"BLACK")</f>
        <v>BLACK</v>
      </c>
      <c r="G6817" s="20" t="str">
        <f>IFERROR(__xludf.DUMMYFUNCTION("""COMPUTED_VALUE"""),"Uncle Sams Cider (11/12/2021) 02")</f>
        <v>Uncle Sams Cider (11/12/2021) 02</v>
      </c>
      <c r="H6817" s="19"/>
    </row>
    <row r="6818">
      <c r="A6818" s="9"/>
      <c r="B6818" s="15"/>
      <c r="C6818" s="9">
        <f>IFERROR(__xludf.DUMMYFUNCTION("""COMPUTED_VALUE"""),44533.5008732291)</f>
        <v>44533.50087</v>
      </c>
      <c r="D6818" s="15">
        <f>IFERROR(__xludf.DUMMYFUNCTION("""COMPUTED_VALUE"""),1.035)</f>
        <v>1.035</v>
      </c>
      <c r="E6818" s="16">
        <f>IFERROR(__xludf.DUMMYFUNCTION("""COMPUTED_VALUE"""),64.0)</f>
        <v>64</v>
      </c>
      <c r="F6818" s="19" t="str">
        <f>IFERROR(__xludf.DUMMYFUNCTION("""COMPUTED_VALUE"""),"BLACK")</f>
        <v>BLACK</v>
      </c>
      <c r="G6818" s="20" t="str">
        <f>IFERROR(__xludf.DUMMYFUNCTION("""COMPUTED_VALUE"""),"Uncle Sams Cider (11/12/2021) 02")</f>
        <v>Uncle Sams Cider (11/12/2021) 02</v>
      </c>
      <c r="H6818" s="19"/>
    </row>
    <row r="6819">
      <c r="A6819" s="9"/>
      <c r="B6819" s="15"/>
      <c r="C6819" s="9">
        <f>IFERROR(__xludf.DUMMYFUNCTION("""COMPUTED_VALUE"""),44533.4904506249)</f>
        <v>44533.49045</v>
      </c>
      <c r="D6819" s="15">
        <f>IFERROR(__xludf.DUMMYFUNCTION("""COMPUTED_VALUE"""),1.035)</f>
        <v>1.035</v>
      </c>
      <c r="E6819" s="16">
        <f>IFERROR(__xludf.DUMMYFUNCTION("""COMPUTED_VALUE"""),64.0)</f>
        <v>64</v>
      </c>
      <c r="F6819" s="19" t="str">
        <f>IFERROR(__xludf.DUMMYFUNCTION("""COMPUTED_VALUE"""),"BLACK")</f>
        <v>BLACK</v>
      </c>
      <c r="G6819" s="20" t="str">
        <f>IFERROR(__xludf.DUMMYFUNCTION("""COMPUTED_VALUE"""),"Uncle Sams Cider (11/12/2021) 02")</f>
        <v>Uncle Sams Cider (11/12/2021) 02</v>
      </c>
      <c r="H6819" s="19"/>
    </row>
    <row r="6820">
      <c r="A6820" s="9"/>
      <c r="B6820" s="15"/>
      <c r="C6820" s="9">
        <f>IFERROR(__xludf.DUMMYFUNCTION("""COMPUTED_VALUE"""),44533.4800286921)</f>
        <v>44533.48003</v>
      </c>
      <c r="D6820" s="15">
        <f>IFERROR(__xludf.DUMMYFUNCTION("""COMPUTED_VALUE"""),1.035)</f>
        <v>1.035</v>
      </c>
      <c r="E6820" s="16">
        <f>IFERROR(__xludf.DUMMYFUNCTION("""COMPUTED_VALUE"""),64.0)</f>
        <v>64</v>
      </c>
      <c r="F6820" s="19" t="str">
        <f>IFERROR(__xludf.DUMMYFUNCTION("""COMPUTED_VALUE"""),"BLACK")</f>
        <v>BLACK</v>
      </c>
      <c r="G6820" s="20" t="str">
        <f>IFERROR(__xludf.DUMMYFUNCTION("""COMPUTED_VALUE"""),"Uncle Sams Cider (11/12/2021) 02")</f>
        <v>Uncle Sams Cider (11/12/2021) 02</v>
      </c>
      <c r="H6820" s="19"/>
    </row>
    <row r="6821">
      <c r="A6821" s="9"/>
      <c r="B6821" s="15"/>
      <c r="C6821" s="9">
        <f>IFERROR(__xludf.DUMMYFUNCTION("""COMPUTED_VALUE"""),44533.4696081018)</f>
        <v>44533.46961</v>
      </c>
      <c r="D6821" s="15">
        <f>IFERROR(__xludf.DUMMYFUNCTION("""COMPUTED_VALUE"""),1.035)</f>
        <v>1.035</v>
      </c>
      <c r="E6821" s="16">
        <f>IFERROR(__xludf.DUMMYFUNCTION("""COMPUTED_VALUE"""),64.0)</f>
        <v>64</v>
      </c>
      <c r="F6821" s="19" t="str">
        <f>IFERROR(__xludf.DUMMYFUNCTION("""COMPUTED_VALUE"""),"BLACK")</f>
        <v>BLACK</v>
      </c>
      <c r="G6821" s="20" t="str">
        <f>IFERROR(__xludf.DUMMYFUNCTION("""COMPUTED_VALUE"""),"Uncle Sams Cider (11/12/2021) 02")</f>
        <v>Uncle Sams Cider (11/12/2021) 02</v>
      </c>
      <c r="H6821" s="19"/>
    </row>
    <row r="6822">
      <c r="A6822" s="9"/>
      <c r="B6822" s="15"/>
      <c r="C6822" s="9">
        <f>IFERROR(__xludf.DUMMYFUNCTION("""COMPUTED_VALUE"""),44533.4591869675)</f>
        <v>44533.45919</v>
      </c>
      <c r="D6822" s="15">
        <f>IFERROR(__xludf.DUMMYFUNCTION("""COMPUTED_VALUE"""),1.035)</f>
        <v>1.035</v>
      </c>
      <c r="E6822" s="16">
        <f>IFERROR(__xludf.DUMMYFUNCTION("""COMPUTED_VALUE"""),64.0)</f>
        <v>64</v>
      </c>
      <c r="F6822" s="19" t="str">
        <f>IFERROR(__xludf.DUMMYFUNCTION("""COMPUTED_VALUE"""),"BLACK")</f>
        <v>BLACK</v>
      </c>
      <c r="G6822" s="20" t="str">
        <f>IFERROR(__xludf.DUMMYFUNCTION("""COMPUTED_VALUE"""),"Uncle Sams Cider (11/12/2021) 02")</f>
        <v>Uncle Sams Cider (11/12/2021) 02</v>
      </c>
      <c r="H6822" s="19"/>
    </row>
    <row r="6823">
      <c r="A6823" s="9"/>
      <c r="B6823" s="15"/>
      <c r="C6823" s="9">
        <f>IFERROR(__xludf.DUMMYFUNCTION("""COMPUTED_VALUE"""),44533.4487663657)</f>
        <v>44533.44877</v>
      </c>
      <c r="D6823" s="15">
        <f>IFERROR(__xludf.DUMMYFUNCTION("""COMPUTED_VALUE"""),1.035)</f>
        <v>1.035</v>
      </c>
      <c r="E6823" s="16">
        <f>IFERROR(__xludf.DUMMYFUNCTION("""COMPUTED_VALUE"""),64.0)</f>
        <v>64</v>
      </c>
      <c r="F6823" s="19" t="str">
        <f>IFERROR(__xludf.DUMMYFUNCTION("""COMPUTED_VALUE"""),"BLACK")</f>
        <v>BLACK</v>
      </c>
      <c r="G6823" s="20" t="str">
        <f>IFERROR(__xludf.DUMMYFUNCTION("""COMPUTED_VALUE"""),"Uncle Sams Cider (11/12/2021) 02")</f>
        <v>Uncle Sams Cider (11/12/2021) 02</v>
      </c>
      <c r="H6823" s="19"/>
    </row>
    <row r="6824">
      <c r="A6824" s="9"/>
      <c r="B6824" s="15"/>
      <c r="C6824" s="9">
        <f>IFERROR(__xludf.DUMMYFUNCTION("""COMPUTED_VALUE"""),44533.4383225115)</f>
        <v>44533.43832</v>
      </c>
      <c r="D6824" s="15">
        <f>IFERROR(__xludf.DUMMYFUNCTION("""COMPUTED_VALUE"""),1.035)</f>
        <v>1.035</v>
      </c>
      <c r="E6824" s="16">
        <f>IFERROR(__xludf.DUMMYFUNCTION("""COMPUTED_VALUE"""),64.0)</f>
        <v>64</v>
      </c>
      <c r="F6824" s="19" t="str">
        <f>IFERROR(__xludf.DUMMYFUNCTION("""COMPUTED_VALUE"""),"BLACK")</f>
        <v>BLACK</v>
      </c>
      <c r="G6824" s="20" t="str">
        <f>IFERROR(__xludf.DUMMYFUNCTION("""COMPUTED_VALUE"""),"Uncle Sams Cider (11/12/2021) 02")</f>
        <v>Uncle Sams Cider (11/12/2021) 02</v>
      </c>
      <c r="H6824" s="19"/>
    </row>
    <row r="6825">
      <c r="A6825" s="9"/>
      <c r="B6825" s="15"/>
      <c r="C6825" s="9">
        <f>IFERROR(__xludf.DUMMYFUNCTION("""COMPUTED_VALUE"""),44533.4278990856)</f>
        <v>44533.4279</v>
      </c>
      <c r="D6825" s="15">
        <f>IFERROR(__xludf.DUMMYFUNCTION("""COMPUTED_VALUE"""),1.035)</f>
        <v>1.035</v>
      </c>
      <c r="E6825" s="16">
        <f>IFERROR(__xludf.DUMMYFUNCTION("""COMPUTED_VALUE"""),64.0)</f>
        <v>64</v>
      </c>
      <c r="F6825" s="19" t="str">
        <f>IFERROR(__xludf.DUMMYFUNCTION("""COMPUTED_VALUE"""),"BLACK")</f>
        <v>BLACK</v>
      </c>
      <c r="G6825" s="20" t="str">
        <f>IFERROR(__xludf.DUMMYFUNCTION("""COMPUTED_VALUE"""),"Uncle Sams Cider (11/12/2021) 02")</f>
        <v>Uncle Sams Cider (11/12/2021) 02</v>
      </c>
      <c r="H6825" s="19"/>
    </row>
    <row r="6826">
      <c r="A6826" s="9"/>
      <c r="B6826" s="15"/>
      <c r="C6826" s="9">
        <f>IFERROR(__xludf.DUMMYFUNCTION("""COMPUTED_VALUE"""),44533.4174774768)</f>
        <v>44533.41748</v>
      </c>
      <c r="D6826" s="15">
        <f>IFERROR(__xludf.DUMMYFUNCTION("""COMPUTED_VALUE"""),1.035)</f>
        <v>1.035</v>
      </c>
      <c r="E6826" s="16">
        <f>IFERROR(__xludf.DUMMYFUNCTION("""COMPUTED_VALUE"""),64.0)</f>
        <v>64</v>
      </c>
      <c r="F6826" s="19" t="str">
        <f>IFERROR(__xludf.DUMMYFUNCTION("""COMPUTED_VALUE"""),"BLACK")</f>
        <v>BLACK</v>
      </c>
      <c r="G6826" s="20" t="str">
        <f>IFERROR(__xludf.DUMMYFUNCTION("""COMPUTED_VALUE"""),"Uncle Sams Cider (11/12/2021) 02")</f>
        <v>Uncle Sams Cider (11/12/2021) 02</v>
      </c>
      <c r="H6826" s="19"/>
    </row>
    <row r="6827">
      <c r="A6827" s="9"/>
      <c r="B6827" s="15"/>
      <c r="C6827" s="9">
        <f>IFERROR(__xludf.DUMMYFUNCTION("""COMPUTED_VALUE"""),44533.4070562615)</f>
        <v>44533.40706</v>
      </c>
      <c r="D6827" s="15">
        <f>IFERROR(__xludf.DUMMYFUNCTION("""COMPUTED_VALUE"""),1.035)</f>
        <v>1.035</v>
      </c>
      <c r="E6827" s="16">
        <f>IFERROR(__xludf.DUMMYFUNCTION("""COMPUTED_VALUE"""),64.0)</f>
        <v>64</v>
      </c>
      <c r="F6827" s="19" t="str">
        <f>IFERROR(__xludf.DUMMYFUNCTION("""COMPUTED_VALUE"""),"BLACK")</f>
        <v>BLACK</v>
      </c>
      <c r="G6827" s="20" t="str">
        <f>IFERROR(__xludf.DUMMYFUNCTION("""COMPUTED_VALUE"""),"Uncle Sams Cider (11/12/2021) 02")</f>
        <v>Uncle Sams Cider (11/12/2021) 02</v>
      </c>
      <c r="H6827" s="19"/>
    </row>
    <row r="6828">
      <c r="A6828" s="9"/>
      <c r="B6828" s="15"/>
      <c r="C6828" s="9">
        <f>IFERROR(__xludf.DUMMYFUNCTION("""COMPUTED_VALUE"""),44533.3966359375)</f>
        <v>44533.39664</v>
      </c>
      <c r="D6828" s="15">
        <f>IFERROR(__xludf.DUMMYFUNCTION("""COMPUTED_VALUE"""),1.035)</f>
        <v>1.035</v>
      </c>
      <c r="E6828" s="16">
        <f>IFERROR(__xludf.DUMMYFUNCTION("""COMPUTED_VALUE"""),64.0)</f>
        <v>64</v>
      </c>
      <c r="F6828" s="19" t="str">
        <f>IFERROR(__xludf.DUMMYFUNCTION("""COMPUTED_VALUE"""),"BLACK")</f>
        <v>BLACK</v>
      </c>
      <c r="G6828" s="20" t="str">
        <f>IFERROR(__xludf.DUMMYFUNCTION("""COMPUTED_VALUE"""),"Uncle Sams Cider (11/12/2021) 02")</f>
        <v>Uncle Sams Cider (11/12/2021) 02</v>
      </c>
      <c r="H6828" s="19"/>
    </row>
    <row r="6829">
      <c r="A6829" s="9"/>
      <c r="B6829" s="15"/>
      <c r="C6829" s="9">
        <f>IFERROR(__xludf.DUMMYFUNCTION("""COMPUTED_VALUE"""),44533.3862160995)</f>
        <v>44533.38622</v>
      </c>
      <c r="D6829" s="15">
        <f>IFERROR(__xludf.DUMMYFUNCTION("""COMPUTED_VALUE"""),1.035)</f>
        <v>1.035</v>
      </c>
      <c r="E6829" s="16">
        <f>IFERROR(__xludf.DUMMYFUNCTION("""COMPUTED_VALUE"""),64.0)</f>
        <v>64</v>
      </c>
      <c r="F6829" s="19" t="str">
        <f>IFERROR(__xludf.DUMMYFUNCTION("""COMPUTED_VALUE"""),"BLACK")</f>
        <v>BLACK</v>
      </c>
      <c r="G6829" s="20" t="str">
        <f>IFERROR(__xludf.DUMMYFUNCTION("""COMPUTED_VALUE"""),"Uncle Sams Cider (11/12/2021) 02")</f>
        <v>Uncle Sams Cider (11/12/2021) 02</v>
      </c>
      <c r="H6829" s="19"/>
    </row>
    <row r="6830">
      <c r="A6830" s="9"/>
      <c r="B6830" s="15"/>
      <c r="C6830" s="9">
        <f>IFERROR(__xludf.DUMMYFUNCTION("""COMPUTED_VALUE"""),44533.3757934027)</f>
        <v>44533.37579</v>
      </c>
      <c r="D6830" s="15">
        <f>IFERROR(__xludf.DUMMYFUNCTION("""COMPUTED_VALUE"""),1.035)</f>
        <v>1.035</v>
      </c>
      <c r="E6830" s="16">
        <f>IFERROR(__xludf.DUMMYFUNCTION("""COMPUTED_VALUE"""),64.0)</f>
        <v>64</v>
      </c>
      <c r="F6830" s="19" t="str">
        <f>IFERROR(__xludf.DUMMYFUNCTION("""COMPUTED_VALUE"""),"BLACK")</f>
        <v>BLACK</v>
      </c>
      <c r="G6830" s="20" t="str">
        <f>IFERROR(__xludf.DUMMYFUNCTION("""COMPUTED_VALUE"""),"Uncle Sams Cider (11/12/2021) 02")</f>
        <v>Uncle Sams Cider (11/12/2021) 02</v>
      </c>
      <c r="H6830" s="19"/>
    </row>
    <row r="6831">
      <c r="A6831" s="9"/>
      <c r="B6831" s="15"/>
      <c r="C6831" s="9">
        <f>IFERROR(__xludf.DUMMYFUNCTION("""COMPUTED_VALUE"""),44533.3653730092)</f>
        <v>44533.36537</v>
      </c>
      <c r="D6831" s="15">
        <f>IFERROR(__xludf.DUMMYFUNCTION("""COMPUTED_VALUE"""),1.035)</f>
        <v>1.035</v>
      </c>
      <c r="E6831" s="16">
        <f>IFERROR(__xludf.DUMMYFUNCTION("""COMPUTED_VALUE"""),64.0)</f>
        <v>64</v>
      </c>
      <c r="F6831" s="19" t="str">
        <f>IFERROR(__xludf.DUMMYFUNCTION("""COMPUTED_VALUE"""),"BLACK")</f>
        <v>BLACK</v>
      </c>
      <c r="G6831" s="20" t="str">
        <f>IFERROR(__xludf.DUMMYFUNCTION("""COMPUTED_VALUE"""),"Uncle Sams Cider (11/12/2021) 02")</f>
        <v>Uncle Sams Cider (11/12/2021) 02</v>
      </c>
      <c r="H6831" s="19"/>
    </row>
    <row r="6832">
      <c r="A6832" s="9"/>
      <c r="B6832" s="15"/>
      <c r="C6832" s="9">
        <f>IFERROR(__xludf.DUMMYFUNCTION("""COMPUTED_VALUE"""),44533.3549161226)</f>
        <v>44533.35492</v>
      </c>
      <c r="D6832" s="15">
        <f>IFERROR(__xludf.DUMMYFUNCTION("""COMPUTED_VALUE"""),1.035)</f>
        <v>1.035</v>
      </c>
      <c r="E6832" s="16">
        <f>IFERROR(__xludf.DUMMYFUNCTION("""COMPUTED_VALUE"""),64.0)</f>
        <v>64</v>
      </c>
      <c r="F6832" s="19" t="str">
        <f>IFERROR(__xludf.DUMMYFUNCTION("""COMPUTED_VALUE"""),"BLACK")</f>
        <v>BLACK</v>
      </c>
      <c r="G6832" s="20" t="str">
        <f>IFERROR(__xludf.DUMMYFUNCTION("""COMPUTED_VALUE"""),"Uncle Sams Cider (11/12/2021) 02")</f>
        <v>Uncle Sams Cider (11/12/2021) 02</v>
      </c>
      <c r="H6832" s="19"/>
    </row>
    <row r="6833">
      <c r="A6833" s="9"/>
      <c r="B6833" s="15"/>
      <c r="C6833" s="9">
        <f>IFERROR(__xludf.DUMMYFUNCTION("""COMPUTED_VALUE"""),44533.344495081)</f>
        <v>44533.3445</v>
      </c>
      <c r="D6833" s="15">
        <f>IFERROR(__xludf.DUMMYFUNCTION("""COMPUTED_VALUE"""),1.035)</f>
        <v>1.035</v>
      </c>
      <c r="E6833" s="16">
        <f>IFERROR(__xludf.DUMMYFUNCTION("""COMPUTED_VALUE"""),64.0)</f>
        <v>64</v>
      </c>
      <c r="F6833" s="19" t="str">
        <f>IFERROR(__xludf.DUMMYFUNCTION("""COMPUTED_VALUE"""),"BLACK")</f>
        <v>BLACK</v>
      </c>
      <c r="G6833" s="20" t="str">
        <f>IFERROR(__xludf.DUMMYFUNCTION("""COMPUTED_VALUE"""),"Uncle Sams Cider (11/12/2021) 02")</f>
        <v>Uncle Sams Cider (11/12/2021) 02</v>
      </c>
      <c r="H6833" s="19"/>
    </row>
    <row r="6834">
      <c r="A6834" s="9"/>
      <c r="B6834" s="15"/>
      <c r="C6834" s="9">
        <f>IFERROR(__xludf.DUMMYFUNCTION("""COMPUTED_VALUE"""),44533.3340621064)</f>
        <v>44533.33406</v>
      </c>
      <c r="D6834" s="15">
        <f>IFERROR(__xludf.DUMMYFUNCTION("""COMPUTED_VALUE"""),1.035)</f>
        <v>1.035</v>
      </c>
      <c r="E6834" s="16">
        <f>IFERROR(__xludf.DUMMYFUNCTION("""COMPUTED_VALUE"""),64.0)</f>
        <v>64</v>
      </c>
      <c r="F6834" s="19" t="str">
        <f>IFERROR(__xludf.DUMMYFUNCTION("""COMPUTED_VALUE"""),"BLACK")</f>
        <v>BLACK</v>
      </c>
      <c r="G6834" s="20" t="str">
        <f>IFERROR(__xludf.DUMMYFUNCTION("""COMPUTED_VALUE"""),"Uncle Sams Cider (11/12/2021) 02")</f>
        <v>Uncle Sams Cider (11/12/2021) 02</v>
      </c>
      <c r="H6834" s="19"/>
    </row>
    <row r="6835">
      <c r="A6835" s="9"/>
      <c r="B6835" s="15"/>
      <c r="C6835" s="9">
        <f>IFERROR(__xludf.DUMMYFUNCTION("""COMPUTED_VALUE"""),44533.3236311111)</f>
        <v>44533.32363</v>
      </c>
      <c r="D6835" s="15">
        <f>IFERROR(__xludf.DUMMYFUNCTION("""COMPUTED_VALUE"""),1.035)</f>
        <v>1.035</v>
      </c>
      <c r="E6835" s="16">
        <f>IFERROR(__xludf.DUMMYFUNCTION("""COMPUTED_VALUE"""),64.0)</f>
        <v>64</v>
      </c>
      <c r="F6835" s="19" t="str">
        <f>IFERROR(__xludf.DUMMYFUNCTION("""COMPUTED_VALUE"""),"BLACK")</f>
        <v>BLACK</v>
      </c>
      <c r="G6835" s="20" t="str">
        <f>IFERROR(__xludf.DUMMYFUNCTION("""COMPUTED_VALUE"""),"Uncle Sams Cider (11/12/2021) 02")</f>
        <v>Uncle Sams Cider (11/12/2021) 02</v>
      </c>
      <c r="H6835" s="19"/>
    </row>
    <row r="6836">
      <c r="A6836" s="9"/>
      <c r="B6836" s="15"/>
      <c r="C6836" s="9">
        <f>IFERROR(__xludf.DUMMYFUNCTION("""COMPUTED_VALUE"""),44533.313199537)</f>
        <v>44533.3132</v>
      </c>
      <c r="D6836" s="15">
        <f>IFERROR(__xludf.DUMMYFUNCTION("""COMPUTED_VALUE"""),1.035)</f>
        <v>1.035</v>
      </c>
      <c r="E6836" s="16">
        <f>IFERROR(__xludf.DUMMYFUNCTION("""COMPUTED_VALUE"""),64.0)</f>
        <v>64</v>
      </c>
      <c r="F6836" s="19" t="str">
        <f>IFERROR(__xludf.DUMMYFUNCTION("""COMPUTED_VALUE"""),"BLACK")</f>
        <v>BLACK</v>
      </c>
      <c r="G6836" s="20" t="str">
        <f>IFERROR(__xludf.DUMMYFUNCTION("""COMPUTED_VALUE"""),"Uncle Sams Cider (11/12/2021) 02")</f>
        <v>Uncle Sams Cider (11/12/2021) 02</v>
      </c>
      <c r="H6836" s="19"/>
    </row>
    <row r="6837">
      <c r="A6837" s="9"/>
      <c r="B6837" s="15"/>
      <c r="C6837" s="9">
        <f>IFERROR(__xludf.DUMMYFUNCTION("""COMPUTED_VALUE"""),44533.3027784722)</f>
        <v>44533.30278</v>
      </c>
      <c r="D6837" s="15">
        <f>IFERROR(__xludf.DUMMYFUNCTION("""COMPUTED_VALUE"""),1.035)</f>
        <v>1.035</v>
      </c>
      <c r="E6837" s="16">
        <f>IFERROR(__xludf.DUMMYFUNCTION("""COMPUTED_VALUE"""),64.0)</f>
        <v>64</v>
      </c>
      <c r="F6837" s="19" t="str">
        <f>IFERROR(__xludf.DUMMYFUNCTION("""COMPUTED_VALUE"""),"BLACK")</f>
        <v>BLACK</v>
      </c>
      <c r="G6837" s="20" t="str">
        <f>IFERROR(__xludf.DUMMYFUNCTION("""COMPUTED_VALUE"""),"Uncle Sams Cider (11/12/2021) 02")</f>
        <v>Uncle Sams Cider (11/12/2021) 02</v>
      </c>
      <c r="H6837" s="19"/>
    </row>
    <row r="6838">
      <c r="A6838" s="9"/>
      <c r="B6838" s="15"/>
      <c r="C6838" s="9">
        <f>IFERROR(__xludf.DUMMYFUNCTION("""COMPUTED_VALUE"""),44533.2923571759)</f>
        <v>44533.29236</v>
      </c>
      <c r="D6838" s="15">
        <f>IFERROR(__xludf.DUMMYFUNCTION("""COMPUTED_VALUE"""),1.035)</f>
        <v>1.035</v>
      </c>
      <c r="E6838" s="16">
        <f>IFERROR(__xludf.DUMMYFUNCTION("""COMPUTED_VALUE"""),64.0)</f>
        <v>64</v>
      </c>
      <c r="F6838" s="19" t="str">
        <f>IFERROR(__xludf.DUMMYFUNCTION("""COMPUTED_VALUE"""),"BLACK")</f>
        <v>BLACK</v>
      </c>
      <c r="G6838" s="20" t="str">
        <f>IFERROR(__xludf.DUMMYFUNCTION("""COMPUTED_VALUE"""),"Uncle Sams Cider (11/12/2021) 02")</f>
        <v>Uncle Sams Cider (11/12/2021) 02</v>
      </c>
      <c r="H6838" s="19"/>
    </row>
    <row r="6839">
      <c r="A6839" s="9"/>
      <c r="B6839" s="15"/>
      <c r="C6839" s="9">
        <f>IFERROR(__xludf.DUMMYFUNCTION("""COMPUTED_VALUE"""),44533.2819367129)</f>
        <v>44533.28194</v>
      </c>
      <c r="D6839" s="15">
        <f>IFERROR(__xludf.DUMMYFUNCTION("""COMPUTED_VALUE"""),1.035)</f>
        <v>1.035</v>
      </c>
      <c r="E6839" s="16">
        <f>IFERROR(__xludf.DUMMYFUNCTION("""COMPUTED_VALUE"""),64.0)</f>
        <v>64</v>
      </c>
      <c r="F6839" s="19" t="str">
        <f>IFERROR(__xludf.DUMMYFUNCTION("""COMPUTED_VALUE"""),"BLACK")</f>
        <v>BLACK</v>
      </c>
      <c r="G6839" s="20" t="str">
        <f>IFERROR(__xludf.DUMMYFUNCTION("""COMPUTED_VALUE"""),"Uncle Sams Cider (11/12/2021) 02")</f>
        <v>Uncle Sams Cider (11/12/2021) 02</v>
      </c>
      <c r="H6839" s="19"/>
    </row>
    <row r="6840">
      <c r="A6840" s="9"/>
      <c r="B6840" s="15"/>
      <c r="C6840" s="9">
        <f>IFERROR(__xludf.DUMMYFUNCTION("""COMPUTED_VALUE"""),44533.2714920949)</f>
        <v>44533.27149</v>
      </c>
      <c r="D6840" s="15">
        <f>IFERROR(__xludf.DUMMYFUNCTION("""COMPUTED_VALUE"""),1.035)</f>
        <v>1.035</v>
      </c>
      <c r="E6840" s="16">
        <f>IFERROR(__xludf.DUMMYFUNCTION("""COMPUTED_VALUE"""),64.0)</f>
        <v>64</v>
      </c>
      <c r="F6840" s="19" t="str">
        <f>IFERROR(__xludf.DUMMYFUNCTION("""COMPUTED_VALUE"""),"BLACK")</f>
        <v>BLACK</v>
      </c>
      <c r="G6840" s="20" t="str">
        <f>IFERROR(__xludf.DUMMYFUNCTION("""COMPUTED_VALUE"""),"Uncle Sams Cider (11/12/2021) 02")</f>
        <v>Uncle Sams Cider (11/12/2021) 02</v>
      </c>
      <c r="H6840" s="19"/>
    </row>
    <row r="6841">
      <c r="A6841" s="9"/>
      <c r="B6841" s="15"/>
      <c r="C6841" s="9">
        <f>IFERROR(__xludf.DUMMYFUNCTION("""COMPUTED_VALUE"""),44533.2610694791)</f>
        <v>44533.26107</v>
      </c>
      <c r="D6841" s="15">
        <f>IFERROR(__xludf.DUMMYFUNCTION("""COMPUTED_VALUE"""),1.035)</f>
        <v>1.035</v>
      </c>
      <c r="E6841" s="16">
        <f>IFERROR(__xludf.DUMMYFUNCTION("""COMPUTED_VALUE"""),64.0)</f>
        <v>64</v>
      </c>
      <c r="F6841" s="19" t="str">
        <f>IFERROR(__xludf.DUMMYFUNCTION("""COMPUTED_VALUE"""),"BLACK")</f>
        <v>BLACK</v>
      </c>
      <c r="G6841" s="20" t="str">
        <f>IFERROR(__xludf.DUMMYFUNCTION("""COMPUTED_VALUE"""),"Uncle Sams Cider (11/12/2021) 02")</f>
        <v>Uncle Sams Cider (11/12/2021) 02</v>
      </c>
      <c r="H6841" s="19"/>
    </row>
    <row r="6842">
      <c r="A6842" s="9"/>
      <c r="B6842" s="15"/>
      <c r="C6842" s="9">
        <f>IFERROR(__xludf.DUMMYFUNCTION("""COMPUTED_VALUE"""),44533.2506376967)</f>
        <v>44533.25064</v>
      </c>
      <c r="D6842" s="15">
        <f>IFERROR(__xludf.DUMMYFUNCTION("""COMPUTED_VALUE"""),1.035)</f>
        <v>1.035</v>
      </c>
      <c r="E6842" s="16">
        <f>IFERROR(__xludf.DUMMYFUNCTION("""COMPUTED_VALUE"""),64.0)</f>
        <v>64</v>
      </c>
      <c r="F6842" s="19" t="str">
        <f>IFERROR(__xludf.DUMMYFUNCTION("""COMPUTED_VALUE"""),"BLACK")</f>
        <v>BLACK</v>
      </c>
      <c r="G6842" s="20" t="str">
        <f>IFERROR(__xludf.DUMMYFUNCTION("""COMPUTED_VALUE"""),"Uncle Sams Cider (11/12/2021) 02")</f>
        <v>Uncle Sams Cider (11/12/2021) 02</v>
      </c>
      <c r="H6842" s="19"/>
    </row>
    <row r="6843">
      <c r="A6843" s="9"/>
      <c r="B6843" s="15"/>
      <c r="C6843" s="9">
        <f>IFERROR(__xludf.DUMMYFUNCTION("""COMPUTED_VALUE"""),44533.2402051736)</f>
        <v>44533.24021</v>
      </c>
      <c r="D6843" s="15">
        <f>IFERROR(__xludf.DUMMYFUNCTION("""COMPUTED_VALUE"""),1.035)</f>
        <v>1.035</v>
      </c>
      <c r="E6843" s="16">
        <f>IFERROR(__xludf.DUMMYFUNCTION("""COMPUTED_VALUE"""),64.0)</f>
        <v>64</v>
      </c>
      <c r="F6843" s="19" t="str">
        <f>IFERROR(__xludf.DUMMYFUNCTION("""COMPUTED_VALUE"""),"BLACK")</f>
        <v>BLACK</v>
      </c>
      <c r="G6843" s="20" t="str">
        <f>IFERROR(__xludf.DUMMYFUNCTION("""COMPUTED_VALUE"""),"Uncle Sams Cider (11/12/2021) 02")</f>
        <v>Uncle Sams Cider (11/12/2021) 02</v>
      </c>
      <c r="H6843" s="19"/>
    </row>
    <row r="6844">
      <c r="A6844" s="9"/>
      <c r="B6844" s="15"/>
      <c r="C6844" s="9">
        <f>IFERROR(__xludf.DUMMYFUNCTION("""COMPUTED_VALUE"""),44533.2297833564)</f>
        <v>44533.22978</v>
      </c>
      <c r="D6844" s="15">
        <f>IFERROR(__xludf.DUMMYFUNCTION("""COMPUTED_VALUE"""),1.035)</f>
        <v>1.035</v>
      </c>
      <c r="E6844" s="16">
        <f>IFERROR(__xludf.DUMMYFUNCTION("""COMPUTED_VALUE"""),64.0)</f>
        <v>64</v>
      </c>
      <c r="F6844" s="19" t="str">
        <f>IFERROR(__xludf.DUMMYFUNCTION("""COMPUTED_VALUE"""),"BLACK")</f>
        <v>BLACK</v>
      </c>
      <c r="G6844" s="20" t="str">
        <f>IFERROR(__xludf.DUMMYFUNCTION("""COMPUTED_VALUE"""),"Uncle Sams Cider (11/12/2021) 02")</f>
        <v>Uncle Sams Cider (11/12/2021) 02</v>
      </c>
      <c r="H6844" s="19"/>
    </row>
    <row r="6845">
      <c r="A6845" s="9"/>
      <c r="B6845" s="15"/>
      <c r="C6845" s="9">
        <f>IFERROR(__xludf.DUMMYFUNCTION("""COMPUTED_VALUE"""),44533.2193624536)</f>
        <v>44533.21936</v>
      </c>
      <c r="D6845" s="15">
        <f>IFERROR(__xludf.DUMMYFUNCTION("""COMPUTED_VALUE"""),1.035)</f>
        <v>1.035</v>
      </c>
      <c r="E6845" s="16">
        <f>IFERROR(__xludf.DUMMYFUNCTION("""COMPUTED_VALUE"""),64.0)</f>
        <v>64</v>
      </c>
      <c r="F6845" s="19" t="str">
        <f>IFERROR(__xludf.DUMMYFUNCTION("""COMPUTED_VALUE"""),"BLACK")</f>
        <v>BLACK</v>
      </c>
      <c r="G6845" s="20" t="str">
        <f>IFERROR(__xludf.DUMMYFUNCTION("""COMPUTED_VALUE"""),"Uncle Sams Cider (11/12/2021) 02")</f>
        <v>Uncle Sams Cider (11/12/2021) 02</v>
      </c>
      <c r="H6845" s="19"/>
    </row>
    <row r="6846">
      <c r="A6846" s="9"/>
      <c r="B6846" s="15"/>
      <c r="C6846" s="9">
        <f>IFERROR(__xludf.DUMMYFUNCTION("""COMPUTED_VALUE"""),44533.2089422222)</f>
        <v>44533.20894</v>
      </c>
      <c r="D6846" s="15">
        <f>IFERROR(__xludf.DUMMYFUNCTION("""COMPUTED_VALUE"""),1.035)</f>
        <v>1.035</v>
      </c>
      <c r="E6846" s="16">
        <f>IFERROR(__xludf.DUMMYFUNCTION("""COMPUTED_VALUE"""),64.0)</f>
        <v>64</v>
      </c>
      <c r="F6846" s="19" t="str">
        <f>IFERROR(__xludf.DUMMYFUNCTION("""COMPUTED_VALUE"""),"BLACK")</f>
        <v>BLACK</v>
      </c>
      <c r="G6846" s="20" t="str">
        <f>IFERROR(__xludf.DUMMYFUNCTION("""COMPUTED_VALUE"""),"Uncle Sams Cider (11/12/2021) 02")</f>
        <v>Uncle Sams Cider (11/12/2021) 02</v>
      </c>
      <c r="H6846" s="19"/>
    </row>
    <row r="6847">
      <c r="A6847" s="9"/>
      <c r="B6847" s="15"/>
      <c r="C6847" s="9">
        <f>IFERROR(__xludf.DUMMYFUNCTION("""COMPUTED_VALUE"""),44533.1985227662)</f>
        <v>44533.19852</v>
      </c>
      <c r="D6847" s="15">
        <f>IFERROR(__xludf.DUMMYFUNCTION("""COMPUTED_VALUE"""),1.035)</f>
        <v>1.035</v>
      </c>
      <c r="E6847" s="16">
        <f>IFERROR(__xludf.DUMMYFUNCTION("""COMPUTED_VALUE"""),64.0)</f>
        <v>64</v>
      </c>
      <c r="F6847" s="19" t="str">
        <f>IFERROR(__xludf.DUMMYFUNCTION("""COMPUTED_VALUE"""),"BLACK")</f>
        <v>BLACK</v>
      </c>
      <c r="G6847" s="20" t="str">
        <f>IFERROR(__xludf.DUMMYFUNCTION("""COMPUTED_VALUE"""),"Uncle Sams Cider (11/12/2021) 02")</f>
        <v>Uncle Sams Cider (11/12/2021) 02</v>
      </c>
      <c r="H6847" s="19"/>
    </row>
    <row r="6848">
      <c r="A6848" s="9"/>
      <c r="B6848" s="15"/>
      <c r="C6848" s="9">
        <f>IFERROR(__xludf.DUMMYFUNCTION("""COMPUTED_VALUE"""),44533.188100787)</f>
        <v>44533.1881</v>
      </c>
      <c r="D6848" s="15">
        <f>IFERROR(__xludf.DUMMYFUNCTION("""COMPUTED_VALUE"""),1.035)</f>
        <v>1.035</v>
      </c>
      <c r="E6848" s="16">
        <f>IFERROR(__xludf.DUMMYFUNCTION("""COMPUTED_VALUE"""),64.0)</f>
        <v>64</v>
      </c>
      <c r="F6848" s="19" t="str">
        <f>IFERROR(__xludf.DUMMYFUNCTION("""COMPUTED_VALUE"""),"BLACK")</f>
        <v>BLACK</v>
      </c>
      <c r="G6848" s="20" t="str">
        <f>IFERROR(__xludf.DUMMYFUNCTION("""COMPUTED_VALUE"""),"Uncle Sams Cider (11/12/2021) 02")</f>
        <v>Uncle Sams Cider (11/12/2021) 02</v>
      </c>
      <c r="H6848" s="19"/>
    </row>
    <row r="6849">
      <c r="A6849" s="9"/>
      <c r="B6849" s="15"/>
      <c r="C6849" s="9">
        <f>IFERROR(__xludf.DUMMYFUNCTION("""COMPUTED_VALUE"""),44533.177645625)</f>
        <v>44533.17765</v>
      </c>
      <c r="D6849" s="15">
        <f>IFERROR(__xludf.DUMMYFUNCTION("""COMPUTED_VALUE"""),1.035)</f>
        <v>1.035</v>
      </c>
      <c r="E6849" s="16">
        <f>IFERROR(__xludf.DUMMYFUNCTION("""COMPUTED_VALUE"""),64.0)</f>
        <v>64</v>
      </c>
      <c r="F6849" s="19" t="str">
        <f>IFERROR(__xludf.DUMMYFUNCTION("""COMPUTED_VALUE"""),"BLACK")</f>
        <v>BLACK</v>
      </c>
      <c r="G6849" s="20" t="str">
        <f>IFERROR(__xludf.DUMMYFUNCTION("""COMPUTED_VALUE"""),"Uncle Sams Cider (11/12/2021) 02")</f>
        <v>Uncle Sams Cider (11/12/2021) 02</v>
      </c>
      <c r="H6849" s="19"/>
    </row>
    <row r="6850">
      <c r="A6850" s="9"/>
      <c r="B6850" s="15"/>
      <c r="C6850" s="9">
        <f>IFERROR(__xludf.DUMMYFUNCTION("""COMPUTED_VALUE"""),44533.1672120717)</f>
        <v>44533.16721</v>
      </c>
      <c r="D6850" s="15">
        <f>IFERROR(__xludf.DUMMYFUNCTION("""COMPUTED_VALUE"""),1.035)</f>
        <v>1.035</v>
      </c>
      <c r="E6850" s="16">
        <f>IFERROR(__xludf.DUMMYFUNCTION("""COMPUTED_VALUE"""),64.0)</f>
        <v>64</v>
      </c>
      <c r="F6850" s="19" t="str">
        <f>IFERROR(__xludf.DUMMYFUNCTION("""COMPUTED_VALUE"""),"BLACK")</f>
        <v>BLACK</v>
      </c>
      <c r="G6850" s="20" t="str">
        <f>IFERROR(__xludf.DUMMYFUNCTION("""COMPUTED_VALUE"""),"Uncle Sams Cider (11/12/2021) 02")</f>
        <v>Uncle Sams Cider (11/12/2021) 02</v>
      </c>
      <c r="H6850" s="19"/>
    </row>
    <row r="6851">
      <c r="A6851" s="9"/>
      <c r="B6851" s="15"/>
      <c r="C6851" s="9">
        <f>IFERROR(__xludf.DUMMYFUNCTION("""COMPUTED_VALUE"""),44533.1567584259)</f>
        <v>44533.15676</v>
      </c>
      <c r="D6851" s="15">
        <f>IFERROR(__xludf.DUMMYFUNCTION("""COMPUTED_VALUE"""),1.035)</f>
        <v>1.035</v>
      </c>
      <c r="E6851" s="16">
        <f>IFERROR(__xludf.DUMMYFUNCTION("""COMPUTED_VALUE"""),64.0)</f>
        <v>64</v>
      </c>
      <c r="F6851" s="19" t="str">
        <f>IFERROR(__xludf.DUMMYFUNCTION("""COMPUTED_VALUE"""),"BLACK")</f>
        <v>BLACK</v>
      </c>
      <c r="G6851" s="20" t="str">
        <f>IFERROR(__xludf.DUMMYFUNCTION("""COMPUTED_VALUE"""),"Uncle Sams Cider (11/12/2021) 02")</f>
        <v>Uncle Sams Cider (11/12/2021) 02</v>
      </c>
      <c r="H6851" s="19"/>
    </row>
    <row r="6852">
      <c r="A6852" s="9"/>
      <c r="B6852" s="15"/>
      <c r="C6852" s="9">
        <f>IFERROR(__xludf.DUMMYFUNCTION("""COMPUTED_VALUE"""),44533.1463376736)</f>
        <v>44533.14634</v>
      </c>
      <c r="D6852" s="15">
        <f>IFERROR(__xludf.DUMMYFUNCTION("""COMPUTED_VALUE"""),1.035)</f>
        <v>1.035</v>
      </c>
      <c r="E6852" s="16">
        <f>IFERROR(__xludf.DUMMYFUNCTION("""COMPUTED_VALUE"""),64.0)</f>
        <v>64</v>
      </c>
      <c r="F6852" s="19" t="str">
        <f>IFERROR(__xludf.DUMMYFUNCTION("""COMPUTED_VALUE"""),"BLACK")</f>
        <v>BLACK</v>
      </c>
      <c r="G6852" s="20" t="str">
        <f>IFERROR(__xludf.DUMMYFUNCTION("""COMPUTED_VALUE"""),"Uncle Sams Cider (11/12/2021) 02")</f>
        <v>Uncle Sams Cider (11/12/2021) 02</v>
      </c>
      <c r="H6852" s="19"/>
    </row>
    <row r="6853">
      <c r="A6853" s="9"/>
      <c r="B6853" s="15"/>
      <c r="C6853" s="9">
        <f>IFERROR(__xludf.DUMMYFUNCTION("""COMPUTED_VALUE"""),44533.135915706)</f>
        <v>44533.13592</v>
      </c>
      <c r="D6853" s="15">
        <f>IFERROR(__xludf.DUMMYFUNCTION("""COMPUTED_VALUE"""),1.035)</f>
        <v>1.035</v>
      </c>
      <c r="E6853" s="16">
        <f>IFERROR(__xludf.DUMMYFUNCTION("""COMPUTED_VALUE"""),64.0)</f>
        <v>64</v>
      </c>
      <c r="F6853" s="19" t="str">
        <f>IFERROR(__xludf.DUMMYFUNCTION("""COMPUTED_VALUE"""),"BLACK")</f>
        <v>BLACK</v>
      </c>
      <c r="G6853" s="20" t="str">
        <f>IFERROR(__xludf.DUMMYFUNCTION("""COMPUTED_VALUE"""),"Uncle Sams Cider (11/12/2021) 02")</f>
        <v>Uncle Sams Cider (11/12/2021) 02</v>
      </c>
      <c r="H6853" s="19"/>
    </row>
    <row r="6854">
      <c r="A6854" s="9"/>
      <c r="B6854" s="15"/>
      <c r="C6854" s="9">
        <f>IFERROR(__xludf.DUMMYFUNCTION("""COMPUTED_VALUE"""),44533.1254957523)</f>
        <v>44533.1255</v>
      </c>
      <c r="D6854" s="15">
        <f>IFERROR(__xludf.DUMMYFUNCTION("""COMPUTED_VALUE"""),1.035)</f>
        <v>1.035</v>
      </c>
      <c r="E6854" s="16">
        <f>IFERROR(__xludf.DUMMYFUNCTION("""COMPUTED_VALUE"""),64.0)</f>
        <v>64</v>
      </c>
      <c r="F6854" s="19" t="str">
        <f>IFERROR(__xludf.DUMMYFUNCTION("""COMPUTED_VALUE"""),"BLACK")</f>
        <v>BLACK</v>
      </c>
      <c r="G6854" s="20" t="str">
        <f>IFERROR(__xludf.DUMMYFUNCTION("""COMPUTED_VALUE"""),"Uncle Sams Cider (11/12/2021) 02")</f>
        <v>Uncle Sams Cider (11/12/2021) 02</v>
      </c>
      <c r="H6854" s="19"/>
    </row>
    <row r="6855">
      <c r="A6855" s="9"/>
      <c r="B6855" s="15"/>
      <c r="C6855" s="9">
        <f>IFERROR(__xludf.DUMMYFUNCTION("""COMPUTED_VALUE"""),44533.1150745023)</f>
        <v>44533.11507</v>
      </c>
      <c r="D6855" s="15">
        <f>IFERROR(__xludf.DUMMYFUNCTION("""COMPUTED_VALUE"""),1.035)</f>
        <v>1.035</v>
      </c>
      <c r="E6855" s="16">
        <f>IFERROR(__xludf.DUMMYFUNCTION("""COMPUTED_VALUE"""),64.0)</f>
        <v>64</v>
      </c>
      <c r="F6855" s="19" t="str">
        <f>IFERROR(__xludf.DUMMYFUNCTION("""COMPUTED_VALUE"""),"BLACK")</f>
        <v>BLACK</v>
      </c>
      <c r="G6855" s="20" t="str">
        <f>IFERROR(__xludf.DUMMYFUNCTION("""COMPUTED_VALUE"""),"Uncle Sams Cider (11/12/2021) 02")</f>
        <v>Uncle Sams Cider (11/12/2021) 02</v>
      </c>
      <c r="H6855" s="19"/>
    </row>
    <row r="6856">
      <c r="A6856" s="9"/>
      <c r="B6856" s="15"/>
      <c r="C6856" s="9">
        <f>IFERROR(__xludf.DUMMYFUNCTION("""COMPUTED_VALUE"""),44533.1046427546)</f>
        <v>44533.10464</v>
      </c>
      <c r="D6856" s="15">
        <f>IFERROR(__xludf.DUMMYFUNCTION("""COMPUTED_VALUE"""),1.035)</f>
        <v>1.035</v>
      </c>
      <c r="E6856" s="16">
        <f>IFERROR(__xludf.DUMMYFUNCTION("""COMPUTED_VALUE"""),64.0)</f>
        <v>64</v>
      </c>
      <c r="F6856" s="19" t="str">
        <f>IFERROR(__xludf.DUMMYFUNCTION("""COMPUTED_VALUE"""),"BLACK")</f>
        <v>BLACK</v>
      </c>
      <c r="G6856" s="20" t="str">
        <f>IFERROR(__xludf.DUMMYFUNCTION("""COMPUTED_VALUE"""),"Uncle Sams Cider (11/12/2021) 02")</f>
        <v>Uncle Sams Cider (11/12/2021) 02</v>
      </c>
      <c r="H6856" s="19"/>
    </row>
    <row r="6857">
      <c r="A6857" s="9"/>
      <c r="B6857" s="15"/>
      <c r="C6857" s="9">
        <f>IFERROR(__xludf.DUMMYFUNCTION("""COMPUTED_VALUE"""),44533.0942215509)</f>
        <v>44533.09422</v>
      </c>
      <c r="D6857" s="15">
        <f>IFERROR(__xludf.DUMMYFUNCTION("""COMPUTED_VALUE"""),1.036)</f>
        <v>1.036</v>
      </c>
      <c r="E6857" s="16">
        <f>IFERROR(__xludf.DUMMYFUNCTION("""COMPUTED_VALUE"""),64.0)</f>
        <v>64</v>
      </c>
      <c r="F6857" s="19" t="str">
        <f>IFERROR(__xludf.DUMMYFUNCTION("""COMPUTED_VALUE"""),"BLACK")</f>
        <v>BLACK</v>
      </c>
      <c r="G6857" s="20" t="str">
        <f>IFERROR(__xludf.DUMMYFUNCTION("""COMPUTED_VALUE"""),"Uncle Sams Cider (11/12/2021) 02")</f>
        <v>Uncle Sams Cider (11/12/2021) 02</v>
      </c>
      <c r="H6857" s="19"/>
    </row>
    <row r="6858">
      <c r="A6858" s="9"/>
      <c r="B6858" s="15"/>
      <c r="C6858" s="9">
        <f>IFERROR(__xludf.DUMMYFUNCTION("""COMPUTED_VALUE"""),44533.0837994675)</f>
        <v>44533.0838</v>
      </c>
      <c r="D6858" s="15">
        <f>IFERROR(__xludf.DUMMYFUNCTION("""COMPUTED_VALUE"""),1.036)</f>
        <v>1.036</v>
      </c>
      <c r="E6858" s="16">
        <f>IFERROR(__xludf.DUMMYFUNCTION("""COMPUTED_VALUE"""),64.0)</f>
        <v>64</v>
      </c>
      <c r="F6858" s="19" t="str">
        <f>IFERROR(__xludf.DUMMYFUNCTION("""COMPUTED_VALUE"""),"BLACK")</f>
        <v>BLACK</v>
      </c>
      <c r="G6858" s="20" t="str">
        <f>IFERROR(__xludf.DUMMYFUNCTION("""COMPUTED_VALUE"""),"Uncle Sams Cider (11/12/2021) 02")</f>
        <v>Uncle Sams Cider (11/12/2021) 02</v>
      </c>
      <c r="H6858" s="19"/>
    </row>
    <row r="6859">
      <c r="A6859" s="9"/>
      <c r="B6859" s="15"/>
      <c r="C6859" s="9">
        <f>IFERROR(__xludf.DUMMYFUNCTION("""COMPUTED_VALUE"""),44533.073366331)</f>
        <v>44533.07337</v>
      </c>
      <c r="D6859" s="15">
        <f>IFERROR(__xludf.DUMMYFUNCTION("""COMPUTED_VALUE"""),1.036)</f>
        <v>1.036</v>
      </c>
      <c r="E6859" s="16">
        <f>IFERROR(__xludf.DUMMYFUNCTION("""COMPUTED_VALUE"""),64.0)</f>
        <v>64</v>
      </c>
      <c r="F6859" s="19" t="str">
        <f>IFERROR(__xludf.DUMMYFUNCTION("""COMPUTED_VALUE"""),"BLACK")</f>
        <v>BLACK</v>
      </c>
      <c r="G6859" s="20" t="str">
        <f>IFERROR(__xludf.DUMMYFUNCTION("""COMPUTED_VALUE"""),"Uncle Sams Cider (11/12/2021) 02")</f>
        <v>Uncle Sams Cider (11/12/2021) 02</v>
      </c>
      <c r="H6859" s="19"/>
    </row>
    <row r="6860">
      <c r="A6860" s="9"/>
      <c r="B6860" s="15"/>
      <c r="C6860" s="9">
        <f>IFERROR(__xludf.DUMMYFUNCTION("""COMPUTED_VALUE"""),44533.0629456249)</f>
        <v>44533.06295</v>
      </c>
      <c r="D6860" s="15">
        <f>IFERROR(__xludf.DUMMYFUNCTION("""COMPUTED_VALUE"""),1.035)</f>
        <v>1.035</v>
      </c>
      <c r="E6860" s="16">
        <f>IFERROR(__xludf.DUMMYFUNCTION("""COMPUTED_VALUE"""),64.0)</f>
        <v>64</v>
      </c>
      <c r="F6860" s="19" t="str">
        <f>IFERROR(__xludf.DUMMYFUNCTION("""COMPUTED_VALUE"""),"BLACK")</f>
        <v>BLACK</v>
      </c>
      <c r="G6860" s="20" t="str">
        <f>IFERROR(__xludf.DUMMYFUNCTION("""COMPUTED_VALUE"""),"Uncle Sams Cider (11/12/2021) 02")</f>
        <v>Uncle Sams Cider (11/12/2021) 02</v>
      </c>
      <c r="H6860" s="19"/>
    </row>
    <row r="6861">
      <c r="A6861" s="9"/>
      <c r="B6861" s="15"/>
      <c r="C6861" s="9">
        <f>IFERROR(__xludf.DUMMYFUNCTION("""COMPUTED_VALUE"""),44533.0525250115)</f>
        <v>44533.05253</v>
      </c>
      <c r="D6861" s="15">
        <f>IFERROR(__xludf.DUMMYFUNCTION("""COMPUTED_VALUE"""),1.036)</f>
        <v>1.036</v>
      </c>
      <c r="E6861" s="16">
        <f>IFERROR(__xludf.DUMMYFUNCTION("""COMPUTED_VALUE"""),64.0)</f>
        <v>64</v>
      </c>
      <c r="F6861" s="19" t="str">
        <f>IFERROR(__xludf.DUMMYFUNCTION("""COMPUTED_VALUE"""),"BLACK")</f>
        <v>BLACK</v>
      </c>
      <c r="G6861" s="20" t="str">
        <f>IFERROR(__xludf.DUMMYFUNCTION("""COMPUTED_VALUE"""),"Uncle Sams Cider (11/12/2021) 02")</f>
        <v>Uncle Sams Cider (11/12/2021) 02</v>
      </c>
      <c r="H6861" s="19"/>
    </row>
    <row r="6862">
      <c r="A6862" s="9"/>
      <c r="B6862" s="15"/>
      <c r="C6862" s="9">
        <f>IFERROR(__xludf.DUMMYFUNCTION("""COMPUTED_VALUE"""),44533.0421052893)</f>
        <v>44533.04211</v>
      </c>
      <c r="D6862" s="15">
        <f>IFERROR(__xludf.DUMMYFUNCTION("""COMPUTED_VALUE"""),1.036)</f>
        <v>1.036</v>
      </c>
      <c r="E6862" s="16">
        <f>IFERROR(__xludf.DUMMYFUNCTION("""COMPUTED_VALUE"""),64.0)</f>
        <v>64</v>
      </c>
      <c r="F6862" s="19" t="str">
        <f>IFERROR(__xludf.DUMMYFUNCTION("""COMPUTED_VALUE"""),"BLACK")</f>
        <v>BLACK</v>
      </c>
      <c r="G6862" s="20" t="str">
        <f>IFERROR(__xludf.DUMMYFUNCTION("""COMPUTED_VALUE"""),"Uncle Sams Cider (11/12/2021) 02")</f>
        <v>Uncle Sams Cider (11/12/2021) 02</v>
      </c>
      <c r="H6862" s="19"/>
    </row>
    <row r="6863">
      <c r="A6863" s="9"/>
      <c r="B6863" s="15"/>
      <c r="C6863" s="9">
        <f>IFERROR(__xludf.DUMMYFUNCTION("""COMPUTED_VALUE"""),44533.0316840277)</f>
        <v>44533.03168</v>
      </c>
      <c r="D6863" s="15">
        <f>IFERROR(__xludf.DUMMYFUNCTION("""COMPUTED_VALUE"""),1.036)</f>
        <v>1.036</v>
      </c>
      <c r="E6863" s="16">
        <f>IFERROR(__xludf.DUMMYFUNCTION("""COMPUTED_VALUE"""),64.0)</f>
        <v>64</v>
      </c>
      <c r="F6863" s="19" t="str">
        <f>IFERROR(__xludf.DUMMYFUNCTION("""COMPUTED_VALUE"""),"BLACK")</f>
        <v>BLACK</v>
      </c>
      <c r="G6863" s="20" t="str">
        <f>IFERROR(__xludf.DUMMYFUNCTION("""COMPUTED_VALUE"""),"Uncle Sams Cider (11/12/2021) 02")</f>
        <v>Uncle Sams Cider (11/12/2021) 02</v>
      </c>
      <c r="H6863" s="19"/>
    </row>
    <row r="6864">
      <c r="A6864" s="9"/>
      <c r="B6864" s="15"/>
      <c r="C6864" s="9">
        <f>IFERROR(__xludf.DUMMYFUNCTION("""COMPUTED_VALUE"""),44533.0211823032)</f>
        <v>44533.02118</v>
      </c>
      <c r="D6864" s="15">
        <f>IFERROR(__xludf.DUMMYFUNCTION("""COMPUTED_VALUE"""),1.036)</f>
        <v>1.036</v>
      </c>
      <c r="E6864" s="16">
        <f>IFERROR(__xludf.DUMMYFUNCTION("""COMPUTED_VALUE"""),64.0)</f>
        <v>64</v>
      </c>
      <c r="F6864" s="19" t="str">
        <f>IFERROR(__xludf.DUMMYFUNCTION("""COMPUTED_VALUE"""),"BLACK")</f>
        <v>BLACK</v>
      </c>
      <c r="G6864" s="20" t="str">
        <f>IFERROR(__xludf.DUMMYFUNCTION("""COMPUTED_VALUE"""),"Uncle Sams Cider (11/12/2021) 02")</f>
        <v>Uncle Sams Cider (11/12/2021) 02</v>
      </c>
      <c r="H6864" s="19"/>
    </row>
    <row r="6865">
      <c r="A6865" s="9"/>
      <c r="B6865" s="15"/>
      <c r="C6865" s="9">
        <f>IFERROR(__xludf.DUMMYFUNCTION("""COMPUTED_VALUE"""),44533.0107487731)</f>
        <v>44533.01075</v>
      </c>
      <c r="D6865" s="15">
        <f>IFERROR(__xludf.DUMMYFUNCTION("""COMPUTED_VALUE"""),1.035)</f>
        <v>1.035</v>
      </c>
      <c r="E6865" s="16">
        <f>IFERROR(__xludf.DUMMYFUNCTION("""COMPUTED_VALUE"""),64.0)</f>
        <v>64</v>
      </c>
      <c r="F6865" s="19" t="str">
        <f>IFERROR(__xludf.DUMMYFUNCTION("""COMPUTED_VALUE"""),"BLACK")</f>
        <v>BLACK</v>
      </c>
      <c r="G6865" s="20" t="str">
        <f>IFERROR(__xludf.DUMMYFUNCTION("""COMPUTED_VALUE"""),"Uncle Sams Cider (11/12/2021) 02")</f>
        <v>Uncle Sams Cider (11/12/2021) 02</v>
      </c>
      <c r="H6865" s="19"/>
    </row>
    <row r="6866">
      <c r="A6866" s="9"/>
      <c r="B6866" s="15"/>
      <c r="C6866" s="9">
        <f>IFERROR(__xludf.DUMMYFUNCTION("""COMPUTED_VALUE"""),44533.0002920717)</f>
        <v>44533.00029</v>
      </c>
      <c r="D6866" s="15">
        <f>IFERROR(__xludf.DUMMYFUNCTION("""COMPUTED_VALUE"""),1.036)</f>
        <v>1.036</v>
      </c>
      <c r="E6866" s="16">
        <f>IFERROR(__xludf.DUMMYFUNCTION("""COMPUTED_VALUE"""),64.0)</f>
        <v>64</v>
      </c>
      <c r="F6866" s="19" t="str">
        <f>IFERROR(__xludf.DUMMYFUNCTION("""COMPUTED_VALUE"""),"BLACK")</f>
        <v>BLACK</v>
      </c>
      <c r="G6866" s="20" t="str">
        <f>IFERROR(__xludf.DUMMYFUNCTION("""COMPUTED_VALUE"""),"Uncle Sams Cider (11/12/2021) 02")</f>
        <v>Uncle Sams Cider (11/12/2021) 02</v>
      </c>
      <c r="H6866" s="19"/>
    </row>
    <row r="6867">
      <c r="A6867" s="9"/>
      <c r="B6867" s="15"/>
      <c r="C6867" s="9">
        <f>IFERROR(__xludf.DUMMYFUNCTION("""COMPUTED_VALUE"""),44532.9898689814)</f>
        <v>44532.98987</v>
      </c>
      <c r="D6867" s="15">
        <f>IFERROR(__xludf.DUMMYFUNCTION("""COMPUTED_VALUE"""),1.036)</f>
        <v>1.036</v>
      </c>
      <c r="E6867" s="16">
        <f>IFERROR(__xludf.DUMMYFUNCTION("""COMPUTED_VALUE"""),64.0)</f>
        <v>64</v>
      </c>
      <c r="F6867" s="19" t="str">
        <f>IFERROR(__xludf.DUMMYFUNCTION("""COMPUTED_VALUE"""),"BLACK")</f>
        <v>BLACK</v>
      </c>
      <c r="G6867" s="20" t="str">
        <f>IFERROR(__xludf.DUMMYFUNCTION("""COMPUTED_VALUE"""),"Uncle Sams Cider (11/12/2021) 02")</f>
        <v>Uncle Sams Cider (11/12/2021) 02</v>
      </c>
      <c r="H6867" s="19"/>
    </row>
    <row r="6868">
      <c r="A6868" s="9"/>
      <c r="B6868" s="15"/>
      <c r="C6868" s="9">
        <f>IFERROR(__xludf.DUMMYFUNCTION("""COMPUTED_VALUE"""),44532.9794467592)</f>
        <v>44532.97945</v>
      </c>
      <c r="D6868" s="15">
        <f>IFERROR(__xludf.DUMMYFUNCTION("""COMPUTED_VALUE"""),1.036)</f>
        <v>1.036</v>
      </c>
      <c r="E6868" s="16">
        <f>IFERROR(__xludf.DUMMYFUNCTION("""COMPUTED_VALUE"""),64.0)</f>
        <v>64</v>
      </c>
      <c r="F6868" s="19" t="str">
        <f>IFERROR(__xludf.DUMMYFUNCTION("""COMPUTED_VALUE"""),"BLACK")</f>
        <v>BLACK</v>
      </c>
      <c r="G6868" s="20" t="str">
        <f>IFERROR(__xludf.DUMMYFUNCTION("""COMPUTED_VALUE"""),"Uncle Sams Cider (11/12/2021) 02")</f>
        <v>Uncle Sams Cider (11/12/2021) 02</v>
      </c>
      <c r="H6868" s="19"/>
    </row>
    <row r="6869">
      <c r="A6869" s="9"/>
      <c r="B6869" s="15"/>
      <c r="C6869" s="9">
        <f>IFERROR(__xludf.DUMMYFUNCTION("""COMPUTED_VALUE"""),44532.9690148148)</f>
        <v>44532.96901</v>
      </c>
      <c r="D6869" s="15">
        <f>IFERROR(__xludf.DUMMYFUNCTION("""COMPUTED_VALUE"""),1.036)</f>
        <v>1.036</v>
      </c>
      <c r="E6869" s="16">
        <f>IFERROR(__xludf.DUMMYFUNCTION("""COMPUTED_VALUE"""),64.0)</f>
        <v>64</v>
      </c>
      <c r="F6869" s="19" t="str">
        <f>IFERROR(__xludf.DUMMYFUNCTION("""COMPUTED_VALUE"""),"BLACK")</f>
        <v>BLACK</v>
      </c>
      <c r="G6869" s="20" t="str">
        <f>IFERROR(__xludf.DUMMYFUNCTION("""COMPUTED_VALUE"""),"Uncle Sams Cider (11/12/2021) 02")</f>
        <v>Uncle Sams Cider (11/12/2021) 02</v>
      </c>
      <c r="H6869" s="19"/>
    </row>
    <row r="6870">
      <c r="A6870" s="9"/>
      <c r="B6870" s="15"/>
      <c r="C6870" s="9">
        <f>IFERROR(__xludf.DUMMYFUNCTION("""COMPUTED_VALUE"""),44532.9585941087)</f>
        <v>44532.95859</v>
      </c>
      <c r="D6870" s="15">
        <f>IFERROR(__xludf.DUMMYFUNCTION("""COMPUTED_VALUE"""),1.036)</f>
        <v>1.036</v>
      </c>
      <c r="E6870" s="16">
        <f>IFERROR(__xludf.DUMMYFUNCTION("""COMPUTED_VALUE"""),64.0)</f>
        <v>64</v>
      </c>
      <c r="F6870" s="19" t="str">
        <f>IFERROR(__xludf.DUMMYFUNCTION("""COMPUTED_VALUE"""),"BLACK")</f>
        <v>BLACK</v>
      </c>
      <c r="G6870" s="20" t="str">
        <f>IFERROR(__xludf.DUMMYFUNCTION("""COMPUTED_VALUE"""),"Uncle Sams Cider (11/12/2021) 02")</f>
        <v>Uncle Sams Cider (11/12/2021) 02</v>
      </c>
      <c r="H6870" s="19"/>
    </row>
    <row r="6871">
      <c r="A6871" s="9"/>
      <c r="B6871" s="15"/>
      <c r="C6871" s="9">
        <f>IFERROR(__xludf.DUMMYFUNCTION("""COMPUTED_VALUE"""),44532.9481745601)</f>
        <v>44532.94817</v>
      </c>
      <c r="D6871" s="15">
        <f>IFERROR(__xludf.DUMMYFUNCTION("""COMPUTED_VALUE"""),1.036)</f>
        <v>1.036</v>
      </c>
      <c r="E6871" s="16">
        <f>IFERROR(__xludf.DUMMYFUNCTION("""COMPUTED_VALUE"""),64.0)</f>
        <v>64</v>
      </c>
      <c r="F6871" s="19" t="str">
        <f>IFERROR(__xludf.DUMMYFUNCTION("""COMPUTED_VALUE"""),"BLACK")</f>
        <v>BLACK</v>
      </c>
      <c r="G6871" s="20" t="str">
        <f>IFERROR(__xludf.DUMMYFUNCTION("""COMPUTED_VALUE"""),"Uncle Sams Cider (11/12/2021) 02")</f>
        <v>Uncle Sams Cider (11/12/2021) 02</v>
      </c>
      <c r="H6871" s="19"/>
    </row>
    <row r="6872">
      <c r="A6872" s="9"/>
      <c r="B6872" s="15"/>
      <c r="C6872" s="9">
        <f>IFERROR(__xludf.DUMMYFUNCTION("""COMPUTED_VALUE"""),44532.937752581)</f>
        <v>44532.93775</v>
      </c>
      <c r="D6872" s="15">
        <f>IFERROR(__xludf.DUMMYFUNCTION("""COMPUTED_VALUE"""),1.036)</f>
        <v>1.036</v>
      </c>
      <c r="E6872" s="16">
        <f>IFERROR(__xludf.DUMMYFUNCTION("""COMPUTED_VALUE"""),64.0)</f>
        <v>64</v>
      </c>
      <c r="F6872" s="19" t="str">
        <f>IFERROR(__xludf.DUMMYFUNCTION("""COMPUTED_VALUE"""),"BLACK")</f>
        <v>BLACK</v>
      </c>
      <c r="G6872" s="20" t="str">
        <f>IFERROR(__xludf.DUMMYFUNCTION("""COMPUTED_VALUE"""),"Uncle Sams Cider (11/12/2021) 02")</f>
        <v>Uncle Sams Cider (11/12/2021) 02</v>
      </c>
      <c r="H6872" s="19"/>
    </row>
    <row r="6873">
      <c r="A6873" s="9"/>
      <c r="B6873" s="15"/>
      <c r="C6873" s="9">
        <f>IFERROR(__xludf.DUMMYFUNCTION("""COMPUTED_VALUE"""),44532.927332905)</f>
        <v>44532.92733</v>
      </c>
      <c r="D6873" s="15">
        <f>IFERROR(__xludf.DUMMYFUNCTION("""COMPUTED_VALUE"""),1.036)</f>
        <v>1.036</v>
      </c>
      <c r="E6873" s="16">
        <f>IFERROR(__xludf.DUMMYFUNCTION("""COMPUTED_VALUE"""),64.0)</f>
        <v>64</v>
      </c>
      <c r="F6873" s="19" t="str">
        <f>IFERROR(__xludf.DUMMYFUNCTION("""COMPUTED_VALUE"""),"BLACK")</f>
        <v>BLACK</v>
      </c>
      <c r="G6873" s="20" t="str">
        <f>IFERROR(__xludf.DUMMYFUNCTION("""COMPUTED_VALUE"""),"Uncle Sams Cider (11/12/2021) 02")</f>
        <v>Uncle Sams Cider (11/12/2021) 02</v>
      </c>
      <c r="H6873" s="19"/>
    </row>
    <row r="6874">
      <c r="A6874" s="9"/>
      <c r="B6874" s="15"/>
      <c r="C6874" s="9">
        <f>IFERROR(__xludf.DUMMYFUNCTION("""COMPUTED_VALUE"""),44532.9169107754)</f>
        <v>44532.91691</v>
      </c>
      <c r="D6874" s="15">
        <f>IFERROR(__xludf.DUMMYFUNCTION("""COMPUTED_VALUE"""),1.036)</f>
        <v>1.036</v>
      </c>
      <c r="E6874" s="16">
        <f>IFERROR(__xludf.DUMMYFUNCTION("""COMPUTED_VALUE"""),64.0)</f>
        <v>64</v>
      </c>
      <c r="F6874" s="19" t="str">
        <f>IFERROR(__xludf.DUMMYFUNCTION("""COMPUTED_VALUE"""),"BLACK")</f>
        <v>BLACK</v>
      </c>
      <c r="G6874" s="20" t="str">
        <f>IFERROR(__xludf.DUMMYFUNCTION("""COMPUTED_VALUE"""),"Uncle Sams Cider (11/12/2021) 02")</f>
        <v>Uncle Sams Cider (11/12/2021) 02</v>
      </c>
      <c r="H6874" s="19"/>
    </row>
    <row r="6875">
      <c r="A6875" s="9"/>
      <c r="B6875" s="15"/>
      <c r="C6875" s="9">
        <f>IFERROR(__xludf.DUMMYFUNCTION("""COMPUTED_VALUE"""),44532.906477743)</f>
        <v>44532.90648</v>
      </c>
      <c r="D6875" s="15">
        <f>IFERROR(__xludf.DUMMYFUNCTION("""COMPUTED_VALUE"""),1.036)</f>
        <v>1.036</v>
      </c>
      <c r="E6875" s="16">
        <f>IFERROR(__xludf.DUMMYFUNCTION("""COMPUTED_VALUE"""),64.0)</f>
        <v>64</v>
      </c>
      <c r="F6875" s="19" t="str">
        <f>IFERROR(__xludf.DUMMYFUNCTION("""COMPUTED_VALUE"""),"BLACK")</f>
        <v>BLACK</v>
      </c>
      <c r="G6875" s="20" t="str">
        <f>IFERROR(__xludf.DUMMYFUNCTION("""COMPUTED_VALUE"""),"Uncle Sams Cider (11/12/2021) 02")</f>
        <v>Uncle Sams Cider (11/12/2021) 02</v>
      </c>
      <c r="H6875" s="19"/>
    </row>
    <row r="6876">
      <c r="A6876" s="9"/>
      <c r="B6876" s="15"/>
      <c r="C6876" s="9">
        <f>IFERROR(__xludf.DUMMYFUNCTION("""COMPUTED_VALUE"""),44532.8960453819)</f>
        <v>44532.89605</v>
      </c>
      <c r="D6876" s="15">
        <f>IFERROR(__xludf.DUMMYFUNCTION("""COMPUTED_VALUE"""),1.036)</f>
        <v>1.036</v>
      </c>
      <c r="E6876" s="16">
        <f>IFERROR(__xludf.DUMMYFUNCTION("""COMPUTED_VALUE"""),64.0)</f>
        <v>64</v>
      </c>
      <c r="F6876" s="19" t="str">
        <f>IFERROR(__xludf.DUMMYFUNCTION("""COMPUTED_VALUE"""),"BLACK")</f>
        <v>BLACK</v>
      </c>
      <c r="G6876" s="20" t="str">
        <f>IFERROR(__xludf.DUMMYFUNCTION("""COMPUTED_VALUE"""),"Uncle Sams Cider (11/12/2021) 02")</f>
        <v>Uncle Sams Cider (11/12/2021) 02</v>
      </c>
      <c r="H6876" s="19"/>
    </row>
    <row r="6877">
      <c r="A6877" s="9"/>
      <c r="B6877" s="15"/>
      <c r="C6877" s="9">
        <f>IFERROR(__xludf.DUMMYFUNCTION("""COMPUTED_VALUE"""),44532.8856237152)</f>
        <v>44532.88562</v>
      </c>
      <c r="D6877" s="15">
        <f>IFERROR(__xludf.DUMMYFUNCTION("""COMPUTED_VALUE"""),1.036)</f>
        <v>1.036</v>
      </c>
      <c r="E6877" s="16">
        <f>IFERROR(__xludf.DUMMYFUNCTION("""COMPUTED_VALUE"""),64.0)</f>
        <v>64</v>
      </c>
      <c r="F6877" s="19" t="str">
        <f>IFERROR(__xludf.DUMMYFUNCTION("""COMPUTED_VALUE"""),"BLACK")</f>
        <v>BLACK</v>
      </c>
      <c r="G6877" s="20" t="str">
        <f>IFERROR(__xludf.DUMMYFUNCTION("""COMPUTED_VALUE"""),"Uncle Sams Cider (11/12/2021) 02")</f>
        <v>Uncle Sams Cider (11/12/2021) 02</v>
      </c>
      <c r="H6877" s="19"/>
    </row>
    <row r="6878">
      <c r="A6878" s="9"/>
      <c r="B6878" s="15"/>
      <c r="C6878" s="9">
        <f>IFERROR(__xludf.DUMMYFUNCTION("""COMPUTED_VALUE"""),44532.8751922106)</f>
        <v>44532.87519</v>
      </c>
      <c r="D6878" s="15">
        <f>IFERROR(__xludf.DUMMYFUNCTION("""COMPUTED_VALUE"""),1.036)</f>
        <v>1.036</v>
      </c>
      <c r="E6878" s="16">
        <f>IFERROR(__xludf.DUMMYFUNCTION("""COMPUTED_VALUE"""),64.0)</f>
        <v>64</v>
      </c>
      <c r="F6878" s="19" t="str">
        <f>IFERROR(__xludf.DUMMYFUNCTION("""COMPUTED_VALUE"""),"BLACK")</f>
        <v>BLACK</v>
      </c>
      <c r="G6878" s="20" t="str">
        <f>IFERROR(__xludf.DUMMYFUNCTION("""COMPUTED_VALUE"""),"Uncle Sams Cider (11/12/2021) 02")</f>
        <v>Uncle Sams Cider (11/12/2021) 02</v>
      </c>
      <c r="H6878" s="19"/>
    </row>
    <row r="6879">
      <c r="A6879" s="9"/>
      <c r="B6879" s="15"/>
      <c r="C6879" s="9">
        <f>IFERROR(__xludf.DUMMYFUNCTION("""COMPUTED_VALUE"""),44532.8647594328)</f>
        <v>44532.86476</v>
      </c>
      <c r="D6879" s="15">
        <f>IFERROR(__xludf.DUMMYFUNCTION("""COMPUTED_VALUE"""),1.036)</f>
        <v>1.036</v>
      </c>
      <c r="E6879" s="16">
        <f>IFERROR(__xludf.DUMMYFUNCTION("""COMPUTED_VALUE"""),64.0)</f>
        <v>64</v>
      </c>
      <c r="F6879" s="19" t="str">
        <f>IFERROR(__xludf.DUMMYFUNCTION("""COMPUTED_VALUE"""),"BLACK")</f>
        <v>BLACK</v>
      </c>
      <c r="G6879" s="20" t="str">
        <f>IFERROR(__xludf.DUMMYFUNCTION("""COMPUTED_VALUE"""),"Uncle Sams Cider (11/12/2021) 02")</f>
        <v>Uncle Sams Cider (11/12/2021) 02</v>
      </c>
      <c r="H6879" s="19"/>
    </row>
    <row r="6880">
      <c r="A6880" s="9"/>
      <c r="B6880" s="15"/>
      <c r="C6880" s="9">
        <f>IFERROR(__xludf.DUMMYFUNCTION("""COMPUTED_VALUE"""),44532.8543264583)</f>
        <v>44532.85433</v>
      </c>
      <c r="D6880" s="15">
        <f>IFERROR(__xludf.DUMMYFUNCTION("""COMPUTED_VALUE"""),1.036)</f>
        <v>1.036</v>
      </c>
      <c r="E6880" s="16">
        <f>IFERROR(__xludf.DUMMYFUNCTION("""COMPUTED_VALUE"""),64.0)</f>
        <v>64</v>
      </c>
      <c r="F6880" s="19" t="str">
        <f>IFERROR(__xludf.DUMMYFUNCTION("""COMPUTED_VALUE"""),"BLACK")</f>
        <v>BLACK</v>
      </c>
      <c r="G6880" s="20" t="str">
        <f>IFERROR(__xludf.DUMMYFUNCTION("""COMPUTED_VALUE"""),"Uncle Sams Cider (11/12/2021) 02")</f>
        <v>Uncle Sams Cider (11/12/2021) 02</v>
      </c>
      <c r="H6880" s="19"/>
    </row>
    <row r="6881">
      <c r="A6881" s="9"/>
      <c r="B6881" s="15"/>
      <c r="C6881" s="9">
        <f>IFERROR(__xludf.DUMMYFUNCTION("""COMPUTED_VALUE"""),44532.8439066782)</f>
        <v>44532.84391</v>
      </c>
      <c r="D6881" s="15">
        <f>IFERROR(__xludf.DUMMYFUNCTION("""COMPUTED_VALUE"""),1.036)</f>
        <v>1.036</v>
      </c>
      <c r="E6881" s="16">
        <f>IFERROR(__xludf.DUMMYFUNCTION("""COMPUTED_VALUE"""),64.0)</f>
        <v>64</v>
      </c>
      <c r="F6881" s="19" t="str">
        <f>IFERROR(__xludf.DUMMYFUNCTION("""COMPUTED_VALUE"""),"BLACK")</f>
        <v>BLACK</v>
      </c>
      <c r="G6881" s="20" t="str">
        <f>IFERROR(__xludf.DUMMYFUNCTION("""COMPUTED_VALUE"""),"Uncle Sams Cider (11/12/2021) 02")</f>
        <v>Uncle Sams Cider (11/12/2021) 02</v>
      </c>
      <c r="H6881" s="19"/>
    </row>
    <row r="6882">
      <c r="A6882" s="9"/>
      <c r="B6882" s="15"/>
      <c r="C6882" s="9">
        <f>IFERROR(__xludf.DUMMYFUNCTION("""COMPUTED_VALUE"""),44532.8334742592)</f>
        <v>44532.83347</v>
      </c>
      <c r="D6882" s="15">
        <f>IFERROR(__xludf.DUMMYFUNCTION("""COMPUTED_VALUE"""),1.036)</f>
        <v>1.036</v>
      </c>
      <c r="E6882" s="16">
        <f>IFERROR(__xludf.DUMMYFUNCTION("""COMPUTED_VALUE"""),64.0)</f>
        <v>64</v>
      </c>
      <c r="F6882" s="19" t="str">
        <f>IFERROR(__xludf.DUMMYFUNCTION("""COMPUTED_VALUE"""),"BLACK")</f>
        <v>BLACK</v>
      </c>
      <c r="G6882" s="20" t="str">
        <f>IFERROR(__xludf.DUMMYFUNCTION("""COMPUTED_VALUE"""),"Uncle Sams Cider (11/12/2021) 02")</f>
        <v>Uncle Sams Cider (11/12/2021) 02</v>
      </c>
      <c r="H6882" s="19"/>
    </row>
    <row r="6883">
      <c r="A6883" s="9"/>
      <c r="B6883" s="15"/>
      <c r="C6883" s="9">
        <f>IFERROR(__xludf.DUMMYFUNCTION("""COMPUTED_VALUE"""),44532.8230393518)</f>
        <v>44532.82304</v>
      </c>
      <c r="D6883" s="15">
        <f>IFERROR(__xludf.DUMMYFUNCTION("""COMPUTED_VALUE"""),1.036)</f>
        <v>1.036</v>
      </c>
      <c r="E6883" s="16">
        <f>IFERROR(__xludf.DUMMYFUNCTION("""COMPUTED_VALUE"""),64.0)</f>
        <v>64</v>
      </c>
      <c r="F6883" s="19" t="str">
        <f>IFERROR(__xludf.DUMMYFUNCTION("""COMPUTED_VALUE"""),"BLACK")</f>
        <v>BLACK</v>
      </c>
      <c r="G6883" s="20" t="str">
        <f>IFERROR(__xludf.DUMMYFUNCTION("""COMPUTED_VALUE"""),"Uncle Sams Cider (11/12/2021) 02")</f>
        <v>Uncle Sams Cider (11/12/2021) 02</v>
      </c>
      <c r="H6883" s="19"/>
    </row>
    <row r="6884">
      <c r="A6884" s="9"/>
      <c r="B6884" s="15"/>
      <c r="C6884" s="9">
        <f>IFERROR(__xludf.DUMMYFUNCTION("""COMPUTED_VALUE"""),44532.8126171759)</f>
        <v>44532.81262</v>
      </c>
      <c r="D6884" s="15">
        <f>IFERROR(__xludf.DUMMYFUNCTION("""COMPUTED_VALUE"""),1.036)</f>
        <v>1.036</v>
      </c>
      <c r="E6884" s="16">
        <f>IFERROR(__xludf.DUMMYFUNCTION("""COMPUTED_VALUE"""),64.0)</f>
        <v>64</v>
      </c>
      <c r="F6884" s="19" t="str">
        <f>IFERROR(__xludf.DUMMYFUNCTION("""COMPUTED_VALUE"""),"BLACK")</f>
        <v>BLACK</v>
      </c>
      <c r="G6884" s="20" t="str">
        <f>IFERROR(__xludf.DUMMYFUNCTION("""COMPUTED_VALUE"""),"Uncle Sams Cider (11/12/2021) 02")</f>
        <v>Uncle Sams Cider (11/12/2021) 02</v>
      </c>
      <c r="H6884" s="19"/>
    </row>
    <row r="6885">
      <c r="A6885" s="9"/>
      <c r="B6885" s="15"/>
      <c r="C6885" s="9">
        <f>IFERROR(__xludf.DUMMYFUNCTION("""COMPUTED_VALUE"""),44532.802184618)</f>
        <v>44532.80218</v>
      </c>
      <c r="D6885" s="15">
        <f>IFERROR(__xludf.DUMMYFUNCTION("""COMPUTED_VALUE"""),1.036)</f>
        <v>1.036</v>
      </c>
      <c r="E6885" s="16">
        <f>IFERROR(__xludf.DUMMYFUNCTION("""COMPUTED_VALUE"""),64.0)</f>
        <v>64</v>
      </c>
      <c r="F6885" s="19" t="str">
        <f>IFERROR(__xludf.DUMMYFUNCTION("""COMPUTED_VALUE"""),"BLACK")</f>
        <v>BLACK</v>
      </c>
      <c r="G6885" s="20" t="str">
        <f>IFERROR(__xludf.DUMMYFUNCTION("""COMPUTED_VALUE"""),"Uncle Sams Cider (11/12/2021) 02")</f>
        <v>Uncle Sams Cider (11/12/2021) 02</v>
      </c>
      <c r="H6885" s="19"/>
    </row>
    <row r="6886">
      <c r="A6886" s="9"/>
      <c r="B6886" s="15"/>
      <c r="C6886" s="9">
        <f>IFERROR(__xludf.DUMMYFUNCTION("""COMPUTED_VALUE"""),44532.7917508564)</f>
        <v>44532.79175</v>
      </c>
      <c r="D6886" s="15">
        <f>IFERROR(__xludf.DUMMYFUNCTION("""COMPUTED_VALUE"""),1.036)</f>
        <v>1.036</v>
      </c>
      <c r="E6886" s="16">
        <f>IFERROR(__xludf.DUMMYFUNCTION("""COMPUTED_VALUE"""),64.0)</f>
        <v>64</v>
      </c>
      <c r="F6886" s="19" t="str">
        <f>IFERROR(__xludf.DUMMYFUNCTION("""COMPUTED_VALUE"""),"BLACK")</f>
        <v>BLACK</v>
      </c>
      <c r="G6886" s="20" t="str">
        <f>IFERROR(__xludf.DUMMYFUNCTION("""COMPUTED_VALUE"""),"Uncle Sams Cider (11/12/2021) 02")</f>
        <v>Uncle Sams Cider (11/12/2021) 02</v>
      </c>
      <c r="H6886" s="19"/>
    </row>
    <row r="6887">
      <c r="A6887" s="9"/>
      <c r="B6887" s="15"/>
      <c r="C6887" s="9">
        <f>IFERROR(__xludf.DUMMYFUNCTION("""COMPUTED_VALUE"""),44532.781329699)</f>
        <v>44532.78133</v>
      </c>
      <c r="D6887" s="15">
        <f>IFERROR(__xludf.DUMMYFUNCTION("""COMPUTED_VALUE"""),1.036)</f>
        <v>1.036</v>
      </c>
      <c r="E6887" s="16">
        <f>IFERROR(__xludf.DUMMYFUNCTION("""COMPUTED_VALUE"""),64.0)</f>
        <v>64</v>
      </c>
      <c r="F6887" s="19" t="str">
        <f>IFERROR(__xludf.DUMMYFUNCTION("""COMPUTED_VALUE"""),"BLACK")</f>
        <v>BLACK</v>
      </c>
      <c r="G6887" s="20" t="str">
        <f>IFERROR(__xludf.DUMMYFUNCTION("""COMPUTED_VALUE"""),"Uncle Sams Cider (11/12/2021) 02")</f>
        <v>Uncle Sams Cider (11/12/2021) 02</v>
      </c>
      <c r="H6887" s="19"/>
    </row>
    <row r="6888">
      <c r="A6888" s="9"/>
      <c r="B6888" s="15"/>
      <c r="C6888" s="9">
        <f>IFERROR(__xludf.DUMMYFUNCTION("""COMPUTED_VALUE"""),44532.7708954166)</f>
        <v>44532.7709</v>
      </c>
      <c r="D6888" s="15">
        <f>IFERROR(__xludf.DUMMYFUNCTION("""COMPUTED_VALUE"""),1.036)</f>
        <v>1.036</v>
      </c>
      <c r="E6888" s="16">
        <f>IFERROR(__xludf.DUMMYFUNCTION("""COMPUTED_VALUE"""),64.0)</f>
        <v>64</v>
      </c>
      <c r="F6888" s="19" t="str">
        <f>IFERROR(__xludf.DUMMYFUNCTION("""COMPUTED_VALUE"""),"BLACK")</f>
        <v>BLACK</v>
      </c>
      <c r="G6888" s="20" t="str">
        <f>IFERROR(__xludf.DUMMYFUNCTION("""COMPUTED_VALUE"""),"Uncle Sams Cider (11/12/2021) 02")</f>
        <v>Uncle Sams Cider (11/12/2021) 02</v>
      </c>
      <c r="H6888" s="19"/>
    </row>
    <row r="6889">
      <c r="A6889" s="9"/>
      <c r="B6889" s="15"/>
      <c r="C6889" s="9">
        <f>IFERROR(__xludf.DUMMYFUNCTION("""COMPUTED_VALUE"""),44532.7604741898)</f>
        <v>44532.76047</v>
      </c>
      <c r="D6889" s="15">
        <f>IFERROR(__xludf.DUMMYFUNCTION("""COMPUTED_VALUE"""),1.036)</f>
        <v>1.036</v>
      </c>
      <c r="E6889" s="16">
        <f>IFERROR(__xludf.DUMMYFUNCTION("""COMPUTED_VALUE"""),64.0)</f>
        <v>64</v>
      </c>
      <c r="F6889" s="19" t="str">
        <f>IFERROR(__xludf.DUMMYFUNCTION("""COMPUTED_VALUE"""),"BLACK")</f>
        <v>BLACK</v>
      </c>
      <c r="G6889" s="20" t="str">
        <f>IFERROR(__xludf.DUMMYFUNCTION("""COMPUTED_VALUE"""),"Uncle Sams Cider (11/12/2021) 02")</f>
        <v>Uncle Sams Cider (11/12/2021) 02</v>
      </c>
      <c r="H6889" s="19"/>
    </row>
    <row r="6890">
      <c r="A6890" s="9"/>
      <c r="B6890" s="15"/>
      <c r="C6890" s="9">
        <f>IFERROR(__xludf.DUMMYFUNCTION("""COMPUTED_VALUE"""),44532.7500523263)</f>
        <v>44532.75005</v>
      </c>
      <c r="D6890" s="15">
        <f>IFERROR(__xludf.DUMMYFUNCTION("""COMPUTED_VALUE"""),1.036)</f>
        <v>1.036</v>
      </c>
      <c r="E6890" s="16">
        <f>IFERROR(__xludf.DUMMYFUNCTION("""COMPUTED_VALUE"""),64.0)</f>
        <v>64</v>
      </c>
      <c r="F6890" s="19" t="str">
        <f>IFERROR(__xludf.DUMMYFUNCTION("""COMPUTED_VALUE"""),"BLACK")</f>
        <v>BLACK</v>
      </c>
      <c r="G6890" s="20" t="str">
        <f>IFERROR(__xludf.DUMMYFUNCTION("""COMPUTED_VALUE"""),"Uncle Sams Cider (11/12/2021) 02")</f>
        <v>Uncle Sams Cider (11/12/2021) 02</v>
      </c>
      <c r="H6890" s="19"/>
    </row>
    <row r="6891">
      <c r="A6891" s="9"/>
      <c r="B6891" s="15"/>
      <c r="C6891" s="9">
        <f>IFERROR(__xludf.DUMMYFUNCTION("""COMPUTED_VALUE"""),44532.739619537)</f>
        <v>44532.73962</v>
      </c>
      <c r="D6891" s="15">
        <f>IFERROR(__xludf.DUMMYFUNCTION("""COMPUTED_VALUE"""),1.036)</f>
        <v>1.036</v>
      </c>
      <c r="E6891" s="16">
        <f>IFERROR(__xludf.DUMMYFUNCTION("""COMPUTED_VALUE"""),64.0)</f>
        <v>64</v>
      </c>
      <c r="F6891" s="19" t="str">
        <f>IFERROR(__xludf.DUMMYFUNCTION("""COMPUTED_VALUE"""),"BLACK")</f>
        <v>BLACK</v>
      </c>
      <c r="G6891" s="20" t="str">
        <f>IFERROR(__xludf.DUMMYFUNCTION("""COMPUTED_VALUE"""),"Uncle Sams Cider (11/12/2021) 02")</f>
        <v>Uncle Sams Cider (11/12/2021) 02</v>
      </c>
      <c r="H6891" s="19"/>
    </row>
    <row r="6892">
      <c r="A6892" s="9"/>
      <c r="B6892" s="15"/>
      <c r="C6892" s="9">
        <f>IFERROR(__xludf.DUMMYFUNCTION("""COMPUTED_VALUE"""),44532.7291969328)</f>
        <v>44532.7292</v>
      </c>
      <c r="D6892" s="15">
        <f>IFERROR(__xludf.DUMMYFUNCTION("""COMPUTED_VALUE"""),1.036)</f>
        <v>1.036</v>
      </c>
      <c r="E6892" s="16">
        <f>IFERROR(__xludf.DUMMYFUNCTION("""COMPUTED_VALUE"""),64.0)</f>
        <v>64</v>
      </c>
      <c r="F6892" s="19" t="str">
        <f>IFERROR(__xludf.DUMMYFUNCTION("""COMPUTED_VALUE"""),"BLACK")</f>
        <v>BLACK</v>
      </c>
      <c r="G6892" s="20" t="str">
        <f>IFERROR(__xludf.DUMMYFUNCTION("""COMPUTED_VALUE"""),"Uncle Sams Cider (11/12/2021) 02")</f>
        <v>Uncle Sams Cider (11/12/2021) 02</v>
      </c>
      <c r="H6892" s="19"/>
    </row>
    <row r="6893">
      <c r="A6893" s="9"/>
      <c r="B6893" s="15"/>
      <c r="C6893" s="9">
        <f>IFERROR(__xludf.DUMMYFUNCTION("""COMPUTED_VALUE"""),44532.7187759143)</f>
        <v>44532.71878</v>
      </c>
      <c r="D6893" s="15">
        <f>IFERROR(__xludf.DUMMYFUNCTION("""COMPUTED_VALUE"""),1.036)</f>
        <v>1.036</v>
      </c>
      <c r="E6893" s="16">
        <f>IFERROR(__xludf.DUMMYFUNCTION("""COMPUTED_VALUE"""),64.0)</f>
        <v>64</v>
      </c>
      <c r="F6893" s="19" t="str">
        <f>IFERROR(__xludf.DUMMYFUNCTION("""COMPUTED_VALUE"""),"BLACK")</f>
        <v>BLACK</v>
      </c>
      <c r="G6893" s="20" t="str">
        <f>IFERROR(__xludf.DUMMYFUNCTION("""COMPUTED_VALUE"""),"Uncle Sams Cider (11/12/2021) 02")</f>
        <v>Uncle Sams Cider (11/12/2021) 02</v>
      </c>
      <c r="H6893" s="19"/>
    </row>
    <row r="6894">
      <c r="A6894" s="9"/>
      <c r="B6894" s="15"/>
      <c r="C6894" s="9">
        <f>IFERROR(__xludf.DUMMYFUNCTION("""COMPUTED_VALUE"""),44532.7083536458)</f>
        <v>44532.70835</v>
      </c>
      <c r="D6894" s="15">
        <f>IFERROR(__xludf.DUMMYFUNCTION("""COMPUTED_VALUE"""),1.036)</f>
        <v>1.036</v>
      </c>
      <c r="E6894" s="16">
        <f>IFERROR(__xludf.DUMMYFUNCTION("""COMPUTED_VALUE"""),63.0)</f>
        <v>63</v>
      </c>
      <c r="F6894" s="19" t="str">
        <f>IFERROR(__xludf.DUMMYFUNCTION("""COMPUTED_VALUE"""),"BLACK")</f>
        <v>BLACK</v>
      </c>
      <c r="G6894" s="20" t="str">
        <f>IFERROR(__xludf.DUMMYFUNCTION("""COMPUTED_VALUE"""),"Uncle Sams Cider (11/12/2021) 02")</f>
        <v>Uncle Sams Cider (11/12/2021) 02</v>
      </c>
      <c r="H6894" s="19"/>
    </row>
    <row r="6895">
      <c r="A6895" s="9"/>
      <c r="B6895" s="15"/>
      <c r="C6895" s="9">
        <f>IFERROR(__xludf.DUMMYFUNCTION("""COMPUTED_VALUE"""),44532.6979316435)</f>
        <v>44532.69793</v>
      </c>
      <c r="D6895" s="15">
        <f>IFERROR(__xludf.DUMMYFUNCTION("""COMPUTED_VALUE"""),1.036)</f>
        <v>1.036</v>
      </c>
      <c r="E6895" s="16">
        <f>IFERROR(__xludf.DUMMYFUNCTION("""COMPUTED_VALUE"""),64.0)</f>
        <v>64</v>
      </c>
      <c r="F6895" s="19" t="str">
        <f>IFERROR(__xludf.DUMMYFUNCTION("""COMPUTED_VALUE"""),"BLACK")</f>
        <v>BLACK</v>
      </c>
      <c r="G6895" s="20" t="str">
        <f>IFERROR(__xludf.DUMMYFUNCTION("""COMPUTED_VALUE"""),"Uncle Sams Cider (11/12/2021) 02")</f>
        <v>Uncle Sams Cider (11/12/2021) 02</v>
      </c>
      <c r="H6895" s="19"/>
    </row>
    <row r="6896">
      <c r="A6896" s="9"/>
      <c r="B6896" s="15"/>
      <c r="C6896" s="9">
        <f>IFERROR(__xludf.DUMMYFUNCTION("""COMPUTED_VALUE"""),44532.6874984143)</f>
        <v>44532.6875</v>
      </c>
      <c r="D6896" s="15">
        <f>IFERROR(__xludf.DUMMYFUNCTION("""COMPUTED_VALUE"""),1.036)</f>
        <v>1.036</v>
      </c>
      <c r="E6896" s="16">
        <f>IFERROR(__xludf.DUMMYFUNCTION("""COMPUTED_VALUE"""),64.0)</f>
        <v>64</v>
      </c>
      <c r="F6896" s="19" t="str">
        <f>IFERROR(__xludf.DUMMYFUNCTION("""COMPUTED_VALUE"""),"BLACK")</f>
        <v>BLACK</v>
      </c>
      <c r="G6896" s="20" t="str">
        <f>IFERROR(__xludf.DUMMYFUNCTION("""COMPUTED_VALUE"""),"Uncle Sams Cider (11/12/2021) 02")</f>
        <v>Uncle Sams Cider (11/12/2021) 02</v>
      </c>
      <c r="H6896" s="19"/>
    </row>
    <row r="6897">
      <c r="A6897" s="9"/>
      <c r="B6897" s="15"/>
      <c r="C6897" s="9">
        <f>IFERROR(__xludf.DUMMYFUNCTION("""COMPUTED_VALUE"""),44532.6770776736)</f>
        <v>44532.67708</v>
      </c>
      <c r="D6897" s="15">
        <f>IFERROR(__xludf.DUMMYFUNCTION("""COMPUTED_VALUE"""),1.036)</f>
        <v>1.036</v>
      </c>
      <c r="E6897" s="16">
        <f>IFERROR(__xludf.DUMMYFUNCTION("""COMPUTED_VALUE"""),64.0)</f>
        <v>64</v>
      </c>
      <c r="F6897" s="19" t="str">
        <f>IFERROR(__xludf.DUMMYFUNCTION("""COMPUTED_VALUE"""),"BLACK")</f>
        <v>BLACK</v>
      </c>
      <c r="G6897" s="20" t="str">
        <f>IFERROR(__xludf.DUMMYFUNCTION("""COMPUTED_VALUE"""),"Uncle Sams Cider (11/12/2021) 02")</f>
        <v>Uncle Sams Cider (11/12/2021) 02</v>
      </c>
      <c r="H6897" s="19"/>
    </row>
    <row r="6898">
      <c r="A6898" s="9"/>
      <c r="B6898" s="15"/>
      <c r="C6898" s="9">
        <f>IFERROR(__xludf.DUMMYFUNCTION("""COMPUTED_VALUE"""),44532.6666570486)</f>
        <v>44532.66666</v>
      </c>
      <c r="D6898" s="15">
        <f>IFERROR(__xludf.DUMMYFUNCTION("""COMPUTED_VALUE"""),1.036)</f>
        <v>1.036</v>
      </c>
      <c r="E6898" s="16">
        <f>IFERROR(__xludf.DUMMYFUNCTION("""COMPUTED_VALUE"""),64.0)</f>
        <v>64</v>
      </c>
      <c r="F6898" s="19" t="str">
        <f>IFERROR(__xludf.DUMMYFUNCTION("""COMPUTED_VALUE"""),"BLACK")</f>
        <v>BLACK</v>
      </c>
      <c r="G6898" s="20" t="str">
        <f>IFERROR(__xludf.DUMMYFUNCTION("""COMPUTED_VALUE"""),"Uncle Sams Cider (11/12/2021) 02")</f>
        <v>Uncle Sams Cider (11/12/2021) 02</v>
      </c>
      <c r="H6898" s="19"/>
    </row>
    <row r="6899">
      <c r="A6899" s="9"/>
      <c r="B6899" s="15"/>
      <c r="C6899" s="9">
        <f>IFERROR(__xludf.DUMMYFUNCTION("""COMPUTED_VALUE"""),44532.6562353819)</f>
        <v>44532.65624</v>
      </c>
      <c r="D6899" s="15">
        <f>IFERROR(__xludf.DUMMYFUNCTION("""COMPUTED_VALUE"""),1.036)</f>
        <v>1.036</v>
      </c>
      <c r="E6899" s="16">
        <f>IFERROR(__xludf.DUMMYFUNCTION("""COMPUTED_VALUE"""),64.0)</f>
        <v>64</v>
      </c>
      <c r="F6899" s="19" t="str">
        <f>IFERROR(__xludf.DUMMYFUNCTION("""COMPUTED_VALUE"""),"BLACK")</f>
        <v>BLACK</v>
      </c>
      <c r="G6899" s="20" t="str">
        <f>IFERROR(__xludf.DUMMYFUNCTION("""COMPUTED_VALUE"""),"Uncle Sams Cider (11/12/2021) 02")</f>
        <v>Uncle Sams Cider (11/12/2021) 02</v>
      </c>
      <c r="H6899" s="19"/>
    </row>
    <row r="6900">
      <c r="A6900" s="9"/>
      <c r="B6900" s="15"/>
      <c r="C6900" s="9">
        <f>IFERROR(__xludf.DUMMYFUNCTION("""COMPUTED_VALUE"""),44532.6458139467)</f>
        <v>44532.64581</v>
      </c>
      <c r="D6900" s="15">
        <f>IFERROR(__xludf.DUMMYFUNCTION("""COMPUTED_VALUE"""),1.036)</f>
        <v>1.036</v>
      </c>
      <c r="E6900" s="16">
        <f>IFERROR(__xludf.DUMMYFUNCTION("""COMPUTED_VALUE"""),64.0)</f>
        <v>64</v>
      </c>
      <c r="F6900" s="19" t="str">
        <f>IFERROR(__xludf.DUMMYFUNCTION("""COMPUTED_VALUE"""),"BLACK")</f>
        <v>BLACK</v>
      </c>
      <c r="G6900" s="20" t="str">
        <f>IFERROR(__xludf.DUMMYFUNCTION("""COMPUTED_VALUE"""),"Uncle Sams Cider (11/12/2021) 02")</f>
        <v>Uncle Sams Cider (11/12/2021) 02</v>
      </c>
      <c r="H6900" s="19"/>
    </row>
    <row r="6901">
      <c r="A6901" s="9"/>
      <c r="B6901" s="15"/>
      <c r="C6901" s="9">
        <f>IFERROR(__xludf.DUMMYFUNCTION("""COMPUTED_VALUE"""),44532.6353903819)</f>
        <v>44532.63539</v>
      </c>
      <c r="D6901" s="15">
        <f>IFERROR(__xludf.DUMMYFUNCTION("""COMPUTED_VALUE"""),1.036)</f>
        <v>1.036</v>
      </c>
      <c r="E6901" s="16">
        <f>IFERROR(__xludf.DUMMYFUNCTION("""COMPUTED_VALUE"""),64.0)</f>
        <v>64</v>
      </c>
      <c r="F6901" s="19" t="str">
        <f>IFERROR(__xludf.DUMMYFUNCTION("""COMPUTED_VALUE"""),"BLACK")</f>
        <v>BLACK</v>
      </c>
      <c r="G6901" s="20" t="str">
        <f>IFERROR(__xludf.DUMMYFUNCTION("""COMPUTED_VALUE"""),"Uncle Sams Cider (11/12/2021) 02")</f>
        <v>Uncle Sams Cider (11/12/2021) 02</v>
      </c>
      <c r="H6901" s="19"/>
    </row>
    <row r="6902">
      <c r="A6902" s="9"/>
      <c r="B6902" s="15"/>
      <c r="C6902" s="9">
        <f>IFERROR(__xludf.DUMMYFUNCTION("""COMPUTED_VALUE"""),44532.6249579976)</f>
        <v>44532.62496</v>
      </c>
      <c r="D6902" s="15">
        <f>IFERROR(__xludf.DUMMYFUNCTION("""COMPUTED_VALUE"""),1.036)</f>
        <v>1.036</v>
      </c>
      <c r="E6902" s="16">
        <f>IFERROR(__xludf.DUMMYFUNCTION("""COMPUTED_VALUE"""),64.0)</f>
        <v>64</v>
      </c>
      <c r="F6902" s="19" t="str">
        <f>IFERROR(__xludf.DUMMYFUNCTION("""COMPUTED_VALUE"""),"BLACK")</f>
        <v>BLACK</v>
      </c>
      <c r="G6902" s="20" t="str">
        <f>IFERROR(__xludf.DUMMYFUNCTION("""COMPUTED_VALUE"""),"Uncle Sams Cider (11/12/2021) 02")</f>
        <v>Uncle Sams Cider (11/12/2021) 02</v>
      </c>
      <c r="H6902" s="19"/>
    </row>
    <row r="6903">
      <c r="A6903" s="9"/>
      <c r="B6903" s="15"/>
      <c r="C6903" s="9">
        <f>IFERROR(__xludf.DUMMYFUNCTION("""COMPUTED_VALUE"""),44532.6145382754)</f>
        <v>44532.61454</v>
      </c>
      <c r="D6903" s="15">
        <f>IFERROR(__xludf.DUMMYFUNCTION("""COMPUTED_VALUE"""),1.036)</f>
        <v>1.036</v>
      </c>
      <c r="E6903" s="16">
        <f>IFERROR(__xludf.DUMMYFUNCTION("""COMPUTED_VALUE"""),63.0)</f>
        <v>63</v>
      </c>
      <c r="F6903" s="19" t="str">
        <f>IFERROR(__xludf.DUMMYFUNCTION("""COMPUTED_VALUE"""),"BLACK")</f>
        <v>BLACK</v>
      </c>
      <c r="G6903" s="20" t="str">
        <f>IFERROR(__xludf.DUMMYFUNCTION("""COMPUTED_VALUE"""),"Uncle Sams Cider (11/12/2021) 02")</f>
        <v>Uncle Sams Cider (11/12/2021) 02</v>
      </c>
      <c r="H6903" s="19"/>
    </row>
    <row r="6904">
      <c r="A6904" s="9"/>
      <c r="B6904" s="15"/>
      <c r="C6904" s="9">
        <f>IFERROR(__xludf.DUMMYFUNCTION("""COMPUTED_VALUE"""),44532.6041170023)</f>
        <v>44532.60412</v>
      </c>
      <c r="D6904" s="15">
        <f>IFERROR(__xludf.DUMMYFUNCTION("""COMPUTED_VALUE"""),1.036)</f>
        <v>1.036</v>
      </c>
      <c r="E6904" s="16">
        <f>IFERROR(__xludf.DUMMYFUNCTION("""COMPUTED_VALUE"""),64.0)</f>
        <v>64</v>
      </c>
      <c r="F6904" s="19" t="str">
        <f>IFERROR(__xludf.DUMMYFUNCTION("""COMPUTED_VALUE"""),"BLACK")</f>
        <v>BLACK</v>
      </c>
      <c r="G6904" s="20" t="str">
        <f>IFERROR(__xludf.DUMMYFUNCTION("""COMPUTED_VALUE"""),"Uncle Sams Cider (11/12/2021) 02")</f>
        <v>Uncle Sams Cider (11/12/2021) 02</v>
      </c>
      <c r="H6904" s="19"/>
    </row>
    <row r="6905">
      <c r="A6905" s="9"/>
      <c r="B6905" s="15"/>
      <c r="C6905" s="9">
        <f>IFERROR(__xludf.DUMMYFUNCTION("""COMPUTED_VALUE"""),44532.5936942245)</f>
        <v>44532.59369</v>
      </c>
      <c r="D6905" s="15">
        <f>IFERROR(__xludf.DUMMYFUNCTION("""COMPUTED_VALUE"""),1.036)</f>
        <v>1.036</v>
      </c>
      <c r="E6905" s="16">
        <f>IFERROR(__xludf.DUMMYFUNCTION("""COMPUTED_VALUE"""),64.0)</f>
        <v>64</v>
      </c>
      <c r="F6905" s="19" t="str">
        <f>IFERROR(__xludf.DUMMYFUNCTION("""COMPUTED_VALUE"""),"BLACK")</f>
        <v>BLACK</v>
      </c>
      <c r="G6905" s="20" t="str">
        <f>IFERROR(__xludf.DUMMYFUNCTION("""COMPUTED_VALUE"""),"Uncle Sams Cider (11/12/2021) 02")</f>
        <v>Uncle Sams Cider (11/12/2021) 02</v>
      </c>
      <c r="H6905" s="19"/>
    </row>
    <row r="6906">
      <c r="A6906" s="9"/>
      <c r="B6906" s="15"/>
      <c r="C6906" s="9">
        <f>IFERROR(__xludf.DUMMYFUNCTION("""COMPUTED_VALUE"""),44532.5832737962)</f>
        <v>44532.58327</v>
      </c>
      <c r="D6906" s="15">
        <f>IFERROR(__xludf.DUMMYFUNCTION("""COMPUTED_VALUE"""),1.036)</f>
        <v>1.036</v>
      </c>
      <c r="E6906" s="16">
        <f>IFERROR(__xludf.DUMMYFUNCTION("""COMPUTED_VALUE"""),63.0)</f>
        <v>63</v>
      </c>
      <c r="F6906" s="19" t="str">
        <f>IFERROR(__xludf.DUMMYFUNCTION("""COMPUTED_VALUE"""),"BLACK")</f>
        <v>BLACK</v>
      </c>
      <c r="G6906" s="20" t="str">
        <f>IFERROR(__xludf.DUMMYFUNCTION("""COMPUTED_VALUE"""),"Uncle Sams Cider (11/12/2021) 02")</f>
        <v>Uncle Sams Cider (11/12/2021) 02</v>
      </c>
      <c r="H6906" s="19"/>
    </row>
    <row r="6907">
      <c r="A6907" s="9"/>
      <c r="B6907" s="15"/>
      <c r="C6907" s="9">
        <f>IFERROR(__xludf.DUMMYFUNCTION("""COMPUTED_VALUE"""),44532.5728522337)</f>
        <v>44532.57285</v>
      </c>
      <c r="D6907" s="15">
        <f>IFERROR(__xludf.DUMMYFUNCTION("""COMPUTED_VALUE"""),1.036)</f>
        <v>1.036</v>
      </c>
      <c r="E6907" s="16">
        <f>IFERROR(__xludf.DUMMYFUNCTION("""COMPUTED_VALUE"""),64.0)</f>
        <v>64</v>
      </c>
      <c r="F6907" s="19" t="str">
        <f>IFERROR(__xludf.DUMMYFUNCTION("""COMPUTED_VALUE"""),"BLACK")</f>
        <v>BLACK</v>
      </c>
      <c r="G6907" s="20" t="str">
        <f>IFERROR(__xludf.DUMMYFUNCTION("""COMPUTED_VALUE"""),"Uncle Sams Cider (11/12/2021) 02")</f>
        <v>Uncle Sams Cider (11/12/2021) 02</v>
      </c>
      <c r="H6907" s="19"/>
    </row>
    <row r="6908">
      <c r="A6908" s="9"/>
      <c r="B6908" s="15"/>
      <c r="C6908" s="9">
        <f>IFERROR(__xludf.DUMMYFUNCTION("""COMPUTED_VALUE"""),44532.5624325)</f>
        <v>44532.56243</v>
      </c>
      <c r="D6908" s="15">
        <f>IFERROR(__xludf.DUMMYFUNCTION("""COMPUTED_VALUE"""),1.036)</f>
        <v>1.036</v>
      </c>
      <c r="E6908" s="16">
        <f>IFERROR(__xludf.DUMMYFUNCTION("""COMPUTED_VALUE"""),64.0)</f>
        <v>64</v>
      </c>
      <c r="F6908" s="19" t="str">
        <f>IFERROR(__xludf.DUMMYFUNCTION("""COMPUTED_VALUE"""),"BLACK")</f>
        <v>BLACK</v>
      </c>
      <c r="G6908" s="20" t="str">
        <f>IFERROR(__xludf.DUMMYFUNCTION("""COMPUTED_VALUE"""),"Uncle Sams Cider (11/12/2021) 02")</f>
        <v>Uncle Sams Cider (11/12/2021) 02</v>
      </c>
      <c r="H6908" s="19"/>
    </row>
    <row r="6909">
      <c r="A6909" s="9"/>
      <c r="B6909" s="15"/>
      <c r="C6909" s="9">
        <f>IFERROR(__xludf.DUMMYFUNCTION("""COMPUTED_VALUE"""),44532.5520112615)</f>
        <v>44532.55201</v>
      </c>
      <c r="D6909" s="15">
        <f>IFERROR(__xludf.DUMMYFUNCTION("""COMPUTED_VALUE"""),1.036)</f>
        <v>1.036</v>
      </c>
      <c r="E6909" s="16">
        <f>IFERROR(__xludf.DUMMYFUNCTION("""COMPUTED_VALUE"""),64.0)</f>
        <v>64</v>
      </c>
      <c r="F6909" s="19" t="str">
        <f>IFERROR(__xludf.DUMMYFUNCTION("""COMPUTED_VALUE"""),"BLACK")</f>
        <v>BLACK</v>
      </c>
      <c r="G6909" s="20" t="str">
        <f>IFERROR(__xludf.DUMMYFUNCTION("""COMPUTED_VALUE"""),"Uncle Sams Cider (11/12/2021) 02")</f>
        <v>Uncle Sams Cider (11/12/2021) 02</v>
      </c>
      <c r="H6909" s="19"/>
    </row>
    <row r="6910">
      <c r="A6910" s="9"/>
      <c r="B6910" s="15"/>
      <c r="C6910" s="9">
        <f>IFERROR(__xludf.DUMMYFUNCTION("""COMPUTED_VALUE"""),44532.5415908217)</f>
        <v>44532.54159</v>
      </c>
      <c r="D6910" s="15">
        <f>IFERROR(__xludf.DUMMYFUNCTION("""COMPUTED_VALUE"""),1.036)</f>
        <v>1.036</v>
      </c>
      <c r="E6910" s="16">
        <f>IFERROR(__xludf.DUMMYFUNCTION("""COMPUTED_VALUE"""),64.0)</f>
        <v>64</v>
      </c>
      <c r="F6910" s="19" t="str">
        <f>IFERROR(__xludf.DUMMYFUNCTION("""COMPUTED_VALUE"""),"BLACK")</f>
        <v>BLACK</v>
      </c>
      <c r="G6910" s="20" t="str">
        <f>IFERROR(__xludf.DUMMYFUNCTION("""COMPUTED_VALUE"""),"Uncle Sams Cider (11/12/2021) 02")</f>
        <v>Uncle Sams Cider (11/12/2021) 02</v>
      </c>
      <c r="H6910" s="19"/>
    </row>
    <row r="6911">
      <c r="A6911" s="9"/>
      <c r="B6911" s="15"/>
      <c r="C6911" s="9">
        <f>IFERROR(__xludf.DUMMYFUNCTION("""COMPUTED_VALUE"""),44532.5311689351)</f>
        <v>44532.53117</v>
      </c>
      <c r="D6911" s="15">
        <f>IFERROR(__xludf.DUMMYFUNCTION("""COMPUTED_VALUE"""),1.036)</f>
        <v>1.036</v>
      </c>
      <c r="E6911" s="16">
        <f>IFERROR(__xludf.DUMMYFUNCTION("""COMPUTED_VALUE"""),64.0)</f>
        <v>64</v>
      </c>
      <c r="F6911" s="19" t="str">
        <f>IFERROR(__xludf.DUMMYFUNCTION("""COMPUTED_VALUE"""),"BLACK")</f>
        <v>BLACK</v>
      </c>
      <c r="G6911" s="20" t="str">
        <f>IFERROR(__xludf.DUMMYFUNCTION("""COMPUTED_VALUE"""),"Uncle Sams Cider (11/12/2021) 02")</f>
        <v>Uncle Sams Cider (11/12/2021) 02</v>
      </c>
      <c r="H6911" s="19"/>
    </row>
    <row r="6912">
      <c r="A6912" s="9"/>
      <c r="B6912" s="15"/>
      <c r="C6912" s="9">
        <f>IFERROR(__xludf.DUMMYFUNCTION("""COMPUTED_VALUE"""),44532.5207494328)</f>
        <v>44532.52075</v>
      </c>
      <c r="D6912" s="15">
        <f>IFERROR(__xludf.DUMMYFUNCTION("""COMPUTED_VALUE"""),1.036)</f>
        <v>1.036</v>
      </c>
      <c r="E6912" s="16">
        <f>IFERROR(__xludf.DUMMYFUNCTION("""COMPUTED_VALUE"""),64.0)</f>
        <v>64</v>
      </c>
      <c r="F6912" s="19" t="str">
        <f>IFERROR(__xludf.DUMMYFUNCTION("""COMPUTED_VALUE"""),"BLACK")</f>
        <v>BLACK</v>
      </c>
      <c r="G6912" s="20" t="str">
        <f>IFERROR(__xludf.DUMMYFUNCTION("""COMPUTED_VALUE"""),"Uncle Sams Cider (11/12/2021) 02")</f>
        <v>Uncle Sams Cider (11/12/2021) 02</v>
      </c>
      <c r="H6912" s="19"/>
    </row>
    <row r="6913">
      <c r="A6913" s="9"/>
      <c r="B6913" s="15"/>
      <c r="C6913" s="9">
        <f>IFERROR(__xludf.DUMMYFUNCTION("""COMPUTED_VALUE"""),44532.5103268634)</f>
        <v>44532.51033</v>
      </c>
      <c r="D6913" s="15">
        <f>IFERROR(__xludf.DUMMYFUNCTION("""COMPUTED_VALUE"""),1.036)</f>
        <v>1.036</v>
      </c>
      <c r="E6913" s="16">
        <f>IFERROR(__xludf.DUMMYFUNCTION("""COMPUTED_VALUE"""),64.0)</f>
        <v>64</v>
      </c>
      <c r="F6913" s="19" t="str">
        <f>IFERROR(__xludf.DUMMYFUNCTION("""COMPUTED_VALUE"""),"BLACK")</f>
        <v>BLACK</v>
      </c>
      <c r="G6913" s="20" t="str">
        <f>IFERROR(__xludf.DUMMYFUNCTION("""COMPUTED_VALUE"""),"Uncle Sams Cider (11/12/2021) 02")</f>
        <v>Uncle Sams Cider (11/12/2021) 02</v>
      </c>
      <c r="H6913" s="19"/>
    </row>
    <row r="6914">
      <c r="A6914" s="9"/>
      <c r="B6914" s="15"/>
      <c r="C6914" s="9">
        <f>IFERROR(__xludf.DUMMYFUNCTION("""COMPUTED_VALUE"""),44532.4998925231)</f>
        <v>44532.49989</v>
      </c>
      <c r="D6914" s="15">
        <f>IFERROR(__xludf.DUMMYFUNCTION("""COMPUTED_VALUE"""),1.036)</f>
        <v>1.036</v>
      </c>
      <c r="E6914" s="16">
        <f>IFERROR(__xludf.DUMMYFUNCTION("""COMPUTED_VALUE"""),64.0)</f>
        <v>64</v>
      </c>
      <c r="F6914" s="19" t="str">
        <f>IFERROR(__xludf.DUMMYFUNCTION("""COMPUTED_VALUE"""),"BLACK")</f>
        <v>BLACK</v>
      </c>
      <c r="G6914" s="20" t="str">
        <f>IFERROR(__xludf.DUMMYFUNCTION("""COMPUTED_VALUE"""),"Uncle Sams Cider (11/12/2021) 02")</f>
        <v>Uncle Sams Cider (11/12/2021) 02</v>
      </c>
      <c r="H6914" s="19"/>
    </row>
    <row r="6915">
      <c r="A6915" s="9"/>
      <c r="B6915" s="15"/>
      <c r="C6915" s="9">
        <f>IFERROR(__xludf.DUMMYFUNCTION("""COMPUTED_VALUE"""),44532.4894717476)</f>
        <v>44532.48947</v>
      </c>
      <c r="D6915" s="15">
        <f>IFERROR(__xludf.DUMMYFUNCTION("""COMPUTED_VALUE"""),1.036)</f>
        <v>1.036</v>
      </c>
      <c r="E6915" s="16">
        <f>IFERROR(__xludf.DUMMYFUNCTION("""COMPUTED_VALUE"""),64.0)</f>
        <v>64</v>
      </c>
      <c r="F6915" s="19" t="str">
        <f>IFERROR(__xludf.DUMMYFUNCTION("""COMPUTED_VALUE"""),"BLACK")</f>
        <v>BLACK</v>
      </c>
      <c r="G6915" s="20" t="str">
        <f>IFERROR(__xludf.DUMMYFUNCTION("""COMPUTED_VALUE"""),"Uncle Sams Cider (11/12/2021) 02")</f>
        <v>Uncle Sams Cider (11/12/2021) 02</v>
      </c>
      <c r="H6915" s="19"/>
    </row>
    <row r="6916">
      <c r="A6916" s="9"/>
      <c r="B6916" s="15"/>
      <c r="C6916" s="9">
        <f>IFERROR(__xludf.DUMMYFUNCTION("""COMPUTED_VALUE"""),44532.4790398148)</f>
        <v>44532.47904</v>
      </c>
      <c r="D6916" s="15">
        <f>IFERROR(__xludf.DUMMYFUNCTION("""COMPUTED_VALUE"""),1.036)</f>
        <v>1.036</v>
      </c>
      <c r="E6916" s="16">
        <f>IFERROR(__xludf.DUMMYFUNCTION("""COMPUTED_VALUE"""),63.0)</f>
        <v>63</v>
      </c>
      <c r="F6916" s="19" t="str">
        <f>IFERROR(__xludf.DUMMYFUNCTION("""COMPUTED_VALUE"""),"BLACK")</f>
        <v>BLACK</v>
      </c>
      <c r="G6916" s="20" t="str">
        <f>IFERROR(__xludf.DUMMYFUNCTION("""COMPUTED_VALUE"""),"Uncle Sams Cider (11/12/2021) 02")</f>
        <v>Uncle Sams Cider (11/12/2021) 02</v>
      </c>
      <c r="H6916" s="19"/>
    </row>
    <row r="6917">
      <c r="A6917" s="9"/>
      <c r="B6917" s="15"/>
      <c r="C6917" s="9">
        <f>IFERROR(__xludf.DUMMYFUNCTION("""COMPUTED_VALUE"""),44532.46861853)</f>
        <v>44532.46862</v>
      </c>
      <c r="D6917" s="15">
        <f>IFERROR(__xludf.DUMMYFUNCTION("""COMPUTED_VALUE"""),1.036)</f>
        <v>1.036</v>
      </c>
      <c r="E6917" s="16">
        <f>IFERROR(__xludf.DUMMYFUNCTION("""COMPUTED_VALUE"""),64.0)</f>
        <v>64</v>
      </c>
      <c r="F6917" s="19" t="str">
        <f>IFERROR(__xludf.DUMMYFUNCTION("""COMPUTED_VALUE"""),"BLACK")</f>
        <v>BLACK</v>
      </c>
      <c r="G6917" s="20" t="str">
        <f>IFERROR(__xludf.DUMMYFUNCTION("""COMPUTED_VALUE"""),"Uncle Sams Cider (11/12/2021) 02")</f>
        <v>Uncle Sams Cider (11/12/2021) 02</v>
      </c>
      <c r="H6917" s="19"/>
    </row>
    <row r="6918">
      <c r="A6918" s="9"/>
      <c r="B6918" s="15"/>
      <c r="C6918" s="9">
        <f>IFERROR(__xludf.DUMMYFUNCTION("""COMPUTED_VALUE"""),44532.4581979629)</f>
        <v>44532.4582</v>
      </c>
      <c r="D6918" s="15">
        <f>IFERROR(__xludf.DUMMYFUNCTION("""COMPUTED_VALUE"""),1.036)</f>
        <v>1.036</v>
      </c>
      <c r="E6918" s="16">
        <f>IFERROR(__xludf.DUMMYFUNCTION("""COMPUTED_VALUE"""),64.0)</f>
        <v>64</v>
      </c>
      <c r="F6918" s="19" t="str">
        <f>IFERROR(__xludf.DUMMYFUNCTION("""COMPUTED_VALUE"""),"BLACK")</f>
        <v>BLACK</v>
      </c>
      <c r="G6918" s="20" t="str">
        <f>IFERROR(__xludf.DUMMYFUNCTION("""COMPUTED_VALUE"""),"Uncle Sams Cider (11/12/2021) 02")</f>
        <v>Uncle Sams Cider (11/12/2021) 02</v>
      </c>
      <c r="H6918" s="19"/>
    </row>
    <row r="6919">
      <c r="A6919" s="9"/>
      <c r="B6919" s="15"/>
      <c r="C6919" s="9">
        <f>IFERROR(__xludf.DUMMYFUNCTION("""COMPUTED_VALUE"""),44532.4477772685)</f>
        <v>44532.44778</v>
      </c>
      <c r="D6919" s="15">
        <f>IFERROR(__xludf.DUMMYFUNCTION("""COMPUTED_VALUE"""),1.036)</f>
        <v>1.036</v>
      </c>
      <c r="E6919" s="16">
        <f>IFERROR(__xludf.DUMMYFUNCTION("""COMPUTED_VALUE"""),64.0)</f>
        <v>64</v>
      </c>
      <c r="F6919" s="19" t="str">
        <f>IFERROR(__xludf.DUMMYFUNCTION("""COMPUTED_VALUE"""),"BLACK")</f>
        <v>BLACK</v>
      </c>
      <c r="G6919" s="20" t="str">
        <f>IFERROR(__xludf.DUMMYFUNCTION("""COMPUTED_VALUE"""),"Uncle Sams Cider (11/12/2021) 02")</f>
        <v>Uncle Sams Cider (11/12/2021) 02</v>
      </c>
      <c r="H6919" s="19"/>
    </row>
    <row r="6920">
      <c r="A6920" s="9"/>
      <c r="B6920" s="15"/>
      <c r="C6920" s="9">
        <f>IFERROR(__xludf.DUMMYFUNCTION("""COMPUTED_VALUE"""),44532.4373437384)</f>
        <v>44532.43734</v>
      </c>
      <c r="D6920" s="15">
        <f>IFERROR(__xludf.DUMMYFUNCTION("""COMPUTED_VALUE"""),1.036)</f>
        <v>1.036</v>
      </c>
      <c r="E6920" s="16">
        <f>IFERROR(__xludf.DUMMYFUNCTION("""COMPUTED_VALUE"""),63.0)</f>
        <v>63</v>
      </c>
      <c r="F6920" s="19" t="str">
        <f>IFERROR(__xludf.DUMMYFUNCTION("""COMPUTED_VALUE"""),"BLACK")</f>
        <v>BLACK</v>
      </c>
      <c r="G6920" s="20" t="str">
        <f>IFERROR(__xludf.DUMMYFUNCTION("""COMPUTED_VALUE"""),"Uncle Sams Cider (11/12/2021) 02")</f>
        <v>Uncle Sams Cider (11/12/2021) 02</v>
      </c>
      <c r="H6920" s="19"/>
    </row>
    <row r="6921">
      <c r="A6921" s="9"/>
      <c r="B6921" s="15"/>
      <c r="C6921" s="9">
        <f>IFERROR(__xludf.DUMMYFUNCTION("""COMPUTED_VALUE"""),44532.4269110648)</f>
        <v>44532.42691</v>
      </c>
      <c r="D6921" s="15">
        <f>IFERROR(__xludf.DUMMYFUNCTION("""COMPUTED_VALUE"""),1.037)</f>
        <v>1.037</v>
      </c>
      <c r="E6921" s="16">
        <f>IFERROR(__xludf.DUMMYFUNCTION("""COMPUTED_VALUE"""),63.0)</f>
        <v>63</v>
      </c>
      <c r="F6921" s="19" t="str">
        <f>IFERROR(__xludf.DUMMYFUNCTION("""COMPUTED_VALUE"""),"BLACK")</f>
        <v>BLACK</v>
      </c>
      <c r="G6921" s="20" t="str">
        <f>IFERROR(__xludf.DUMMYFUNCTION("""COMPUTED_VALUE"""),"Uncle Sams Cider (11/12/2021) 02")</f>
        <v>Uncle Sams Cider (11/12/2021) 02</v>
      </c>
      <c r="H6921" s="19"/>
    </row>
    <row r="6922">
      <c r="A6922" s="9"/>
      <c r="B6922" s="15"/>
      <c r="C6922" s="9">
        <f>IFERROR(__xludf.DUMMYFUNCTION("""COMPUTED_VALUE"""),44532.4164766088)</f>
        <v>44532.41648</v>
      </c>
      <c r="D6922" s="15">
        <f>IFERROR(__xludf.DUMMYFUNCTION("""COMPUTED_VALUE"""),1.036)</f>
        <v>1.036</v>
      </c>
      <c r="E6922" s="16">
        <f>IFERROR(__xludf.DUMMYFUNCTION("""COMPUTED_VALUE"""),63.0)</f>
        <v>63</v>
      </c>
      <c r="F6922" s="19" t="str">
        <f>IFERROR(__xludf.DUMMYFUNCTION("""COMPUTED_VALUE"""),"BLACK")</f>
        <v>BLACK</v>
      </c>
      <c r="G6922" s="20" t="str">
        <f>IFERROR(__xludf.DUMMYFUNCTION("""COMPUTED_VALUE"""),"Uncle Sams Cider (11/12/2021) 02")</f>
        <v>Uncle Sams Cider (11/12/2021) 02</v>
      </c>
      <c r="H6922" s="19"/>
    </row>
    <row r="6923">
      <c r="A6923" s="9"/>
      <c r="B6923" s="15"/>
      <c r="C6923" s="9">
        <f>IFERROR(__xludf.DUMMYFUNCTION("""COMPUTED_VALUE"""),44532.406055324)</f>
        <v>44532.40606</v>
      </c>
      <c r="D6923" s="15">
        <f>IFERROR(__xludf.DUMMYFUNCTION("""COMPUTED_VALUE"""),1.037)</f>
        <v>1.037</v>
      </c>
      <c r="E6923" s="16">
        <f>IFERROR(__xludf.DUMMYFUNCTION("""COMPUTED_VALUE"""),64.0)</f>
        <v>64</v>
      </c>
      <c r="F6923" s="19" t="str">
        <f>IFERROR(__xludf.DUMMYFUNCTION("""COMPUTED_VALUE"""),"BLACK")</f>
        <v>BLACK</v>
      </c>
      <c r="G6923" s="20" t="str">
        <f>IFERROR(__xludf.DUMMYFUNCTION("""COMPUTED_VALUE"""),"Uncle Sams Cider (11/12/2021) 02")</f>
        <v>Uncle Sams Cider (11/12/2021) 02</v>
      </c>
      <c r="H6923" s="19"/>
    </row>
    <row r="6924">
      <c r="A6924" s="9"/>
      <c r="B6924" s="15"/>
      <c r="C6924" s="9">
        <f>IFERROR(__xludf.DUMMYFUNCTION("""COMPUTED_VALUE"""),44532.3956104861)</f>
        <v>44532.39561</v>
      </c>
      <c r="D6924" s="15">
        <f>IFERROR(__xludf.DUMMYFUNCTION("""COMPUTED_VALUE"""),1.037)</f>
        <v>1.037</v>
      </c>
      <c r="E6924" s="16">
        <f>IFERROR(__xludf.DUMMYFUNCTION("""COMPUTED_VALUE"""),63.0)</f>
        <v>63</v>
      </c>
      <c r="F6924" s="19" t="str">
        <f>IFERROR(__xludf.DUMMYFUNCTION("""COMPUTED_VALUE"""),"BLACK")</f>
        <v>BLACK</v>
      </c>
      <c r="G6924" s="20" t="str">
        <f>IFERROR(__xludf.DUMMYFUNCTION("""COMPUTED_VALUE"""),"Uncle Sams Cider (11/12/2021) 02")</f>
        <v>Uncle Sams Cider (11/12/2021) 02</v>
      </c>
      <c r="H6924" s="19"/>
    </row>
    <row r="6925">
      <c r="A6925" s="9"/>
      <c r="B6925" s="15"/>
      <c r="C6925" s="9">
        <f>IFERROR(__xludf.DUMMYFUNCTION("""COMPUTED_VALUE"""),44532.3851879398)</f>
        <v>44532.38519</v>
      </c>
      <c r="D6925" s="15">
        <f>IFERROR(__xludf.DUMMYFUNCTION("""COMPUTED_VALUE"""),1.036)</f>
        <v>1.036</v>
      </c>
      <c r="E6925" s="16">
        <f>IFERROR(__xludf.DUMMYFUNCTION("""COMPUTED_VALUE"""),64.0)</f>
        <v>64</v>
      </c>
      <c r="F6925" s="19" t="str">
        <f>IFERROR(__xludf.DUMMYFUNCTION("""COMPUTED_VALUE"""),"BLACK")</f>
        <v>BLACK</v>
      </c>
      <c r="G6925" s="20" t="str">
        <f>IFERROR(__xludf.DUMMYFUNCTION("""COMPUTED_VALUE"""),"Uncle Sams Cider (11/12/2021) 02")</f>
        <v>Uncle Sams Cider (11/12/2021) 02</v>
      </c>
      <c r="H6925" s="19"/>
    </row>
    <row r="6926">
      <c r="A6926" s="9"/>
      <c r="B6926" s="15"/>
      <c r="C6926" s="9">
        <f>IFERROR(__xludf.DUMMYFUNCTION("""COMPUTED_VALUE"""),44532.3747661342)</f>
        <v>44532.37477</v>
      </c>
      <c r="D6926" s="15">
        <f>IFERROR(__xludf.DUMMYFUNCTION("""COMPUTED_VALUE"""),1.037)</f>
        <v>1.037</v>
      </c>
      <c r="E6926" s="16">
        <f>IFERROR(__xludf.DUMMYFUNCTION("""COMPUTED_VALUE"""),64.0)</f>
        <v>64</v>
      </c>
      <c r="F6926" s="19" t="str">
        <f>IFERROR(__xludf.DUMMYFUNCTION("""COMPUTED_VALUE"""),"BLACK")</f>
        <v>BLACK</v>
      </c>
      <c r="G6926" s="20" t="str">
        <f>IFERROR(__xludf.DUMMYFUNCTION("""COMPUTED_VALUE"""),"Uncle Sams Cider (11/12/2021) 02")</f>
        <v>Uncle Sams Cider (11/12/2021) 02</v>
      </c>
      <c r="H6926" s="19"/>
    </row>
    <row r="6927">
      <c r="A6927" s="9"/>
      <c r="B6927" s="15"/>
      <c r="C6927" s="9">
        <f>IFERROR(__xludf.DUMMYFUNCTION("""COMPUTED_VALUE"""),44532.3643328124)</f>
        <v>44532.36433</v>
      </c>
      <c r="D6927" s="15">
        <f>IFERROR(__xludf.DUMMYFUNCTION("""COMPUTED_VALUE"""),1.037)</f>
        <v>1.037</v>
      </c>
      <c r="E6927" s="16">
        <f>IFERROR(__xludf.DUMMYFUNCTION("""COMPUTED_VALUE"""),63.0)</f>
        <v>63</v>
      </c>
      <c r="F6927" s="19" t="str">
        <f>IFERROR(__xludf.DUMMYFUNCTION("""COMPUTED_VALUE"""),"BLACK")</f>
        <v>BLACK</v>
      </c>
      <c r="G6927" s="20" t="str">
        <f>IFERROR(__xludf.DUMMYFUNCTION("""COMPUTED_VALUE"""),"Uncle Sams Cider (11/12/2021) 02")</f>
        <v>Uncle Sams Cider (11/12/2021) 02</v>
      </c>
      <c r="H6927" s="19"/>
    </row>
    <row r="6928">
      <c r="A6928" s="9"/>
      <c r="B6928" s="15"/>
      <c r="C6928" s="9">
        <f>IFERROR(__xludf.DUMMYFUNCTION("""COMPUTED_VALUE"""),44532.3539127546)</f>
        <v>44532.35391</v>
      </c>
      <c r="D6928" s="15">
        <f>IFERROR(__xludf.DUMMYFUNCTION("""COMPUTED_VALUE"""),1.036)</f>
        <v>1.036</v>
      </c>
      <c r="E6928" s="16">
        <f>IFERROR(__xludf.DUMMYFUNCTION("""COMPUTED_VALUE"""),63.0)</f>
        <v>63</v>
      </c>
      <c r="F6928" s="19" t="str">
        <f>IFERROR(__xludf.DUMMYFUNCTION("""COMPUTED_VALUE"""),"BLACK")</f>
        <v>BLACK</v>
      </c>
      <c r="G6928" s="20" t="str">
        <f>IFERROR(__xludf.DUMMYFUNCTION("""COMPUTED_VALUE"""),"Uncle Sams Cider (11/12/2021) 02")</f>
        <v>Uncle Sams Cider (11/12/2021) 02</v>
      </c>
      <c r="H6928" s="19"/>
    </row>
    <row r="6929">
      <c r="A6929" s="9"/>
      <c r="B6929" s="15"/>
      <c r="C6929" s="9">
        <f>IFERROR(__xludf.DUMMYFUNCTION("""COMPUTED_VALUE"""),44532.3434808796)</f>
        <v>44532.34348</v>
      </c>
      <c r="D6929" s="15">
        <f>IFERROR(__xludf.DUMMYFUNCTION("""COMPUTED_VALUE"""),1.036)</f>
        <v>1.036</v>
      </c>
      <c r="E6929" s="16">
        <f>IFERROR(__xludf.DUMMYFUNCTION("""COMPUTED_VALUE"""),63.0)</f>
        <v>63</v>
      </c>
      <c r="F6929" s="19" t="str">
        <f>IFERROR(__xludf.DUMMYFUNCTION("""COMPUTED_VALUE"""),"BLACK")</f>
        <v>BLACK</v>
      </c>
      <c r="G6929" s="20" t="str">
        <f>IFERROR(__xludf.DUMMYFUNCTION("""COMPUTED_VALUE"""),"Uncle Sams Cider (11/12/2021) 02")</f>
        <v>Uncle Sams Cider (11/12/2021) 02</v>
      </c>
      <c r="H6929" s="19"/>
    </row>
    <row r="6930">
      <c r="A6930" s="9"/>
      <c r="B6930" s="15"/>
      <c r="C6930" s="9">
        <f>IFERROR(__xludf.DUMMYFUNCTION("""COMPUTED_VALUE"""),44532.3330599421)</f>
        <v>44532.33306</v>
      </c>
      <c r="D6930" s="15">
        <f>IFERROR(__xludf.DUMMYFUNCTION("""COMPUTED_VALUE"""),1.037)</f>
        <v>1.037</v>
      </c>
      <c r="E6930" s="16">
        <f>IFERROR(__xludf.DUMMYFUNCTION("""COMPUTED_VALUE"""),63.0)</f>
        <v>63</v>
      </c>
      <c r="F6930" s="19" t="str">
        <f>IFERROR(__xludf.DUMMYFUNCTION("""COMPUTED_VALUE"""),"BLACK")</f>
        <v>BLACK</v>
      </c>
      <c r="G6930" s="20" t="str">
        <f>IFERROR(__xludf.DUMMYFUNCTION("""COMPUTED_VALUE"""),"Uncle Sams Cider (11/12/2021) 02")</f>
        <v>Uncle Sams Cider (11/12/2021) 02</v>
      </c>
      <c r="H6930" s="19"/>
    </row>
    <row r="6931">
      <c r="A6931" s="9"/>
      <c r="B6931" s="15"/>
      <c r="C6931" s="9">
        <f>IFERROR(__xludf.DUMMYFUNCTION("""COMPUTED_VALUE"""),44532.3226378935)</f>
        <v>44532.32264</v>
      </c>
      <c r="D6931" s="15">
        <f>IFERROR(__xludf.DUMMYFUNCTION("""COMPUTED_VALUE"""),1.037)</f>
        <v>1.037</v>
      </c>
      <c r="E6931" s="16">
        <f>IFERROR(__xludf.DUMMYFUNCTION("""COMPUTED_VALUE"""),63.0)</f>
        <v>63</v>
      </c>
      <c r="F6931" s="19" t="str">
        <f>IFERROR(__xludf.DUMMYFUNCTION("""COMPUTED_VALUE"""),"BLACK")</f>
        <v>BLACK</v>
      </c>
      <c r="G6931" s="20" t="str">
        <f>IFERROR(__xludf.DUMMYFUNCTION("""COMPUTED_VALUE"""),"Uncle Sams Cider (11/12/2021) 02")</f>
        <v>Uncle Sams Cider (11/12/2021) 02</v>
      </c>
      <c r="H6931" s="19"/>
    </row>
    <row r="6932">
      <c r="A6932" s="9"/>
      <c r="B6932" s="15"/>
      <c r="C6932" s="9">
        <f>IFERROR(__xludf.DUMMYFUNCTION("""COMPUTED_VALUE"""),44532.3122167592)</f>
        <v>44532.31222</v>
      </c>
      <c r="D6932" s="15">
        <f>IFERROR(__xludf.DUMMYFUNCTION("""COMPUTED_VALUE"""),1.037)</f>
        <v>1.037</v>
      </c>
      <c r="E6932" s="16">
        <f>IFERROR(__xludf.DUMMYFUNCTION("""COMPUTED_VALUE"""),63.0)</f>
        <v>63</v>
      </c>
      <c r="F6932" s="19" t="str">
        <f>IFERROR(__xludf.DUMMYFUNCTION("""COMPUTED_VALUE"""),"BLACK")</f>
        <v>BLACK</v>
      </c>
      <c r="G6932" s="20" t="str">
        <f>IFERROR(__xludf.DUMMYFUNCTION("""COMPUTED_VALUE"""),"Uncle Sams Cider (11/12/2021) 02")</f>
        <v>Uncle Sams Cider (11/12/2021) 02</v>
      </c>
      <c r="H6932" s="19"/>
    </row>
    <row r="6933">
      <c r="A6933" s="9"/>
      <c r="B6933" s="15"/>
      <c r="C6933" s="9">
        <f>IFERROR(__xludf.DUMMYFUNCTION("""COMPUTED_VALUE"""),44532.3017733912)</f>
        <v>44532.30177</v>
      </c>
      <c r="D6933" s="15">
        <f>IFERROR(__xludf.DUMMYFUNCTION("""COMPUTED_VALUE"""),1.037)</f>
        <v>1.037</v>
      </c>
      <c r="E6933" s="16">
        <f>IFERROR(__xludf.DUMMYFUNCTION("""COMPUTED_VALUE"""),63.0)</f>
        <v>63</v>
      </c>
      <c r="F6933" s="19" t="str">
        <f>IFERROR(__xludf.DUMMYFUNCTION("""COMPUTED_VALUE"""),"BLACK")</f>
        <v>BLACK</v>
      </c>
      <c r="G6933" s="20" t="str">
        <f>IFERROR(__xludf.DUMMYFUNCTION("""COMPUTED_VALUE"""),"Uncle Sams Cider (11/12/2021) 02")</f>
        <v>Uncle Sams Cider (11/12/2021) 02</v>
      </c>
      <c r="H6933" s="19"/>
    </row>
    <row r="6934">
      <c r="A6934" s="9"/>
      <c r="B6934" s="15"/>
      <c r="C6934" s="9">
        <f>IFERROR(__xludf.DUMMYFUNCTION("""COMPUTED_VALUE"""),44532.2913279745)</f>
        <v>44532.29133</v>
      </c>
      <c r="D6934" s="15">
        <f>IFERROR(__xludf.DUMMYFUNCTION("""COMPUTED_VALUE"""),1.037)</f>
        <v>1.037</v>
      </c>
      <c r="E6934" s="16">
        <f>IFERROR(__xludf.DUMMYFUNCTION("""COMPUTED_VALUE"""),63.0)</f>
        <v>63</v>
      </c>
      <c r="F6934" s="19" t="str">
        <f>IFERROR(__xludf.DUMMYFUNCTION("""COMPUTED_VALUE"""),"BLACK")</f>
        <v>BLACK</v>
      </c>
      <c r="G6934" s="20" t="str">
        <f>IFERROR(__xludf.DUMMYFUNCTION("""COMPUTED_VALUE"""),"Uncle Sams Cider (11/12/2021) 02")</f>
        <v>Uncle Sams Cider (11/12/2021) 02</v>
      </c>
      <c r="H6934" s="19"/>
    </row>
    <row r="6935">
      <c r="A6935" s="9"/>
      <c r="B6935" s="15"/>
      <c r="C6935" s="9">
        <f>IFERROR(__xludf.DUMMYFUNCTION("""COMPUTED_VALUE"""),44532.2809072569)</f>
        <v>44532.28091</v>
      </c>
      <c r="D6935" s="15">
        <f>IFERROR(__xludf.DUMMYFUNCTION("""COMPUTED_VALUE"""),1.037)</f>
        <v>1.037</v>
      </c>
      <c r="E6935" s="16">
        <f>IFERROR(__xludf.DUMMYFUNCTION("""COMPUTED_VALUE"""),63.0)</f>
        <v>63</v>
      </c>
      <c r="F6935" s="19" t="str">
        <f>IFERROR(__xludf.DUMMYFUNCTION("""COMPUTED_VALUE"""),"BLACK")</f>
        <v>BLACK</v>
      </c>
      <c r="G6935" s="20" t="str">
        <f>IFERROR(__xludf.DUMMYFUNCTION("""COMPUTED_VALUE"""),"Uncle Sams Cider (11/12/2021) 02")</f>
        <v>Uncle Sams Cider (11/12/2021) 02</v>
      </c>
      <c r="H6935" s="19"/>
    </row>
    <row r="6936">
      <c r="A6936" s="9"/>
      <c r="B6936" s="15"/>
      <c r="C6936" s="9">
        <f>IFERROR(__xludf.DUMMYFUNCTION("""COMPUTED_VALUE"""),44532.2704753124)</f>
        <v>44532.27048</v>
      </c>
      <c r="D6936" s="15">
        <f>IFERROR(__xludf.DUMMYFUNCTION("""COMPUTED_VALUE"""),1.037)</f>
        <v>1.037</v>
      </c>
      <c r="E6936" s="16">
        <f>IFERROR(__xludf.DUMMYFUNCTION("""COMPUTED_VALUE"""),63.0)</f>
        <v>63</v>
      </c>
      <c r="F6936" s="19" t="str">
        <f>IFERROR(__xludf.DUMMYFUNCTION("""COMPUTED_VALUE"""),"BLACK")</f>
        <v>BLACK</v>
      </c>
      <c r="G6936" s="20" t="str">
        <f>IFERROR(__xludf.DUMMYFUNCTION("""COMPUTED_VALUE"""),"Uncle Sams Cider (11/12/2021) 02")</f>
        <v>Uncle Sams Cider (11/12/2021) 02</v>
      </c>
      <c r="H6936" s="19"/>
    </row>
    <row r="6937">
      <c r="A6937" s="9"/>
      <c r="B6937" s="15"/>
      <c r="C6937" s="9">
        <f>IFERROR(__xludf.DUMMYFUNCTION("""COMPUTED_VALUE"""),44532.2600542708)</f>
        <v>44532.26005</v>
      </c>
      <c r="D6937" s="15">
        <f>IFERROR(__xludf.DUMMYFUNCTION("""COMPUTED_VALUE"""),1.037)</f>
        <v>1.037</v>
      </c>
      <c r="E6937" s="16">
        <f>IFERROR(__xludf.DUMMYFUNCTION("""COMPUTED_VALUE"""),63.0)</f>
        <v>63</v>
      </c>
      <c r="F6937" s="19" t="str">
        <f>IFERROR(__xludf.DUMMYFUNCTION("""COMPUTED_VALUE"""),"BLACK")</f>
        <v>BLACK</v>
      </c>
      <c r="G6937" s="20" t="str">
        <f>IFERROR(__xludf.DUMMYFUNCTION("""COMPUTED_VALUE"""),"Uncle Sams Cider (11/12/2021) 02")</f>
        <v>Uncle Sams Cider (11/12/2021) 02</v>
      </c>
      <c r="H6937" s="19"/>
    </row>
    <row r="6938">
      <c r="A6938" s="9"/>
      <c r="B6938" s="15"/>
      <c r="C6938" s="9">
        <f>IFERROR(__xludf.DUMMYFUNCTION("""COMPUTED_VALUE"""),44532.249634456)</f>
        <v>44532.24963</v>
      </c>
      <c r="D6938" s="15">
        <f>IFERROR(__xludf.DUMMYFUNCTION("""COMPUTED_VALUE"""),1.037)</f>
        <v>1.037</v>
      </c>
      <c r="E6938" s="16">
        <f>IFERROR(__xludf.DUMMYFUNCTION("""COMPUTED_VALUE"""),64.0)</f>
        <v>64</v>
      </c>
      <c r="F6938" s="19" t="str">
        <f>IFERROR(__xludf.DUMMYFUNCTION("""COMPUTED_VALUE"""),"BLACK")</f>
        <v>BLACK</v>
      </c>
      <c r="G6938" s="20" t="str">
        <f>IFERROR(__xludf.DUMMYFUNCTION("""COMPUTED_VALUE"""),"Uncle Sams Cider (11/12/2021) 02")</f>
        <v>Uncle Sams Cider (11/12/2021) 02</v>
      </c>
      <c r="H6938" s="19"/>
    </row>
    <row r="6939">
      <c r="A6939" s="9"/>
      <c r="B6939" s="15"/>
      <c r="C6939" s="9">
        <f>IFERROR(__xludf.DUMMYFUNCTION("""COMPUTED_VALUE"""),44532.239211493)</f>
        <v>44532.23921</v>
      </c>
      <c r="D6939" s="15">
        <f>IFERROR(__xludf.DUMMYFUNCTION("""COMPUTED_VALUE"""),1.037)</f>
        <v>1.037</v>
      </c>
      <c r="E6939" s="16">
        <f>IFERROR(__xludf.DUMMYFUNCTION("""COMPUTED_VALUE"""),63.0)</f>
        <v>63</v>
      </c>
      <c r="F6939" s="19" t="str">
        <f>IFERROR(__xludf.DUMMYFUNCTION("""COMPUTED_VALUE"""),"BLACK")</f>
        <v>BLACK</v>
      </c>
      <c r="G6939" s="20" t="str">
        <f>IFERROR(__xludf.DUMMYFUNCTION("""COMPUTED_VALUE"""),"Uncle Sams Cider (11/12/2021) 02")</f>
        <v>Uncle Sams Cider (11/12/2021) 02</v>
      </c>
      <c r="H6939" s="19"/>
    </row>
    <row r="6940">
      <c r="A6940" s="9"/>
      <c r="B6940" s="15"/>
      <c r="C6940" s="9">
        <f>IFERROR(__xludf.DUMMYFUNCTION("""COMPUTED_VALUE"""),44532.2287907523)</f>
        <v>44532.22879</v>
      </c>
      <c r="D6940" s="15">
        <f>IFERROR(__xludf.DUMMYFUNCTION("""COMPUTED_VALUE"""),1.037)</f>
        <v>1.037</v>
      </c>
      <c r="E6940" s="16">
        <f>IFERROR(__xludf.DUMMYFUNCTION("""COMPUTED_VALUE"""),63.0)</f>
        <v>63</v>
      </c>
      <c r="F6940" s="19" t="str">
        <f>IFERROR(__xludf.DUMMYFUNCTION("""COMPUTED_VALUE"""),"BLACK")</f>
        <v>BLACK</v>
      </c>
      <c r="G6940" s="20" t="str">
        <f>IFERROR(__xludf.DUMMYFUNCTION("""COMPUTED_VALUE"""),"Uncle Sams Cider (11/12/2021) 02")</f>
        <v>Uncle Sams Cider (11/12/2021) 02</v>
      </c>
      <c r="H6940" s="19"/>
    </row>
    <row r="6941">
      <c r="A6941" s="9"/>
      <c r="B6941" s="15"/>
      <c r="C6941" s="9">
        <f>IFERROR(__xludf.DUMMYFUNCTION("""COMPUTED_VALUE"""),44532.2183568865)</f>
        <v>44532.21836</v>
      </c>
      <c r="D6941" s="15">
        <f>IFERROR(__xludf.DUMMYFUNCTION("""COMPUTED_VALUE"""),1.037)</f>
        <v>1.037</v>
      </c>
      <c r="E6941" s="16">
        <f>IFERROR(__xludf.DUMMYFUNCTION("""COMPUTED_VALUE"""),63.0)</f>
        <v>63</v>
      </c>
      <c r="F6941" s="19" t="str">
        <f>IFERROR(__xludf.DUMMYFUNCTION("""COMPUTED_VALUE"""),"BLACK")</f>
        <v>BLACK</v>
      </c>
      <c r="G6941" s="20" t="str">
        <f>IFERROR(__xludf.DUMMYFUNCTION("""COMPUTED_VALUE"""),"Uncle Sams Cider (11/12/2021) 02")</f>
        <v>Uncle Sams Cider (11/12/2021) 02</v>
      </c>
      <c r="H6941" s="19"/>
    </row>
    <row r="6942">
      <c r="A6942" s="9"/>
      <c r="B6942" s="15"/>
      <c r="C6942" s="9">
        <f>IFERROR(__xludf.DUMMYFUNCTION("""COMPUTED_VALUE"""),44532.20793728)</f>
        <v>44532.20794</v>
      </c>
      <c r="D6942" s="15">
        <f>IFERROR(__xludf.DUMMYFUNCTION("""COMPUTED_VALUE"""),1.037)</f>
        <v>1.037</v>
      </c>
      <c r="E6942" s="16">
        <f>IFERROR(__xludf.DUMMYFUNCTION("""COMPUTED_VALUE"""),63.0)</f>
        <v>63</v>
      </c>
      <c r="F6942" s="19" t="str">
        <f>IFERROR(__xludf.DUMMYFUNCTION("""COMPUTED_VALUE"""),"BLACK")</f>
        <v>BLACK</v>
      </c>
      <c r="G6942" s="20" t="str">
        <f>IFERROR(__xludf.DUMMYFUNCTION("""COMPUTED_VALUE"""),"Uncle Sams Cider (11/12/2021) 02")</f>
        <v>Uncle Sams Cider (11/12/2021) 02</v>
      </c>
      <c r="H6942" s="19"/>
    </row>
    <row r="6943">
      <c r="A6943" s="9"/>
      <c r="B6943" s="15"/>
      <c r="C6943" s="9">
        <f>IFERROR(__xludf.DUMMYFUNCTION("""COMPUTED_VALUE"""),44532.1975159722)</f>
        <v>44532.19752</v>
      </c>
      <c r="D6943" s="15">
        <f>IFERROR(__xludf.DUMMYFUNCTION("""COMPUTED_VALUE"""),1.037)</f>
        <v>1.037</v>
      </c>
      <c r="E6943" s="16">
        <f>IFERROR(__xludf.DUMMYFUNCTION("""COMPUTED_VALUE"""),63.0)</f>
        <v>63</v>
      </c>
      <c r="F6943" s="19" t="str">
        <f>IFERROR(__xludf.DUMMYFUNCTION("""COMPUTED_VALUE"""),"BLACK")</f>
        <v>BLACK</v>
      </c>
      <c r="G6943" s="20" t="str">
        <f>IFERROR(__xludf.DUMMYFUNCTION("""COMPUTED_VALUE"""),"Uncle Sams Cider (11/12/2021) 02")</f>
        <v>Uncle Sams Cider (11/12/2021) 02</v>
      </c>
      <c r="H6943" s="19"/>
    </row>
    <row r="6944">
      <c r="A6944" s="9"/>
      <c r="B6944" s="15"/>
      <c r="C6944" s="9">
        <f>IFERROR(__xludf.DUMMYFUNCTION("""COMPUTED_VALUE"""),44532.1870936921)</f>
        <v>44532.18709</v>
      </c>
      <c r="D6944" s="15">
        <f>IFERROR(__xludf.DUMMYFUNCTION("""COMPUTED_VALUE"""),1.037)</f>
        <v>1.037</v>
      </c>
      <c r="E6944" s="16">
        <f>IFERROR(__xludf.DUMMYFUNCTION("""COMPUTED_VALUE"""),63.0)</f>
        <v>63</v>
      </c>
      <c r="F6944" s="19" t="str">
        <f>IFERROR(__xludf.DUMMYFUNCTION("""COMPUTED_VALUE"""),"BLACK")</f>
        <v>BLACK</v>
      </c>
      <c r="G6944" s="20" t="str">
        <f>IFERROR(__xludf.DUMMYFUNCTION("""COMPUTED_VALUE"""),"Uncle Sams Cider (11/12/2021) 02")</f>
        <v>Uncle Sams Cider (11/12/2021) 02</v>
      </c>
      <c r="H6944" s="19"/>
    </row>
    <row r="6945">
      <c r="A6945" s="9"/>
      <c r="B6945" s="15"/>
      <c r="C6945" s="9">
        <f>IFERROR(__xludf.DUMMYFUNCTION("""COMPUTED_VALUE"""),44532.1766614814)</f>
        <v>44532.17666</v>
      </c>
      <c r="D6945" s="15">
        <f>IFERROR(__xludf.DUMMYFUNCTION("""COMPUTED_VALUE"""),1.037)</f>
        <v>1.037</v>
      </c>
      <c r="E6945" s="16">
        <f>IFERROR(__xludf.DUMMYFUNCTION("""COMPUTED_VALUE"""),64.0)</f>
        <v>64</v>
      </c>
      <c r="F6945" s="19" t="str">
        <f>IFERROR(__xludf.DUMMYFUNCTION("""COMPUTED_VALUE"""),"BLACK")</f>
        <v>BLACK</v>
      </c>
      <c r="G6945" s="20" t="str">
        <f>IFERROR(__xludf.DUMMYFUNCTION("""COMPUTED_VALUE"""),"Uncle Sams Cider (11/12/2021) 02")</f>
        <v>Uncle Sams Cider (11/12/2021) 02</v>
      </c>
      <c r="H6945" s="19"/>
    </row>
    <row r="6946">
      <c r="A6946" s="9"/>
      <c r="B6946" s="15"/>
      <c r="C6946" s="9">
        <f>IFERROR(__xludf.DUMMYFUNCTION("""COMPUTED_VALUE"""),44532.1662303356)</f>
        <v>44532.16623</v>
      </c>
      <c r="D6946" s="15">
        <f>IFERROR(__xludf.DUMMYFUNCTION("""COMPUTED_VALUE"""),1.037)</f>
        <v>1.037</v>
      </c>
      <c r="E6946" s="16">
        <f>IFERROR(__xludf.DUMMYFUNCTION("""COMPUTED_VALUE"""),64.0)</f>
        <v>64</v>
      </c>
      <c r="F6946" s="19" t="str">
        <f>IFERROR(__xludf.DUMMYFUNCTION("""COMPUTED_VALUE"""),"BLACK")</f>
        <v>BLACK</v>
      </c>
      <c r="G6946" s="20" t="str">
        <f>IFERROR(__xludf.DUMMYFUNCTION("""COMPUTED_VALUE"""),"Uncle Sams Cider (11/12/2021) 02")</f>
        <v>Uncle Sams Cider (11/12/2021) 02</v>
      </c>
      <c r="H6946" s="19"/>
    </row>
    <row r="6947">
      <c r="A6947" s="9"/>
      <c r="B6947" s="15"/>
      <c r="C6947" s="9">
        <f>IFERROR(__xludf.DUMMYFUNCTION("""COMPUTED_VALUE"""),44532.1558080902)</f>
        <v>44532.15581</v>
      </c>
      <c r="D6947" s="15">
        <f>IFERROR(__xludf.DUMMYFUNCTION("""COMPUTED_VALUE"""),1.037)</f>
        <v>1.037</v>
      </c>
      <c r="E6947" s="16">
        <f>IFERROR(__xludf.DUMMYFUNCTION("""COMPUTED_VALUE"""),63.0)</f>
        <v>63</v>
      </c>
      <c r="F6947" s="19" t="str">
        <f>IFERROR(__xludf.DUMMYFUNCTION("""COMPUTED_VALUE"""),"BLACK")</f>
        <v>BLACK</v>
      </c>
      <c r="G6947" s="20" t="str">
        <f>IFERROR(__xludf.DUMMYFUNCTION("""COMPUTED_VALUE"""),"Uncle Sams Cider (11/12/2021) 02")</f>
        <v>Uncle Sams Cider (11/12/2021) 02</v>
      </c>
      <c r="H6947" s="19"/>
    </row>
    <row r="6948">
      <c r="A6948" s="9"/>
      <c r="B6948" s="15"/>
      <c r="C6948" s="9">
        <f>IFERROR(__xludf.DUMMYFUNCTION("""COMPUTED_VALUE"""),44532.1453756944)</f>
        <v>44532.14538</v>
      </c>
      <c r="D6948" s="15">
        <f>IFERROR(__xludf.DUMMYFUNCTION("""COMPUTED_VALUE"""),1.037)</f>
        <v>1.037</v>
      </c>
      <c r="E6948" s="16">
        <f>IFERROR(__xludf.DUMMYFUNCTION("""COMPUTED_VALUE"""),63.0)</f>
        <v>63</v>
      </c>
      <c r="F6948" s="19" t="str">
        <f>IFERROR(__xludf.DUMMYFUNCTION("""COMPUTED_VALUE"""),"BLACK")</f>
        <v>BLACK</v>
      </c>
      <c r="G6948" s="20" t="str">
        <f>IFERROR(__xludf.DUMMYFUNCTION("""COMPUTED_VALUE"""),"Uncle Sams Cider (11/12/2021) 02")</f>
        <v>Uncle Sams Cider (11/12/2021) 02</v>
      </c>
      <c r="H6948" s="19"/>
    </row>
    <row r="6949">
      <c r="A6949" s="9"/>
      <c r="B6949" s="15"/>
      <c r="C6949" s="9">
        <f>IFERROR(__xludf.DUMMYFUNCTION("""COMPUTED_VALUE"""),44532.1349539814)</f>
        <v>44532.13495</v>
      </c>
      <c r="D6949" s="15">
        <f>IFERROR(__xludf.DUMMYFUNCTION("""COMPUTED_VALUE"""),1.037)</f>
        <v>1.037</v>
      </c>
      <c r="E6949" s="16">
        <f>IFERROR(__xludf.DUMMYFUNCTION("""COMPUTED_VALUE"""),64.0)</f>
        <v>64</v>
      </c>
      <c r="F6949" s="19" t="str">
        <f>IFERROR(__xludf.DUMMYFUNCTION("""COMPUTED_VALUE"""),"BLACK")</f>
        <v>BLACK</v>
      </c>
      <c r="G6949" s="20" t="str">
        <f>IFERROR(__xludf.DUMMYFUNCTION("""COMPUTED_VALUE"""),"Uncle Sams Cider (11/12/2021) 02")</f>
        <v>Uncle Sams Cider (11/12/2021) 02</v>
      </c>
      <c r="H6949" s="19"/>
    </row>
    <row r="6950">
      <c r="A6950" s="9"/>
      <c r="B6950" s="15"/>
      <c r="C6950" s="9">
        <f>IFERROR(__xludf.DUMMYFUNCTION("""COMPUTED_VALUE"""),44532.1245102662)</f>
        <v>44532.12451</v>
      </c>
      <c r="D6950" s="15">
        <f>IFERROR(__xludf.DUMMYFUNCTION("""COMPUTED_VALUE"""),1.037)</f>
        <v>1.037</v>
      </c>
      <c r="E6950" s="16">
        <f>IFERROR(__xludf.DUMMYFUNCTION("""COMPUTED_VALUE"""),63.0)</f>
        <v>63</v>
      </c>
      <c r="F6950" s="19" t="str">
        <f>IFERROR(__xludf.DUMMYFUNCTION("""COMPUTED_VALUE"""),"BLACK")</f>
        <v>BLACK</v>
      </c>
      <c r="G6950" s="20" t="str">
        <f>IFERROR(__xludf.DUMMYFUNCTION("""COMPUTED_VALUE"""),"Uncle Sams Cider (11/12/2021) 02")</f>
        <v>Uncle Sams Cider (11/12/2021) 02</v>
      </c>
      <c r="H6950" s="19"/>
    </row>
    <row r="6951">
      <c r="A6951" s="9"/>
      <c r="B6951" s="15"/>
      <c r="C6951" s="9">
        <f>IFERROR(__xludf.DUMMYFUNCTION("""COMPUTED_VALUE"""),44532.1140774652)</f>
        <v>44532.11408</v>
      </c>
      <c r="D6951" s="15">
        <f>IFERROR(__xludf.DUMMYFUNCTION("""COMPUTED_VALUE"""),1.037)</f>
        <v>1.037</v>
      </c>
      <c r="E6951" s="16">
        <f>IFERROR(__xludf.DUMMYFUNCTION("""COMPUTED_VALUE"""),63.0)</f>
        <v>63</v>
      </c>
      <c r="F6951" s="19" t="str">
        <f>IFERROR(__xludf.DUMMYFUNCTION("""COMPUTED_VALUE"""),"BLACK")</f>
        <v>BLACK</v>
      </c>
      <c r="G6951" s="20" t="str">
        <f>IFERROR(__xludf.DUMMYFUNCTION("""COMPUTED_VALUE"""),"Uncle Sams Cider (11/12/2021) 02")</f>
        <v>Uncle Sams Cider (11/12/2021) 02</v>
      </c>
      <c r="H6951" s="19"/>
    </row>
    <row r="6952">
      <c r="A6952" s="9"/>
      <c r="B6952" s="15"/>
      <c r="C6952" s="9">
        <f>IFERROR(__xludf.DUMMYFUNCTION("""COMPUTED_VALUE"""),44532.1036559722)</f>
        <v>44532.10366</v>
      </c>
      <c r="D6952" s="15">
        <f>IFERROR(__xludf.DUMMYFUNCTION("""COMPUTED_VALUE"""),1.037)</f>
        <v>1.037</v>
      </c>
      <c r="E6952" s="16">
        <f>IFERROR(__xludf.DUMMYFUNCTION("""COMPUTED_VALUE"""),64.0)</f>
        <v>64</v>
      </c>
      <c r="F6952" s="19" t="str">
        <f>IFERROR(__xludf.DUMMYFUNCTION("""COMPUTED_VALUE"""),"BLACK")</f>
        <v>BLACK</v>
      </c>
      <c r="G6952" s="20" t="str">
        <f>IFERROR(__xludf.DUMMYFUNCTION("""COMPUTED_VALUE"""),"Uncle Sams Cider (11/12/2021) 02")</f>
        <v>Uncle Sams Cider (11/12/2021) 02</v>
      </c>
      <c r="H6952" s="19"/>
    </row>
    <row r="6953">
      <c r="A6953" s="9"/>
      <c r="B6953" s="15"/>
      <c r="C6953" s="9">
        <f>IFERROR(__xludf.DUMMYFUNCTION("""COMPUTED_VALUE"""),44532.0932238773)</f>
        <v>44532.09322</v>
      </c>
      <c r="D6953" s="15">
        <f>IFERROR(__xludf.DUMMYFUNCTION("""COMPUTED_VALUE"""),1.037)</f>
        <v>1.037</v>
      </c>
      <c r="E6953" s="16">
        <f>IFERROR(__xludf.DUMMYFUNCTION("""COMPUTED_VALUE"""),64.0)</f>
        <v>64</v>
      </c>
      <c r="F6953" s="19" t="str">
        <f>IFERROR(__xludf.DUMMYFUNCTION("""COMPUTED_VALUE"""),"BLACK")</f>
        <v>BLACK</v>
      </c>
      <c r="G6953" s="20" t="str">
        <f>IFERROR(__xludf.DUMMYFUNCTION("""COMPUTED_VALUE"""),"Uncle Sams Cider (11/12/2021) 02")</f>
        <v>Uncle Sams Cider (11/12/2021) 02</v>
      </c>
      <c r="H6953" s="19"/>
    </row>
    <row r="6954">
      <c r="A6954" s="9"/>
      <c r="B6954" s="15"/>
      <c r="C6954" s="9">
        <f>IFERROR(__xludf.DUMMYFUNCTION("""COMPUTED_VALUE"""),44532.082802581)</f>
        <v>44532.0828</v>
      </c>
      <c r="D6954" s="15">
        <f>IFERROR(__xludf.DUMMYFUNCTION("""COMPUTED_VALUE"""),1.037)</f>
        <v>1.037</v>
      </c>
      <c r="E6954" s="16">
        <f>IFERROR(__xludf.DUMMYFUNCTION("""COMPUTED_VALUE"""),64.0)</f>
        <v>64</v>
      </c>
      <c r="F6954" s="19" t="str">
        <f>IFERROR(__xludf.DUMMYFUNCTION("""COMPUTED_VALUE"""),"BLACK")</f>
        <v>BLACK</v>
      </c>
      <c r="G6954" s="20" t="str">
        <f>IFERROR(__xludf.DUMMYFUNCTION("""COMPUTED_VALUE"""),"Uncle Sams Cider (11/12/2021) 02")</f>
        <v>Uncle Sams Cider (11/12/2021) 02</v>
      </c>
      <c r="H6954" s="19"/>
    </row>
    <row r="6955">
      <c r="A6955" s="9"/>
      <c r="B6955" s="15"/>
      <c r="C6955" s="9">
        <f>IFERROR(__xludf.DUMMYFUNCTION("""COMPUTED_VALUE"""),44532.0723801041)</f>
        <v>44532.07238</v>
      </c>
      <c r="D6955" s="15">
        <f>IFERROR(__xludf.DUMMYFUNCTION("""COMPUTED_VALUE"""),1.037)</f>
        <v>1.037</v>
      </c>
      <c r="E6955" s="16">
        <f>IFERROR(__xludf.DUMMYFUNCTION("""COMPUTED_VALUE"""),64.0)</f>
        <v>64</v>
      </c>
      <c r="F6955" s="19" t="str">
        <f>IFERROR(__xludf.DUMMYFUNCTION("""COMPUTED_VALUE"""),"BLACK")</f>
        <v>BLACK</v>
      </c>
      <c r="G6955" s="20" t="str">
        <f>IFERROR(__xludf.DUMMYFUNCTION("""COMPUTED_VALUE"""),"Uncle Sams Cider (11/12/2021) 02")</f>
        <v>Uncle Sams Cider (11/12/2021) 02</v>
      </c>
      <c r="H6955" s="19"/>
    </row>
    <row r="6956">
      <c r="A6956" s="9"/>
      <c r="B6956" s="15"/>
      <c r="C6956" s="9">
        <f>IFERROR(__xludf.DUMMYFUNCTION("""COMPUTED_VALUE"""),44532.0619574999)</f>
        <v>44532.06196</v>
      </c>
      <c r="D6956" s="15">
        <f>IFERROR(__xludf.DUMMYFUNCTION("""COMPUTED_VALUE"""),1.037)</f>
        <v>1.037</v>
      </c>
      <c r="E6956" s="16">
        <f>IFERROR(__xludf.DUMMYFUNCTION("""COMPUTED_VALUE"""),63.0)</f>
        <v>63</v>
      </c>
      <c r="F6956" s="19" t="str">
        <f>IFERROR(__xludf.DUMMYFUNCTION("""COMPUTED_VALUE"""),"BLACK")</f>
        <v>BLACK</v>
      </c>
      <c r="G6956" s="20" t="str">
        <f>IFERROR(__xludf.DUMMYFUNCTION("""COMPUTED_VALUE"""),"Uncle Sams Cider (11/12/2021) 02")</f>
        <v>Uncle Sams Cider (11/12/2021) 02</v>
      </c>
      <c r="H6956" s="19"/>
    </row>
    <row r="6957">
      <c r="A6957" s="9"/>
      <c r="B6957" s="15"/>
      <c r="C6957" s="9">
        <f>IFERROR(__xludf.DUMMYFUNCTION("""COMPUTED_VALUE"""),44532.0515248032)</f>
        <v>44532.05152</v>
      </c>
      <c r="D6957" s="15">
        <f>IFERROR(__xludf.DUMMYFUNCTION("""COMPUTED_VALUE"""),1.037)</f>
        <v>1.037</v>
      </c>
      <c r="E6957" s="16">
        <f>IFERROR(__xludf.DUMMYFUNCTION("""COMPUTED_VALUE"""),64.0)</f>
        <v>64</v>
      </c>
      <c r="F6957" s="19" t="str">
        <f>IFERROR(__xludf.DUMMYFUNCTION("""COMPUTED_VALUE"""),"BLACK")</f>
        <v>BLACK</v>
      </c>
      <c r="G6957" s="20" t="str">
        <f>IFERROR(__xludf.DUMMYFUNCTION("""COMPUTED_VALUE"""),"Uncle Sams Cider (11/12/2021) 02")</f>
        <v>Uncle Sams Cider (11/12/2021) 02</v>
      </c>
      <c r="H6957" s="19"/>
    </row>
    <row r="6958">
      <c r="A6958" s="9"/>
      <c r="B6958" s="15"/>
      <c r="C6958" s="9">
        <f>IFERROR(__xludf.DUMMYFUNCTION("""COMPUTED_VALUE"""),44532.041105949)</f>
        <v>44532.04111</v>
      </c>
      <c r="D6958" s="15">
        <f>IFERROR(__xludf.DUMMYFUNCTION("""COMPUTED_VALUE"""),1.037)</f>
        <v>1.037</v>
      </c>
      <c r="E6958" s="16">
        <f>IFERROR(__xludf.DUMMYFUNCTION("""COMPUTED_VALUE"""),63.0)</f>
        <v>63</v>
      </c>
      <c r="F6958" s="19" t="str">
        <f>IFERROR(__xludf.DUMMYFUNCTION("""COMPUTED_VALUE"""),"BLACK")</f>
        <v>BLACK</v>
      </c>
      <c r="G6958" s="20" t="str">
        <f>IFERROR(__xludf.DUMMYFUNCTION("""COMPUTED_VALUE"""),"Uncle Sams Cider (11/12/2021) 02")</f>
        <v>Uncle Sams Cider (11/12/2021) 02</v>
      </c>
      <c r="H6958" s="19"/>
    </row>
    <row r="6959">
      <c r="A6959" s="9"/>
      <c r="B6959" s="15"/>
      <c r="C6959" s="9">
        <f>IFERROR(__xludf.DUMMYFUNCTION("""COMPUTED_VALUE"""),44532.0306367592)</f>
        <v>44532.03064</v>
      </c>
      <c r="D6959" s="15">
        <f>IFERROR(__xludf.DUMMYFUNCTION("""COMPUTED_VALUE"""),1.037)</f>
        <v>1.037</v>
      </c>
      <c r="E6959" s="16">
        <f>IFERROR(__xludf.DUMMYFUNCTION("""COMPUTED_VALUE"""),63.0)</f>
        <v>63</v>
      </c>
      <c r="F6959" s="19" t="str">
        <f>IFERROR(__xludf.DUMMYFUNCTION("""COMPUTED_VALUE"""),"BLACK")</f>
        <v>BLACK</v>
      </c>
      <c r="G6959" s="20" t="str">
        <f>IFERROR(__xludf.DUMMYFUNCTION("""COMPUTED_VALUE"""),"Uncle Sams Cider (11/12/2021) 02")</f>
        <v>Uncle Sams Cider (11/12/2021) 02</v>
      </c>
      <c r="H6959" s="19"/>
    </row>
    <row r="6960">
      <c r="A6960" s="9"/>
      <c r="B6960" s="15"/>
      <c r="C6960" s="9">
        <f>IFERROR(__xludf.DUMMYFUNCTION("""COMPUTED_VALUE"""),44532.0202041088)</f>
        <v>44532.0202</v>
      </c>
      <c r="D6960" s="15">
        <f>IFERROR(__xludf.DUMMYFUNCTION("""COMPUTED_VALUE"""),1.037)</f>
        <v>1.037</v>
      </c>
      <c r="E6960" s="16">
        <f>IFERROR(__xludf.DUMMYFUNCTION("""COMPUTED_VALUE"""),64.0)</f>
        <v>64</v>
      </c>
      <c r="F6960" s="19" t="str">
        <f>IFERROR(__xludf.DUMMYFUNCTION("""COMPUTED_VALUE"""),"BLACK")</f>
        <v>BLACK</v>
      </c>
      <c r="G6960" s="20" t="str">
        <f>IFERROR(__xludf.DUMMYFUNCTION("""COMPUTED_VALUE"""),"Uncle Sams Cider (11/12/2021) 02")</f>
        <v>Uncle Sams Cider (11/12/2021) 02</v>
      </c>
      <c r="H6960" s="19"/>
    </row>
    <row r="6961">
      <c r="A6961" s="9"/>
      <c r="B6961" s="15"/>
      <c r="C6961" s="9">
        <f>IFERROR(__xludf.DUMMYFUNCTION("""COMPUTED_VALUE"""),44532.0097830555)</f>
        <v>44532.00978</v>
      </c>
      <c r="D6961" s="15">
        <f>IFERROR(__xludf.DUMMYFUNCTION("""COMPUTED_VALUE"""),1.037)</f>
        <v>1.037</v>
      </c>
      <c r="E6961" s="16">
        <f>IFERROR(__xludf.DUMMYFUNCTION("""COMPUTED_VALUE"""),64.0)</f>
        <v>64</v>
      </c>
      <c r="F6961" s="19" t="str">
        <f>IFERROR(__xludf.DUMMYFUNCTION("""COMPUTED_VALUE"""),"BLACK")</f>
        <v>BLACK</v>
      </c>
      <c r="G6961" s="20" t="str">
        <f>IFERROR(__xludf.DUMMYFUNCTION("""COMPUTED_VALUE"""),"Uncle Sams Cider (11/12/2021) 02")</f>
        <v>Uncle Sams Cider (11/12/2021) 02</v>
      </c>
      <c r="H6961" s="19"/>
    </row>
    <row r="6962">
      <c r="A6962" s="9"/>
      <c r="B6962" s="15"/>
      <c r="C6962" s="9">
        <f>IFERROR(__xludf.DUMMYFUNCTION("""COMPUTED_VALUE"""),44531.9993494097)</f>
        <v>44531.99935</v>
      </c>
      <c r="D6962" s="15">
        <f>IFERROR(__xludf.DUMMYFUNCTION("""COMPUTED_VALUE"""),1.037)</f>
        <v>1.037</v>
      </c>
      <c r="E6962" s="16">
        <f>IFERROR(__xludf.DUMMYFUNCTION("""COMPUTED_VALUE"""),64.0)</f>
        <v>64</v>
      </c>
      <c r="F6962" s="19" t="str">
        <f>IFERROR(__xludf.DUMMYFUNCTION("""COMPUTED_VALUE"""),"BLACK")</f>
        <v>BLACK</v>
      </c>
      <c r="G6962" s="20" t="str">
        <f>IFERROR(__xludf.DUMMYFUNCTION("""COMPUTED_VALUE"""),"Uncle Sams Cider (11/12/2021) 02")</f>
        <v>Uncle Sams Cider (11/12/2021) 02</v>
      </c>
      <c r="H6962" s="19"/>
    </row>
    <row r="6963">
      <c r="A6963" s="9"/>
      <c r="B6963" s="15"/>
      <c r="C6963" s="9">
        <f>IFERROR(__xludf.DUMMYFUNCTION("""COMPUTED_VALUE"""),44531.9889277199)</f>
        <v>44531.98893</v>
      </c>
      <c r="D6963" s="15">
        <f>IFERROR(__xludf.DUMMYFUNCTION("""COMPUTED_VALUE"""),1.037)</f>
        <v>1.037</v>
      </c>
      <c r="E6963" s="16">
        <f>IFERROR(__xludf.DUMMYFUNCTION("""COMPUTED_VALUE"""),64.0)</f>
        <v>64</v>
      </c>
      <c r="F6963" s="19" t="str">
        <f>IFERROR(__xludf.DUMMYFUNCTION("""COMPUTED_VALUE"""),"BLACK")</f>
        <v>BLACK</v>
      </c>
      <c r="G6963" s="20" t="str">
        <f>IFERROR(__xludf.DUMMYFUNCTION("""COMPUTED_VALUE"""),"Uncle Sams Cider (11/12/2021) 02")</f>
        <v>Uncle Sams Cider (11/12/2021) 02</v>
      </c>
      <c r="H6963" s="19"/>
    </row>
    <row r="6964">
      <c r="A6964" s="9"/>
      <c r="B6964" s="15"/>
      <c r="C6964" s="9">
        <f>IFERROR(__xludf.DUMMYFUNCTION("""COMPUTED_VALUE"""),44531.9784719791)</f>
        <v>44531.97847</v>
      </c>
      <c r="D6964" s="15">
        <f>IFERROR(__xludf.DUMMYFUNCTION("""COMPUTED_VALUE"""),1.037)</f>
        <v>1.037</v>
      </c>
      <c r="E6964" s="16">
        <f>IFERROR(__xludf.DUMMYFUNCTION("""COMPUTED_VALUE"""),63.0)</f>
        <v>63</v>
      </c>
      <c r="F6964" s="19" t="str">
        <f>IFERROR(__xludf.DUMMYFUNCTION("""COMPUTED_VALUE"""),"BLACK")</f>
        <v>BLACK</v>
      </c>
      <c r="G6964" s="20" t="str">
        <f>IFERROR(__xludf.DUMMYFUNCTION("""COMPUTED_VALUE"""),"Uncle Sams Cider (11/12/2021) 02")</f>
        <v>Uncle Sams Cider (11/12/2021) 02</v>
      </c>
      <c r="H6964" s="19"/>
    </row>
    <row r="6965">
      <c r="A6965" s="9"/>
      <c r="B6965" s="15"/>
      <c r="C6965" s="9">
        <f>IFERROR(__xludf.DUMMYFUNCTION("""COMPUTED_VALUE"""),44531.9680393171)</f>
        <v>44531.96804</v>
      </c>
      <c r="D6965" s="15">
        <f>IFERROR(__xludf.DUMMYFUNCTION("""COMPUTED_VALUE"""),1.037)</f>
        <v>1.037</v>
      </c>
      <c r="E6965" s="16">
        <f>IFERROR(__xludf.DUMMYFUNCTION("""COMPUTED_VALUE"""),63.0)</f>
        <v>63</v>
      </c>
      <c r="F6965" s="19" t="str">
        <f>IFERROR(__xludf.DUMMYFUNCTION("""COMPUTED_VALUE"""),"BLACK")</f>
        <v>BLACK</v>
      </c>
      <c r="G6965" s="20" t="str">
        <f>IFERROR(__xludf.DUMMYFUNCTION("""COMPUTED_VALUE"""),"Uncle Sams Cider (11/12/2021) 02")</f>
        <v>Uncle Sams Cider (11/12/2021) 02</v>
      </c>
      <c r="H6965" s="19"/>
    </row>
    <row r="6966">
      <c r="A6966" s="9"/>
      <c r="B6966" s="15"/>
      <c r="C6966" s="9">
        <f>IFERROR(__xludf.DUMMYFUNCTION("""COMPUTED_VALUE"""),44531.9576190625)</f>
        <v>44531.95762</v>
      </c>
      <c r="D6966" s="15">
        <f>IFERROR(__xludf.DUMMYFUNCTION("""COMPUTED_VALUE"""),1.037)</f>
        <v>1.037</v>
      </c>
      <c r="E6966" s="16">
        <f>IFERROR(__xludf.DUMMYFUNCTION("""COMPUTED_VALUE"""),64.0)</f>
        <v>64</v>
      </c>
      <c r="F6966" s="19" t="str">
        <f>IFERROR(__xludf.DUMMYFUNCTION("""COMPUTED_VALUE"""),"BLACK")</f>
        <v>BLACK</v>
      </c>
      <c r="G6966" s="20" t="str">
        <f>IFERROR(__xludf.DUMMYFUNCTION("""COMPUTED_VALUE"""),"Uncle Sams Cider (11/12/2021) 02")</f>
        <v>Uncle Sams Cider (11/12/2021) 02</v>
      </c>
      <c r="H6966" s="19"/>
    </row>
    <row r="6967">
      <c r="A6967" s="9"/>
      <c r="B6967" s="15"/>
      <c r="C6967" s="9">
        <f>IFERROR(__xludf.DUMMYFUNCTION("""COMPUTED_VALUE"""),44531.9471978125)</f>
        <v>44531.9472</v>
      </c>
      <c r="D6967" s="15">
        <f>IFERROR(__xludf.DUMMYFUNCTION("""COMPUTED_VALUE"""),1.037)</f>
        <v>1.037</v>
      </c>
      <c r="E6967" s="16">
        <f>IFERROR(__xludf.DUMMYFUNCTION("""COMPUTED_VALUE"""),63.0)</f>
        <v>63</v>
      </c>
      <c r="F6967" s="19" t="str">
        <f>IFERROR(__xludf.DUMMYFUNCTION("""COMPUTED_VALUE"""),"BLACK")</f>
        <v>BLACK</v>
      </c>
      <c r="G6967" s="20" t="str">
        <f>IFERROR(__xludf.DUMMYFUNCTION("""COMPUTED_VALUE"""),"Uncle Sams Cider (11/12/2021) 02")</f>
        <v>Uncle Sams Cider (11/12/2021) 02</v>
      </c>
      <c r="H6967" s="19"/>
    </row>
    <row r="6968">
      <c r="A6968" s="9"/>
      <c r="B6968" s="15"/>
      <c r="C6968" s="9">
        <f>IFERROR(__xludf.DUMMYFUNCTION("""COMPUTED_VALUE"""),44531.936763125)</f>
        <v>44531.93676</v>
      </c>
      <c r="D6968" s="15">
        <f>IFERROR(__xludf.DUMMYFUNCTION("""COMPUTED_VALUE"""),1.037)</f>
        <v>1.037</v>
      </c>
      <c r="E6968" s="16">
        <f>IFERROR(__xludf.DUMMYFUNCTION("""COMPUTED_VALUE"""),64.0)</f>
        <v>64</v>
      </c>
      <c r="F6968" s="19" t="str">
        <f>IFERROR(__xludf.DUMMYFUNCTION("""COMPUTED_VALUE"""),"BLACK")</f>
        <v>BLACK</v>
      </c>
      <c r="G6968" s="20" t="str">
        <f>IFERROR(__xludf.DUMMYFUNCTION("""COMPUTED_VALUE"""),"Uncle Sams Cider (11/12/2021) 02")</f>
        <v>Uncle Sams Cider (11/12/2021) 02</v>
      </c>
      <c r="H6968" s="19"/>
    </row>
    <row r="6969">
      <c r="A6969" s="9"/>
      <c r="B6969" s="15"/>
      <c r="C6969" s="9">
        <f>IFERROR(__xludf.DUMMYFUNCTION("""COMPUTED_VALUE"""),44531.9263427083)</f>
        <v>44531.92634</v>
      </c>
      <c r="D6969" s="15">
        <f>IFERROR(__xludf.DUMMYFUNCTION("""COMPUTED_VALUE"""),1.037)</f>
        <v>1.037</v>
      </c>
      <c r="E6969" s="16">
        <f>IFERROR(__xludf.DUMMYFUNCTION("""COMPUTED_VALUE"""),63.0)</f>
        <v>63</v>
      </c>
      <c r="F6969" s="19" t="str">
        <f>IFERROR(__xludf.DUMMYFUNCTION("""COMPUTED_VALUE"""),"BLACK")</f>
        <v>BLACK</v>
      </c>
      <c r="G6969" s="20" t="str">
        <f>IFERROR(__xludf.DUMMYFUNCTION("""COMPUTED_VALUE"""),"Uncle Sams Cider (11/12/2021) 02")</f>
        <v>Uncle Sams Cider (11/12/2021) 02</v>
      </c>
      <c r="H6969" s="19"/>
    </row>
    <row r="6970">
      <c r="A6970" s="9"/>
      <c r="B6970" s="15"/>
      <c r="C6970" s="9">
        <f>IFERROR(__xludf.DUMMYFUNCTION("""COMPUTED_VALUE"""),44531.9159096759)</f>
        <v>44531.91591</v>
      </c>
      <c r="D6970" s="15">
        <f>IFERROR(__xludf.DUMMYFUNCTION("""COMPUTED_VALUE"""),1.037)</f>
        <v>1.037</v>
      </c>
      <c r="E6970" s="16">
        <f>IFERROR(__xludf.DUMMYFUNCTION("""COMPUTED_VALUE"""),63.0)</f>
        <v>63</v>
      </c>
      <c r="F6970" s="19" t="str">
        <f>IFERROR(__xludf.DUMMYFUNCTION("""COMPUTED_VALUE"""),"BLACK")</f>
        <v>BLACK</v>
      </c>
      <c r="G6970" s="20" t="str">
        <f>IFERROR(__xludf.DUMMYFUNCTION("""COMPUTED_VALUE"""),"Uncle Sams Cider (11/12/2021) 02")</f>
        <v>Uncle Sams Cider (11/12/2021) 02</v>
      </c>
      <c r="H6970" s="19"/>
    </row>
    <row r="6971">
      <c r="A6971" s="9"/>
      <c r="B6971" s="15"/>
      <c r="C6971" s="9">
        <f>IFERROR(__xludf.DUMMYFUNCTION("""COMPUTED_VALUE"""),44531.9054547222)</f>
        <v>44531.90545</v>
      </c>
      <c r="D6971" s="15">
        <f>IFERROR(__xludf.DUMMYFUNCTION("""COMPUTED_VALUE"""),1.037)</f>
        <v>1.037</v>
      </c>
      <c r="E6971" s="16">
        <f>IFERROR(__xludf.DUMMYFUNCTION("""COMPUTED_VALUE"""),64.0)</f>
        <v>64</v>
      </c>
      <c r="F6971" s="19" t="str">
        <f>IFERROR(__xludf.DUMMYFUNCTION("""COMPUTED_VALUE"""),"BLACK")</f>
        <v>BLACK</v>
      </c>
      <c r="G6971" s="20" t="str">
        <f>IFERROR(__xludf.DUMMYFUNCTION("""COMPUTED_VALUE"""),"Uncle Sams Cider (11/12/2021) 02")</f>
        <v>Uncle Sams Cider (11/12/2021) 02</v>
      </c>
      <c r="H6971" s="19"/>
    </row>
    <row r="6972">
      <c r="A6972" s="9"/>
      <c r="B6972" s="15"/>
      <c r="C6972" s="9">
        <f>IFERROR(__xludf.DUMMYFUNCTION("""COMPUTED_VALUE"""),44531.8950339236)</f>
        <v>44531.89503</v>
      </c>
      <c r="D6972" s="15">
        <f>IFERROR(__xludf.DUMMYFUNCTION("""COMPUTED_VALUE"""),1.037)</f>
        <v>1.037</v>
      </c>
      <c r="E6972" s="16">
        <f>IFERROR(__xludf.DUMMYFUNCTION("""COMPUTED_VALUE"""),64.0)</f>
        <v>64</v>
      </c>
      <c r="F6972" s="19" t="str">
        <f>IFERROR(__xludf.DUMMYFUNCTION("""COMPUTED_VALUE"""),"BLACK")</f>
        <v>BLACK</v>
      </c>
      <c r="G6972" s="20" t="str">
        <f>IFERROR(__xludf.DUMMYFUNCTION("""COMPUTED_VALUE"""),"Uncle Sams Cider (11/12/2021) 02")</f>
        <v>Uncle Sams Cider (11/12/2021) 02</v>
      </c>
      <c r="H6972" s="19"/>
    </row>
    <row r="6973">
      <c r="A6973" s="9"/>
      <c r="B6973" s="15"/>
      <c r="C6973" s="9">
        <f>IFERROR(__xludf.DUMMYFUNCTION("""COMPUTED_VALUE"""),44531.8846124305)</f>
        <v>44531.88461</v>
      </c>
      <c r="D6973" s="15">
        <f>IFERROR(__xludf.DUMMYFUNCTION("""COMPUTED_VALUE"""),1.037)</f>
        <v>1.037</v>
      </c>
      <c r="E6973" s="16">
        <f>IFERROR(__xludf.DUMMYFUNCTION("""COMPUTED_VALUE"""),64.0)</f>
        <v>64</v>
      </c>
      <c r="F6973" s="19" t="str">
        <f>IFERROR(__xludf.DUMMYFUNCTION("""COMPUTED_VALUE"""),"BLACK")</f>
        <v>BLACK</v>
      </c>
      <c r="G6973" s="20" t="str">
        <f>IFERROR(__xludf.DUMMYFUNCTION("""COMPUTED_VALUE"""),"Uncle Sams Cider (11/12/2021) 02")</f>
        <v>Uncle Sams Cider (11/12/2021) 02</v>
      </c>
      <c r="H6973" s="19"/>
    </row>
    <row r="6974">
      <c r="A6974" s="9"/>
      <c r="B6974" s="15"/>
      <c r="C6974" s="9">
        <f>IFERROR(__xludf.DUMMYFUNCTION("""COMPUTED_VALUE"""),44531.8741672916)</f>
        <v>44531.87417</v>
      </c>
      <c r="D6974" s="15">
        <f>IFERROR(__xludf.DUMMYFUNCTION("""COMPUTED_VALUE"""),1.037)</f>
        <v>1.037</v>
      </c>
      <c r="E6974" s="16">
        <f>IFERROR(__xludf.DUMMYFUNCTION("""COMPUTED_VALUE"""),64.0)</f>
        <v>64</v>
      </c>
      <c r="F6974" s="19" t="str">
        <f>IFERROR(__xludf.DUMMYFUNCTION("""COMPUTED_VALUE"""),"BLACK")</f>
        <v>BLACK</v>
      </c>
      <c r="G6974" s="20" t="str">
        <f>IFERROR(__xludf.DUMMYFUNCTION("""COMPUTED_VALUE"""),"Uncle Sams Cider (11/12/2021) 02")</f>
        <v>Uncle Sams Cider (11/12/2021) 02</v>
      </c>
      <c r="H6974" s="19"/>
    </row>
    <row r="6975">
      <c r="A6975" s="9"/>
      <c r="B6975" s="15"/>
      <c r="C6975" s="9">
        <f>IFERROR(__xludf.DUMMYFUNCTION("""COMPUTED_VALUE"""),44531.8637222916)</f>
        <v>44531.86372</v>
      </c>
      <c r="D6975" s="15">
        <f>IFERROR(__xludf.DUMMYFUNCTION("""COMPUTED_VALUE"""),1.037)</f>
        <v>1.037</v>
      </c>
      <c r="E6975" s="16">
        <f>IFERROR(__xludf.DUMMYFUNCTION("""COMPUTED_VALUE"""),64.0)</f>
        <v>64</v>
      </c>
      <c r="F6975" s="19" t="str">
        <f>IFERROR(__xludf.DUMMYFUNCTION("""COMPUTED_VALUE"""),"BLACK")</f>
        <v>BLACK</v>
      </c>
      <c r="G6975" s="20" t="str">
        <f>IFERROR(__xludf.DUMMYFUNCTION("""COMPUTED_VALUE"""),"Uncle Sams Cider (11/12/2021) 02")</f>
        <v>Uncle Sams Cider (11/12/2021) 02</v>
      </c>
      <c r="H6975" s="19"/>
    </row>
    <row r="6976">
      <c r="A6976" s="9"/>
      <c r="B6976" s="15"/>
      <c r="C6976" s="9">
        <f>IFERROR(__xludf.DUMMYFUNCTION("""COMPUTED_VALUE"""),44531.8533030902)</f>
        <v>44531.8533</v>
      </c>
      <c r="D6976" s="15">
        <f>IFERROR(__xludf.DUMMYFUNCTION("""COMPUTED_VALUE"""),1.037)</f>
        <v>1.037</v>
      </c>
      <c r="E6976" s="16">
        <f>IFERROR(__xludf.DUMMYFUNCTION("""COMPUTED_VALUE"""),64.0)</f>
        <v>64</v>
      </c>
      <c r="F6976" s="19" t="str">
        <f>IFERROR(__xludf.DUMMYFUNCTION("""COMPUTED_VALUE"""),"BLACK")</f>
        <v>BLACK</v>
      </c>
      <c r="G6976" s="20" t="str">
        <f>IFERROR(__xludf.DUMMYFUNCTION("""COMPUTED_VALUE"""),"Uncle Sams Cider (11/12/2021) 02")</f>
        <v>Uncle Sams Cider (11/12/2021) 02</v>
      </c>
      <c r="H6976" s="19"/>
    </row>
    <row r="6977">
      <c r="A6977" s="9"/>
      <c r="B6977" s="15"/>
      <c r="C6977" s="9">
        <f>IFERROR(__xludf.DUMMYFUNCTION("""COMPUTED_VALUE"""),44531.8428828703)</f>
        <v>44531.84288</v>
      </c>
      <c r="D6977" s="15">
        <f>IFERROR(__xludf.DUMMYFUNCTION("""COMPUTED_VALUE"""),1.037)</f>
        <v>1.037</v>
      </c>
      <c r="E6977" s="16">
        <f>IFERROR(__xludf.DUMMYFUNCTION("""COMPUTED_VALUE"""),63.0)</f>
        <v>63</v>
      </c>
      <c r="F6977" s="19" t="str">
        <f>IFERROR(__xludf.DUMMYFUNCTION("""COMPUTED_VALUE"""),"BLACK")</f>
        <v>BLACK</v>
      </c>
      <c r="G6977" s="20" t="str">
        <f>IFERROR(__xludf.DUMMYFUNCTION("""COMPUTED_VALUE"""),"Uncle Sams Cider (11/12/2021) 02")</f>
        <v>Uncle Sams Cider (11/12/2021) 02</v>
      </c>
      <c r="H6977" s="19"/>
    </row>
    <row r="6978">
      <c r="A6978" s="9"/>
      <c r="B6978" s="15"/>
      <c r="C6978" s="9">
        <f>IFERROR(__xludf.DUMMYFUNCTION("""COMPUTED_VALUE"""),44531.8324612731)</f>
        <v>44531.83246</v>
      </c>
      <c r="D6978" s="15">
        <f>IFERROR(__xludf.DUMMYFUNCTION("""COMPUTED_VALUE"""),1.037)</f>
        <v>1.037</v>
      </c>
      <c r="E6978" s="16">
        <f>IFERROR(__xludf.DUMMYFUNCTION("""COMPUTED_VALUE"""),64.0)</f>
        <v>64</v>
      </c>
      <c r="F6978" s="19" t="str">
        <f>IFERROR(__xludf.DUMMYFUNCTION("""COMPUTED_VALUE"""),"BLACK")</f>
        <v>BLACK</v>
      </c>
      <c r="G6978" s="20" t="str">
        <f>IFERROR(__xludf.DUMMYFUNCTION("""COMPUTED_VALUE"""),"Uncle Sams Cider (11/12/2021) 02")</f>
        <v>Uncle Sams Cider (11/12/2021) 02</v>
      </c>
      <c r="H6978" s="19"/>
    </row>
    <row r="6979">
      <c r="A6979" s="9"/>
      <c r="B6979" s="15"/>
      <c r="C6979" s="9">
        <f>IFERROR(__xludf.DUMMYFUNCTION("""COMPUTED_VALUE"""),44531.8220292476)</f>
        <v>44531.82203</v>
      </c>
      <c r="D6979" s="15">
        <f>IFERROR(__xludf.DUMMYFUNCTION("""COMPUTED_VALUE"""),1.037)</f>
        <v>1.037</v>
      </c>
      <c r="E6979" s="16">
        <f>IFERROR(__xludf.DUMMYFUNCTION("""COMPUTED_VALUE"""),64.0)</f>
        <v>64</v>
      </c>
      <c r="F6979" s="19" t="str">
        <f>IFERROR(__xludf.DUMMYFUNCTION("""COMPUTED_VALUE"""),"BLACK")</f>
        <v>BLACK</v>
      </c>
      <c r="G6979" s="20" t="str">
        <f>IFERROR(__xludf.DUMMYFUNCTION("""COMPUTED_VALUE"""),"Uncle Sams Cider (11/12/2021) 02")</f>
        <v>Uncle Sams Cider (11/12/2021) 02</v>
      </c>
      <c r="H6979" s="19"/>
    </row>
    <row r="6980">
      <c r="A6980" s="9"/>
      <c r="B6980" s="15"/>
      <c r="C6980" s="9">
        <f>IFERROR(__xludf.DUMMYFUNCTION("""COMPUTED_VALUE"""),44531.8116073379)</f>
        <v>44531.81161</v>
      </c>
      <c r="D6980" s="15">
        <f>IFERROR(__xludf.DUMMYFUNCTION("""COMPUTED_VALUE"""),1.037)</f>
        <v>1.037</v>
      </c>
      <c r="E6980" s="16">
        <f>IFERROR(__xludf.DUMMYFUNCTION("""COMPUTED_VALUE"""),64.0)</f>
        <v>64</v>
      </c>
      <c r="F6980" s="19" t="str">
        <f>IFERROR(__xludf.DUMMYFUNCTION("""COMPUTED_VALUE"""),"BLACK")</f>
        <v>BLACK</v>
      </c>
      <c r="G6980" s="20" t="str">
        <f>IFERROR(__xludf.DUMMYFUNCTION("""COMPUTED_VALUE"""),"Uncle Sams Cider (11/12/2021) 02")</f>
        <v>Uncle Sams Cider (11/12/2021) 02</v>
      </c>
      <c r="H6980" s="19"/>
    </row>
    <row r="6981">
      <c r="A6981" s="9"/>
      <c r="B6981" s="15"/>
      <c r="C6981" s="9">
        <f>IFERROR(__xludf.DUMMYFUNCTION("""COMPUTED_VALUE"""),44531.8011743055)</f>
        <v>44531.80117</v>
      </c>
      <c r="D6981" s="15">
        <f>IFERROR(__xludf.DUMMYFUNCTION("""COMPUTED_VALUE"""),1.037)</f>
        <v>1.037</v>
      </c>
      <c r="E6981" s="16">
        <f>IFERROR(__xludf.DUMMYFUNCTION("""COMPUTED_VALUE"""),64.0)</f>
        <v>64</v>
      </c>
      <c r="F6981" s="19" t="str">
        <f>IFERROR(__xludf.DUMMYFUNCTION("""COMPUTED_VALUE"""),"BLACK")</f>
        <v>BLACK</v>
      </c>
      <c r="G6981" s="20" t="str">
        <f>IFERROR(__xludf.DUMMYFUNCTION("""COMPUTED_VALUE"""),"Uncle Sams Cider (11/12/2021) 02")</f>
        <v>Uncle Sams Cider (11/12/2021) 02</v>
      </c>
      <c r="H6981" s="19"/>
    </row>
    <row r="6982">
      <c r="A6982" s="9"/>
      <c r="B6982" s="15"/>
      <c r="C6982" s="9">
        <f>IFERROR(__xludf.DUMMYFUNCTION("""COMPUTED_VALUE"""),44531.7907547222)</f>
        <v>44531.79075</v>
      </c>
      <c r="D6982" s="15">
        <f>IFERROR(__xludf.DUMMYFUNCTION("""COMPUTED_VALUE"""),1.037)</f>
        <v>1.037</v>
      </c>
      <c r="E6982" s="16">
        <f>IFERROR(__xludf.DUMMYFUNCTION("""COMPUTED_VALUE"""),64.0)</f>
        <v>64</v>
      </c>
      <c r="F6982" s="19" t="str">
        <f>IFERROR(__xludf.DUMMYFUNCTION("""COMPUTED_VALUE"""),"BLACK")</f>
        <v>BLACK</v>
      </c>
      <c r="G6982" s="20" t="str">
        <f>IFERROR(__xludf.DUMMYFUNCTION("""COMPUTED_VALUE"""),"Uncle Sams Cider (11/12/2021) 02")</f>
        <v>Uncle Sams Cider (11/12/2021) 02</v>
      </c>
      <c r="H6982" s="19"/>
    </row>
    <row r="6983">
      <c r="A6983" s="9"/>
      <c r="B6983" s="15"/>
      <c r="C6983" s="9">
        <f>IFERROR(__xludf.DUMMYFUNCTION("""COMPUTED_VALUE"""),44531.7803230671)</f>
        <v>44531.78032</v>
      </c>
      <c r="D6983" s="15">
        <f>IFERROR(__xludf.DUMMYFUNCTION("""COMPUTED_VALUE"""),1.037)</f>
        <v>1.037</v>
      </c>
      <c r="E6983" s="16">
        <f>IFERROR(__xludf.DUMMYFUNCTION("""COMPUTED_VALUE"""),64.0)</f>
        <v>64</v>
      </c>
      <c r="F6983" s="19" t="str">
        <f>IFERROR(__xludf.DUMMYFUNCTION("""COMPUTED_VALUE"""),"BLACK")</f>
        <v>BLACK</v>
      </c>
      <c r="G6983" s="20" t="str">
        <f>IFERROR(__xludf.DUMMYFUNCTION("""COMPUTED_VALUE"""),"Uncle Sams Cider (11/12/2021) 02")</f>
        <v>Uncle Sams Cider (11/12/2021) 02</v>
      </c>
      <c r="H6983" s="19"/>
    </row>
    <row r="6984">
      <c r="A6984" s="9"/>
      <c r="B6984" s="15"/>
      <c r="C6984" s="9">
        <f>IFERROR(__xludf.DUMMYFUNCTION("""COMPUTED_VALUE"""),44531.7698904745)</f>
        <v>44531.76989</v>
      </c>
      <c r="D6984" s="15">
        <f>IFERROR(__xludf.DUMMYFUNCTION("""COMPUTED_VALUE"""),1.037)</f>
        <v>1.037</v>
      </c>
      <c r="E6984" s="16">
        <f>IFERROR(__xludf.DUMMYFUNCTION("""COMPUTED_VALUE"""),64.0)</f>
        <v>64</v>
      </c>
      <c r="F6984" s="19" t="str">
        <f>IFERROR(__xludf.DUMMYFUNCTION("""COMPUTED_VALUE"""),"BLACK")</f>
        <v>BLACK</v>
      </c>
      <c r="G6984" s="20" t="str">
        <f>IFERROR(__xludf.DUMMYFUNCTION("""COMPUTED_VALUE"""),"Uncle Sams Cider (11/12/2021) 02")</f>
        <v>Uncle Sams Cider (11/12/2021) 02</v>
      </c>
      <c r="H6984" s="19"/>
    </row>
    <row r="6985">
      <c r="A6985" s="9"/>
      <c r="B6985" s="15"/>
      <c r="C6985" s="9">
        <f>IFERROR(__xludf.DUMMYFUNCTION("""COMPUTED_VALUE"""),44531.7594686921)</f>
        <v>44531.75947</v>
      </c>
      <c r="D6985" s="15">
        <f>IFERROR(__xludf.DUMMYFUNCTION("""COMPUTED_VALUE"""),1.037)</f>
        <v>1.037</v>
      </c>
      <c r="E6985" s="16">
        <f>IFERROR(__xludf.DUMMYFUNCTION("""COMPUTED_VALUE"""),64.0)</f>
        <v>64</v>
      </c>
      <c r="F6985" s="19" t="str">
        <f>IFERROR(__xludf.DUMMYFUNCTION("""COMPUTED_VALUE"""),"BLACK")</f>
        <v>BLACK</v>
      </c>
      <c r="G6985" s="20" t="str">
        <f>IFERROR(__xludf.DUMMYFUNCTION("""COMPUTED_VALUE"""),"Uncle Sams Cider (11/12/2021) 02")</f>
        <v>Uncle Sams Cider (11/12/2021) 02</v>
      </c>
      <c r="H6985" s="19"/>
    </row>
    <row r="6986">
      <c r="A6986" s="9"/>
      <c r="B6986" s="15"/>
      <c r="C6986" s="9">
        <f>IFERROR(__xludf.DUMMYFUNCTION("""COMPUTED_VALUE"""),44531.7490353356)</f>
        <v>44531.74904</v>
      </c>
      <c r="D6986" s="15">
        <f>IFERROR(__xludf.DUMMYFUNCTION("""COMPUTED_VALUE"""),1.037)</f>
        <v>1.037</v>
      </c>
      <c r="E6986" s="16">
        <f>IFERROR(__xludf.DUMMYFUNCTION("""COMPUTED_VALUE"""),64.0)</f>
        <v>64</v>
      </c>
      <c r="F6986" s="19" t="str">
        <f>IFERROR(__xludf.DUMMYFUNCTION("""COMPUTED_VALUE"""),"BLACK")</f>
        <v>BLACK</v>
      </c>
      <c r="G6986" s="20" t="str">
        <f>IFERROR(__xludf.DUMMYFUNCTION("""COMPUTED_VALUE"""),"Uncle Sams Cider (11/12/2021) 02")</f>
        <v>Uncle Sams Cider (11/12/2021) 02</v>
      </c>
      <c r="H6986" s="19"/>
    </row>
    <row r="6987">
      <c r="A6987" s="9"/>
      <c r="B6987" s="15"/>
      <c r="C6987" s="9">
        <f>IFERROR(__xludf.DUMMYFUNCTION("""COMPUTED_VALUE"""),44531.7386133912)</f>
        <v>44531.73861</v>
      </c>
      <c r="D6987" s="15">
        <f>IFERROR(__xludf.DUMMYFUNCTION("""COMPUTED_VALUE"""),1.037)</f>
        <v>1.037</v>
      </c>
      <c r="E6987" s="16">
        <f>IFERROR(__xludf.DUMMYFUNCTION("""COMPUTED_VALUE"""),64.0)</f>
        <v>64</v>
      </c>
      <c r="F6987" s="19" t="str">
        <f>IFERROR(__xludf.DUMMYFUNCTION("""COMPUTED_VALUE"""),"BLACK")</f>
        <v>BLACK</v>
      </c>
      <c r="G6987" s="20" t="str">
        <f>IFERROR(__xludf.DUMMYFUNCTION("""COMPUTED_VALUE"""),"Uncle Sams Cider (11/12/2021) 02")</f>
        <v>Uncle Sams Cider (11/12/2021) 02</v>
      </c>
      <c r="H6987" s="19"/>
    </row>
    <row r="6988">
      <c r="A6988" s="9"/>
      <c r="B6988" s="15"/>
      <c r="C6988" s="9">
        <f>IFERROR(__xludf.DUMMYFUNCTION("""COMPUTED_VALUE"""),44531.7281932175)</f>
        <v>44531.72819</v>
      </c>
      <c r="D6988" s="15">
        <f>IFERROR(__xludf.DUMMYFUNCTION("""COMPUTED_VALUE"""),1.037)</f>
        <v>1.037</v>
      </c>
      <c r="E6988" s="16">
        <f>IFERROR(__xludf.DUMMYFUNCTION("""COMPUTED_VALUE"""),64.0)</f>
        <v>64</v>
      </c>
      <c r="F6988" s="19" t="str">
        <f>IFERROR(__xludf.DUMMYFUNCTION("""COMPUTED_VALUE"""),"BLACK")</f>
        <v>BLACK</v>
      </c>
      <c r="G6988" s="20" t="str">
        <f>IFERROR(__xludf.DUMMYFUNCTION("""COMPUTED_VALUE"""),"Uncle Sams Cider (11/12/2021) 02")</f>
        <v>Uncle Sams Cider (11/12/2021) 02</v>
      </c>
      <c r="H6988" s="19"/>
    </row>
    <row r="6989">
      <c r="A6989" s="9"/>
      <c r="B6989" s="15"/>
      <c r="C6989" s="9">
        <f>IFERROR(__xludf.DUMMYFUNCTION("""COMPUTED_VALUE"""),44531.7177696874)</f>
        <v>44531.71777</v>
      </c>
      <c r="D6989" s="15">
        <f>IFERROR(__xludf.DUMMYFUNCTION("""COMPUTED_VALUE"""),1.037)</f>
        <v>1.037</v>
      </c>
      <c r="E6989" s="16">
        <f>IFERROR(__xludf.DUMMYFUNCTION("""COMPUTED_VALUE"""),64.0)</f>
        <v>64</v>
      </c>
      <c r="F6989" s="19" t="str">
        <f>IFERROR(__xludf.DUMMYFUNCTION("""COMPUTED_VALUE"""),"BLACK")</f>
        <v>BLACK</v>
      </c>
      <c r="G6989" s="20" t="str">
        <f>IFERROR(__xludf.DUMMYFUNCTION("""COMPUTED_VALUE"""),"Uncle Sams Cider (11/12/2021) 02")</f>
        <v>Uncle Sams Cider (11/12/2021) 02</v>
      </c>
      <c r="H6989" s="19"/>
    </row>
    <row r="6990">
      <c r="A6990" s="9"/>
      <c r="B6990" s="15"/>
      <c r="C6990" s="9">
        <f>IFERROR(__xludf.DUMMYFUNCTION("""COMPUTED_VALUE"""),44531.7073375694)</f>
        <v>44531.70734</v>
      </c>
      <c r="D6990" s="15">
        <f>IFERROR(__xludf.DUMMYFUNCTION("""COMPUTED_VALUE"""),1.037)</f>
        <v>1.037</v>
      </c>
      <c r="E6990" s="16">
        <f>IFERROR(__xludf.DUMMYFUNCTION("""COMPUTED_VALUE"""),64.0)</f>
        <v>64</v>
      </c>
      <c r="F6990" s="19" t="str">
        <f>IFERROR(__xludf.DUMMYFUNCTION("""COMPUTED_VALUE"""),"BLACK")</f>
        <v>BLACK</v>
      </c>
      <c r="G6990" s="20" t="str">
        <f>IFERROR(__xludf.DUMMYFUNCTION("""COMPUTED_VALUE"""),"Uncle Sams Cider (11/12/2021) 02")</f>
        <v>Uncle Sams Cider (11/12/2021) 02</v>
      </c>
      <c r="H6990" s="19"/>
    </row>
    <row r="6991">
      <c r="A6991" s="9"/>
      <c r="B6991" s="15"/>
      <c r="C6991" s="9">
        <f>IFERROR(__xludf.DUMMYFUNCTION("""COMPUTED_VALUE"""),44531.6969048611)</f>
        <v>44531.6969</v>
      </c>
      <c r="D6991" s="15">
        <f>IFERROR(__xludf.DUMMYFUNCTION("""COMPUTED_VALUE"""),1.037)</f>
        <v>1.037</v>
      </c>
      <c r="E6991" s="16">
        <f>IFERROR(__xludf.DUMMYFUNCTION("""COMPUTED_VALUE"""),64.0)</f>
        <v>64</v>
      </c>
      <c r="F6991" s="19" t="str">
        <f>IFERROR(__xludf.DUMMYFUNCTION("""COMPUTED_VALUE"""),"BLACK")</f>
        <v>BLACK</v>
      </c>
      <c r="G6991" s="20" t="str">
        <f>IFERROR(__xludf.DUMMYFUNCTION("""COMPUTED_VALUE"""),"Uncle Sams Cider (11/12/2021) 02")</f>
        <v>Uncle Sams Cider (11/12/2021) 02</v>
      </c>
      <c r="H6991" s="19"/>
    </row>
    <row r="6992">
      <c r="A6992" s="9"/>
      <c r="B6992" s="15"/>
      <c r="C6992" s="9">
        <f>IFERROR(__xludf.DUMMYFUNCTION("""COMPUTED_VALUE"""),44531.6864831481)</f>
        <v>44531.68648</v>
      </c>
      <c r="D6992" s="15">
        <f>IFERROR(__xludf.DUMMYFUNCTION("""COMPUTED_VALUE"""),1.037)</f>
        <v>1.037</v>
      </c>
      <c r="E6992" s="16">
        <f>IFERROR(__xludf.DUMMYFUNCTION("""COMPUTED_VALUE"""),64.0)</f>
        <v>64</v>
      </c>
      <c r="F6992" s="19" t="str">
        <f>IFERROR(__xludf.DUMMYFUNCTION("""COMPUTED_VALUE"""),"BLACK")</f>
        <v>BLACK</v>
      </c>
      <c r="G6992" s="20" t="str">
        <f>IFERROR(__xludf.DUMMYFUNCTION("""COMPUTED_VALUE"""),"Uncle Sams Cider (11/12/2021) 02")</f>
        <v>Uncle Sams Cider (11/12/2021) 02</v>
      </c>
      <c r="H6992" s="19"/>
    </row>
    <row r="6993">
      <c r="A6993" s="9"/>
      <c r="B6993" s="15"/>
      <c r="C6993" s="9">
        <f>IFERROR(__xludf.DUMMYFUNCTION("""COMPUTED_VALUE"""),44531.6760515972)</f>
        <v>44531.67605</v>
      </c>
      <c r="D6993" s="15">
        <f>IFERROR(__xludf.DUMMYFUNCTION("""COMPUTED_VALUE"""),1.038)</f>
        <v>1.038</v>
      </c>
      <c r="E6993" s="16">
        <f>IFERROR(__xludf.DUMMYFUNCTION("""COMPUTED_VALUE"""),64.0)</f>
        <v>64</v>
      </c>
      <c r="F6993" s="19" t="str">
        <f>IFERROR(__xludf.DUMMYFUNCTION("""COMPUTED_VALUE"""),"BLACK")</f>
        <v>BLACK</v>
      </c>
      <c r="G6993" s="20" t="str">
        <f>IFERROR(__xludf.DUMMYFUNCTION("""COMPUTED_VALUE"""),"Uncle Sams Cider (11/12/2021) 02")</f>
        <v>Uncle Sams Cider (11/12/2021) 02</v>
      </c>
      <c r="H6993" s="19"/>
    </row>
    <row r="6994">
      <c r="A6994" s="9"/>
      <c r="B6994" s="15"/>
      <c r="C6994" s="9">
        <f>IFERROR(__xludf.DUMMYFUNCTION("""COMPUTED_VALUE"""),44531.6656323148)</f>
        <v>44531.66563</v>
      </c>
      <c r="D6994" s="15">
        <f>IFERROR(__xludf.DUMMYFUNCTION("""COMPUTED_VALUE"""),1.038)</f>
        <v>1.038</v>
      </c>
      <c r="E6994" s="16">
        <f>IFERROR(__xludf.DUMMYFUNCTION("""COMPUTED_VALUE"""),64.0)</f>
        <v>64</v>
      </c>
      <c r="F6994" s="19" t="str">
        <f>IFERROR(__xludf.DUMMYFUNCTION("""COMPUTED_VALUE"""),"BLACK")</f>
        <v>BLACK</v>
      </c>
      <c r="G6994" s="20" t="str">
        <f>IFERROR(__xludf.DUMMYFUNCTION("""COMPUTED_VALUE"""),"Uncle Sams Cider (11/12/2021) 02")</f>
        <v>Uncle Sams Cider (11/12/2021) 02</v>
      </c>
      <c r="H6994" s="19"/>
    </row>
    <row r="6995">
      <c r="A6995" s="9"/>
      <c r="B6995" s="15"/>
      <c r="C6995" s="9">
        <f>IFERROR(__xludf.DUMMYFUNCTION("""COMPUTED_VALUE"""),44531.6551979166)</f>
        <v>44531.6552</v>
      </c>
      <c r="D6995" s="15">
        <f>IFERROR(__xludf.DUMMYFUNCTION("""COMPUTED_VALUE"""),1.037)</f>
        <v>1.037</v>
      </c>
      <c r="E6995" s="16">
        <f>IFERROR(__xludf.DUMMYFUNCTION("""COMPUTED_VALUE"""),63.0)</f>
        <v>63</v>
      </c>
      <c r="F6995" s="19" t="str">
        <f>IFERROR(__xludf.DUMMYFUNCTION("""COMPUTED_VALUE"""),"BLACK")</f>
        <v>BLACK</v>
      </c>
      <c r="G6995" s="20" t="str">
        <f>IFERROR(__xludf.DUMMYFUNCTION("""COMPUTED_VALUE"""),"Uncle Sams Cider (11/12/2021) 02")</f>
        <v>Uncle Sams Cider (11/12/2021) 02</v>
      </c>
      <c r="H6995" s="19"/>
    </row>
    <row r="6996">
      <c r="A6996" s="9"/>
      <c r="B6996" s="15"/>
      <c r="C6996" s="9">
        <f>IFERROR(__xludf.DUMMYFUNCTION("""COMPUTED_VALUE"""),44531.6447763425)</f>
        <v>44531.64478</v>
      </c>
      <c r="D6996" s="15">
        <f>IFERROR(__xludf.DUMMYFUNCTION("""COMPUTED_VALUE"""),1.037)</f>
        <v>1.037</v>
      </c>
      <c r="E6996" s="16">
        <f>IFERROR(__xludf.DUMMYFUNCTION("""COMPUTED_VALUE"""),64.0)</f>
        <v>64</v>
      </c>
      <c r="F6996" s="19" t="str">
        <f>IFERROR(__xludf.DUMMYFUNCTION("""COMPUTED_VALUE"""),"BLACK")</f>
        <v>BLACK</v>
      </c>
      <c r="G6996" s="20" t="str">
        <f>IFERROR(__xludf.DUMMYFUNCTION("""COMPUTED_VALUE"""),"Uncle Sams Cider (11/12/2021) 02")</f>
        <v>Uncle Sams Cider (11/12/2021) 02</v>
      </c>
      <c r="H6996" s="19"/>
    </row>
    <row r="6997">
      <c r="A6997" s="9"/>
      <c r="B6997" s="15"/>
      <c r="C6997" s="9">
        <f>IFERROR(__xludf.DUMMYFUNCTION("""COMPUTED_VALUE"""),44531.634343912)</f>
        <v>44531.63434</v>
      </c>
      <c r="D6997" s="15">
        <f>IFERROR(__xludf.DUMMYFUNCTION("""COMPUTED_VALUE"""),1.037)</f>
        <v>1.037</v>
      </c>
      <c r="E6997" s="16">
        <f>IFERROR(__xludf.DUMMYFUNCTION("""COMPUTED_VALUE"""),64.0)</f>
        <v>64</v>
      </c>
      <c r="F6997" s="19" t="str">
        <f>IFERROR(__xludf.DUMMYFUNCTION("""COMPUTED_VALUE"""),"BLACK")</f>
        <v>BLACK</v>
      </c>
      <c r="G6997" s="20" t="str">
        <f>IFERROR(__xludf.DUMMYFUNCTION("""COMPUTED_VALUE"""),"Uncle Sams Cider (11/12/2021) 02")</f>
        <v>Uncle Sams Cider (11/12/2021) 02</v>
      </c>
      <c r="H6997" s="19"/>
    </row>
    <row r="6998">
      <c r="A6998" s="9"/>
      <c r="B6998" s="15"/>
      <c r="C6998" s="9">
        <f>IFERROR(__xludf.DUMMYFUNCTION("""COMPUTED_VALUE"""),44531.6238996296)</f>
        <v>44531.6239</v>
      </c>
      <c r="D6998" s="15">
        <f>IFERROR(__xludf.DUMMYFUNCTION("""COMPUTED_VALUE"""),1.037)</f>
        <v>1.037</v>
      </c>
      <c r="E6998" s="16">
        <f>IFERROR(__xludf.DUMMYFUNCTION("""COMPUTED_VALUE"""),64.0)</f>
        <v>64</v>
      </c>
      <c r="F6998" s="19" t="str">
        <f>IFERROR(__xludf.DUMMYFUNCTION("""COMPUTED_VALUE"""),"BLACK")</f>
        <v>BLACK</v>
      </c>
      <c r="G6998" s="20" t="str">
        <f>IFERROR(__xludf.DUMMYFUNCTION("""COMPUTED_VALUE"""),"Uncle Sams Cider (11/12/2021) 02")</f>
        <v>Uncle Sams Cider (11/12/2021) 02</v>
      </c>
      <c r="H6998" s="19"/>
    </row>
    <row r="6999">
      <c r="A6999" s="9"/>
      <c r="B6999" s="15"/>
      <c r="C6999" s="9">
        <f>IFERROR(__xludf.DUMMYFUNCTION("""COMPUTED_VALUE"""),44531.6134675694)</f>
        <v>44531.61347</v>
      </c>
      <c r="D6999" s="15">
        <f>IFERROR(__xludf.DUMMYFUNCTION("""COMPUTED_VALUE"""),1.038)</f>
        <v>1.038</v>
      </c>
      <c r="E6999" s="16">
        <f>IFERROR(__xludf.DUMMYFUNCTION("""COMPUTED_VALUE"""),64.0)</f>
        <v>64</v>
      </c>
      <c r="F6999" s="19" t="str">
        <f>IFERROR(__xludf.DUMMYFUNCTION("""COMPUTED_VALUE"""),"BLACK")</f>
        <v>BLACK</v>
      </c>
      <c r="G6999" s="20" t="str">
        <f>IFERROR(__xludf.DUMMYFUNCTION("""COMPUTED_VALUE"""),"Uncle Sams Cider (11/12/2021) 02")</f>
        <v>Uncle Sams Cider (11/12/2021) 02</v>
      </c>
      <c r="H6999" s="19"/>
    </row>
    <row r="7000">
      <c r="A7000" s="9"/>
      <c r="B7000" s="15"/>
      <c r="C7000" s="9">
        <f>IFERROR(__xludf.DUMMYFUNCTION("""COMPUTED_VALUE"""),44531.6030461921)</f>
        <v>44531.60305</v>
      </c>
      <c r="D7000" s="15">
        <f>IFERROR(__xludf.DUMMYFUNCTION("""COMPUTED_VALUE"""),1.038)</f>
        <v>1.038</v>
      </c>
      <c r="E7000" s="16">
        <f>IFERROR(__xludf.DUMMYFUNCTION("""COMPUTED_VALUE"""),64.0)</f>
        <v>64</v>
      </c>
      <c r="F7000" s="19" t="str">
        <f>IFERROR(__xludf.DUMMYFUNCTION("""COMPUTED_VALUE"""),"BLACK")</f>
        <v>BLACK</v>
      </c>
      <c r="G7000" s="20" t="str">
        <f>IFERROR(__xludf.DUMMYFUNCTION("""COMPUTED_VALUE"""),"Uncle Sams Cider (11/12/2021) 02")</f>
        <v>Uncle Sams Cider (11/12/2021) 02</v>
      </c>
      <c r="H7000" s="19"/>
    </row>
    <row r="7001">
      <c r="A7001" s="9"/>
      <c r="B7001" s="15"/>
      <c r="C7001" s="9">
        <f>IFERROR(__xludf.DUMMYFUNCTION("""COMPUTED_VALUE"""),44531.5926243287)</f>
        <v>44531.59262</v>
      </c>
      <c r="D7001" s="15">
        <f>IFERROR(__xludf.DUMMYFUNCTION("""COMPUTED_VALUE"""),1.038)</f>
        <v>1.038</v>
      </c>
      <c r="E7001" s="16">
        <f>IFERROR(__xludf.DUMMYFUNCTION("""COMPUTED_VALUE"""),64.0)</f>
        <v>64</v>
      </c>
      <c r="F7001" s="19" t="str">
        <f>IFERROR(__xludf.DUMMYFUNCTION("""COMPUTED_VALUE"""),"BLACK")</f>
        <v>BLACK</v>
      </c>
      <c r="G7001" s="20" t="str">
        <f>IFERROR(__xludf.DUMMYFUNCTION("""COMPUTED_VALUE"""),"Uncle Sams Cider (11/12/2021) 02")</f>
        <v>Uncle Sams Cider (11/12/2021) 02</v>
      </c>
      <c r="H7001" s="19"/>
    </row>
    <row r="7002">
      <c r="A7002" s="9"/>
      <c r="B7002" s="15"/>
      <c r="C7002" s="9">
        <f>IFERROR(__xludf.DUMMYFUNCTION("""COMPUTED_VALUE"""),44531.5822033449)</f>
        <v>44531.5822</v>
      </c>
      <c r="D7002" s="15">
        <f>IFERROR(__xludf.DUMMYFUNCTION("""COMPUTED_VALUE"""),1.038)</f>
        <v>1.038</v>
      </c>
      <c r="E7002" s="16">
        <f>IFERROR(__xludf.DUMMYFUNCTION("""COMPUTED_VALUE"""),64.0)</f>
        <v>64</v>
      </c>
      <c r="F7002" s="19" t="str">
        <f>IFERROR(__xludf.DUMMYFUNCTION("""COMPUTED_VALUE"""),"BLACK")</f>
        <v>BLACK</v>
      </c>
      <c r="G7002" s="20" t="str">
        <f>IFERROR(__xludf.DUMMYFUNCTION("""COMPUTED_VALUE"""),"Uncle Sams Cider (11/12/2021) 02")</f>
        <v>Uncle Sams Cider (11/12/2021) 02</v>
      </c>
      <c r="H7002" s="19"/>
    </row>
    <row r="7003">
      <c r="A7003" s="9"/>
      <c r="B7003" s="15"/>
      <c r="C7003" s="9">
        <f>IFERROR(__xludf.DUMMYFUNCTION("""COMPUTED_VALUE"""),44531.5717839583)</f>
        <v>44531.57178</v>
      </c>
      <c r="D7003" s="15">
        <f>IFERROR(__xludf.DUMMYFUNCTION("""COMPUTED_VALUE"""),1.038)</f>
        <v>1.038</v>
      </c>
      <c r="E7003" s="16">
        <f>IFERROR(__xludf.DUMMYFUNCTION("""COMPUTED_VALUE"""),64.0)</f>
        <v>64</v>
      </c>
      <c r="F7003" s="19" t="str">
        <f>IFERROR(__xludf.DUMMYFUNCTION("""COMPUTED_VALUE"""),"BLACK")</f>
        <v>BLACK</v>
      </c>
      <c r="G7003" s="20" t="str">
        <f>IFERROR(__xludf.DUMMYFUNCTION("""COMPUTED_VALUE"""),"Uncle Sams Cider (11/12/2021) 02")</f>
        <v>Uncle Sams Cider (11/12/2021) 02</v>
      </c>
      <c r="H7003" s="19"/>
    </row>
    <row r="7004">
      <c r="A7004" s="9"/>
      <c r="B7004" s="15"/>
      <c r="C7004" s="9">
        <f>IFERROR(__xludf.DUMMYFUNCTION("""COMPUTED_VALUE"""),44531.5613633217)</f>
        <v>44531.56136</v>
      </c>
      <c r="D7004" s="15">
        <f>IFERROR(__xludf.DUMMYFUNCTION("""COMPUTED_VALUE"""),1.038)</f>
        <v>1.038</v>
      </c>
      <c r="E7004" s="16">
        <f>IFERROR(__xludf.DUMMYFUNCTION("""COMPUTED_VALUE"""),64.0)</f>
        <v>64</v>
      </c>
      <c r="F7004" s="19" t="str">
        <f>IFERROR(__xludf.DUMMYFUNCTION("""COMPUTED_VALUE"""),"BLACK")</f>
        <v>BLACK</v>
      </c>
      <c r="G7004" s="20" t="str">
        <f>IFERROR(__xludf.DUMMYFUNCTION("""COMPUTED_VALUE"""),"Uncle Sams Cider (11/12/2021) 02")</f>
        <v>Uncle Sams Cider (11/12/2021) 02</v>
      </c>
      <c r="H7004" s="19"/>
    </row>
    <row r="7005">
      <c r="A7005" s="9"/>
      <c r="B7005" s="15"/>
      <c r="C7005" s="9">
        <f>IFERROR(__xludf.DUMMYFUNCTION("""COMPUTED_VALUE"""),44531.5509415625)</f>
        <v>44531.55094</v>
      </c>
      <c r="D7005" s="15">
        <f>IFERROR(__xludf.DUMMYFUNCTION("""COMPUTED_VALUE"""),1.038)</f>
        <v>1.038</v>
      </c>
      <c r="E7005" s="16">
        <f>IFERROR(__xludf.DUMMYFUNCTION("""COMPUTED_VALUE"""),64.0)</f>
        <v>64</v>
      </c>
      <c r="F7005" s="19" t="str">
        <f>IFERROR(__xludf.DUMMYFUNCTION("""COMPUTED_VALUE"""),"BLACK")</f>
        <v>BLACK</v>
      </c>
      <c r="G7005" s="20" t="str">
        <f>IFERROR(__xludf.DUMMYFUNCTION("""COMPUTED_VALUE"""),"Uncle Sams Cider (11/12/2021) 02")</f>
        <v>Uncle Sams Cider (11/12/2021) 02</v>
      </c>
      <c r="H7005" s="19"/>
    </row>
    <row r="7006">
      <c r="A7006" s="9"/>
      <c r="B7006" s="15"/>
      <c r="C7006" s="9">
        <f>IFERROR(__xludf.DUMMYFUNCTION("""COMPUTED_VALUE"""),44531.5405228009)</f>
        <v>44531.54052</v>
      </c>
      <c r="D7006" s="15">
        <f>IFERROR(__xludf.DUMMYFUNCTION("""COMPUTED_VALUE"""),1.038)</f>
        <v>1.038</v>
      </c>
      <c r="E7006" s="16">
        <f>IFERROR(__xludf.DUMMYFUNCTION("""COMPUTED_VALUE"""),64.0)</f>
        <v>64</v>
      </c>
      <c r="F7006" s="19" t="str">
        <f>IFERROR(__xludf.DUMMYFUNCTION("""COMPUTED_VALUE"""),"BLACK")</f>
        <v>BLACK</v>
      </c>
      <c r="G7006" s="20" t="str">
        <f>IFERROR(__xludf.DUMMYFUNCTION("""COMPUTED_VALUE"""),"Uncle Sams Cider (11/12/2021) 02")</f>
        <v>Uncle Sams Cider (11/12/2021) 02</v>
      </c>
      <c r="H7006" s="19"/>
    </row>
    <row r="7007">
      <c r="A7007" s="9"/>
      <c r="B7007" s="15"/>
      <c r="C7007" s="9">
        <f>IFERROR(__xludf.DUMMYFUNCTION("""COMPUTED_VALUE"""),44531.5300912731)</f>
        <v>44531.53009</v>
      </c>
      <c r="D7007" s="15">
        <f>IFERROR(__xludf.DUMMYFUNCTION("""COMPUTED_VALUE"""),1.038)</f>
        <v>1.038</v>
      </c>
      <c r="E7007" s="16">
        <f>IFERROR(__xludf.DUMMYFUNCTION("""COMPUTED_VALUE"""),64.0)</f>
        <v>64</v>
      </c>
      <c r="F7007" s="19" t="str">
        <f>IFERROR(__xludf.DUMMYFUNCTION("""COMPUTED_VALUE"""),"BLACK")</f>
        <v>BLACK</v>
      </c>
      <c r="G7007" s="20" t="str">
        <f>IFERROR(__xludf.DUMMYFUNCTION("""COMPUTED_VALUE"""),"Uncle Sams Cider (11/12/2021) 02")</f>
        <v>Uncle Sams Cider (11/12/2021) 02</v>
      </c>
      <c r="H7007" s="19"/>
    </row>
    <row r="7008">
      <c r="A7008" s="9"/>
      <c r="B7008" s="15"/>
      <c r="C7008" s="9">
        <f>IFERROR(__xludf.DUMMYFUNCTION("""COMPUTED_VALUE"""),44531.5196691088)</f>
        <v>44531.51967</v>
      </c>
      <c r="D7008" s="15">
        <f>IFERROR(__xludf.DUMMYFUNCTION("""COMPUTED_VALUE"""),1.038)</f>
        <v>1.038</v>
      </c>
      <c r="E7008" s="16">
        <f>IFERROR(__xludf.DUMMYFUNCTION("""COMPUTED_VALUE"""),64.0)</f>
        <v>64</v>
      </c>
      <c r="F7008" s="19" t="str">
        <f>IFERROR(__xludf.DUMMYFUNCTION("""COMPUTED_VALUE"""),"BLACK")</f>
        <v>BLACK</v>
      </c>
      <c r="G7008" s="20" t="str">
        <f>IFERROR(__xludf.DUMMYFUNCTION("""COMPUTED_VALUE"""),"Uncle Sams Cider (11/12/2021) 02")</f>
        <v>Uncle Sams Cider (11/12/2021) 02</v>
      </c>
      <c r="H7008" s="19"/>
    </row>
    <row r="7009">
      <c r="A7009" s="9"/>
      <c r="B7009" s="15"/>
      <c r="C7009" s="9">
        <f>IFERROR(__xludf.DUMMYFUNCTION("""COMPUTED_VALUE"""),44531.5092461921)</f>
        <v>44531.50925</v>
      </c>
      <c r="D7009" s="15">
        <f>IFERROR(__xludf.DUMMYFUNCTION("""COMPUTED_VALUE"""),1.038)</f>
        <v>1.038</v>
      </c>
      <c r="E7009" s="16">
        <f>IFERROR(__xludf.DUMMYFUNCTION("""COMPUTED_VALUE"""),64.0)</f>
        <v>64</v>
      </c>
      <c r="F7009" s="19" t="str">
        <f>IFERROR(__xludf.DUMMYFUNCTION("""COMPUTED_VALUE"""),"BLACK")</f>
        <v>BLACK</v>
      </c>
      <c r="G7009" s="20" t="str">
        <f>IFERROR(__xludf.DUMMYFUNCTION("""COMPUTED_VALUE"""),"Uncle Sams Cider (11/12/2021) 02")</f>
        <v>Uncle Sams Cider (11/12/2021) 02</v>
      </c>
      <c r="H7009" s="19"/>
    </row>
    <row r="7010">
      <c r="A7010" s="9"/>
      <c r="B7010" s="15"/>
      <c r="C7010" s="9">
        <f>IFERROR(__xludf.DUMMYFUNCTION("""COMPUTED_VALUE"""),44531.4988230324)</f>
        <v>44531.49882</v>
      </c>
      <c r="D7010" s="15">
        <f>IFERROR(__xludf.DUMMYFUNCTION("""COMPUTED_VALUE"""),1.038)</f>
        <v>1.038</v>
      </c>
      <c r="E7010" s="16">
        <f>IFERROR(__xludf.DUMMYFUNCTION("""COMPUTED_VALUE"""),64.0)</f>
        <v>64</v>
      </c>
      <c r="F7010" s="19" t="str">
        <f>IFERROR(__xludf.DUMMYFUNCTION("""COMPUTED_VALUE"""),"BLACK")</f>
        <v>BLACK</v>
      </c>
      <c r="G7010" s="20" t="str">
        <f>IFERROR(__xludf.DUMMYFUNCTION("""COMPUTED_VALUE"""),"Uncle Sams Cider (11/12/2021) 02")</f>
        <v>Uncle Sams Cider (11/12/2021) 02</v>
      </c>
      <c r="H7010" s="19"/>
    </row>
    <row r="7011">
      <c r="A7011" s="9"/>
      <c r="B7011" s="15"/>
      <c r="C7011" s="9">
        <f>IFERROR(__xludf.DUMMYFUNCTION("""COMPUTED_VALUE"""),44531.4884012731)</f>
        <v>44531.4884</v>
      </c>
      <c r="D7011" s="15">
        <f>IFERROR(__xludf.DUMMYFUNCTION("""COMPUTED_VALUE"""),1.038)</f>
        <v>1.038</v>
      </c>
      <c r="E7011" s="16">
        <f>IFERROR(__xludf.DUMMYFUNCTION("""COMPUTED_VALUE"""),64.0)</f>
        <v>64</v>
      </c>
      <c r="F7011" s="19" t="str">
        <f>IFERROR(__xludf.DUMMYFUNCTION("""COMPUTED_VALUE"""),"BLACK")</f>
        <v>BLACK</v>
      </c>
      <c r="G7011" s="20" t="str">
        <f>IFERROR(__xludf.DUMMYFUNCTION("""COMPUTED_VALUE"""),"Uncle Sams Cider (11/12/2021) 02")</f>
        <v>Uncle Sams Cider (11/12/2021) 02</v>
      </c>
      <c r="H7011" s="19"/>
    </row>
    <row r="7012">
      <c r="A7012" s="9"/>
      <c r="B7012" s="15"/>
      <c r="C7012" s="9">
        <f>IFERROR(__xludf.DUMMYFUNCTION("""COMPUTED_VALUE"""),44531.4779796064)</f>
        <v>44531.47798</v>
      </c>
      <c r="D7012" s="15">
        <f>IFERROR(__xludf.DUMMYFUNCTION("""COMPUTED_VALUE"""),1.038)</f>
        <v>1.038</v>
      </c>
      <c r="E7012" s="16">
        <f>IFERROR(__xludf.DUMMYFUNCTION("""COMPUTED_VALUE"""),64.0)</f>
        <v>64</v>
      </c>
      <c r="F7012" s="19" t="str">
        <f>IFERROR(__xludf.DUMMYFUNCTION("""COMPUTED_VALUE"""),"BLACK")</f>
        <v>BLACK</v>
      </c>
      <c r="G7012" s="20" t="str">
        <f>IFERROR(__xludf.DUMMYFUNCTION("""COMPUTED_VALUE"""),"Uncle Sams Cider (11/12/2021) 02")</f>
        <v>Uncle Sams Cider (11/12/2021) 02</v>
      </c>
      <c r="H7012" s="19"/>
    </row>
    <row r="7013">
      <c r="A7013" s="9"/>
      <c r="B7013" s="15"/>
      <c r="C7013" s="9">
        <f>IFERROR(__xludf.DUMMYFUNCTION("""COMPUTED_VALUE"""),44531.4675464467)</f>
        <v>44531.46755</v>
      </c>
      <c r="D7013" s="15">
        <f>IFERROR(__xludf.DUMMYFUNCTION("""COMPUTED_VALUE"""),1.038)</f>
        <v>1.038</v>
      </c>
      <c r="E7013" s="16">
        <f>IFERROR(__xludf.DUMMYFUNCTION("""COMPUTED_VALUE"""),64.0)</f>
        <v>64</v>
      </c>
      <c r="F7013" s="19" t="str">
        <f>IFERROR(__xludf.DUMMYFUNCTION("""COMPUTED_VALUE"""),"BLACK")</f>
        <v>BLACK</v>
      </c>
      <c r="G7013" s="20" t="str">
        <f>IFERROR(__xludf.DUMMYFUNCTION("""COMPUTED_VALUE"""),"Uncle Sams Cider (11/12/2021) 02")</f>
        <v>Uncle Sams Cider (11/12/2021) 02</v>
      </c>
      <c r="H7013" s="19"/>
    </row>
    <row r="7014">
      <c r="A7014" s="9"/>
      <c r="B7014" s="15"/>
      <c r="C7014" s="9">
        <f>IFERROR(__xludf.DUMMYFUNCTION("""COMPUTED_VALUE"""),44531.4571267476)</f>
        <v>44531.45713</v>
      </c>
      <c r="D7014" s="15">
        <f>IFERROR(__xludf.DUMMYFUNCTION("""COMPUTED_VALUE"""),1.038)</f>
        <v>1.038</v>
      </c>
      <c r="E7014" s="16">
        <f>IFERROR(__xludf.DUMMYFUNCTION("""COMPUTED_VALUE"""),64.0)</f>
        <v>64</v>
      </c>
      <c r="F7014" s="19" t="str">
        <f>IFERROR(__xludf.DUMMYFUNCTION("""COMPUTED_VALUE"""),"BLACK")</f>
        <v>BLACK</v>
      </c>
      <c r="G7014" s="20" t="str">
        <f>IFERROR(__xludf.DUMMYFUNCTION("""COMPUTED_VALUE"""),"Uncle Sams Cider (11/12/2021) 02")</f>
        <v>Uncle Sams Cider (11/12/2021) 02</v>
      </c>
      <c r="H7014" s="19"/>
    </row>
    <row r="7015">
      <c r="A7015" s="9"/>
      <c r="B7015" s="15"/>
      <c r="C7015" s="9">
        <f>IFERROR(__xludf.DUMMYFUNCTION("""COMPUTED_VALUE"""),44531.4467050578)</f>
        <v>44531.44671</v>
      </c>
      <c r="D7015" s="15">
        <f>IFERROR(__xludf.DUMMYFUNCTION("""COMPUTED_VALUE"""),1.038)</f>
        <v>1.038</v>
      </c>
      <c r="E7015" s="16">
        <f>IFERROR(__xludf.DUMMYFUNCTION("""COMPUTED_VALUE"""),64.0)</f>
        <v>64</v>
      </c>
      <c r="F7015" s="19" t="str">
        <f>IFERROR(__xludf.DUMMYFUNCTION("""COMPUTED_VALUE"""),"BLACK")</f>
        <v>BLACK</v>
      </c>
      <c r="G7015" s="20" t="str">
        <f>IFERROR(__xludf.DUMMYFUNCTION("""COMPUTED_VALUE"""),"Uncle Sams Cider (11/12/2021) 02")</f>
        <v>Uncle Sams Cider (11/12/2021) 02</v>
      </c>
      <c r="H7015" s="19"/>
    </row>
    <row r="7016">
      <c r="A7016" s="9"/>
      <c r="B7016" s="15"/>
      <c r="C7016" s="9">
        <f>IFERROR(__xludf.DUMMYFUNCTION("""COMPUTED_VALUE"""),44531.4362836921)</f>
        <v>44531.43628</v>
      </c>
      <c r="D7016" s="15">
        <f>IFERROR(__xludf.DUMMYFUNCTION("""COMPUTED_VALUE"""),1.038)</f>
        <v>1.038</v>
      </c>
      <c r="E7016" s="16">
        <f>IFERROR(__xludf.DUMMYFUNCTION("""COMPUTED_VALUE"""),64.0)</f>
        <v>64</v>
      </c>
      <c r="F7016" s="19" t="str">
        <f>IFERROR(__xludf.DUMMYFUNCTION("""COMPUTED_VALUE"""),"BLACK")</f>
        <v>BLACK</v>
      </c>
      <c r="G7016" s="20" t="str">
        <f>IFERROR(__xludf.DUMMYFUNCTION("""COMPUTED_VALUE"""),"Uncle Sams Cider (11/12/2021) 02")</f>
        <v>Uncle Sams Cider (11/12/2021) 02</v>
      </c>
      <c r="H7016" s="19"/>
    </row>
    <row r="7017">
      <c r="A7017" s="9"/>
      <c r="B7017" s="15"/>
      <c r="C7017" s="9">
        <f>IFERROR(__xludf.DUMMYFUNCTION("""COMPUTED_VALUE"""),44531.4258619907)</f>
        <v>44531.42586</v>
      </c>
      <c r="D7017" s="15">
        <f>IFERROR(__xludf.DUMMYFUNCTION("""COMPUTED_VALUE"""),1.038)</f>
        <v>1.038</v>
      </c>
      <c r="E7017" s="16">
        <f>IFERROR(__xludf.DUMMYFUNCTION("""COMPUTED_VALUE"""),64.0)</f>
        <v>64</v>
      </c>
      <c r="F7017" s="19" t="str">
        <f>IFERROR(__xludf.DUMMYFUNCTION("""COMPUTED_VALUE"""),"BLACK")</f>
        <v>BLACK</v>
      </c>
      <c r="G7017" s="20" t="str">
        <f>IFERROR(__xludf.DUMMYFUNCTION("""COMPUTED_VALUE"""),"Uncle Sams Cider (11/12/2021) 02")</f>
        <v>Uncle Sams Cider (11/12/2021) 02</v>
      </c>
      <c r="H7017" s="19"/>
    </row>
    <row r="7018">
      <c r="A7018" s="9"/>
      <c r="B7018" s="15"/>
      <c r="C7018" s="9">
        <f>IFERROR(__xludf.DUMMYFUNCTION("""COMPUTED_VALUE"""),44531.4154418055)</f>
        <v>44531.41544</v>
      </c>
      <c r="D7018" s="15">
        <f>IFERROR(__xludf.DUMMYFUNCTION("""COMPUTED_VALUE"""),1.038)</f>
        <v>1.038</v>
      </c>
      <c r="E7018" s="16">
        <f>IFERROR(__xludf.DUMMYFUNCTION("""COMPUTED_VALUE"""),64.0)</f>
        <v>64</v>
      </c>
      <c r="F7018" s="19" t="str">
        <f>IFERROR(__xludf.DUMMYFUNCTION("""COMPUTED_VALUE"""),"BLACK")</f>
        <v>BLACK</v>
      </c>
      <c r="G7018" s="20" t="str">
        <f>IFERROR(__xludf.DUMMYFUNCTION("""COMPUTED_VALUE"""),"Uncle Sams Cider (11/12/2021) 02")</f>
        <v>Uncle Sams Cider (11/12/2021) 02</v>
      </c>
      <c r="H7018" s="19"/>
    </row>
    <row r="7019">
      <c r="A7019" s="9"/>
      <c r="B7019" s="15"/>
      <c r="C7019" s="9">
        <f>IFERROR(__xludf.DUMMYFUNCTION("""COMPUTED_VALUE"""),44531.4050204629)</f>
        <v>44531.40502</v>
      </c>
      <c r="D7019" s="15">
        <f>IFERROR(__xludf.DUMMYFUNCTION("""COMPUTED_VALUE"""),1.038)</f>
        <v>1.038</v>
      </c>
      <c r="E7019" s="16">
        <f>IFERROR(__xludf.DUMMYFUNCTION("""COMPUTED_VALUE"""),64.0)</f>
        <v>64</v>
      </c>
      <c r="F7019" s="19" t="str">
        <f>IFERROR(__xludf.DUMMYFUNCTION("""COMPUTED_VALUE"""),"BLACK")</f>
        <v>BLACK</v>
      </c>
      <c r="G7019" s="20" t="str">
        <f>IFERROR(__xludf.DUMMYFUNCTION("""COMPUTED_VALUE"""),"Uncle Sams Cider (11/12/2021) 02")</f>
        <v>Uncle Sams Cider (11/12/2021) 02</v>
      </c>
      <c r="H7019" s="19"/>
    </row>
    <row r="7020">
      <c r="A7020" s="9"/>
      <c r="B7020" s="15"/>
      <c r="C7020" s="9">
        <f>IFERROR(__xludf.DUMMYFUNCTION("""COMPUTED_VALUE"""),44531.394586655)</f>
        <v>44531.39459</v>
      </c>
      <c r="D7020" s="15">
        <f>IFERROR(__xludf.DUMMYFUNCTION("""COMPUTED_VALUE"""),1.038)</f>
        <v>1.038</v>
      </c>
      <c r="E7020" s="16">
        <f>IFERROR(__xludf.DUMMYFUNCTION("""COMPUTED_VALUE"""),64.0)</f>
        <v>64</v>
      </c>
      <c r="F7020" s="19" t="str">
        <f>IFERROR(__xludf.DUMMYFUNCTION("""COMPUTED_VALUE"""),"BLACK")</f>
        <v>BLACK</v>
      </c>
      <c r="G7020" s="20" t="str">
        <f>IFERROR(__xludf.DUMMYFUNCTION("""COMPUTED_VALUE"""),"Uncle Sams Cider (11/12/2021) 02")</f>
        <v>Uncle Sams Cider (11/12/2021) 02</v>
      </c>
      <c r="H7020" s="19"/>
    </row>
    <row r="7021">
      <c r="A7021" s="9"/>
      <c r="B7021" s="15"/>
      <c r="C7021" s="9">
        <f>IFERROR(__xludf.DUMMYFUNCTION("""COMPUTED_VALUE"""),44531.3841655324)</f>
        <v>44531.38417</v>
      </c>
      <c r="D7021" s="15">
        <f>IFERROR(__xludf.DUMMYFUNCTION("""COMPUTED_VALUE"""),1.038)</f>
        <v>1.038</v>
      </c>
      <c r="E7021" s="16">
        <f>IFERROR(__xludf.DUMMYFUNCTION("""COMPUTED_VALUE"""),64.0)</f>
        <v>64</v>
      </c>
      <c r="F7021" s="19" t="str">
        <f>IFERROR(__xludf.DUMMYFUNCTION("""COMPUTED_VALUE"""),"BLACK")</f>
        <v>BLACK</v>
      </c>
      <c r="G7021" s="20" t="str">
        <f>IFERROR(__xludf.DUMMYFUNCTION("""COMPUTED_VALUE"""),"Uncle Sams Cider (11/12/2021) 02")</f>
        <v>Uncle Sams Cider (11/12/2021) 02</v>
      </c>
      <c r="H7021" s="19"/>
    </row>
    <row r="7022">
      <c r="A7022" s="9"/>
      <c r="B7022" s="15"/>
      <c r="C7022" s="9">
        <f>IFERROR(__xludf.DUMMYFUNCTION("""COMPUTED_VALUE"""),44531.3737448611)</f>
        <v>44531.37374</v>
      </c>
      <c r="D7022" s="15">
        <f>IFERROR(__xludf.DUMMYFUNCTION("""COMPUTED_VALUE"""),1.038)</f>
        <v>1.038</v>
      </c>
      <c r="E7022" s="16">
        <f>IFERROR(__xludf.DUMMYFUNCTION("""COMPUTED_VALUE"""),64.0)</f>
        <v>64</v>
      </c>
      <c r="F7022" s="19" t="str">
        <f>IFERROR(__xludf.DUMMYFUNCTION("""COMPUTED_VALUE"""),"BLACK")</f>
        <v>BLACK</v>
      </c>
      <c r="G7022" s="20" t="str">
        <f>IFERROR(__xludf.DUMMYFUNCTION("""COMPUTED_VALUE"""),"Uncle Sams Cider (11/12/2021) 02")</f>
        <v>Uncle Sams Cider (11/12/2021) 02</v>
      </c>
      <c r="H7022" s="19"/>
    </row>
    <row r="7023">
      <c r="A7023" s="9"/>
      <c r="B7023" s="15"/>
      <c r="C7023" s="9">
        <f>IFERROR(__xludf.DUMMYFUNCTION("""COMPUTED_VALUE"""),44531.3633243171)</f>
        <v>44531.36332</v>
      </c>
      <c r="D7023" s="15">
        <f>IFERROR(__xludf.DUMMYFUNCTION("""COMPUTED_VALUE"""),1.038)</f>
        <v>1.038</v>
      </c>
      <c r="E7023" s="16">
        <f>IFERROR(__xludf.DUMMYFUNCTION("""COMPUTED_VALUE"""),64.0)</f>
        <v>64</v>
      </c>
      <c r="F7023" s="19" t="str">
        <f>IFERROR(__xludf.DUMMYFUNCTION("""COMPUTED_VALUE"""),"BLACK")</f>
        <v>BLACK</v>
      </c>
      <c r="G7023" s="20" t="str">
        <f>IFERROR(__xludf.DUMMYFUNCTION("""COMPUTED_VALUE"""),"Uncle Sams Cider (11/12/2021) 02")</f>
        <v>Uncle Sams Cider (11/12/2021) 02</v>
      </c>
      <c r="H7023" s="19"/>
    </row>
    <row r="7024">
      <c r="A7024" s="9"/>
      <c r="B7024" s="15"/>
      <c r="C7024" s="9">
        <f>IFERROR(__xludf.DUMMYFUNCTION("""COMPUTED_VALUE"""),44531.3529016666)</f>
        <v>44531.3529</v>
      </c>
      <c r="D7024" s="15">
        <f>IFERROR(__xludf.DUMMYFUNCTION("""COMPUTED_VALUE"""),1.038)</f>
        <v>1.038</v>
      </c>
      <c r="E7024" s="16">
        <f>IFERROR(__xludf.DUMMYFUNCTION("""COMPUTED_VALUE"""),64.0)</f>
        <v>64</v>
      </c>
      <c r="F7024" s="19" t="str">
        <f>IFERROR(__xludf.DUMMYFUNCTION("""COMPUTED_VALUE"""),"BLACK")</f>
        <v>BLACK</v>
      </c>
      <c r="G7024" s="20" t="str">
        <f>IFERROR(__xludf.DUMMYFUNCTION("""COMPUTED_VALUE"""),"Uncle Sams Cider (11/12/2021) 02")</f>
        <v>Uncle Sams Cider (11/12/2021) 02</v>
      </c>
      <c r="H7024" s="19"/>
    </row>
    <row r="7025">
      <c r="A7025" s="9"/>
      <c r="B7025" s="15"/>
      <c r="C7025" s="9">
        <f>IFERROR(__xludf.DUMMYFUNCTION("""COMPUTED_VALUE"""),44531.3424802314)</f>
        <v>44531.34248</v>
      </c>
      <c r="D7025" s="15">
        <f>IFERROR(__xludf.DUMMYFUNCTION("""COMPUTED_VALUE"""),1.038)</f>
        <v>1.038</v>
      </c>
      <c r="E7025" s="16">
        <f>IFERROR(__xludf.DUMMYFUNCTION("""COMPUTED_VALUE"""),64.0)</f>
        <v>64</v>
      </c>
      <c r="F7025" s="19" t="str">
        <f>IFERROR(__xludf.DUMMYFUNCTION("""COMPUTED_VALUE"""),"BLACK")</f>
        <v>BLACK</v>
      </c>
      <c r="G7025" s="20" t="str">
        <f>IFERROR(__xludf.DUMMYFUNCTION("""COMPUTED_VALUE"""),"Uncle Sams Cider (11/12/2021) 02")</f>
        <v>Uncle Sams Cider (11/12/2021) 02</v>
      </c>
      <c r="H7025" s="19"/>
    </row>
    <row r="7026">
      <c r="A7026" s="9"/>
      <c r="B7026" s="15"/>
      <c r="C7026" s="9">
        <f>IFERROR(__xludf.DUMMYFUNCTION("""COMPUTED_VALUE"""),44531.332059456)</f>
        <v>44531.33206</v>
      </c>
      <c r="D7026" s="15">
        <f>IFERROR(__xludf.DUMMYFUNCTION("""COMPUTED_VALUE"""),1.038)</f>
        <v>1.038</v>
      </c>
      <c r="E7026" s="16">
        <f>IFERROR(__xludf.DUMMYFUNCTION("""COMPUTED_VALUE"""),64.0)</f>
        <v>64</v>
      </c>
      <c r="F7026" s="19" t="str">
        <f>IFERROR(__xludf.DUMMYFUNCTION("""COMPUTED_VALUE"""),"BLACK")</f>
        <v>BLACK</v>
      </c>
      <c r="G7026" s="20" t="str">
        <f>IFERROR(__xludf.DUMMYFUNCTION("""COMPUTED_VALUE"""),"Uncle Sams Cider (11/12/2021) 02")</f>
        <v>Uncle Sams Cider (11/12/2021) 02</v>
      </c>
      <c r="H7026" s="19"/>
    </row>
    <row r="7027">
      <c r="A7027" s="9"/>
      <c r="B7027" s="15"/>
      <c r="C7027" s="9">
        <f>IFERROR(__xludf.DUMMYFUNCTION("""COMPUTED_VALUE"""),44531.3216376736)</f>
        <v>44531.32164</v>
      </c>
      <c r="D7027" s="15">
        <f>IFERROR(__xludf.DUMMYFUNCTION("""COMPUTED_VALUE"""),1.038)</f>
        <v>1.038</v>
      </c>
      <c r="E7027" s="16">
        <f>IFERROR(__xludf.DUMMYFUNCTION("""COMPUTED_VALUE"""),64.0)</f>
        <v>64</v>
      </c>
      <c r="F7027" s="19" t="str">
        <f>IFERROR(__xludf.DUMMYFUNCTION("""COMPUTED_VALUE"""),"BLACK")</f>
        <v>BLACK</v>
      </c>
      <c r="G7027" s="20" t="str">
        <f>IFERROR(__xludf.DUMMYFUNCTION("""COMPUTED_VALUE"""),"Uncle Sams Cider (11/12/2021) 02")</f>
        <v>Uncle Sams Cider (11/12/2021) 02</v>
      </c>
      <c r="H7027" s="19"/>
    </row>
    <row r="7028">
      <c r="A7028" s="9"/>
      <c r="B7028" s="15"/>
      <c r="C7028" s="9">
        <f>IFERROR(__xludf.DUMMYFUNCTION("""COMPUTED_VALUE"""),44531.3112168055)</f>
        <v>44531.31122</v>
      </c>
      <c r="D7028" s="15">
        <f>IFERROR(__xludf.DUMMYFUNCTION("""COMPUTED_VALUE"""),1.038)</f>
        <v>1.038</v>
      </c>
      <c r="E7028" s="16">
        <f>IFERROR(__xludf.DUMMYFUNCTION("""COMPUTED_VALUE"""),64.0)</f>
        <v>64</v>
      </c>
      <c r="F7028" s="19" t="str">
        <f>IFERROR(__xludf.DUMMYFUNCTION("""COMPUTED_VALUE"""),"BLACK")</f>
        <v>BLACK</v>
      </c>
      <c r="G7028" s="20" t="str">
        <f>IFERROR(__xludf.DUMMYFUNCTION("""COMPUTED_VALUE"""),"Uncle Sams Cider (11/12/2021) 02")</f>
        <v>Uncle Sams Cider (11/12/2021) 02</v>
      </c>
      <c r="H7028" s="19"/>
    </row>
    <row r="7029">
      <c r="A7029" s="9"/>
      <c r="B7029" s="15"/>
      <c r="C7029" s="9">
        <f>IFERROR(__xludf.DUMMYFUNCTION("""COMPUTED_VALUE"""),44531.30079728)</f>
        <v>44531.3008</v>
      </c>
      <c r="D7029" s="15">
        <f>IFERROR(__xludf.DUMMYFUNCTION("""COMPUTED_VALUE"""),1.038)</f>
        <v>1.038</v>
      </c>
      <c r="E7029" s="16">
        <f>IFERROR(__xludf.DUMMYFUNCTION("""COMPUTED_VALUE"""),64.0)</f>
        <v>64</v>
      </c>
      <c r="F7029" s="19" t="str">
        <f>IFERROR(__xludf.DUMMYFUNCTION("""COMPUTED_VALUE"""),"BLACK")</f>
        <v>BLACK</v>
      </c>
      <c r="G7029" s="20" t="str">
        <f>IFERROR(__xludf.DUMMYFUNCTION("""COMPUTED_VALUE"""),"Uncle Sams Cider (11/12/2021) 02")</f>
        <v>Uncle Sams Cider (11/12/2021) 02</v>
      </c>
      <c r="H7029" s="19"/>
    </row>
    <row r="7030">
      <c r="A7030" s="9"/>
      <c r="B7030" s="15"/>
      <c r="C7030" s="9">
        <f>IFERROR(__xludf.DUMMYFUNCTION("""COMPUTED_VALUE"""),44531.2903763078)</f>
        <v>44531.29038</v>
      </c>
      <c r="D7030" s="15">
        <f>IFERROR(__xludf.DUMMYFUNCTION("""COMPUTED_VALUE"""),1.038)</f>
        <v>1.038</v>
      </c>
      <c r="E7030" s="16">
        <f>IFERROR(__xludf.DUMMYFUNCTION("""COMPUTED_VALUE"""),64.0)</f>
        <v>64</v>
      </c>
      <c r="F7030" s="19" t="str">
        <f>IFERROR(__xludf.DUMMYFUNCTION("""COMPUTED_VALUE"""),"BLACK")</f>
        <v>BLACK</v>
      </c>
      <c r="G7030" s="20" t="str">
        <f>IFERROR(__xludf.DUMMYFUNCTION("""COMPUTED_VALUE"""),"Uncle Sams Cider (11/12/2021) 02")</f>
        <v>Uncle Sams Cider (11/12/2021) 02</v>
      </c>
      <c r="H7030" s="19"/>
    </row>
    <row r="7031">
      <c r="A7031" s="9"/>
      <c r="B7031" s="15"/>
      <c r="C7031" s="9">
        <f>IFERROR(__xludf.DUMMYFUNCTION("""COMPUTED_VALUE"""),44531.2799535763)</f>
        <v>44531.27995</v>
      </c>
      <c r="D7031" s="15">
        <f>IFERROR(__xludf.DUMMYFUNCTION("""COMPUTED_VALUE"""),1.038)</f>
        <v>1.038</v>
      </c>
      <c r="E7031" s="16">
        <f>IFERROR(__xludf.DUMMYFUNCTION("""COMPUTED_VALUE"""),64.0)</f>
        <v>64</v>
      </c>
      <c r="F7031" s="19" t="str">
        <f>IFERROR(__xludf.DUMMYFUNCTION("""COMPUTED_VALUE"""),"BLACK")</f>
        <v>BLACK</v>
      </c>
      <c r="G7031" s="20" t="str">
        <f>IFERROR(__xludf.DUMMYFUNCTION("""COMPUTED_VALUE"""),"Uncle Sams Cider (11/12/2021) 02")</f>
        <v>Uncle Sams Cider (11/12/2021) 02</v>
      </c>
      <c r="H7031" s="19"/>
    </row>
    <row r="7032">
      <c r="A7032" s="9"/>
      <c r="B7032" s="15"/>
      <c r="C7032" s="9">
        <f>IFERROR(__xludf.DUMMYFUNCTION("""COMPUTED_VALUE"""),44531.2695323032)</f>
        <v>44531.26953</v>
      </c>
      <c r="D7032" s="15">
        <f>IFERROR(__xludf.DUMMYFUNCTION("""COMPUTED_VALUE"""),1.038)</f>
        <v>1.038</v>
      </c>
      <c r="E7032" s="16">
        <f>IFERROR(__xludf.DUMMYFUNCTION("""COMPUTED_VALUE"""),64.0)</f>
        <v>64</v>
      </c>
      <c r="F7032" s="19" t="str">
        <f>IFERROR(__xludf.DUMMYFUNCTION("""COMPUTED_VALUE"""),"BLACK")</f>
        <v>BLACK</v>
      </c>
      <c r="G7032" s="20" t="str">
        <f>IFERROR(__xludf.DUMMYFUNCTION("""COMPUTED_VALUE"""),"Uncle Sams Cider (11/12/2021) 02")</f>
        <v>Uncle Sams Cider (11/12/2021) 02</v>
      </c>
      <c r="H7032" s="19"/>
    </row>
    <row r="7033">
      <c r="A7033" s="9"/>
      <c r="B7033" s="15"/>
      <c r="C7033" s="9">
        <f>IFERROR(__xludf.DUMMYFUNCTION("""COMPUTED_VALUE"""),44531.2590877893)</f>
        <v>44531.25909</v>
      </c>
      <c r="D7033" s="15">
        <f>IFERROR(__xludf.DUMMYFUNCTION("""COMPUTED_VALUE"""),1.038)</f>
        <v>1.038</v>
      </c>
      <c r="E7033" s="16">
        <f>IFERROR(__xludf.DUMMYFUNCTION("""COMPUTED_VALUE"""),64.0)</f>
        <v>64</v>
      </c>
      <c r="F7033" s="19" t="str">
        <f>IFERROR(__xludf.DUMMYFUNCTION("""COMPUTED_VALUE"""),"BLACK")</f>
        <v>BLACK</v>
      </c>
      <c r="G7033" s="20" t="str">
        <f>IFERROR(__xludf.DUMMYFUNCTION("""COMPUTED_VALUE"""),"Uncle Sams Cider (11/12/2021) 02")</f>
        <v>Uncle Sams Cider (11/12/2021) 02</v>
      </c>
      <c r="H7033" s="19"/>
    </row>
    <row r="7034">
      <c r="A7034" s="9"/>
      <c r="B7034" s="15"/>
      <c r="C7034" s="9">
        <f>IFERROR(__xludf.DUMMYFUNCTION("""COMPUTED_VALUE"""),44531.2486673148)</f>
        <v>44531.24867</v>
      </c>
      <c r="D7034" s="15">
        <f>IFERROR(__xludf.DUMMYFUNCTION("""COMPUTED_VALUE"""),1.038)</f>
        <v>1.038</v>
      </c>
      <c r="E7034" s="16">
        <f>IFERROR(__xludf.DUMMYFUNCTION("""COMPUTED_VALUE"""),64.0)</f>
        <v>64</v>
      </c>
      <c r="F7034" s="19" t="str">
        <f>IFERROR(__xludf.DUMMYFUNCTION("""COMPUTED_VALUE"""),"BLACK")</f>
        <v>BLACK</v>
      </c>
      <c r="G7034" s="20" t="str">
        <f>IFERROR(__xludf.DUMMYFUNCTION("""COMPUTED_VALUE"""),"Uncle Sams Cider (11/12/2021) 02")</f>
        <v>Uncle Sams Cider (11/12/2021) 02</v>
      </c>
      <c r="H7034" s="19"/>
    </row>
    <row r="7035">
      <c r="A7035" s="9"/>
      <c r="B7035" s="15"/>
      <c r="C7035" s="9">
        <f>IFERROR(__xludf.DUMMYFUNCTION("""COMPUTED_VALUE"""),44531.2382469097)</f>
        <v>44531.23825</v>
      </c>
      <c r="D7035" s="15">
        <f>IFERROR(__xludf.DUMMYFUNCTION("""COMPUTED_VALUE"""),1.038)</f>
        <v>1.038</v>
      </c>
      <c r="E7035" s="16">
        <f>IFERROR(__xludf.DUMMYFUNCTION("""COMPUTED_VALUE"""),64.0)</f>
        <v>64</v>
      </c>
      <c r="F7035" s="19" t="str">
        <f>IFERROR(__xludf.DUMMYFUNCTION("""COMPUTED_VALUE"""),"BLACK")</f>
        <v>BLACK</v>
      </c>
      <c r="G7035" s="20" t="str">
        <f>IFERROR(__xludf.DUMMYFUNCTION("""COMPUTED_VALUE"""),"Uncle Sams Cider (11/12/2021) 02")</f>
        <v>Uncle Sams Cider (11/12/2021) 02</v>
      </c>
      <c r="H7035" s="19"/>
    </row>
    <row r="7036">
      <c r="A7036" s="9"/>
      <c r="B7036" s="15"/>
      <c r="C7036" s="9">
        <f>IFERROR(__xludf.DUMMYFUNCTION("""COMPUTED_VALUE"""),44531.2278139236)</f>
        <v>44531.22781</v>
      </c>
      <c r="D7036" s="15">
        <f>IFERROR(__xludf.DUMMYFUNCTION("""COMPUTED_VALUE"""),1.038)</f>
        <v>1.038</v>
      </c>
      <c r="E7036" s="16">
        <f>IFERROR(__xludf.DUMMYFUNCTION("""COMPUTED_VALUE"""),64.0)</f>
        <v>64</v>
      </c>
      <c r="F7036" s="19" t="str">
        <f>IFERROR(__xludf.DUMMYFUNCTION("""COMPUTED_VALUE"""),"BLACK")</f>
        <v>BLACK</v>
      </c>
      <c r="G7036" s="20" t="str">
        <f>IFERROR(__xludf.DUMMYFUNCTION("""COMPUTED_VALUE"""),"Uncle Sams Cider (11/12/2021) 02")</f>
        <v>Uncle Sams Cider (11/12/2021) 02</v>
      </c>
      <c r="H7036" s="19"/>
    </row>
    <row r="7037">
      <c r="A7037" s="9"/>
      <c r="B7037" s="15"/>
      <c r="C7037" s="9">
        <f>IFERROR(__xludf.DUMMYFUNCTION("""COMPUTED_VALUE"""),44531.2173832754)</f>
        <v>44531.21738</v>
      </c>
      <c r="D7037" s="15">
        <f>IFERROR(__xludf.DUMMYFUNCTION("""COMPUTED_VALUE"""),1.038)</f>
        <v>1.038</v>
      </c>
      <c r="E7037" s="16">
        <f>IFERROR(__xludf.DUMMYFUNCTION("""COMPUTED_VALUE"""),64.0)</f>
        <v>64</v>
      </c>
      <c r="F7037" s="19" t="str">
        <f>IFERROR(__xludf.DUMMYFUNCTION("""COMPUTED_VALUE"""),"BLACK")</f>
        <v>BLACK</v>
      </c>
      <c r="G7037" s="20" t="str">
        <f>IFERROR(__xludf.DUMMYFUNCTION("""COMPUTED_VALUE"""),"Uncle Sams Cider (11/12/2021) 02")</f>
        <v>Uncle Sams Cider (11/12/2021) 02</v>
      </c>
      <c r="H7037" s="19"/>
    </row>
    <row r="7038">
      <c r="A7038" s="9"/>
      <c r="B7038" s="15"/>
      <c r="C7038" s="9">
        <f>IFERROR(__xludf.DUMMYFUNCTION("""COMPUTED_VALUE"""),44531.2069613541)</f>
        <v>44531.20696</v>
      </c>
      <c r="D7038" s="15">
        <f>IFERROR(__xludf.DUMMYFUNCTION("""COMPUTED_VALUE"""),1.038)</f>
        <v>1.038</v>
      </c>
      <c r="E7038" s="16">
        <f>IFERROR(__xludf.DUMMYFUNCTION("""COMPUTED_VALUE"""),64.0)</f>
        <v>64</v>
      </c>
      <c r="F7038" s="19" t="str">
        <f>IFERROR(__xludf.DUMMYFUNCTION("""COMPUTED_VALUE"""),"BLACK")</f>
        <v>BLACK</v>
      </c>
      <c r="G7038" s="20" t="str">
        <f>IFERROR(__xludf.DUMMYFUNCTION("""COMPUTED_VALUE"""),"Uncle Sams Cider (11/12/2021) 02")</f>
        <v>Uncle Sams Cider (11/12/2021) 02</v>
      </c>
      <c r="H7038" s="19"/>
    </row>
    <row r="7039">
      <c r="A7039" s="9"/>
      <c r="B7039" s="15"/>
      <c r="C7039" s="9">
        <f>IFERROR(__xludf.DUMMYFUNCTION("""COMPUTED_VALUE"""),44531.1965403587)</f>
        <v>44531.19654</v>
      </c>
      <c r="D7039" s="15">
        <f>IFERROR(__xludf.DUMMYFUNCTION("""COMPUTED_VALUE"""),1.038)</f>
        <v>1.038</v>
      </c>
      <c r="E7039" s="16">
        <f>IFERROR(__xludf.DUMMYFUNCTION("""COMPUTED_VALUE"""),64.0)</f>
        <v>64</v>
      </c>
      <c r="F7039" s="19" t="str">
        <f>IFERROR(__xludf.DUMMYFUNCTION("""COMPUTED_VALUE"""),"BLACK")</f>
        <v>BLACK</v>
      </c>
      <c r="G7039" s="20" t="str">
        <f>IFERROR(__xludf.DUMMYFUNCTION("""COMPUTED_VALUE"""),"Uncle Sams Cider (11/12/2021) 02")</f>
        <v>Uncle Sams Cider (11/12/2021) 02</v>
      </c>
      <c r="H7039" s="19"/>
    </row>
    <row r="7040">
      <c r="A7040" s="9"/>
      <c r="B7040" s="15"/>
      <c r="C7040" s="9">
        <f>IFERROR(__xludf.DUMMYFUNCTION("""COMPUTED_VALUE"""),44531.186108206)</f>
        <v>44531.18611</v>
      </c>
      <c r="D7040" s="15">
        <f>IFERROR(__xludf.DUMMYFUNCTION("""COMPUTED_VALUE"""),1.038)</f>
        <v>1.038</v>
      </c>
      <c r="E7040" s="16">
        <f>IFERROR(__xludf.DUMMYFUNCTION("""COMPUTED_VALUE"""),64.0)</f>
        <v>64</v>
      </c>
      <c r="F7040" s="19" t="str">
        <f>IFERROR(__xludf.DUMMYFUNCTION("""COMPUTED_VALUE"""),"BLACK")</f>
        <v>BLACK</v>
      </c>
      <c r="G7040" s="20" t="str">
        <f>IFERROR(__xludf.DUMMYFUNCTION("""COMPUTED_VALUE"""),"Uncle Sams Cider (11/12/2021) 02")</f>
        <v>Uncle Sams Cider (11/12/2021) 02</v>
      </c>
      <c r="H7040" s="19"/>
    </row>
    <row r="7041">
      <c r="A7041" s="9"/>
      <c r="B7041" s="15"/>
      <c r="C7041" s="9">
        <f>IFERROR(__xludf.DUMMYFUNCTION("""COMPUTED_VALUE"""),44531.1756879745)</f>
        <v>44531.17569</v>
      </c>
      <c r="D7041" s="15">
        <f>IFERROR(__xludf.DUMMYFUNCTION("""COMPUTED_VALUE"""),1.038)</f>
        <v>1.038</v>
      </c>
      <c r="E7041" s="16">
        <f>IFERROR(__xludf.DUMMYFUNCTION("""COMPUTED_VALUE"""),64.0)</f>
        <v>64</v>
      </c>
      <c r="F7041" s="19" t="str">
        <f>IFERROR(__xludf.DUMMYFUNCTION("""COMPUTED_VALUE"""),"BLACK")</f>
        <v>BLACK</v>
      </c>
      <c r="G7041" s="20" t="str">
        <f>IFERROR(__xludf.DUMMYFUNCTION("""COMPUTED_VALUE"""),"Uncle Sams Cider (11/12/2021) 02")</f>
        <v>Uncle Sams Cider (11/12/2021) 02</v>
      </c>
      <c r="H7041" s="19"/>
    </row>
    <row r="7042">
      <c r="A7042" s="9"/>
      <c r="B7042" s="15"/>
      <c r="C7042" s="9">
        <f>IFERROR(__xludf.DUMMYFUNCTION("""COMPUTED_VALUE"""),44531.1652661342)</f>
        <v>44531.16527</v>
      </c>
      <c r="D7042" s="15">
        <f>IFERROR(__xludf.DUMMYFUNCTION("""COMPUTED_VALUE"""),1.038)</f>
        <v>1.038</v>
      </c>
      <c r="E7042" s="16">
        <f>IFERROR(__xludf.DUMMYFUNCTION("""COMPUTED_VALUE"""),64.0)</f>
        <v>64</v>
      </c>
      <c r="F7042" s="19" t="str">
        <f>IFERROR(__xludf.DUMMYFUNCTION("""COMPUTED_VALUE"""),"BLACK")</f>
        <v>BLACK</v>
      </c>
      <c r="G7042" s="20" t="str">
        <f>IFERROR(__xludf.DUMMYFUNCTION("""COMPUTED_VALUE"""),"Uncle Sams Cider (11/12/2021) 02")</f>
        <v>Uncle Sams Cider (11/12/2021) 02</v>
      </c>
      <c r="H7042" s="19"/>
    </row>
    <row r="7043">
      <c r="A7043" s="9"/>
      <c r="B7043" s="15"/>
      <c r="C7043" s="9">
        <f>IFERROR(__xludf.DUMMYFUNCTION("""COMPUTED_VALUE"""),44531.1548442013)</f>
        <v>44531.15484</v>
      </c>
      <c r="D7043" s="15">
        <f>IFERROR(__xludf.DUMMYFUNCTION("""COMPUTED_VALUE"""),1.038)</f>
        <v>1.038</v>
      </c>
      <c r="E7043" s="16">
        <f>IFERROR(__xludf.DUMMYFUNCTION("""COMPUTED_VALUE"""),64.0)</f>
        <v>64</v>
      </c>
      <c r="F7043" s="19" t="str">
        <f>IFERROR(__xludf.DUMMYFUNCTION("""COMPUTED_VALUE"""),"BLACK")</f>
        <v>BLACK</v>
      </c>
      <c r="G7043" s="20" t="str">
        <f>IFERROR(__xludf.DUMMYFUNCTION("""COMPUTED_VALUE"""),"Uncle Sams Cider (11/12/2021) 02")</f>
        <v>Uncle Sams Cider (11/12/2021) 02</v>
      </c>
      <c r="H7043" s="19"/>
    </row>
    <row r="7044">
      <c r="A7044" s="9"/>
      <c r="B7044" s="15"/>
      <c r="C7044" s="9">
        <f>IFERROR(__xludf.DUMMYFUNCTION("""COMPUTED_VALUE"""),44531.1444103703)</f>
        <v>44531.14441</v>
      </c>
      <c r="D7044" s="15">
        <f>IFERROR(__xludf.DUMMYFUNCTION("""COMPUTED_VALUE"""),1.038)</f>
        <v>1.038</v>
      </c>
      <c r="E7044" s="16">
        <f>IFERROR(__xludf.DUMMYFUNCTION("""COMPUTED_VALUE"""),64.0)</f>
        <v>64</v>
      </c>
      <c r="F7044" s="19" t="str">
        <f>IFERROR(__xludf.DUMMYFUNCTION("""COMPUTED_VALUE"""),"BLACK")</f>
        <v>BLACK</v>
      </c>
      <c r="G7044" s="20" t="str">
        <f>IFERROR(__xludf.DUMMYFUNCTION("""COMPUTED_VALUE"""),"Uncle Sams Cider (11/12/2021) 02")</f>
        <v>Uncle Sams Cider (11/12/2021) 02</v>
      </c>
      <c r="H7044" s="19"/>
    </row>
    <row r="7045">
      <c r="A7045" s="9"/>
      <c r="B7045" s="15"/>
      <c r="C7045" s="9">
        <f>IFERROR(__xludf.DUMMYFUNCTION("""COMPUTED_VALUE"""),44531.1339893055)</f>
        <v>44531.13399</v>
      </c>
      <c r="D7045" s="15">
        <f>IFERROR(__xludf.DUMMYFUNCTION("""COMPUTED_VALUE"""),1.038)</f>
        <v>1.038</v>
      </c>
      <c r="E7045" s="16">
        <f>IFERROR(__xludf.DUMMYFUNCTION("""COMPUTED_VALUE"""),64.0)</f>
        <v>64</v>
      </c>
      <c r="F7045" s="19" t="str">
        <f>IFERROR(__xludf.DUMMYFUNCTION("""COMPUTED_VALUE"""),"BLACK")</f>
        <v>BLACK</v>
      </c>
      <c r="G7045" s="20" t="str">
        <f>IFERROR(__xludf.DUMMYFUNCTION("""COMPUTED_VALUE"""),"Uncle Sams Cider (11/12/2021) 02")</f>
        <v>Uncle Sams Cider (11/12/2021) 02</v>
      </c>
      <c r="H7045" s="19"/>
    </row>
    <row r="7046">
      <c r="A7046" s="9"/>
      <c r="B7046" s="15"/>
      <c r="C7046" s="9">
        <f>IFERROR(__xludf.DUMMYFUNCTION("""COMPUTED_VALUE"""),44531.1235474305)</f>
        <v>44531.12355</v>
      </c>
      <c r="D7046" s="15">
        <f>IFERROR(__xludf.DUMMYFUNCTION("""COMPUTED_VALUE"""),1.038)</f>
        <v>1.038</v>
      </c>
      <c r="E7046" s="16">
        <f>IFERROR(__xludf.DUMMYFUNCTION("""COMPUTED_VALUE"""),64.0)</f>
        <v>64</v>
      </c>
      <c r="F7046" s="19" t="str">
        <f>IFERROR(__xludf.DUMMYFUNCTION("""COMPUTED_VALUE"""),"BLACK")</f>
        <v>BLACK</v>
      </c>
      <c r="G7046" s="20" t="str">
        <f>IFERROR(__xludf.DUMMYFUNCTION("""COMPUTED_VALUE"""),"Uncle Sams Cider (11/12/2021) 02")</f>
        <v>Uncle Sams Cider (11/12/2021) 02</v>
      </c>
      <c r="H7046" s="19"/>
    </row>
    <row r="7047">
      <c r="A7047" s="9"/>
      <c r="B7047" s="15"/>
      <c r="C7047" s="9">
        <f>IFERROR(__xludf.DUMMYFUNCTION("""COMPUTED_VALUE"""),44531.1131258912)</f>
        <v>44531.11313</v>
      </c>
      <c r="D7047" s="15">
        <f>IFERROR(__xludf.DUMMYFUNCTION("""COMPUTED_VALUE"""),1.038)</f>
        <v>1.038</v>
      </c>
      <c r="E7047" s="16">
        <f>IFERROR(__xludf.DUMMYFUNCTION("""COMPUTED_VALUE"""),64.0)</f>
        <v>64</v>
      </c>
      <c r="F7047" s="19" t="str">
        <f>IFERROR(__xludf.DUMMYFUNCTION("""COMPUTED_VALUE"""),"BLACK")</f>
        <v>BLACK</v>
      </c>
      <c r="G7047" s="20" t="str">
        <f>IFERROR(__xludf.DUMMYFUNCTION("""COMPUTED_VALUE"""),"Uncle Sams Cider (11/12/2021) 02")</f>
        <v>Uncle Sams Cider (11/12/2021) 02</v>
      </c>
      <c r="H7047" s="19"/>
    </row>
    <row r="7048">
      <c r="A7048" s="9"/>
      <c r="B7048" s="15"/>
      <c r="C7048" s="9">
        <f>IFERROR(__xludf.DUMMYFUNCTION("""COMPUTED_VALUE"""),44531.102703287)</f>
        <v>44531.1027</v>
      </c>
      <c r="D7048" s="15">
        <f>IFERROR(__xludf.DUMMYFUNCTION("""COMPUTED_VALUE"""),1.038)</f>
        <v>1.038</v>
      </c>
      <c r="E7048" s="16">
        <f>IFERROR(__xludf.DUMMYFUNCTION("""COMPUTED_VALUE"""),64.0)</f>
        <v>64</v>
      </c>
      <c r="F7048" s="19" t="str">
        <f>IFERROR(__xludf.DUMMYFUNCTION("""COMPUTED_VALUE"""),"BLACK")</f>
        <v>BLACK</v>
      </c>
      <c r="G7048" s="20" t="str">
        <f>IFERROR(__xludf.DUMMYFUNCTION("""COMPUTED_VALUE"""),"Uncle Sams Cider (11/12/2021) 02")</f>
        <v>Uncle Sams Cider (11/12/2021) 02</v>
      </c>
      <c r="H7048" s="19"/>
    </row>
    <row r="7049">
      <c r="A7049" s="9"/>
      <c r="B7049" s="15"/>
      <c r="C7049" s="9">
        <f>IFERROR(__xludf.DUMMYFUNCTION("""COMPUTED_VALUE"""),44531.0922833217)</f>
        <v>44531.09228</v>
      </c>
      <c r="D7049" s="15">
        <f>IFERROR(__xludf.DUMMYFUNCTION("""COMPUTED_VALUE"""),1.038)</f>
        <v>1.038</v>
      </c>
      <c r="E7049" s="16">
        <f>IFERROR(__xludf.DUMMYFUNCTION("""COMPUTED_VALUE"""),64.0)</f>
        <v>64</v>
      </c>
      <c r="F7049" s="19" t="str">
        <f>IFERROR(__xludf.DUMMYFUNCTION("""COMPUTED_VALUE"""),"BLACK")</f>
        <v>BLACK</v>
      </c>
      <c r="G7049" s="20" t="str">
        <f>IFERROR(__xludf.DUMMYFUNCTION("""COMPUTED_VALUE"""),"Uncle Sams Cider (11/12/2021) 02")</f>
        <v>Uncle Sams Cider (11/12/2021) 02</v>
      </c>
      <c r="H7049" s="19"/>
    </row>
    <row r="7050">
      <c r="A7050" s="9"/>
      <c r="B7050" s="15"/>
      <c r="C7050" s="9">
        <f>IFERROR(__xludf.DUMMYFUNCTION("""COMPUTED_VALUE"""),44531.0818614699)</f>
        <v>44531.08186</v>
      </c>
      <c r="D7050" s="15">
        <f>IFERROR(__xludf.DUMMYFUNCTION("""COMPUTED_VALUE"""),1.038)</f>
        <v>1.038</v>
      </c>
      <c r="E7050" s="16">
        <f>IFERROR(__xludf.DUMMYFUNCTION("""COMPUTED_VALUE"""),64.0)</f>
        <v>64</v>
      </c>
      <c r="F7050" s="19" t="str">
        <f>IFERROR(__xludf.DUMMYFUNCTION("""COMPUTED_VALUE"""),"BLACK")</f>
        <v>BLACK</v>
      </c>
      <c r="G7050" s="20" t="str">
        <f>IFERROR(__xludf.DUMMYFUNCTION("""COMPUTED_VALUE"""),"Uncle Sams Cider (11/12/2021) 02")</f>
        <v>Uncle Sams Cider (11/12/2021) 02</v>
      </c>
      <c r="H7050" s="19"/>
    </row>
    <row r="7051">
      <c r="A7051" s="9"/>
      <c r="B7051" s="15"/>
      <c r="C7051" s="9">
        <f>IFERROR(__xludf.DUMMYFUNCTION("""COMPUTED_VALUE"""),44531.0714401388)</f>
        <v>44531.07144</v>
      </c>
      <c r="D7051" s="15">
        <f>IFERROR(__xludf.DUMMYFUNCTION("""COMPUTED_VALUE"""),1.038)</f>
        <v>1.038</v>
      </c>
      <c r="E7051" s="16">
        <f>IFERROR(__xludf.DUMMYFUNCTION("""COMPUTED_VALUE"""),64.0)</f>
        <v>64</v>
      </c>
      <c r="F7051" s="19" t="str">
        <f>IFERROR(__xludf.DUMMYFUNCTION("""COMPUTED_VALUE"""),"BLACK")</f>
        <v>BLACK</v>
      </c>
      <c r="G7051" s="20" t="str">
        <f>IFERROR(__xludf.DUMMYFUNCTION("""COMPUTED_VALUE"""),"Uncle Sams Cider (11/12/2021) 02")</f>
        <v>Uncle Sams Cider (11/12/2021) 02</v>
      </c>
      <c r="H7051" s="19"/>
    </row>
    <row r="7052">
      <c r="A7052" s="9"/>
      <c r="B7052" s="15"/>
      <c r="C7052" s="9">
        <f>IFERROR(__xludf.DUMMYFUNCTION("""COMPUTED_VALUE"""),44531.0610187962)</f>
        <v>44531.06102</v>
      </c>
      <c r="D7052" s="15">
        <f>IFERROR(__xludf.DUMMYFUNCTION("""COMPUTED_VALUE"""),1.038)</f>
        <v>1.038</v>
      </c>
      <c r="E7052" s="16">
        <f>IFERROR(__xludf.DUMMYFUNCTION("""COMPUTED_VALUE"""),64.0)</f>
        <v>64</v>
      </c>
      <c r="F7052" s="19" t="str">
        <f>IFERROR(__xludf.DUMMYFUNCTION("""COMPUTED_VALUE"""),"BLACK")</f>
        <v>BLACK</v>
      </c>
      <c r="G7052" s="20" t="str">
        <f>IFERROR(__xludf.DUMMYFUNCTION("""COMPUTED_VALUE"""),"Uncle Sams Cider (11/12/2021) 02")</f>
        <v>Uncle Sams Cider (11/12/2021) 02</v>
      </c>
      <c r="H7052" s="19"/>
    </row>
    <row r="7053">
      <c r="A7053" s="9"/>
      <c r="B7053" s="15"/>
      <c r="C7053" s="9">
        <f>IFERROR(__xludf.DUMMYFUNCTION("""COMPUTED_VALUE"""),44531.0505983217)</f>
        <v>44531.0506</v>
      </c>
      <c r="D7053" s="15">
        <f>IFERROR(__xludf.DUMMYFUNCTION("""COMPUTED_VALUE"""),1.038)</f>
        <v>1.038</v>
      </c>
      <c r="E7053" s="16">
        <f>IFERROR(__xludf.DUMMYFUNCTION("""COMPUTED_VALUE"""),64.0)</f>
        <v>64</v>
      </c>
      <c r="F7053" s="19" t="str">
        <f>IFERROR(__xludf.DUMMYFUNCTION("""COMPUTED_VALUE"""),"BLACK")</f>
        <v>BLACK</v>
      </c>
      <c r="G7053" s="20" t="str">
        <f>IFERROR(__xludf.DUMMYFUNCTION("""COMPUTED_VALUE"""),"Uncle Sams Cider (11/12/2021) 02")</f>
        <v>Uncle Sams Cider (11/12/2021) 02</v>
      </c>
      <c r="H7053" s="19"/>
    </row>
    <row r="7054">
      <c r="A7054" s="9"/>
      <c r="B7054" s="15"/>
      <c r="C7054" s="9">
        <f>IFERROR(__xludf.DUMMYFUNCTION("""COMPUTED_VALUE"""),44531.0401663078)</f>
        <v>44531.04017</v>
      </c>
      <c r="D7054" s="15">
        <f>IFERROR(__xludf.DUMMYFUNCTION("""COMPUTED_VALUE"""),1.038)</f>
        <v>1.038</v>
      </c>
      <c r="E7054" s="16">
        <f>IFERROR(__xludf.DUMMYFUNCTION("""COMPUTED_VALUE"""),64.0)</f>
        <v>64</v>
      </c>
      <c r="F7054" s="19" t="str">
        <f>IFERROR(__xludf.DUMMYFUNCTION("""COMPUTED_VALUE"""),"BLACK")</f>
        <v>BLACK</v>
      </c>
      <c r="G7054" s="20" t="str">
        <f>IFERROR(__xludf.DUMMYFUNCTION("""COMPUTED_VALUE"""),"Uncle Sams Cider (11/12/2021) 02")</f>
        <v>Uncle Sams Cider (11/12/2021) 02</v>
      </c>
      <c r="H7054" s="19"/>
    </row>
    <row r="7055">
      <c r="A7055" s="9"/>
      <c r="B7055" s="15"/>
      <c r="C7055" s="9">
        <f>IFERROR(__xludf.DUMMYFUNCTION("""COMPUTED_VALUE"""),44531.0297442708)</f>
        <v>44531.02974</v>
      </c>
      <c r="D7055" s="15">
        <f>IFERROR(__xludf.DUMMYFUNCTION("""COMPUTED_VALUE"""),1.038)</f>
        <v>1.038</v>
      </c>
      <c r="E7055" s="16">
        <f>IFERROR(__xludf.DUMMYFUNCTION("""COMPUTED_VALUE"""),64.0)</f>
        <v>64</v>
      </c>
      <c r="F7055" s="19" t="str">
        <f>IFERROR(__xludf.DUMMYFUNCTION("""COMPUTED_VALUE"""),"BLACK")</f>
        <v>BLACK</v>
      </c>
      <c r="G7055" s="20" t="str">
        <f>IFERROR(__xludf.DUMMYFUNCTION("""COMPUTED_VALUE"""),"Uncle Sams Cider (11/12/2021) 02")</f>
        <v>Uncle Sams Cider (11/12/2021) 02</v>
      </c>
      <c r="H7055" s="19"/>
    </row>
    <row r="7056">
      <c r="A7056" s="9"/>
      <c r="B7056" s="15"/>
      <c r="C7056" s="9">
        <f>IFERROR(__xludf.DUMMYFUNCTION("""COMPUTED_VALUE"""),44531.0193111111)</f>
        <v>44531.01931</v>
      </c>
      <c r="D7056" s="15">
        <f>IFERROR(__xludf.DUMMYFUNCTION("""COMPUTED_VALUE"""),1.038)</f>
        <v>1.038</v>
      </c>
      <c r="E7056" s="16">
        <f>IFERROR(__xludf.DUMMYFUNCTION("""COMPUTED_VALUE"""),64.0)</f>
        <v>64</v>
      </c>
      <c r="F7056" s="19" t="str">
        <f>IFERROR(__xludf.DUMMYFUNCTION("""COMPUTED_VALUE"""),"BLACK")</f>
        <v>BLACK</v>
      </c>
      <c r="G7056" s="20" t="str">
        <f>IFERROR(__xludf.DUMMYFUNCTION("""COMPUTED_VALUE"""),"Uncle Sams Cider (11/12/2021) 02")</f>
        <v>Uncle Sams Cider (11/12/2021) 02</v>
      </c>
      <c r="H7056" s="19"/>
    </row>
    <row r="7057">
      <c r="A7057" s="9"/>
      <c r="B7057" s="15"/>
      <c r="C7057" s="9">
        <f>IFERROR(__xludf.DUMMYFUNCTION("""COMPUTED_VALUE"""),44531.008891875)</f>
        <v>44531.00889</v>
      </c>
      <c r="D7057" s="15">
        <f>IFERROR(__xludf.DUMMYFUNCTION("""COMPUTED_VALUE"""),1.038)</f>
        <v>1.038</v>
      </c>
      <c r="E7057" s="16">
        <f>IFERROR(__xludf.DUMMYFUNCTION("""COMPUTED_VALUE"""),64.0)</f>
        <v>64</v>
      </c>
      <c r="F7057" s="19" t="str">
        <f>IFERROR(__xludf.DUMMYFUNCTION("""COMPUTED_VALUE"""),"BLACK")</f>
        <v>BLACK</v>
      </c>
      <c r="G7057" s="20" t="str">
        <f>IFERROR(__xludf.DUMMYFUNCTION("""COMPUTED_VALUE"""),"Uncle Sams Cider (11/12/2021) 02")</f>
        <v>Uncle Sams Cider (11/12/2021) 02</v>
      </c>
      <c r="H7057" s="19"/>
    </row>
    <row r="7058">
      <c r="A7058" s="9"/>
      <c r="B7058" s="15"/>
      <c r="C7058" s="9">
        <f>IFERROR(__xludf.DUMMYFUNCTION("""COMPUTED_VALUE"""),44530.9984696874)</f>
        <v>44530.99847</v>
      </c>
      <c r="D7058" s="15">
        <f>IFERROR(__xludf.DUMMYFUNCTION("""COMPUTED_VALUE"""),1.038)</f>
        <v>1.038</v>
      </c>
      <c r="E7058" s="16">
        <f>IFERROR(__xludf.DUMMYFUNCTION("""COMPUTED_VALUE"""),64.0)</f>
        <v>64</v>
      </c>
      <c r="F7058" s="19" t="str">
        <f>IFERROR(__xludf.DUMMYFUNCTION("""COMPUTED_VALUE"""),"BLACK")</f>
        <v>BLACK</v>
      </c>
      <c r="G7058" s="20" t="str">
        <f>IFERROR(__xludf.DUMMYFUNCTION("""COMPUTED_VALUE"""),"Uncle Sams Cider (11/12/2021) 02")</f>
        <v>Uncle Sams Cider (11/12/2021) 02</v>
      </c>
      <c r="H7058" s="19"/>
    </row>
    <row r="7059">
      <c r="A7059" s="9"/>
      <c r="B7059" s="15"/>
      <c r="C7059" s="9">
        <f>IFERROR(__xludf.DUMMYFUNCTION("""COMPUTED_VALUE"""),44530.9880497453)</f>
        <v>44530.98805</v>
      </c>
      <c r="D7059" s="15">
        <f>IFERROR(__xludf.DUMMYFUNCTION("""COMPUTED_VALUE"""),1.038)</f>
        <v>1.038</v>
      </c>
      <c r="E7059" s="16">
        <f>IFERROR(__xludf.DUMMYFUNCTION("""COMPUTED_VALUE"""),64.0)</f>
        <v>64</v>
      </c>
      <c r="F7059" s="19" t="str">
        <f>IFERROR(__xludf.DUMMYFUNCTION("""COMPUTED_VALUE"""),"BLACK")</f>
        <v>BLACK</v>
      </c>
      <c r="G7059" s="20" t="str">
        <f>IFERROR(__xludf.DUMMYFUNCTION("""COMPUTED_VALUE"""),"Uncle Sams Cider (11/12/2021) 02")</f>
        <v>Uncle Sams Cider (11/12/2021) 02</v>
      </c>
      <c r="H7059" s="19"/>
    </row>
    <row r="7060">
      <c r="A7060" s="9"/>
      <c r="B7060" s="15"/>
      <c r="C7060" s="9">
        <f>IFERROR(__xludf.DUMMYFUNCTION("""COMPUTED_VALUE"""),44530.9775934375)</f>
        <v>44530.97759</v>
      </c>
      <c r="D7060" s="15">
        <f>IFERROR(__xludf.DUMMYFUNCTION("""COMPUTED_VALUE"""),1.038)</f>
        <v>1.038</v>
      </c>
      <c r="E7060" s="16">
        <f>IFERROR(__xludf.DUMMYFUNCTION("""COMPUTED_VALUE"""),64.0)</f>
        <v>64</v>
      </c>
      <c r="F7060" s="19" t="str">
        <f>IFERROR(__xludf.DUMMYFUNCTION("""COMPUTED_VALUE"""),"BLACK")</f>
        <v>BLACK</v>
      </c>
      <c r="G7060" s="20" t="str">
        <f>IFERROR(__xludf.DUMMYFUNCTION("""COMPUTED_VALUE"""),"Uncle Sams Cider (11/12/2021) 02")</f>
        <v>Uncle Sams Cider (11/12/2021) 02</v>
      </c>
      <c r="H7060" s="19"/>
    </row>
    <row r="7061">
      <c r="A7061" s="9"/>
      <c r="B7061" s="15"/>
      <c r="C7061" s="9">
        <f>IFERROR(__xludf.DUMMYFUNCTION("""COMPUTED_VALUE"""),44530.9671718981)</f>
        <v>44530.96717</v>
      </c>
      <c r="D7061" s="15">
        <f>IFERROR(__xludf.DUMMYFUNCTION("""COMPUTED_VALUE"""),1.038)</f>
        <v>1.038</v>
      </c>
      <c r="E7061" s="16">
        <f>IFERROR(__xludf.DUMMYFUNCTION("""COMPUTED_VALUE"""),64.0)</f>
        <v>64</v>
      </c>
      <c r="F7061" s="19" t="str">
        <f>IFERROR(__xludf.DUMMYFUNCTION("""COMPUTED_VALUE"""),"BLACK")</f>
        <v>BLACK</v>
      </c>
      <c r="G7061" s="20" t="str">
        <f>IFERROR(__xludf.DUMMYFUNCTION("""COMPUTED_VALUE"""),"Uncle Sams Cider (11/12/2021) 02")</f>
        <v>Uncle Sams Cider (11/12/2021) 02</v>
      </c>
      <c r="H7061" s="19"/>
    </row>
    <row r="7062">
      <c r="A7062" s="9"/>
      <c r="B7062" s="15"/>
      <c r="C7062" s="9">
        <f>IFERROR(__xludf.DUMMYFUNCTION("""COMPUTED_VALUE"""),44530.9567384722)</f>
        <v>44530.95674</v>
      </c>
      <c r="D7062" s="15">
        <f>IFERROR(__xludf.DUMMYFUNCTION("""COMPUTED_VALUE"""),1.038)</f>
        <v>1.038</v>
      </c>
      <c r="E7062" s="16">
        <f>IFERROR(__xludf.DUMMYFUNCTION("""COMPUTED_VALUE"""),64.0)</f>
        <v>64</v>
      </c>
      <c r="F7062" s="19" t="str">
        <f>IFERROR(__xludf.DUMMYFUNCTION("""COMPUTED_VALUE"""),"BLACK")</f>
        <v>BLACK</v>
      </c>
      <c r="G7062" s="20" t="str">
        <f>IFERROR(__xludf.DUMMYFUNCTION("""COMPUTED_VALUE"""),"Uncle Sams Cider (11/12/2021) 02")</f>
        <v>Uncle Sams Cider (11/12/2021) 02</v>
      </c>
      <c r="H7062" s="19"/>
    </row>
    <row r="7063">
      <c r="A7063" s="9"/>
      <c r="B7063" s="15"/>
      <c r="C7063" s="9">
        <f>IFERROR(__xludf.DUMMYFUNCTION("""COMPUTED_VALUE"""),44530.9463180902)</f>
        <v>44530.94632</v>
      </c>
      <c r="D7063" s="15">
        <f>IFERROR(__xludf.DUMMYFUNCTION("""COMPUTED_VALUE"""),1.038)</f>
        <v>1.038</v>
      </c>
      <c r="E7063" s="16">
        <f>IFERROR(__xludf.DUMMYFUNCTION("""COMPUTED_VALUE"""),64.0)</f>
        <v>64</v>
      </c>
      <c r="F7063" s="19" t="str">
        <f>IFERROR(__xludf.DUMMYFUNCTION("""COMPUTED_VALUE"""),"BLACK")</f>
        <v>BLACK</v>
      </c>
      <c r="G7063" s="20" t="str">
        <f>IFERROR(__xludf.DUMMYFUNCTION("""COMPUTED_VALUE"""),"Uncle Sams Cider (11/12/2021) 02")</f>
        <v>Uncle Sams Cider (11/12/2021) 02</v>
      </c>
      <c r="H7063" s="19"/>
    </row>
    <row r="7064">
      <c r="A7064" s="9"/>
      <c r="B7064" s="15"/>
      <c r="C7064" s="9">
        <f>IFERROR(__xludf.DUMMYFUNCTION("""COMPUTED_VALUE"""),44530.9358962962)</f>
        <v>44530.9359</v>
      </c>
      <c r="D7064" s="15">
        <f>IFERROR(__xludf.DUMMYFUNCTION("""COMPUTED_VALUE"""),1.038)</f>
        <v>1.038</v>
      </c>
      <c r="E7064" s="16">
        <f>IFERROR(__xludf.DUMMYFUNCTION("""COMPUTED_VALUE"""),64.0)</f>
        <v>64</v>
      </c>
      <c r="F7064" s="19" t="str">
        <f>IFERROR(__xludf.DUMMYFUNCTION("""COMPUTED_VALUE"""),"BLACK")</f>
        <v>BLACK</v>
      </c>
      <c r="G7064" s="20" t="str">
        <f>IFERROR(__xludf.DUMMYFUNCTION("""COMPUTED_VALUE"""),"Uncle Sams Cider (11/12/2021) 02")</f>
        <v>Uncle Sams Cider (11/12/2021) 02</v>
      </c>
      <c r="H7064" s="19"/>
    </row>
    <row r="7065">
      <c r="A7065" s="9"/>
      <c r="B7065" s="15"/>
      <c r="C7065" s="9">
        <f>IFERROR(__xludf.DUMMYFUNCTION("""COMPUTED_VALUE"""),44530.9254748726)</f>
        <v>44530.92547</v>
      </c>
      <c r="D7065" s="15">
        <f>IFERROR(__xludf.DUMMYFUNCTION("""COMPUTED_VALUE"""),1.038)</f>
        <v>1.038</v>
      </c>
      <c r="E7065" s="16">
        <f>IFERROR(__xludf.DUMMYFUNCTION("""COMPUTED_VALUE"""),64.0)</f>
        <v>64</v>
      </c>
      <c r="F7065" s="19" t="str">
        <f>IFERROR(__xludf.DUMMYFUNCTION("""COMPUTED_VALUE"""),"BLACK")</f>
        <v>BLACK</v>
      </c>
      <c r="G7065" s="20" t="str">
        <f>IFERROR(__xludf.DUMMYFUNCTION("""COMPUTED_VALUE"""),"Uncle Sams Cider (11/12/2021) 02")</f>
        <v>Uncle Sams Cider (11/12/2021) 02</v>
      </c>
      <c r="H7065" s="19"/>
    </row>
    <row r="7066">
      <c r="A7066" s="9"/>
      <c r="B7066" s="15"/>
      <c r="C7066" s="9">
        <f>IFERROR(__xludf.DUMMYFUNCTION("""COMPUTED_VALUE"""),44530.9150544791)</f>
        <v>44530.91505</v>
      </c>
      <c r="D7066" s="15">
        <f>IFERROR(__xludf.DUMMYFUNCTION("""COMPUTED_VALUE"""),1.038)</f>
        <v>1.038</v>
      </c>
      <c r="E7066" s="16">
        <f>IFERROR(__xludf.DUMMYFUNCTION("""COMPUTED_VALUE"""),64.0)</f>
        <v>64</v>
      </c>
      <c r="F7066" s="19" t="str">
        <f>IFERROR(__xludf.DUMMYFUNCTION("""COMPUTED_VALUE"""),"BLACK")</f>
        <v>BLACK</v>
      </c>
      <c r="G7066" s="20" t="str">
        <f>IFERROR(__xludf.DUMMYFUNCTION("""COMPUTED_VALUE"""),"Uncle Sams Cider (11/12/2021) 02")</f>
        <v>Uncle Sams Cider (11/12/2021) 02</v>
      </c>
      <c r="H7066" s="19"/>
    </row>
    <row r="7067">
      <c r="A7067" s="9"/>
      <c r="B7067" s="15"/>
      <c r="C7067" s="9">
        <f>IFERROR(__xludf.DUMMYFUNCTION("""COMPUTED_VALUE"""),44530.9046341666)</f>
        <v>44530.90463</v>
      </c>
      <c r="D7067" s="15">
        <f>IFERROR(__xludf.DUMMYFUNCTION("""COMPUTED_VALUE"""),1.038)</f>
        <v>1.038</v>
      </c>
      <c r="E7067" s="16">
        <f>IFERROR(__xludf.DUMMYFUNCTION("""COMPUTED_VALUE"""),64.0)</f>
        <v>64</v>
      </c>
      <c r="F7067" s="19" t="str">
        <f>IFERROR(__xludf.DUMMYFUNCTION("""COMPUTED_VALUE"""),"BLACK")</f>
        <v>BLACK</v>
      </c>
      <c r="G7067" s="20" t="str">
        <f>IFERROR(__xludf.DUMMYFUNCTION("""COMPUTED_VALUE"""),"Uncle Sams Cider (11/12/2021) 02")</f>
        <v>Uncle Sams Cider (11/12/2021) 02</v>
      </c>
      <c r="H7067" s="19"/>
    </row>
    <row r="7068">
      <c r="A7068" s="9"/>
      <c r="B7068" s="15"/>
      <c r="C7068" s="9">
        <f>IFERROR(__xludf.DUMMYFUNCTION("""COMPUTED_VALUE"""),44530.8942025463)</f>
        <v>44530.8942</v>
      </c>
      <c r="D7068" s="15">
        <f>IFERROR(__xludf.DUMMYFUNCTION("""COMPUTED_VALUE"""),1.038)</f>
        <v>1.038</v>
      </c>
      <c r="E7068" s="16">
        <f>IFERROR(__xludf.DUMMYFUNCTION("""COMPUTED_VALUE"""),64.0)</f>
        <v>64</v>
      </c>
      <c r="F7068" s="19" t="str">
        <f>IFERROR(__xludf.DUMMYFUNCTION("""COMPUTED_VALUE"""),"BLACK")</f>
        <v>BLACK</v>
      </c>
      <c r="G7068" s="20" t="str">
        <f>IFERROR(__xludf.DUMMYFUNCTION("""COMPUTED_VALUE"""),"Uncle Sams Cider (11/12/2021) 02")</f>
        <v>Uncle Sams Cider (11/12/2021) 02</v>
      </c>
      <c r="H7068" s="19"/>
    </row>
    <row r="7069">
      <c r="A7069" s="9"/>
      <c r="B7069" s="15"/>
      <c r="C7069" s="9">
        <f>IFERROR(__xludf.DUMMYFUNCTION("""COMPUTED_VALUE"""),44530.8837821527)</f>
        <v>44530.88378</v>
      </c>
      <c r="D7069" s="15">
        <f>IFERROR(__xludf.DUMMYFUNCTION("""COMPUTED_VALUE"""),1.038)</f>
        <v>1.038</v>
      </c>
      <c r="E7069" s="16">
        <f>IFERROR(__xludf.DUMMYFUNCTION("""COMPUTED_VALUE"""),64.0)</f>
        <v>64</v>
      </c>
      <c r="F7069" s="19" t="str">
        <f>IFERROR(__xludf.DUMMYFUNCTION("""COMPUTED_VALUE"""),"BLACK")</f>
        <v>BLACK</v>
      </c>
      <c r="G7069" s="20" t="str">
        <f>IFERROR(__xludf.DUMMYFUNCTION("""COMPUTED_VALUE"""),"Uncle Sams Cider (11/12/2021) 02")</f>
        <v>Uncle Sams Cider (11/12/2021) 02</v>
      </c>
      <c r="H7069" s="19"/>
    </row>
    <row r="7070">
      <c r="A7070" s="9"/>
      <c r="B7070" s="15"/>
      <c r="C7070" s="9">
        <f>IFERROR(__xludf.DUMMYFUNCTION("""COMPUTED_VALUE"""),44530.8733599652)</f>
        <v>44530.87336</v>
      </c>
      <c r="D7070" s="15">
        <f>IFERROR(__xludf.DUMMYFUNCTION("""COMPUTED_VALUE"""),1.038)</f>
        <v>1.038</v>
      </c>
      <c r="E7070" s="16">
        <f>IFERROR(__xludf.DUMMYFUNCTION("""COMPUTED_VALUE"""),64.0)</f>
        <v>64</v>
      </c>
      <c r="F7070" s="19" t="str">
        <f>IFERROR(__xludf.DUMMYFUNCTION("""COMPUTED_VALUE"""),"BLACK")</f>
        <v>BLACK</v>
      </c>
      <c r="G7070" s="20" t="str">
        <f>IFERROR(__xludf.DUMMYFUNCTION("""COMPUTED_VALUE"""),"Uncle Sams Cider (11/12/2021) 02")</f>
        <v>Uncle Sams Cider (11/12/2021) 02</v>
      </c>
      <c r="H7070" s="19"/>
    </row>
    <row r="7071">
      <c r="A7071" s="9"/>
      <c r="B7071" s="15"/>
      <c r="C7071" s="9">
        <f>IFERROR(__xludf.DUMMYFUNCTION("""COMPUTED_VALUE"""),44530.8629274652)</f>
        <v>44530.86293</v>
      </c>
      <c r="D7071" s="15">
        <f>IFERROR(__xludf.DUMMYFUNCTION("""COMPUTED_VALUE"""),1.038)</f>
        <v>1.038</v>
      </c>
      <c r="E7071" s="16">
        <f>IFERROR(__xludf.DUMMYFUNCTION("""COMPUTED_VALUE"""),64.0)</f>
        <v>64</v>
      </c>
      <c r="F7071" s="19" t="str">
        <f>IFERROR(__xludf.DUMMYFUNCTION("""COMPUTED_VALUE"""),"BLACK")</f>
        <v>BLACK</v>
      </c>
      <c r="G7071" s="20" t="str">
        <f>IFERROR(__xludf.DUMMYFUNCTION("""COMPUTED_VALUE"""),"Uncle Sams Cider (11/12/2021) 02")</f>
        <v>Uncle Sams Cider (11/12/2021) 02</v>
      </c>
      <c r="H7071" s="19"/>
    </row>
    <row r="7072">
      <c r="A7072" s="9"/>
      <c r="B7072" s="15"/>
      <c r="C7072" s="9">
        <f>IFERROR(__xludf.DUMMYFUNCTION("""COMPUTED_VALUE"""),44530.8524948263)</f>
        <v>44530.85249</v>
      </c>
      <c r="D7072" s="15">
        <f>IFERROR(__xludf.DUMMYFUNCTION("""COMPUTED_VALUE"""),1.038)</f>
        <v>1.038</v>
      </c>
      <c r="E7072" s="16">
        <f>IFERROR(__xludf.DUMMYFUNCTION("""COMPUTED_VALUE"""),64.0)</f>
        <v>64</v>
      </c>
      <c r="F7072" s="19" t="str">
        <f>IFERROR(__xludf.DUMMYFUNCTION("""COMPUTED_VALUE"""),"BLACK")</f>
        <v>BLACK</v>
      </c>
      <c r="G7072" s="20" t="str">
        <f>IFERROR(__xludf.DUMMYFUNCTION("""COMPUTED_VALUE"""),"Uncle Sams Cider (11/12/2021) 02")</f>
        <v>Uncle Sams Cider (11/12/2021) 02</v>
      </c>
      <c r="H7072" s="19"/>
    </row>
    <row r="7073">
      <c r="A7073" s="9"/>
      <c r="B7073" s="15"/>
      <c r="C7073" s="9">
        <f>IFERROR(__xludf.DUMMYFUNCTION("""COMPUTED_VALUE"""),44530.8420743171)</f>
        <v>44530.84207</v>
      </c>
      <c r="D7073" s="15">
        <f>IFERROR(__xludf.DUMMYFUNCTION("""COMPUTED_VALUE"""),1.038)</f>
        <v>1.038</v>
      </c>
      <c r="E7073" s="16">
        <f>IFERROR(__xludf.DUMMYFUNCTION("""COMPUTED_VALUE"""),64.0)</f>
        <v>64</v>
      </c>
      <c r="F7073" s="19" t="str">
        <f>IFERROR(__xludf.DUMMYFUNCTION("""COMPUTED_VALUE"""),"BLACK")</f>
        <v>BLACK</v>
      </c>
      <c r="G7073" s="20" t="str">
        <f>IFERROR(__xludf.DUMMYFUNCTION("""COMPUTED_VALUE"""),"Uncle Sams Cider (11/12/2021) 02")</f>
        <v>Uncle Sams Cider (11/12/2021) 02</v>
      </c>
      <c r="H7073" s="19"/>
    </row>
    <row r="7074">
      <c r="A7074" s="9"/>
      <c r="B7074" s="15"/>
      <c r="C7074" s="9">
        <f>IFERROR(__xludf.DUMMYFUNCTION("""COMPUTED_VALUE"""),44530.8316534722)</f>
        <v>44530.83165</v>
      </c>
      <c r="D7074" s="15">
        <f>IFERROR(__xludf.DUMMYFUNCTION("""COMPUTED_VALUE"""),1.039)</f>
        <v>1.039</v>
      </c>
      <c r="E7074" s="16">
        <f>IFERROR(__xludf.DUMMYFUNCTION("""COMPUTED_VALUE"""),64.0)</f>
        <v>64</v>
      </c>
      <c r="F7074" s="19" t="str">
        <f>IFERROR(__xludf.DUMMYFUNCTION("""COMPUTED_VALUE"""),"BLACK")</f>
        <v>BLACK</v>
      </c>
      <c r="G7074" s="20" t="str">
        <f>IFERROR(__xludf.DUMMYFUNCTION("""COMPUTED_VALUE"""),"Uncle Sams Cider (11/12/2021) 02")</f>
        <v>Uncle Sams Cider (11/12/2021) 02</v>
      </c>
      <c r="H7074" s="19"/>
    </row>
    <row r="7075">
      <c r="A7075" s="9"/>
      <c r="B7075" s="15"/>
      <c r="C7075" s="9">
        <f>IFERROR(__xludf.DUMMYFUNCTION("""COMPUTED_VALUE"""),44530.8212319675)</f>
        <v>44530.82123</v>
      </c>
      <c r="D7075" s="15">
        <f>IFERROR(__xludf.DUMMYFUNCTION("""COMPUTED_VALUE"""),1.038)</f>
        <v>1.038</v>
      </c>
      <c r="E7075" s="16">
        <f>IFERROR(__xludf.DUMMYFUNCTION("""COMPUTED_VALUE"""),64.0)</f>
        <v>64</v>
      </c>
      <c r="F7075" s="19" t="str">
        <f>IFERROR(__xludf.DUMMYFUNCTION("""COMPUTED_VALUE"""),"BLACK")</f>
        <v>BLACK</v>
      </c>
      <c r="G7075" s="20" t="str">
        <f>IFERROR(__xludf.DUMMYFUNCTION("""COMPUTED_VALUE"""),"Uncle Sams Cider (11/12/2021) 02")</f>
        <v>Uncle Sams Cider (11/12/2021) 02</v>
      </c>
      <c r="H7075" s="19"/>
    </row>
    <row r="7076">
      <c r="A7076" s="9"/>
      <c r="B7076" s="15"/>
      <c r="C7076" s="9">
        <f>IFERROR(__xludf.DUMMYFUNCTION("""COMPUTED_VALUE"""),44530.8108108912)</f>
        <v>44530.81081</v>
      </c>
      <c r="D7076" s="15">
        <f>IFERROR(__xludf.DUMMYFUNCTION("""COMPUTED_VALUE"""),1.038)</f>
        <v>1.038</v>
      </c>
      <c r="E7076" s="16">
        <f>IFERROR(__xludf.DUMMYFUNCTION("""COMPUTED_VALUE"""),64.0)</f>
        <v>64</v>
      </c>
      <c r="F7076" s="19" t="str">
        <f>IFERROR(__xludf.DUMMYFUNCTION("""COMPUTED_VALUE"""),"BLACK")</f>
        <v>BLACK</v>
      </c>
      <c r="G7076" s="20" t="str">
        <f>IFERROR(__xludf.DUMMYFUNCTION("""COMPUTED_VALUE"""),"Uncle Sams Cider (11/12/2021) 02")</f>
        <v>Uncle Sams Cider (11/12/2021) 02</v>
      </c>
      <c r="H7076" s="19"/>
    </row>
    <row r="7077">
      <c r="A7077" s="9"/>
      <c r="B7077" s="15"/>
      <c r="C7077" s="9">
        <f>IFERROR(__xludf.DUMMYFUNCTION("""COMPUTED_VALUE"""),44530.8003885185)</f>
        <v>44530.80039</v>
      </c>
      <c r="D7077" s="15">
        <f>IFERROR(__xludf.DUMMYFUNCTION("""COMPUTED_VALUE"""),1.038)</f>
        <v>1.038</v>
      </c>
      <c r="E7077" s="16">
        <f>IFERROR(__xludf.DUMMYFUNCTION("""COMPUTED_VALUE"""),64.0)</f>
        <v>64</v>
      </c>
      <c r="F7077" s="19" t="str">
        <f>IFERROR(__xludf.DUMMYFUNCTION("""COMPUTED_VALUE"""),"BLACK")</f>
        <v>BLACK</v>
      </c>
      <c r="G7077" s="20" t="str">
        <f>IFERROR(__xludf.DUMMYFUNCTION("""COMPUTED_VALUE"""),"Uncle Sams Cider (11/12/2021) 02")</f>
        <v>Uncle Sams Cider (11/12/2021) 02</v>
      </c>
      <c r="H7077" s="19"/>
    </row>
    <row r="7078">
      <c r="A7078" s="9"/>
      <c r="B7078" s="15"/>
      <c r="C7078" s="9">
        <f>IFERROR(__xludf.DUMMYFUNCTION("""COMPUTED_VALUE"""),44530.7899653009)</f>
        <v>44530.78997</v>
      </c>
      <c r="D7078" s="15">
        <f>IFERROR(__xludf.DUMMYFUNCTION("""COMPUTED_VALUE"""),1.038)</f>
        <v>1.038</v>
      </c>
      <c r="E7078" s="16">
        <f>IFERROR(__xludf.DUMMYFUNCTION("""COMPUTED_VALUE"""),64.0)</f>
        <v>64</v>
      </c>
      <c r="F7078" s="19" t="str">
        <f>IFERROR(__xludf.DUMMYFUNCTION("""COMPUTED_VALUE"""),"BLACK")</f>
        <v>BLACK</v>
      </c>
      <c r="G7078" s="20" t="str">
        <f>IFERROR(__xludf.DUMMYFUNCTION("""COMPUTED_VALUE"""),"Uncle Sams Cider (11/12/2021) 02")</f>
        <v>Uncle Sams Cider (11/12/2021) 02</v>
      </c>
      <c r="H7078" s="19"/>
    </row>
    <row r="7079">
      <c r="A7079" s="9"/>
      <c r="B7079" s="15"/>
      <c r="C7079" s="9">
        <f>IFERROR(__xludf.DUMMYFUNCTION("""COMPUTED_VALUE"""),44530.7795439467)</f>
        <v>44530.77954</v>
      </c>
      <c r="D7079" s="15">
        <f>IFERROR(__xludf.DUMMYFUNCTION("""COMPUTED_VALUE"""),1.039)</f>
        <v>1.039</v>
      </c>
      <c r="E7079" s="16">
        <f>IFERROR(__xludf.DUMMYFUNCTION("""COMPUTED_VALUE"""),64.0)</f>
        <v>64</v>
      </c>
      <c r="F7079" s="19" t="str">
        <f>IFERROR(__xludf.DUMMYFUNCTION("""COMPUTED_VALUE"""),"BLACK")</f>
        <v>BLACK</v>
      </c>
      <c r="G7079" s="20" t="str">
        <f>IFERROR(__xludf.DUMMYFUNCTION("""COMPUTED_VALUE"""),"Uncle Sams Cider (11/12/2021) 02")</f>
        <v>Uncle Sams Cider (11/12/2021) 02</v>
      </c>
      <c r="H7079" s="19"/>
    </row>
    <row r="7080">
      <c r="A7080" s="9"/>
      <c r="B7080" s="15"/>
      <c r="C7080" s="9">
        <f>IFERROR(__xludf.DUMMYFUNCTION("""COMPUTED_VALUE"""),44530.7691230324)</f>
        <v>44530.76912</v>
      </c>
      <c r="D7080" s="15">
        <f>IFERROR(__xludf.DUMMYFUNCTION("""COMPUTED_VALUE"""),1.038)</f>
        <v>1.038</v>
      </c>
      <c r="E7080" s="16">
        <f>IFERROR(__xludf.DUMMYFUNCTION("""COMPUTED_VALUE"""),64.0)</f>
        <v>64</v>
      </c>
      <c r="F7080" s="19" t="str">
        <f>IFERROR(__xludf.DUMMYFUNCTION("""COMPUTED_VALUE"""),"BLACK")</f>
        <v>BLACK</v>
      </c>
      <c r="G7080" s="20" t="str">
        <f>IFERROR(__xludf.DUMMYFUNCTION("""COMPUTED_VALUE"""),"Uncle Sams Cider (11/12/2021) 02")</f>
        <v>Uncle Sams Cider (11/12/2021) 02</v>
      </c>
      <c r="H7080" s="19"/>
    </row>
    <row r="7081">
      <c r="A7081" s="9"/>
      <c r="B7081" s="15"/>
      <c r="C7081" s="9">
        <f>IFERROR(__xludf.DUMMYFUNCTION("""COMPUTED_VALUE"""),44530.7587026273)</f>
        <v>44530.7587</v>
      </c>
      <c r="D7081" s="15">
        <f>IFERROR(__xludf.DUMMYFUNCTION("""COMPUTED_VALUE"""),1.038)</f>
        <v>1.038</v>
      </c>
      <c r="E7081" s="16">
        <f>IFERROR(__xludf.DUMMYFUNCTION("""COMPUTED_VALUE"""),64.0)</f>
        <v>64</v>
      </c>
      <c r="F7081" s="19" t="str">
        <f>IFERROR(__xludf.DUMMYFUNCTION("""COMPUTED_VALUE"""),"BLACK")</f>
        <v>BLACK</v>
      </c>
      <c r="G7081" s="20" t="str">
        <f>IFERROR(__xludf.DUMMYFUNCTION("""COMPUTED_VALUE"""),"Uncle Sams Cider (11/12/2021) 02")</f>
        <v>Uncle Sams Cider (11/12/2021) 02</v>
      </c>
      <c r="H7081" s="19"/>
    </row>
    <row r="7082">
      <c r="A7082" s="9"/>
      <c r="B7082" s="15"/>
      <c r="C7082" s="9">
        <f>IFERROR(__xludf.DUMMYFUNCTION("""COMPUTED_VALUE"""),44530.7482808217)</f>
        <v>44530.74828</v>
      </c>
      <c r="D7082" s="15">
        <f>IFERROR(__xludf.DUMMYFUNCTION("""COMPUTED_VALUE"""),1.039)</f>
        <v>1.039</v>
      </c>
      <c r="E7082" s="16">
        <f>IFERROR(__xludf.DUMMYFUNCTION("""COMPUTED_VALUE"""),64.0)</f>
        <v>64</v>
      </c>
      <c r="F7082" s="19" t="str">
        <f>IFERROR(__xludf.DUMMYFUNCTION("""COMPUTED_VALUE"""),"BLACK")</f>
        <v>BLACK</v>
      </c>
      <c r="G7082" s="20" t="str">
        <f>IFERROR(__xludf.DUMMYFUNCTION("""COMPUTED_VALUE"""),"Uncle Sams Cider (11/12/2021) 02")</f>
        <v>Uncle Sams Cider (11/12/2021) 02</v>
      </c>
      <c r="H7082" s="19"/>
    </row>
    <row r="7083">
      <c r="A7083" s="9"/>
      <c r="B7083" s="15"/>
      <c r="C7083" s="9">
        <f>IFERROR(__xludf.DUMMYFUNCTION("""COMPUTED_VALUE"""),44530.7378477893)</f>
        <v>44530.73785</v>
      </c>
      <c r="D7083" s="15">
        <f>IFERROR(__xludf.DUMMYFUNCTION("""COMPUTED_VALUE"""),1.039)</f>
        <v>1.039</v>
      </c>
      <c r="E7083" s="16">
        <f>IFERROR(__xludf.DUMMYFUNCTION("""COMPUTED_VALUE"""),64.0)</f>
        <v>64</v>
      </c>
      <c r="F7083" s="19" t="str">
        <f>IFERROR(__xludf.DUMMYFUNCTION("""COMPUTED_VALUE"""),"BLACK")</f>
        <v>BLACK</v>
      </c>
      <c r="G7083" s="20" t="str">
        <f>IFERROR(__xludf.DUMMYFUNCTION("""COMPUTED_VALUE"""),"Uncle Sams Cider (11/12/2021) 02")</f>
        <v>Uncle Sams Cider (11/12/2021) 02</v>
      </c>
      <c r="H7083" s="19"/>
    </row>
    <row r="7084">
      <c r="A7084" s="9"/>
      <c r="B7084" s="15"/>
      <c r="C7084" s="9">
        <f>IFERROR(__xludf.DUMMYFUNCTION("""COMPUTED_VALUE"""),44530.7274270949)</f>
        <v>44530.72743</v>
      </c>
      <c r="D7084" s="15">
        <f>IFERROR(__xludf.DUMMYFUNCTION("""COMPUTED_VALUE"""),1.039)</f>
        <v>1.039</v>
      </c>
      <c r="E7084" s="16">
        <f>IFERROR(__xludf.DUMMYFUNCTION("""COMPUTED_VALUE"""),64.0)</f>
        <v>64</v>
      </c>
      <c r="F7084" s="19" t="str">
        <f>IFERROR(__xludf.DUMMYFUNCTION("""COMPUTED_VALUE"""),"BLACK")</f>
        <v>BLACK</v>
      </c>
      <c r="G7084" s="20" t="str">
        <f>IFERROR(__xludf.DUMMYFUNCTION("""COMPUTED_VALUE"""),"Uncle Sams Cider (11/12/2021) 02")</f>
        <v>Uncle Sams Cider (11/12/2021) 02</v>
      </c>
      <c r="H7084" s="19"/>
    </row>
    <row r="7085">
      <c r="A7085" s="9"/>
      <c r="B7085" s="15"/>
      <c r="C7085" s="9">
        <f>IFERROR(__xludf.DUMMYFUNCTION("""COMPUTED_VALUE"""),44530.7170047569)</f>
        <v>44530.717</v>
      </c>
      <c r="D7085" s="15">
        <f>IFERROR(__xludf.DUMMYFUNCTION("""COMPUTED_VALUE"""),1.039)</f>
        <v>1.039</v>
      </c>
      <c r="E7085" s="16">
        <f>IFERROR(__xludf.DUMMYFUNCTION("""COMPUTED_VALUE"""),64.0)</f>
        <v>64</v>
      </c>
      <c r="F7085" s="19" t="str">
        <f>IFERROR(__xludf.DUMMYFUNCTION("""COMPUTED_VALUE"""),"BLACK")</f>
        <v>BLACK</v>
      </c>
      <c r="G7085" s="20" t="str">
        <f>IFERROR(__xludf.DUMMYFUNCTION("""COMPUTED_VALUE"""),"Uncle Sams Cider (11/12/2021) 02")</f>
        <v>Uncle Sams Cider (11/12/2021) 02</v>
      </c>
      <c r="H7085" s="19"/>
    </row>
    <row r="7086">
      <c r="A7086" s="9"/>
      <c r="B7086" s="15"/>
      <c r="C7086" s="9">
        <f>IFERROR(__xludf.DUMMYFUNCTION("""COMPUTED_VALUE"""),44530.7065826041)</f>
        <v>44530.70658</v>
      </c>
      <c r="D7086" s="15">
        <f>IFERROR(__xludf.DUMMYFUNCTION("""COMPUTED_VALUE"""),1.038)</f>
        <v>1.038</v>
      </c>
      <c r="E7086" s="16">
        <f>IFERROR(__xludf.DUMMYFUNCTION("""COMPUTED_VALUE"""),64.0)</f>
        <v>64</v>
      </c>
      <c r="F7086" s="19" t="str">
        <f>IFERROR(__xludf.DUMMYFUNCTION("""COMPUTED_VALUE"""),"BLACK")</f>
        <v>BLACK</v>
      </c>
      <c r="G7086" s="20" t="str">
        <f>IFERROR(__xludf.DUMMYFUNCTION("""COMPUTED_VALUE"""),"Uncle Sams Cider (11/12/2021) 02")</f>
        <v>Uncle Sams Cider (11/12/2021) 02</v>
      </c>
      <c r="H7086" s="19"/>
    </row>
    <row r="7087">
      <c r="A7087" s="9"/>
      <c r="B7087" s="15"/>
      <c r="C7087" s="9">
        <f>IFERROR(__xludf.DUMMYFUNCTION("""COMPUTED_VALUE"""),44530.6961617129)</f>
        <v>44530.69616</v>
      </c>
      <c r="D7087" s="15">
        <f>IFERROR(__xludf.DUMMYFUNCTION("""COMPUTED_VALUE"""),1.039)</f>
        <v>1.039</v>
      </c>
      <c r="E7087" s="16">
        <f>IFERROR(__xludf.DUMMYFUNCTION("""COMPUTED_VALUE"""),64.0)</f>
        <v>64</v>
      </c>
      <c r="F7087" s="19" t="str">
        <f>IFERROR(__xludf.DUMMYFUNCTION("""COMPUTED_VALUE"""),"BLACK")</f>
        <v>BLACK</v>
      </c>
      <c r="G7087" s="20" t="str">
        <f>IFERROR(__xludf.DUMMYFUNCTION("""COMPUTED_VALUE"""),"Uncle Sams Cider (11/12/2021) 02")</f>
        <v>Uncle Sams Cider (11/12/2021) 02</v>
      </c>
      <c r="H7087" s="19"/>
    </row>
    <row r="7088">
      <c r="A7088" s="9"/>
      <c r="B7088" s="15"/>
      <c r="C7088" s="9">
        <f>IFERROR(__xludf.DUMMYFUNCTION("""COMPUTED_VALUE"""),44530.685740324)</f>
        <v>44530.68574</v>
      </c>
      <c r="D7088" s="15">
        <f>IFERROR(__xludf.DUMMYFUNCTION("""COMPUTED_VALUE"""),1.038)</f>
        <v>1.038</v>
      </c>
      <c r="E7088" s="16">
        <f>IFERROR(__xludf.DUMMYFUNCTION("""COMPUTED_VALUE"""),64.0)</f>
        <v>64</v>
      </c>
      <c r="F7088" s="19" t="str">
        <f>IFERROR(__xludf.DUMMYFUNCTION("""COMPUTED_VALUE"""),"BLACK")</f>
        <v>BLACK</v>
      </c>
      <c r="G7088" s="20" t="str">
        <f>IFERROR(__xludf.DUMMYFUNCTION("""COMPUTED_VALUE"""),"Uncle Sams Cider (11/12/2021) 02")</f>
        <v>Uncle Sams Cider (11/12/2021) 02</v>
      </c>
      <c r="H7088" s="19"/>
    </row>
    <row r="7089">
      <c r="A7089" s="9"/>
      <c r="B7089" s="15"/>
      <c r="C7089" s="9">
        <f>IFERROR(__xludf.DUMMYFUNCTION("""COMPUTED_VALUE"""),44530.6753181597)</f>
        <v>44530.67532</v>
      </c>
      <c r="D7089" s="15">
        <f>IFERROR(__xludf.DUMMYFUNCTION("""COMPUTED_VALUE"""),1.039)</f>
        <v>1.039</v>
      </c>
      <c r="E7089" s="16">
        <f>IFERROR(__xludf.DUMMYFUNCTION("""COMPUTED_VALUE"""),64.0)</f>
        <v>64</v>
      </c>
      <c r="F7089" s="19" t="str">
        <f>IFERROR(__xludf.DUMMYFUNCTION("""COMPUTED_VALUE"""),"BLACK")</f>
        <v>BLACK</v>
      </c>
      <c r="G7089" s="20" t="str">
        <f>IFERROR(__xludf.DUMMYFUNCTION("""COMPUTED_VALUE"""),"Uncle Sams Cider (11/12/2021) 02")</f>
        <v>Uncle Sams Cider (11/12/2021) 02</v>
      </c>
      <c r="H7089" s="19"/>
    </row>
    <row r="7090">
      <c r="A7090" s="9"/>
      <c r="B7090" s="15"/>
      <c r="C7090" s="9">
        <f>IFERROR(__xludf.DUMMYFUNCTION("""COMPUTED_VALUE"""),44530.6648978009)</f>
        <v>44530.6649</v>
      </c>
      <c r="D7090" s="15">
        <f>IFERROR(__xludf.DUMMYFUNCTION("""COMPUTED_VALUE"""),1.039)</f>
        <v>1.039</v>
      </c>
      <c r="E7090" s="16">
        <f>IFERROR(__xludf.DUMMYFUNCTION("""COMPUTED_VALUE"""),64.0)</f>
        <v>64</v>
      </c>
      <c r="F7090" s="19" t="str">
        <f>IFERROR(__xludf.DUMMYFUNCTION("""COMPUTED_VALUE"""),"BLACK")</f>
        <v>BLACK</v>
      </c>
      <c r="G7090" s="20" t="str">
        <f>IFERROR(__xludf.DUMMYFUNCTION("""COMPUTED_VALUE"""),"Uncle Sams Cider (11/12/2021) 02")</f>
        <v>Uncle Sams Cider (11/12/2021) 02</v>
      </c>
      <c r="H7090" s="19"/>
    </row>
    <row r="7091">
      <c r="A7091" s="9"/>
      <c r="B7091" s="15"/>
      <c r="C7091" s="9">
        <f>IFERROR(__xludf.DUMMYFUNCTION("""COMPUTED_VALUE"""),44530.6544769097)</f>
        <v>44530.65448</v>
      </c>
      <c r="D7091" s="15">
        <f>IFERROR(__xludf.DUMMYFUNCTION("""COMPUTED_VALUE"""),1.038)</f>
        <v>1.038</v>
      </c>
      <c r="E7091" s="16">
        <f>IFERROR(__xludf.DUMMYFUNCTION("""COMPUTED_VALUE"""),64.0)</f>
        <v>64</v>
      </c>
      <c r="F7091" s="19" t="str">
        <f>IFERROR(__xludf.DUMMYFUNCTION("""COMPUTED_VALUE"""),"BLACK")</f>
        <v>BLACK</v>
      </c>
      <c r="G7091" s="20" t="str">
        <f>IFERROR(__xludf.DUMMYFUNCTION("""COMPUTED_VALUE"""),"Uncle Sams Cider (11/12/2021) 02")</f>
        <v>Uncle Sams Cider (11/12/2021) 02</v>
      </c>
      <c r="H7091" s="19"/>
    </row>
    <row r="7092">
      <c r="A7092" s="9"/>
      <c r="B7092" s="15"/>
      <c r="C7092" s="9">
        <f>IFERROR(__xludf.DUMMYFUNCTION("""COMPUTED_VALUE"""),44530.6440556597)</f>
        <v>44530.64406</v>
      </c>
      <c r="D7092" s="15">
        <f>IFERROR(__xludf.DUMMYFUNCTION("""COMPUTED_VALUE"""),1.039)</f>
        <v>1.039</v>
      </c>
      <c r="E7092" s="16">
        <f>IFERROR(__xludf.DUMMYFUNCTION("""COMPUTED_VALUE"""),64.0)</f>
        <v>64</v>
      </c>
      <c r="F7092" s="19" t="str">
        <f>IFERROR(__xludf.DUMMYFUNCTION("""COMPUTED_VALUE"""),"BLACK")</f>
        <v>BLACK</v>
      </c>
      <c r="G7092" s="20" t="str">
        <f>IFERROR(__xludf.DUMMYFUNCTION("""COMPUTED_VALUE"""),"Uncle Sams Cider (11/12/2021) 02")</f>
        <v>Uncle Sams Cider (11/12/2021) 02</v>
      </c>
      <c r="H7092" s="19"/>
    </row>
    <row r="7093">
      <c r="A7093" s="9"/>
      <c r="B7093" s="15"/>
      <c r="C7093" s="9">
        <f>IFERROR(__xludf.DUMMYFUNCTION("""COMPUTED_VALUE"""),44530.633634537)</f>
        <v>44530.63363</v>
      </c>
      <c r="D7093" s="15">
        <f>IFERROR(__xludf.DUMMYFUNCTION("""COMPUTED_VALUE"""),1.039)</f>
        <v>1.039</v>
      </c>
      <c r="E7093" s="16">
        <f>IFERROR(__xludf.DUMMYFUNCTION("""COMPUTED_VALUE"""),64.0)</f>
        <v>64</v>
      </c>
      <c r="F7093" s="19" t="str">
        <f>IFERROR(__xludf.DUMMYFUNCTION("""COMPUTED_VALUE"""),"BLACK")</f>
        <v>BLACK</v>
      </c>
      <c r="G7093" s="20" t="str">
        <f>IFERROR(__xludf.DUMMYFUNCTION("""COMPUTED_VALUE"""),"Uncle Sams Cider (11/12/2021) 02")</f>
        <v>Uncle Sams Cider (11/12/2021) 02</v>
      </c>
      <c r="H7093" s="19"/>
    </row>
    <row r="7094">
      <c r="A7094" s="9"/>
      <c r="B7094" s="15"/>
      <c r="C7094" s="9">
        <f>IFERROR(__xludf.DUMMYFUNCTION("""COMPUTED_VALUE"""),44530.623214618)</f>
        <v>44530.62321</v>
      </c>
      <c r="D7094" s="15">
        <f>IFERROR(__xludf.DUMMYFUNCTION("""COMPUTED_VALUE"""),1.039)</f>
        <v>1.039</v>
      </c>
      <c r="E7094" s="16">
        <f>IFERROR(__xludf.DUMMYFUNCTION("""COMPUTED_VALUE"""),64.0)</f>
        <v>64</v>
      </c>
      <c r="F7094" s="19" t="str">
        <f>IFERROR(__xludf.DUMMYFUNCTION("""COMPUTED_VALUE"""),"BLACK")</f>
        <v>BLACK</v>
      </c>
      <c r="G7094" s="20" t="str">
        <f>IFERROR(__xludf.DUMMYFUNCTION("""COMPUTED_VALUE"""),"Uncle Sams Cider (11/12/2021) 02")</f>
        <v>Uncle Sams Cider (11/12/2021) 02</v>
      </c>
      <c r="H7094" s="19"/>
    </row>
    <row r="7095">
      <c r="A7095" s="9"/>
      <c r="B7095" s="15"/>
      <c r="C7095" s="9">
        <f>IFERROR(__xludf.DUMMYFUNCTION("""COMPUTED_VALUE"""),44530.612792118)</f>
        <v>44530.61279</v>
      </c>
      <c r="D7095" s="15">
        <f>IFERROR(__xludf.DUMMYFUNCTION("""COMPUTED_VALUE"""),1.039)</f>
        <v>1.039</v>
      </c>
      <c r="E7095" s="16">
        <f>IFERROR(__xludf.DUMMYFUNCTION("""COMPUTED_VALUE"""),64.0)</f>
        <v>64</v>
      </c>
      <c r="F7095" s="19" t="str">
        <f>IFERROR(__xludf.DUMMYFUNCTION("""COMPUTED_VALUE"""),"BLACK")</f>
        <v>BLACK</v>
      </c>
      <c r="G7095" s="20" t="str">
        <f>IFERROR(__xludf.DUMMYFUNCTION("""COMPUTED_VALUE"""),"Uncle Sams Cider (11/12/2021) 02")</f>
        <v>Uncle Sams Cider (11/12/2021) 02</v>
      </c>
      <c r="H7095" s="19"/>
    </row>
    <row r="7096">
      <c r="A7096" s="9"/>
      <c r="B7096" s="15"/>
      <c r="C7096" s="9">
        <f>IFERROR(__xludf.DUMMYFUNCTION("""COMPUTED_VALUE"""),44530.6023701967)</f>
        <v>44530.60237</v>
      </c>
      <c r="D7096" s="15">
        <f>IFERROR(__xludf.DUMMYFUNCTION("""COMPUTED_VALUE"""),1.039)</f>
        <v>1.039</v>
      </c>
      <c r="E7096" s="16">
        <f>IFERROR(__xludf.DUMMYFUNCTION("""COMPUTED_VALUE"""),64.0)</f>
        <v>64</v>
      </c>
      <c r="F7096" s="19" t="str">
        <f>IFERROR(__xludf.DUMMYFUNCTION("""COMPUTED_VALUE"""),"BLACK")</f>
        <v>BLACK</v>
      </c>
      <c r="G7096" s="20" t="str">
        <f>IFERROR(__xludf.DUMMYFUNCTION("""COMPUTED_VALUE"""),"Uncle Sams Cider (11/12/2021) 02")</f>
        <v>Uncle Sams Cider (11/12/2021) 02</v>
      </c>
      <c r="H7096" s="19"/>
    </row>
    <row r="7097">
      <c r="A7097" s="9"/>
      <c r="B7097" s="15"/>
      <c r="C7097" s="9">
        <f>IFERROR(__xludf.DUMMYFUNCTION("""COMPUTED_VALUE"""),44530.5919477662)</f>
        <v>44530.59195</v>
      </c>
      <c r="D7097" s="15">
        <f>IFERROR(__xludf.DUMMYFUNCTION("""COMPUTED_VALUE"""),1.039)</f>
        <v>1.039</v>
      </c>
      <c r="E7097" s="16">
        <f>IFERROR(__xludf.DUMMYFUNCTION("""COMPUTED_VALUE"""),64.0)</f>
        <v>64</v>
      </c>
      <c r="F7097" s="19" t="str">
        <f>IFERROR(__xludf.DUMMYFUNCTION("""COMPUTED_VALUE"""),"BLACK")</f>
        <v>BLACK</v>
      </c>
      <c r="G7097" s="20" t="str">
        <f>IFERROR(__xludf.DUMMYFUNCTION("""COMPUTED_VALUE"""),"Uncle Sams Cider (11/12/2021) 02")</f>
        <v>Uncle Sams Cider (11/12/2021) 02</v>
      </c>
      <c r="H7097" s="19"/>
    </row>
    <row r="7098">
      <c r="A7098" s="9"/>
      <c r="B7098" s="15"/>
      <c r="C7098" s="9">
        <f>IFERROR(__xludf.DUMMYFUNCTION("""COMPUTED_VALUE"""),44530.5815266087)</f>
        <v>44530.58153</v>
      </c>
      <c r="D7098" s="15">
        <f>IFERROR(__xludf.DUMMYFUNCTION("""COMPUTED_VALUE"""),1.039)</f>
        <v>1.039</v>
      </c>
      <c r="E7098" s="16">
        <f>IFERROR(__xludf.DUMMYFUNCTION("""COMPUTED_VALUE"""),64.0)</f>
        <v>64</v>
      </c>
      <c r="F7098" s="19" t="str">
        <f>IFERROR(__xludf.DUMMYFUNCTION("""COMPUTED_VALUE"""),"BLACK")</f>
        <v>BLACK</v>
      </c>
      <c r="G7098" s="20" t="str">
        <f>IFERROR(__xludf.DUMMYFUNCTION("""COMPUTED_VALUE"""),"Uncle Sams Cider (11/12/2021) 02")</f>
        <v>Uncle Sams Cider (11/12/2021) 02</v>
      </c>
      <c r="H7098" s="19"/>
    </row>
    <row r="7099">
      <c r="A7099" s="9"/>
      <c r="B7099" s="15"/>
      <c r="C7099" s="9">
        <f>IFERROR(__xludf.DUMMYFUNCTION("""COMPUTED_VALUE"""),44530.5711045833)</f>
        <v>44530.5711</v>
      </c>
      <c r="D7099" s="15">
        <f>IFERROR(__xludf.DUMMYFUNCTION("""COMPUTED_VALUE"""),1.039)</f>
        <v>1.039</v>
      </c>
      <c r="E7099" s="16">
        <f>IFERROR(__xludf.DUMMYFUNCTION("""COMPUTED_VALUE"""),64.0)</f>
        <v>64</v>
      </c>
      <c r="F7099" s="19" t="str">
        <f>IFERROR(__xludf.DUMMYFUNCTION("""COMPUTED_VALUE"""),"BLACK")</f>
        <v>BLACK</v>
      </c>
      <c r="G7099" s="20" t="str">
        <f>IFERROR(__xludf.DUMMYFUNCTION("""COMPUTED_VALUE"""),"Uncle Sams Cider (11/12/2021) 02")</f>
        <v>Uncle Sams Cider (11/12/2021) 02</v>
      </c>
      <c r="H7099" s="19"/>
    </row>
    <row r="7100">
      <c r="A7100" s="9"/>
      <c r="B7100" s="15"/>
      <c r="C7100" s="9">
        <f>IFERROR(__xludf.DUMMYFUNCTION("""COMPUTED_VALUE"""),44530.560672581)</f>
        <v>44530.56067</v>
      </c>
      <c r="D7100" s="15">
        <f>IFERROR(__xludf.DUMMYFUNCTION("""COMPUTED_VALUE"""),1.039)</f>
        <v>1.039</v>
      </c>
      <c r="E7100" s="16">
        <f>IFERROR(__xludf.DUMMYFUNCTION("""COMPUTED_VALUE"""),64.0)</f>
        <v>64</v>
      </c>
      <c r="F7100" s="19" t="str">
        <f>IFERROR(__xludf.DUMMYFUNCTION("""COMPUTED_VALUE"""),"BLACK")</f>
        <v>BLACK</v>
      </c>
      <c r="G7100" s="20" t="str">
        <f>IFERROR(__xludf.DUMMYFUNCTION("""COMPUTED_VALUE"""),"Uncle Sams Cider (11/12/2021) 02")</f>
        <v>Uncle Sams Cider (11/12/2021) 02</v>
      </c>
      <c r="H7100" s="19"/>
    </row>
    <row r="7101">
      <c r="A7101" s="9"/>
      <c r="B7101" s="15"/>
      <c r="C7101" s="9">
        <f>IFERROR(__xludf.DUMMYFUNCTION("""COMPUTED_VALUE"""),44530.5502499305)</f>
        <v>44530.55025</v>
      </c>
      <c r="D7101" s="15">
        <f>IFERROR(__xludf.DUMMYFUNCTION("""COMPUTED_VALUE"""),1.039)</f>
        <v>1.039</v>
      </c>
      <c r="E7101" s="16">
        <f>IFERROR(__xludf.DUMMYFUNCTION("""COMPUTED_VALUE"""),64.0)</f>
        <v>64</v>
      </c>
      <c r="F7101" s="19" t="str">
        <f>IFERROR(__xludf.DUMMYFUNCTION("""COMPUTED_VALUE"""),"BLACK")</f>
        <v>BLACK</v>
      </c>
      <c r="G7101" s="20" t="str">
        <f>IFERROR(__xludf.DUMMYFUNCTION("""COMPUTED_VALUE"""),"Uncle Sams Cider (11/12/2021) 02")</f>
        <v>Uncle Sams Cider (11/12/2021) 02</v>
      </c>
      <c r="H7101" s="19"/>
    </row>
    <row r="7102">
      <c r="A7102" s="9"/>
      <c r="B7102" s="15"/>
      <c r="C7102" s="9">
        <f>IFERROR(__xludf.DUMMYFUNCTION("""COMPUTED_VALUE"""),44530.539827905)</f>
        <v>44530.53983</v>
      </c>
      <c r="D7102" s="15">
        <f>IFERROR(__xludf.DUMMYFUNCTION("""COMPUTED_VALUE"""),1.039)</f>
        <v>1.039</v>
      </c>
      <c r="E7102" s="16">
        <f>IFERROR(__xludf.DUMMYFUNCTION("""COMPUTED_VALUE"""),64.0)</f>
        <v>64</v>
      </c>
      <c r="F7102" s="19" t="str">
        <f>IFERROR(__xludf.DUMMYFUNCTION("""COMPUTED_VALUE"""),"BLACK")</f>
        <v>BLACK</v>
      </c>
      <c r="G7102" s="20" t="str">
        <f>IFERROR(__xludf.DUMMYFUNCTION("""COMPUTED_VALUE"""),"Uncle Sams Cider (11/12/2021) 02")</f>
        <v>Uncle Sams Cider (11/12/2021) 02</v>
      </c>
      <c r="H7102" s="19"/>
    </row>
    <row r="7103">
      <c r="A7103" s="9"/>
      <c r="B7103" s="15"/>
      <c r="C7103" s="9">
        <f>IFERROR(__xludf.DUMMYFUNCTION("""COMPUTED_VALUE"""),44530.5294071527)</f>
        <v>44530.52941</v>
      </c>
      <c r="D7103" s="15">
        <f>IFERROR(__xludf.DUMMYFUNCTION("""COMPUTED_VALUE"""),1.039)</f>
        <v>1.039</v>
      </c>
      <c r="E7103" s="16">
        <f>IFERROR(__xludf.DUMMYFUNCTION("""COMPUTED_VALUE"""),64.0)</f>
        <v>64</v>
      </c>
      <c r="F7103" s="19" t="str">
        <f>IFERROR(__xludf.DUMMYFUNCTION("""COMPUTED_VALUE"""),"BLACK")</f>
        <v>BLACK</v>
      </c>
      <c r="G7103" s="20" t="str">
        <f>IFERROR(__xludf.DUMMYFUNCTION("""COMPUTED_VALUE"""),"Uncle Sams Cider (11/12/2021) 02")</f>
        <v>Uncle Sams Cider (11/12/2021) 02</v>
      </c>
      <c r="H7103" s="19"/>
    </row>
    <row r="7104">
      <c r="A7104" s="9"/>
      <c r="B7104" s="15"/>
      <c r="C7104" s="9">
        <f>IFERROR(__xludf.DUMMYFUNCTION("""COMPUTED_VALUE"""),44530.5189849884)</f>
        <v>44530.51898</v>
      </c>
      <c r="D7104" s="15">
        <f>IFERROR(__xludf.DUMMYFUNCTION("""COMPUTED_VALUE"""),1.039)</f>
        <v>1.039</v>
      </c>
      <c r="E7104" s="16">
        <f>IFERROR(__xludf.DUMMYFUNCTION("""COMPUTED_VALUE"""),64.0)</f>
        <v>64</v>
      </c>
      <c r="F7104" s="19" t="str">
        <f>IFERROR(__xludf.DUMMYFUNCTION("""COMPUTED_VALUE"""),"BLACK")</f>
        <v>BLACK</v>
      </c>
      <c r="G7104" s="20" t="str">
        <f>IFERROR(__xludf.DUMMYFUNCTION("""COMPUTED_VALUE"""),"Uncle Sams Cider (11/12/2021) 02")</f>
        <v>Uncle Sams Cider (11/12/2021) 02</v>
      </c>
      <c r="H7104" s="19"/>
    </row>
    <row r="7105">
      <c r="A7105" s="9"/>
      <c r="B7105" s="15"/>
      <c r="C7105" s="9">
        <f>IFERROR(__xludf.DUMMYFUNCTION("""COMPUTED_VALUE"""),44530.5085622222)</f>
        <v>44530.50856</v>
      </c>
      <c r="D7105" s="15">
        <f>IFERROR(__xludf.DUMMYFUNCTION("""COMPUTED_VALUE"""),1.039)</f>
        <v>1.039</v>
      </c>
      <c r="E7105" s="16">
        <f>IFERROR(__xludf.DUMMYFUNCTION("""COMPUTED_VALUE"""),64.0)</f>
        <v>64</v>
      </c>
      <c r="F7105" s="19" t="str">
        <f>IFERROR(__xludf.DUMMYFUNCTION("""COMPUTED_VALUE"""),"BLACK")</f>
        <v>BLACK</v>
      </c>
      <c r="G7105" s="20" t="str">
        <f>IFERROR(__xludf.DUMMYFUNCTION("""COMPUTED_VALUE"""),"Uncle Sams Cider (11/12/2021) 02")</f>
        <v>Uncle Sams Cider (11/12/2021) 02</v>
      </c>
      <c r="H7105" s="19"/>
    </row>
    <row r="7106">
      <c r="A7106" s="9"/>
      <c r="B7106" s="15"/>
      <c r="C7106" s="9">
        <f>IFERROR(__xludf.DUMMYFUNCTION("""COMPUTED_VALUE"""),44530.4981409259)</f>
        <v>44530.49814</v>
      </c>
      <c r="D7106" s="15">
        <f>IFERROR(__xludf.DUMMYFUNCTION("""COMPUTED_VALUE"""),1.039)</f>
        <v>1.039</v>
      </c>
      <c r="E7106" s="16">
        <f>IFERROR(__xludf.DUMMYFUNCTION("""COMPUTED_VALUE"""),64.0)</f>
        <v>64</v>
      </c>
      <c r="F7106" s="19" t="str">
        <f>IFERROR(__xludf.DUMMYFUNCTION("""COMPUTED_VALUE"""),"BLACK")</f>
        <v>BLACK</v>
      </c>
      <c r="G7106" s="20" t="str">
        <f>IFERROR(__xludf.DUMMYFUNCTION("""COMPUTED_VALUE"""),"Uncle Sams Cider (11/12/2021) 02")</f>
        <v>Uncle Sams Cider (11/12/2021) 02</v>
      </c>
      <c r="H7106" s="19"/>
    </row>
    <row r="7107">
      <c r="A7107" s="9"/>
      <c r="B7107" s="15"/>
      <c r="C7107" s="9">
        <f>IFERROR(__xludf.DUMMYFUNCTION("""COMPUTED_VALUE"""),44530.4877219212)</f>
        <v>44530.48772</v>
      </c>
      <c r="D7107" s="15">
        <f>IFERROR(__xludf.DUMMYFUNCTION("""COMPUTED_VALUE"""),1.039)</f>
        <v>1.039</v>
      </c>
      <c r="E7107" s="16">
        <f>IFERROR(__xludf.DUMMYFUNCTION("""COMPUTED_VALUE"""),64.0)</f>
        <v>64</v>
      </c>
      <c r="F7107" s="19" t="str">
        <f>IFERROR(__xludf.DUMMYFUNCTION("""COMPUTED_VALUE"""),"BLACK")</f>
        <v>BLACK</v>
      </c>
      <c r="G7107" s="20" t="str">
        <f>IFERROR(__xludf.DUMMYFUNCTION("""COMPUTED_VALUE"""),"Uncle Sams Cider (11/12/2021) 02")</f>
        <v>Uncle Sams Cider (11/12/2021) 02</v>
      </c>
      <c r="H7107" s="19"/>
    </row>
    <row r="7108">
      <c r="A7108" s="9"/>
      <c r="B7108" s="15"/>
      <c r="C7108" s="9">
        <f>IFERROR(__xludf.DUMMYFUNCTION("""COMPUTED_VALUE"""),44530.4773024189)</f>
        <v>44530.4773</v>
      </c>
      <c r="D7108" s="15">
        <f>IFERROR(__xludf.DUMMYFUNCTION("""COMPUTED_VALUE"""),1.039)</f>
        <v>1.039</v>
      </c>
      <c r="E7108" s="16">
        <f>IFERROR(__xludf.DUMMYFUNCTION("""COMPUTED_VALUE"""),64.0)</f>
        <v>64</v>
      </c>
      <c r="F7108" s="19" t="str">
        <f>IFERROR(__xludf.DUMMYFUNCTION("""COMPUTED_VALUE"""),"BLACK")</f>
        <v>BLACK</v>
      </c>
      <c r="G7108" s="20" t="str">
        <f>IFERROR(__xludf.DUMMYFUNCTION("""COMPUTED_VALUE"""),"Uncle Sams Cider (11/12/2021) 02")</f>
        <v>Uncle Sams Cider (11/12/2021) 02</v>
      </c>
      <c r="H7108" s="19"/>
    </row>
    <row r="7109">
      <c r="A7109" s="9"/>
      <c r="B7109" s="15"/>
      <c r="C7109" s="9">
        <f>IFERROR(__xludf.DUMMYFUNCTION("""COMPUTED_VALUE"""),44530.4668820833)</f>
        <v>44530.46688</v>
      </c>
      <c r="D7109" s="15">
        <f>IFERROR(__xludf.DUMMYFUNCTION("""COMPUTED_VALUE"""),1.039)</f>
        <v>1.039</v>
      </c>
      <c r="E7109" s="16">
        <f>IFERROR(__xludf.DUMMYFUNCTION("""COMPUTED_VALUE"""),64.0)</f>
        <v>64</v>
      </c>
      <c r="F7109" s="19" t="str">
        <f>IFERROR(__xludf.DUMMYFUNCTION("""COMPUTED_VALUE"""),"BLACK")</f>
        <v>BLACK</v>
      </c>
      <c r="G7109" s="20" t="str">
        <f>IFERROR(__xludf.DUMMYFUNCTION("""COMPUTED_VALUE"""),"Uncle Sams Cider (11/12/2021) 02")</f>
        <v>Uncle Sams Cider (11/12/2021) 02</v>
      </c>
      <c r="H7109" s="19"/>
    </row>
    <row r="7110">
      <c r="A7110" s="9"/>
      <c r="B7110" s="15"/>
      <c r="C7110" s="9">
        <f>IFERROR(__xludf.DUMMYFUNCTION("""COMPUTED_VALUE"""),44530.4564610416)</f>
        <v>44530.45646</v>
      </c>
      <c r="D7110" s="15">
        <f>IFERROR(__xludf.DUMMYFUNCTION("""COMPUTED_VALUE"""),1.039)</f>
        <v>1.039</v>
      </c>
      <c r="E7110" s="16">
        <f>IFERROR(__xludf.DUMMYFUNCTION("""COMPUTED_VALUE"""),64.0)</f>
        <v>64</v>
      </c>
      <c r="F7110" s="19" t="str">
        <f>IFERROR(__xludf.DUMMYFUNCTION("""COMPUTED_VALUE"""),"BLACK")</f>
        <v>BLACK</v>
      </c>
      <c r="G7110" s="20" t="str">
        <f>IFERROR(__xludf.DUMMYFUNCTION("""COMPUTED_VALUE"""),"Uncle Sams Cider (11/12/2021) 02")</f>
        <v>Uncle Sams Cider (11/12/2021) 02</v>
      </c>
      <c r="H7110" s="19"/>
    </row>
    <row r="7111">
      <c r="A7111" s="9"/>
      <c r="B7111" s="15"/>
      <c r="C7111" s="9">
        <f>IFERROR(__xludf.DUMMYFUNCTION("""COMPUTED_VALUE"""),44530.4460405439)</f>
        <v>44530.44604</v>
      </c>
      <c r="D7111" s="15">
        <f>IFERROR(__xludf.DUMMYFUNCTION("""COMPUTED_VALUE"""),1.039)</f>
        <v>1.039</v>
      </c>
      <c r="E7111" s="16">
        <f>IFERROR(__xludf.DUMMYFUNCTION("""COMPUTED_VALUE"""),64.0)</f>
        <v>64</v>
      </c>
      <c r="F7111" s="19" t="str">
        <f>IFERROR(__xludf.DUMMYFUNCTION("""COMPUTED_VALUE"""),"BLACK")</f>
        <v>BLACK</v>
      </c>
      <c r="G7111" s="20" t="str">
        <f>IFERROR(__xludf.DUMMYFUNCTION("""COMPUTED_VALUE"""),"Uncle Sams Cider (11/12/2021) 02")</f>
        <v>Uncle Sams Cider (11/12/2021) 02</v>
      </c>
      <c r="H7111" s="19"/>
    </row>
    <row r="7112">
      <c r="A7112" s="9"/>
      <c r="B7112" s="15"/>
      <c r="C7112" s="9">
        <f>IFERROR(__xludf.DUMMYFUNCTION("""COMPUTED_VALUE"""),44530.4356195717)</f>
        <v>44530.43562</v>
      </c>
      <c r="D7112" s="15">
        <f>IFERROR(__xludf.DUMMYFUNCTION("""COMPUTED_VALUE"""),1.039)</f>
        <v>1.039</v>
      </c>
      <c r="E7112" s="16">
        <f>IFERROR(__xludf.DUMMYFUNCTION("""COMPUTED_VALUE"""),64.0)</f>
        <v>64</v>
      </c>
      <c r="F7112" s="19" t="str">
        <f>IFERROR(__xludf.DUMMYFUNCTION("""COMPUTED_VALUE"""),"BLACK")</f>
        <v>BLACK</v>
      </c>
      <c r="G7112" s="20" t="str">
        <f>IFERROR(__xludf.DUMMYFUNCTION("""COMPUTED_VALUE"""),"Uncle Sams Cider (11/12/2021) 02")</f>
        <v>Uncle Sams Cider (11/12/2021) 02</v>
      </c>
      <c r="H7112" s="19"/>
    </row>
    <row r="7113">
      <c r="A7113" s="9"/>
      <c r="B7113" s="15"/>
      <c r="C7113" s="9">
        <f>IFERROR(__xludf.DUMMYFUNCTION("""COMPUTED_VALUE"""),44530.425184699)</f>
        <v>44530.42518</v>
      </c>
      <c r="D7113" s="15">
        <f>IFERROR(__xludf.DUMMYFUNCTION("""COMPUTED_VALUE"""),1.039)</f>
        <v>1.039</v>
      </c>
      <c r="E7113" s="16">
        <f>IFERROR(__xludf.DUMMYFUNCTION("""COMPUTED_VALUE"""),64.0)</f>
        <v>64</v>
      </c>
      <c r="F7113" s="19" t="str">
        <f>IFERROR(__xludf.DUMMYFUNCTION("""COMPUTED_VALUE"""),"BLACK")</f>
        <v>BLACK</v>
      </c>
      <c r="G7113" s="20" t="str">
        <f>IFERROR(__xludf.DUMMYFUNCTION("""COMPUTED_VALUE"""),"Uncle Sams Cider (11/12/2021) 02")</f>
        <v>Uncle Sams Cider (11/12/2021) 02</v>
      </c>
      <c r="H7113" s="19"/>
    </row>
    <row r="7114">
      <c r="A7114" s="9"/>
      <c r="B7114" s="15"/>
      <c r="C7114" s="9">
        <f>IFERROR(__xludf.DUMMYFUNCTION("""COMPUTED_VALUE"""),44530.4147640162)</f>
        <v>44530.41476</v>
      </c>
      <c r="D7114" s="15">
        <f>IFERROR(__xludf.DUMMYFUNCTION("""COMPUTED_VALUE"""),1.039)</f>
        <v>1.039</v>
      </c>
      <c r="E7114" s="16">
        <f>IFERROR(__xludf.DUMMYFUNCTION("""COMPUTED_VALUE"""),64.0)</f>
        <v>64</v>
      </c>
      <c r="F7114" s="19" t="str">
        <f>IFERROR(__xludf.DUMMYFUNCTION("""COMPUTED_VALUE"""),"BLACK")</f>
        <v>BLACK</v>
      </c>
      <c r="G7114" s="20" t="str">
        <f>IFERROR(__xludf.DUMMYFUNCTION("""COMPUTED_VALUE"""),"Uncle Sams Cider (11/12/2021) 02")</f>
        <v>Uncle Sams Cider (11/12/2021) 02</v>
      </c>
      <c r="H7114" s="19"/>
    </row>
    <row r="7115">
      <c r="A7115" s="9"/>
      <c r="B7115" s="15"/>
      <c r="C7115" s="9">
        <f>IFERROR(__xludf.DUMMYFUNCTION("""COMPUTED_VALUE"""),44530.4043319328)</f>
        <v>44530.40433</v>
      </c>
      <c r="D7115" s="15">
        <f>IFERROR(__xludf.DUMMYFUNCTION("""COMPUTED_VALUE"""),1.039)</f>
        <v>1.039</v>
      </c>
      <c r="E7115" s="16">
        <f>IFERROR(__xludf.DUMMYFUNCTION("""COMPUTED_VALUE"""),64.0)</f>
        <v>64</v>
      </c>
      <c r="F7115" s="19" t="str">
        <f>IFERROR(__xludf.DUMMYFUNCTION("""COMPUTED_VALUE"""),"BLACK")</f>
        <v>BLACK</v>
      </c>
      <c r="G7115" s="20" t="str">
        <f>IFERROR(__xludf.DUMMYFUNCTION("""COMPUTED_VALUE"""),"Uncle Sams Cider (11/12/2021) 02")</f>
        <v>Uncle Sams Cider (11/12/2021) 02</v>
      </c>
      <c r="H7115" s="19"/>
    </row>
    <row r="7116">
      <c r="A7116" s="9"/>
      <c r="B7116" s="15"/>
      <c r="C7116" s="9">
        <f>IFERROR(__xludf.DUMMYFUNCTION("""COMPUTED_VALUE"""),44530.3938764814)</f>
        <v>44530.39388</v>
      </c>
      <c r="D7116" s="15">
        <f>IFERROR(__xludf.DUMMYFUNCTION("""COMPUTED_VALUE"""),1.039)</f>
        <v>1.039</v>
      </c>
      <c r="E7116" s="16">
        <f>IFERROR(__xludf.DUMMYFUNCTION("""COMPUTED_VALUE"""),64.0)</f>
        <v>64</v>
      </c>
      <c r="F7116" s="19" t="str">
        <f>IFERROR(__xludf.DUMMYFUNCTION("""COMPUTED_VALUE"""),"BLACK")</f>
        <v>BLACK</v>
      </c>
      <c r="G7116" s="20" t="str">
        <f>IFERROR(__xludf.DUMMYFUNCTION("""COMPUTED_VALUE"""),"Uncle Sams Cider (11/12/2021) 02")</f>
        <v>Uncle Sams Cider (11/12/2021) 02</v>
      </c>
      <c r="H7116" s="19"/>
    </row>
    <row r="7117">
      <c r="A7117" s="9"/>
      <c r="B7117" s="15"/>
      <c r="C7117" s="9">
        <f>IFERROR(__xludf.DUMMYFUNCTION("""COMPUTED_VALUE"""),44530.3834544097)</f>
        <v>44530.38345</v>
      </c>
      <c r="D7117" s="15">
        <f>IFERROR(__xludf.DUMMYFUNCTION("""COMPUTED_VALUE"""),1.039)</f>
        <v>1.039</v>
      </c>
      <c r="E7117" s="16">
        <f>IFERROR(__xludf.DUMMYFUNCTION("""COMPUTED_VALUE"""),64.0)</f>
        <v>64</v>
      </c>
      <c r="F7117" s="19" t="str">
        <f>IFERROR(__xludf.DUMMYFUNCTION("""COMPUTED_VALUE"""),"BLACK")</f>
        <v>BLACK</v>
      </c>
      <c r="G7117" s="20" t="str">
        <f>IFERROR(__xludf.DUMMYFUNCTION("""COMPUTED_VALUE"""),"Uncle Sams Cider (11/12/2021) 02")</f>
        <v>Uncle Sams Cider (11/12/2021) 02</v>
      </c>
      <c r="H7117" s="19"/>
    </row>
    <row r="7118">
      <c r="A7118" s="9"/>
      <c r="B7118" s="15"/>
      <c r="C7118" s="9">
        <f>IFERROR(__xludf.DUMMYFUNCTION("""COMPUTED_VALUE"""),44530.3730325925)</f>
        <v>44530.37303</v>
      </c>
      <c r="D7118" s="15">
        <f>IFERROR(__xludf.DUMMYFUNCTION("""COMPUTED_VALUE"""),1.039)</f>
        <v>1.039</v>
      </c>
      <c r="E7118" s="16">
        <f>IFERROR(__xludf.DUMMYFUNCTION("""COMPUTED_VALUE"""),64.0)</f>
        <v>64</v>
      </c>
      <c r="F7118" s="19" t="str">
        <f>IFERROR(__xludf.DUMMYFUNCTION("""COMPUTED_VALUE"""),"BLACK")</f>
        <v>BLACK</v>
      </c>
      <c r="G7118" s="20" t="str">
        <f>IFERROR(__xludf.DUMMYFUNCTION("""COMPUTED_VALUE"""),"Uncle Sams Cider (11/12/2021) 02")</f>
        <v>Uncle Sams Cider (11/12/2021) 02</v>
      </c>
      <c r="H7118" s="19"/>
    </row>
    <row r="7119">
      <c r="A7119" s="9"/>
      <c r="B7119" s="15"/>
      <c r="C7119" s="9">
        <f>IFERROR(__xludf.DUMMYFUNCTION("""COMPUTED_VALUE"""),44530.3625999305)</f>
        <v>44530.3626</v>
      </c>
      <c r="D7119" s="15">
        <f>IFERROR(__xludf.DUMMYFUNCTION("""COMPUTED_VALUE"""),1.039)</f>
        <v>1.039</v>
      </c>
      <c r="E7119" s="16">
        <f>IFERROR(__xludf.DUMMYFUNCTION("""COMPUTED_VALUE"""),64.0)</f>
        <v>64</v>
      </c>
      <c r="F7119" s="19" t="str">
        <f>IFERROR(__xludf.DUMMYFUNCTION("""COMPUTED_VALUE"""),"BLACK")</f>
        <v>BLACK</v>
      </c>
      <c r="G7119" s="20" t="str">
        <f>IFERROR(__xludf.DUMMYFUNCTION("""COMPUTED_VALUE"""),"Uncle Sams Cider (11/12/2021) 02")</f>
        <v>Uncle Sams Cider (11/12/2021) 02</v>
      </c>
      <c r="H7119" s="19"/>
    </row>
    <row r="7120">
      <c r="A7120" s="9"/>
      <c r="B7120" s="15"/>
      <c r="C7120" s="9">
        <f>IFERROR(__xludf.DUMMYFUNCTION("""COMPUTED_VALUE"""),44530.3521788078)</f>
        <v>44530.35218</v>
      </c>
      <c r="D7120" s="15">
        <f>IFERROR(__xludf.DUMMYFUNCTION("""COMPUTED_VALUE"""),1.039)</f>
        <v>1.039</v>
      </c>
      <c r="E7120" s="16">
        <f>IFERROR(__xludf.DUMMYFUNCTION("""COMPUTED_VALUE"""),64.0)</f>
        <v>64</v>
      </c>
      <c r="F7120" s="19" t="str">
        <f>IFERROR(__xludf.DUMMYFUNCTION("""COMPUTED_VALUE"""),"BLACK")</f>
        <v>BLACK</v>
      </c>
      <c r="G7120" s="20" t="str">
        <f>IFERROR(__xludf.DUMMYFUNCTION("""COMPUTED_VALUE"""),"Uncle Sams Cider (11/12/2021) 02")</f>
        <v>Uncle Sams Cider (11/12/2021) 02</v>
      </c>
      <c r="H7120" s="19"/>
    </row>
    <row r="7121">
      <c r="A7121" s="9"/>
      <c r="B7121" s="15"/>
      <c r="C7121" s="9">
        <f>IFERROR(__xludf.DUMMYFUNCTION("""COMPUTED_VALUE"""),44530.3417570949)</f>
        <v>44530.34176</v>
      </c>
      <c r="D7121" s="15">
        <f>IFERROR(__xludf.DUMMYFUNCTION("""COMPUTED_VALUE"""),1.039)</f>
        <v>1.039</v>
      </c>
      <c r="E7121" s="16">
        <f>IFERROR(__xludf.DUMMYFUNCTION("""COMPUTED_VALUE"""),64.0)</f>
        <v>64</v>
      </c>
      <c r="F7121" s="19" t="str">
        <f>IFERROR(__xludf.DUMMYFUNCTION("""COMPUTED_VALUE"""),"BLACK")</f>
        <v>BLACK</v>
      </c>
      <c r="G7121" s="20" t="str">
        <f>IFERROR(__xludf.DUMMYFUNCTION("""COMPUTED_VALUE"""),"Uncle Sams Cider (11/12/2021) 02")</f>
        <v>Uncle Sams Cider (11/12/2021) 02</v>
      </c>
      <c r="H7121" s="19"/>
    </row>
    <row r="7122">
      <c r="A7122" s="9"/>
      <c r="B7122" s="15"/>
      <c r="C7122" s="9">
        <f>IFERROR(__xludf.DUMMYFUNCTION("""COMPUTED_VALUE"""),44530.3313351504)</f>
        <v>44530.33134</v>
      </c>
      <c r="D7122" s="15">
        <f>IFERROR(__xludf.DUMMYFUNCTION("""COMPUTED_VALUE"""),1.039)</f>
        <v>1.039</v>
      </c>
      <c r="E7122" s="16">
        <f>IFERROR(__xludf.DUMMYFUNCTION("""COMPUTED_VALUE"""),64.0)</f>
        <v>64</v>
      </c>
      <c r="F7122" s="19" t="str">
        <f>IFERROR(__xludf.DUMMYFUNCTION("""COMPUTED_VALUE"""),"BLACK")</f>
        <v>BLACK</v>
      </c>
      <c r="G7122" s="20" t="str">
        <f>IFERROR(__xludf.DUMMYFUNCTION("""COMPUTED_VALUE"""),"Uncle Sams Cider (11/12/2021) 02")</f>
        <v>Uncle Sams Cider (11/12/2021) 02</v>
      </c>
      <c r="H7122" s="19"/>
    </row>
    <row r="7123">
      <c r="A7123" s="9"/>
      <c r="B7123" s="15"/>
      <c r="C7123" s="9">
        <f>IFERROR(__xludf.DUMMYFUNCTION("""COMPUTED_VALUE"""),44530.3209129398)</f>
        <v>44530.32091</v>
      </c>
      <c r="D7123" s="15">
        <f>IFERROR(__xludf.DUMMYFUNCTION("""COMPUTED_VALUE"""),1.039)</f>
        <v>1.039</v>
      </c>
      <c r="E7123" s="16">
        <f>IFERROR(__xludf.DUMMYFUNCTION("""COMPUTED_VALUE"""),64.0)</f>
        <v>64</v>
      </c>
      <c r="F7123" s="19" t="str">
        <f>IFERROR(__xludf.DUMMYFUNCTION("""COMPUTED_VALUE"""),"BLACK")</f>
        <v>BLACK</v>
      </c>
      <c r="G7123" s="20" t="str">
        <f>IFERROR(__xludf.DUMMYFUNCTION("""COMPUTED_VALUE"""),"Uncle Sams Cider (11/12/2021) 02")</f>
        <v>Uncle Sams Cider (11/12/2021) 02</v>
      </c>
      <c r="H7123" s="19"/>
    </row>
    <row r="7124">
      <c r="A7124" s="9"/>
      <c r="B7124" s="15"/>
      <c r="C7124" s="9">
        <f>IFERROR(__xludf.DUMMYFUNCTION("""COMPUTED_VALUE"""),44530.3104919213)</f>
        <v>44530.31049</v>
      </c>
      <c r="D7124" s="15">
        <f>IFERROR(__xludf.DUMMYFUNCTION("""COMPUTED_VALUE"""),1.039)</f>
        <v>1.039</v>
      </c>
      <c r="E7124" s="16">
        <f>IFERROR(__xludf.DUMMYFUNCTION("""COMPUTED_VALUE"""),64.0)</f>
        <v>64</v>
      </c>
      <c r="F7124" s="19" t="str">
        <f>IFERROR(__xludf.DUMMYFUNCTION("""COMPUTED_VALUE"""),"BLACK")</f>
        <v>BLACK</v>
      </c>
      <c r="G7124" s="20" t="str">
        <f>IFERROR(__xludf.DUMMYFUNCTION("""COMPUTED_VALUE"""),"Uncle Sams Cider (11/12/2021) 02")</f>
        <v>Uncle Sams Cider (11/12/2021) 02</v>
      </c>
      <c r="H7124" s="19"/>
    </row>
    <row r="7125">
      <c r="A7125" s="9"/>
      <c r="B7125" s="15"/>
      <c r="C7125" s="9">
        <f>IFERROR(__xludf.DUMMYFUNCTION("""COMPUTED_VALUE"""),44530.3000605208)</f>
        <v>44530.30006</v>
      </c>
      <c r="D7125" s="15">
        <f>IFERROR(__xludf.DUMMYFUNCTION("""COMPUTED_VALUE"""),1.039)</f>
        <v>1.039</v>
      </c>
      <c r="E7125" s="16">
        <f>IFERROR(__xludf.DUMMYFUNCTION("""COMPUTED_VALUE"""),64.0)</f>
        <v>64</v>
      </c>
      <c r="F7125" s="19" t="str">
        <f>IFERROR(__xludf.DUMMYFUNCTION("""COMPUTED_VALUE"""),"BLACK")</f>
        <v>BLACK</v>
      </c>
      <c r="G7125" s="20" t="str">
        <f>IFERROR(__xludf.DUMMYFUNCTION("""COMPUTED_VALUE"""),"Uncle Sams Cider (11/12/2021) 02")</f>
        <v>Uncle Sams Cider (11/12/2021) 02</v>
      </c>
      <c r="H7125" s="19"/>
    </row>
    <row r="7126">
      <c r="A7126" s="9"/>
      <c r="B7126" s="15"/>
      <c r="C7126" s="9">
        <f>IFERROR(__xludf.DUMMYFUNCTION("""COMPUTED_VALUE"""),44530.2896380208)</f>
        <v>44530.28964</v>
      </c>
      <c r="D7126" s="15">
        <f>IFERROR(__xludf.DUMMYFUNCTION("""COMPUTED_VALUE"""),1.039)</f>
        <v>1.039</v>
      </c>
      <c r="E7126" s="16">
        <f>IFERROR(__xludf.DUMMYFUNCTION("""COMPUTED_VALUE"""),64.0)</f>
        <v>64</v>
      </c>
      <c r="F7126" s="19" t="str">
        <f>IFERROR(__xludf.DUMMYFUNCTION("""COMPUTED_VALUE"""),"BLACK")</f>
        <v>BLACK</v>
      </c>
      <c r="G7126" s="20" t="str">
        <f>IFERROR(__xludf.DUMMYFUNCTION("""COMPUTED_VALUE"""),"Uncle Sams Cider (11/12/2021) 02")</f>
        <v>Uncle Sams Cider (11/12/2021) 02</v>
      </c>
      <c r="H7126" s="19"/>
    </row>
    <row r="7127">
      <c r="A7127" s="9"/>
      <c r="B7127" s="15"/>
      <c r="C7127" s="9">
        <f>IFERROR(__xludf.DUMMYFUNCTION("""COMPUTED_VALUE"""),44530.2792174074)</f>
        <v>44530.27922</v>
      </c>
      <c r="D7127" s="15">
        <f>IFERROR(__xludf.DUMMYFUNCTION("""COMPUTED_VALUE"""),1.039)</f>
        <v>1.039</v>
      </c>
      <c r="E7127" s="16">
        <f>IFERROR(__xludf.DUMMYFUNCTION("""COMPUTED_VALUE"""),64.0)</f>
        <v>64</v>
      </c>
      <c r="F7127" s="19" t="str">
        <f>IFERROR(__xludf.DUMMYFUNCTION("""COMPUTED_VALUE"""),"BLACK")</f>
        <v>BLACK</v>
      </c>
      <c r="G7127" s="20" t="str">
        <f>IFERROR(__xludf.DUMMYFUNCTION("""COMPUTED_VALUE"""),"Uncle Sams Cider (11/12/2021) 02")</f>
        <v>Uncle Sams Cider (11/12/2021) 02</v>
      </c>
      <c r="H7127" s="19"/>
    </row>
    <row r="7128">
      <c r="A7128" s="9"/>
      <c r="B7128" s="15"/>
      <c r="C7128" s="9">
        <f>IFERROR(__xludf.DUMMYFUNCTION("""COMPUTED_VALUE"""),44530.2687964351)</f>
        <v>44530.2688</v>
      </c>
      <c r="D7128" s="15">
        <f>IFERROR(__xludf.DUMMYFUNCTION("""COMPUTED_VALUE"""),1.039)</f>
        <v>1.039</v>
      </c>
      <c r="E7128" s="16">
        <f>IFERROR(__xludf.DUMMYFUNCTION("""COMPUTED_VALUE"""),64.0)</f>
        <v>64</v>
      </c>
      <c r="F7128" s="19" t="str">
        <f>IFERROR(__xludf.DUMMYFUNCTION("""COMPUTED_VALUE"""),"BLACK")</f>
        <v>BLACK</v>
      </c>
      <c r="G7128" s="20" t="str">
        <f>IFERROR(__xludf.DUMMYFUNCTION("""COMPUTED_VALUE"""),"Uncle Sams Cider (11/12/2021) 02")</f>
        <v>Uncle Sams Cider (11/12/2021) 02</v>
      </c>
      <c r="H7128" s="19"/>
    </row>
    <row r="7129">
      <c r="A7129" s="9"/>
      <c r="B7129" s="15"/>
      <c r="C7129" s="9">
        <f>IFERROR(__xludf.DUMMYFUNCTION("""COMPUTED_VALUE"""),44530.2583620717)</f>
        <v>44530.25836</v>
      </c>
      <c r="D7129" s="15">
        <f>IFERROR(__xludf.DUMMYFUNCTION("""COMPUTED_VALUE"""),1.039)</f>
        <v>1.039</v>
      </c>
      <c r="E7129" s="16">
        <f>IFERROR(__xludf.DUMMYFUNCTION("""COMPUTED_VALUE"""),64.0)</f>
        <v>64</v>
      </c>
      <c r="F7129" s="19" t="str">
        <f>IFERROR(__xludf.DUMMYFUNCTION("""COMPUTED_VALUE"""),"BLACK")</f>
        <v>BLACK</v>
      </c>
      <c r="G7129" s="20" t="str">
        <f>IFERROR(__xludf.DUMMYFUNCTION("""COMPUTED_VALUE"""),"Uncle Sams Cider (11/12/2021) 02")</f>
        <v>Uncle Sams Cider (11/12/2021) 02</v>
      </c>
      <c r="H7129" s="19"/>
    </row>
    <row r="7130">
      <c r="A7130" s="9"/>
      <c r="B7130" s="15"/>
      <c r="C7130" s="9">
        <f>IFERROR(__xludf.DUMMYFUNCTION("""COMPUTED_VALUE"""),44530.2479429166)</f>
        <v>44530.24794</v>
      </c>
      <c r="D7130" s="15">
        <f>IFERROR(__xludf.DUMMYFUNCTION("""COMPUTED_VALUE"""),1.039)</f>
        <v>1.039</v>
      </c>
      <c r="E7130" s="16">
        <f>IFERROR(__xludf.DUMMYFUNCTION("""COMPUTED_VALUE"""),64.0)</f>
        <v>64</v>
      </c>
      <c r="F7130" s="19" t="str">
        <f>IFERROR(__xludf.DUMMYFUNCTION("""COMPUTED_VALUE"""),"BLACK")</f>
        <v>BLACK</v>
      </c>
      <c r="G7130" s="20" t="str">
        <f>IFERROR(__xludf.DUMMYFUNCTION("""COMPUTED_VALUE"""),"Uncle Sams Cider (11/12/2021) 02")</f>
        <v>Uncle Sams Cider (11/12/2021) 02</v>
      </c>
      <c r="H7130" s="19"/>
    </row>
    <row r="7131">
      <c r="A7131" s="9"/>
      <c r="B7131" s="15"/>
      <c r="C7131" s="9">
        <f>IFERROR(__xludf.DUMMYFUNCTION("""COMPUTED_VALUE"""),44530.2375095717)</f>
        <v>44530.23751</v>
      </c>
      <c r="D7131" s="15">
        <f>IFERROR(__xludf.DUMMYFUNCTION("""COMPUTED_VALUE"""),1.039)</f>
        <v>1.039</v>
      </c>
      <c r="E7131" s="16">
        <f>IFERROR(__xludf.DUMMYFUNCTION("""COMPUTED_VALUE"""),64.0)</f>
        <v>64</v>
      </c>
      <c r="F7131" s="19" t="str">
        <f>IFERROR(__xludf.DUMMYFUNCTION("""COMPUTED_VALUE"""),"BLACK")</f>
        <v>BLACK</v>
      </c>
      <c r="G7131" s="20" t="str">
        <f>IFERROR(__xludf.DUMMYFUNCTION("""COMPUTED_VALUE"""),"Uncle Sams Cider (11/12/2021) 02")</f>
        <v>Uncle Sams Cider (11/12/2021) 02</v>
      </c>
      <c r="H7131" s="19"/>
    </row>
    <row r="7132">
      <c r="A7132" s="9"/>
      <c r="B7132" s="15"/>
      <c r="C7132" s="9">
        <f>IFERROR(__xludf.DUMMYFUNCTION("""COMPUTED_VALUE"""),44530.2270897685)</f>
        <v>44530.22709</v>
      </c>
      <c r="D7132" s="15">
        <f>IFERROR(__xludf.DUMMYFUNCTION("""COMPUTED_VALUE"""),1.039)</f>
        <v>1.039</v>
      </c>
      <c r="E7132" s="16">
        <f>IFERROR(__xludf.DUMMYFUNCTION("""COMPUTED_VALUE"""),64.0)</f>
        <v>64</v>
      </c>
      <c r="F7132" s="19" t="str">
        <f>IFERROR(__xludf.DUMMYFUNCTION("""COMPUTED_VALUE"""),"BLACK")</f>
        <v>BLACK</v>
      </c>
      <c r="G7132" s="20" t="str">
        <f>IFERROR(__xludf.DUMMYFUNCTION("""COMPUTED_VALUE"""),"Uncle Sams Cider (11/12/2021) 02")</f>
        <v>Uncle Sams Cider (11/12/2021) 02</v>
      </c>
      <c r="H7132" s="19"/>
    </row>
    <row r="7133">
      <c r="A7133" s="9"/>
      <c r="B7133" s="15"/>
      <c r="C7133" s="9">
        <f>IFERROR(__xludf.DUMMYFUNCTION("""COMPUTED_VALUE"""),44530.2166697222)</f>
        <v>44530.21667</v>
      </c>
      <c r="D7133" s="15">
        <f>IFERROR(__xludf.DUMMYFUNCTION("""COMPUTED_VALUE"""),1.039)</f>
        <v>1.039</v>
      </c>
      <c r="E7133" s="16">
        <f>IFERROR(__xludf.DUMMYFUNCTION("""COMPUTED_VALUE"""),64.0)</f>
        <v>64</v>
      </c>
      <c r="F7133" s="19" t="str">
        <f>IFERROR(__xludf.DUMMYFUNCTION("""COMPUTED_VALUE"""),"BLACK")</f>
        <v>BLACK</v>
      </c>
      <c r="G7133" s="20" t="str">
        <f>IFERROR(__xludf.DUMMYFUNCTION("""COMPUTED_VALUE"""),"Uncle Sams Cider (11/12/2021) 02")</f>
        <v>Uncle Sams Cider (11/12/2021) 02</v>
      </c>
      <c r="H7133" s="19"/>
    </row>
    <row r="7134">
      <c r="A7134" s="9"/>
      <c r="B7134" s="15"/>
      <c r="C7134" s="9">
        <f>IFERROR(__xludf.DUMMYFUNCTION("""COMPUTED_VALUE"""),44530.206247824)</f>
        <v>44530.20625</v>
      </c>
      <c r="D7134" s="15">
        <f>IFERROR(__xludf.DUMMYFUNCTION("""COMPUTED_VALUE"""),1.039)</f>
        <v>1.039</v>
      </c>
      <c r="E7134" s="16">
        <f>IFERROR(__xludf.DUMMYFUNCTION("""COMPUTED_VALUE"""),64.0)</f>
        <v>64</v>
      </c>
      <c r="F7134" s="19" t="str">
        <f>IFERROR(__xludf.DUMMYFUNCTION("""COMPUTED_VALUE"""),"BLACK")</f>
        <v>BLACK</v>
      </c>
      <c r="G7134" s="20" t="str">
        <f>IFERROR(__xludf.DUMMYFUNCTION("""COMPUTED_VALUE"""),"Uncle Sams Cider (11/12/2021) 02")</f>
        <v>Uncle Sams Cider (11/12/2021) 02</v>
      </c>
      <c r="H7134" s="19"/>
    </row>
    <row r="7135">
      <c r="A7135" s="9"/>
      <c r="B7135" s="15"/>
      <c r="C7135" s="9">
        <f>IFERROR(__xludf.DUMMYFUNCTION("""COMPUTED_VALUE"""),44530.1958253935)</f>
        <v>44530.19583</v>
      </c>
      <c r="D7135" s="15">
        <f>IFERROR(__xludf.DUMMYFUNCTION("""COMPUTED_VALUE"""),1.039)</f>
        <v>1.039</v>
      </c>
      <c r="E7135" s="16">
        <f>IFERROR(__xludf.DUMMYFUNCTION("""COMPUTED_VALUE"""),64.0)</f>
        <v>64</v>
      </c>
      <c r="F7135" s="19" t="str">
        <f>IFERROR(__xludf.DUMMYFUNCTION("""COMPUTED_VALUE"""),"BLACK")</f>
        <v>BLACK</v>
      </c>
      <c r="G7135" s="20" t="str">
        <f>IFERROR(__xludf.DUMMYFUNCTION("""COMPUTED_VALUE"""),"Uncle Sams Cider (11/12/2021) 02")</f>
        <v>Uncle Sams Cider (11/12/2021) 02</v>
      </c>
      <c r="H7135" s="19"/>
    </row>
    <row r="7136">
      <c r="A7136" s="9"/>
      <c r="B7136" s="15"/>
      <c r="C7136" s="9">
        <f>IFERROR(__xludf.DUMMYFUNCTION("""COMPUTED_VALUE"""),44530.1854032175)</f>
        <v>44530.1854</v>
      </c>
      <c r="D7136" s="15">
        <f>IFERROR(__xludf.DUMMYFUNCTION("""COMPUTED_VALUE"""),1.039)</f>
        <v>1.039</v>
      </c>
      <c r="E7136" s="16">
        <f>IFERROR(__xludf.DUMMYFUNCTION("""COMPUTED_VALUE"""),64.0)</f>
        <v>64</v>
      </c>
      <c r="F7136" s="19" t="str">
        <f>IFERROR(__xludf.DUMMYFUNCTION("""COMPUTED_VALUE"""),"BLACK")</f>
        <v>BLACK</v>
      </c>
      <c r="G7136" s="20" t="str">
        <f>IFERROR(__xludf.DUMMYFUNCTION("""COMPUTED_VALUE"""),"Uncle Sams Cider (11/12/2021) 02")</f>
        <v>Uncle Sams Cider (11/12/2021) 02</v>
      </c>
      <c r="H7136" s="19"/>
    </row>
    <row r="7137">
      <c r="A7137" s="9"/>
      <c r="B7137" s="15"/>
      <c r="C7137" s="9">
        <f>IFERROR(__xludf.DUMMYFUNCTION("""COMPUTED_VALUE"""),44530.174982743)</f>
        <v>44530.17498</v>
      </c>
      <c r="D7137" s="15">
        <f>IFERROR(__xludf.DUMMYFUNCTION("""COMPUTED_VALUE"""),1.039)</f>
        <v>1.039</v>
      </c>
      <c r="E7137" s="16">
        <f>IFERROR(__xludf.DUMMYFUNCTION("""COMPUTED_VALUE"""),64.0)</f>
        <v>64</v>
      </c>
      <c r="F7137" s="19" t="str">
        <f>IFERROR(__xludf.DUMMYFUNCTION("""COMPUTED_VALUE"""),"BLACK")</f>
        <v>BLACK</v>
      </c>
      <c r="G7137" s="20" t="str">
        <f>IFERROR(__xludf.DUMMYFUNCTION("""COMPUTED_VALUE"""),"Uncle Sams Cider (11/12/2021) 02")</f>
        <v>Uncle Sams Cider (11/12/2021) 02</v>
      </c>
      <c r="H7137" s="19"/>
    </row>
    <row r="7138">
      <c r="A7138" s="9"/>
      <c r="B7138" s="15"/>
      <c r="C7138" s="9">
        <f>IFERROR(__xludf.DUMMYFUNCTION("""COMPUTED_VALUE"""),44530.1645510995)</f>
        <v>44530.16455</v>
      </c>
      <c r="D7138" s="15">
        <f>IFERROR(__xludf.DUMMYFUNCTION("""COMPUTED_VALUE"""),1.039)</f>
        <v>1.039</v>
      </c>
      <c r="E7138" s="16">
        <f>IFERROR(__xludf.DUMMYFUNCTION("""COMPUTED_VALUE"""),64.0)</f>
        <v>64</v>
      </c>
      <c r="F7138" s="19" t="str">
        <f>IFERROR(__xludf.DUMMYFUNCTION("""COMPUTED_VALUE"""),"BLACK")</f>
        <v>BLACK</v>
      </c>
      <c r="G7138" s="20" t="str">
        <f>IFERROR(__xludf.DUMMYFUNCTION("""COMPUTED_VALUE"""),"Uncle Sams Cider (11/12/2021) 02")</f>
        <v>Uncle Sams Cider (11/12/2021) 02</v>
      </c>
      <c r="H7138" s="19"/>
    </row>
    <row r="7139">
      <c r="A7139" s="9"/>
      <c r="B7139" s="15"/>
      <c r="C7139" s="9">
        <f>IFERROR(__xludf.DUMMYFUNCTION("""COMPUTED_VALUE"""),44530.154129618)</f>
        <v>44530.15413</v>
      </c>
      <c r="D7139" s="15">
        <f>IFERROR(__xludf.DUMMYFUNCTION("""COMPUTED_VALUE"""),1.039)</f>
        <v>1.039</v>
      </c>
      <c r="E7139" s="16">
        <f>IFERROR(__xludf.DUMMYFUNCTION("""COMPUTED_VALUE"""),64.0)</f>
        <v>64</v>
      </c>
      <c r="F7139" s="19" t="str">
        <f>IFERROR(__xludf.DUMMYFUNCTION("""COMPUTED_VALUE"""),"BLACK")</f>
        <v>BLACK</v>
      </c>
      <c r="G7139" s="20" t="str">
        <f>IFERROR(__xludf.DUMMYFUNCTION("""COMPUTED_VALUE"""),"Uncle Sams Cider (11/12/2021) 02")</f>
        <v>Uncle Sams Cider (11/12/2021) 02</v>
      </c>
      <c r="H7139" s="19"/>
    </row>
    <row r="7140">
      <c r="A7140" s="9"/>
      <c r="B7140" s="15"/>
      <c r="C7140" s="9">
        <f>IFERROR(__xludf.DUMMYFUNCTION("""COMPUTED_VALUE"""),44530.1437080902)</f>
        <v>44530.14371</v>
      </c>
      <c r="D7140" s="15">
        <f>IFERROR(__xludf.DUMMYFUNCTION("""COMPUTED_VALUE"""),1.039)</f>
        <v>1.039</v>
      </c>
      <c r="E7140" s="16">
        <f>IFERROR(__xludf.DUMMYFUNCTION("""COMPUTED_VALUE"""),64.0)</f>
        <v>64</v>
      </c>
      <c r="F7140" s="19" t="str">
        <f>IFERROR(__xludf.DUMMYFUNCTION("""COMPUTED_VALUE"""),"BLACK")</f>
        <v>BLACK</v>
      </c>
      <c r="G7140" s="20" t="str">
        <f>IFERROR(__xludf.DUMMYFUNCTION("""COMPUTED_VALUE"""),"Uncle Sams Cider (11/12/2021) 02")</f>
        <v>Uncle Sams Cider (11/12/2021) 02</v>
      </c>
      <c r="H7140" s="19"/>
    </row>
    <row r="7141">
      <c r="A7141" s="9"/>
      <c r="B7141" s="15"/>
      <c r="C7141" s="9">
        <f>IFERROR(__xludf.DUMMYFUNCTION("""COMPUTED_VALUE"""),44530.1332870023)</f>
        <v>44530.13329</v>
      </c>
      <c r="D7141" s="15">
        <f>IFERROR(__xludf.DUMMYFUNCTION("""COMPUTED_VALUE"""),1.039)</f>
        <v>1.039</v>
      </c>
      <c r="E7141" s="16">
        <f>IFERROR(__xludf.DUMMYFUNCTION("""COMPUTED_VALUE"""),64.0)</f>
        <v>64</v>
      </c>
      <c r="F7141" s="19" t="str">
        <f>IFERROR(__xludf.DUMMYFUNCTION("""COMPUTED_VALUE"""),"BLACK")</f>
        <v>BLACK</v>
      </c>
      <c r="G7141" s="20" t="str">
        <f>IFERROR(__xludf.DUMMYFUNCTION("""COMPUTED_VALUE"""),"Uncle Sams Cider (11/12/2021) 02")</f>
        <v>Uncle Sams Cider (11/12/2021) 02</v>
      </c>
      <c r="H7141" s="19"/>
    </row>
    <row r="7142">
      <c r="A7142" s="9"/>
      <c r="B7142" s="15"/>
      <c r="C7142" s="9">
        <f>IFERROR(__xludf.DUMMYFUNCTION("""COMPUTED_VALUE"""),44530.1228658333)</f>
        <v>44530.12287</v>
      </c>
      <c r="D7142" s="15">
        <f>IFERROR(__xludf.DUMMYFUNCTION("""COMPUTED_VALUE"""),1.039)</f>
        <v>1.039</v>
      </c>
      <c r="E7142" s="16">
        <f>IFERROR(__xludf.DUMMYFUNCTION("""COMPUTED_VALUE"""),64.0)</f>
        <v>64</v>
      </c>
      <c r="F7142" s="19" t="str">
        <f>IFERROR(__xludf.DUMMYFUNCTION("""COMPUTED_VALUE"""),"BLACK")</f>
        <v>BLACK</v>
      </c>
      <c r="G7142" s="20" t="str">
        <f>IFERROR(__xludf.DUMMYFUNCTION("""COMPUTED_VALUE"""),"Uncle Sams Cider (11/12/2021) 02")</f>
        <v>Uncle Sams Cider (11/12/2021) 02</v>
      </c>
      <c r="H7142" s="19"/>
    </row>
    <row r="7143">
      <c r="A7143" s="9"/>
      <c r="B7143" s="15"/>
      <c r="C7143" s="9">
        <f>IFERROR(__xludf.DUMMYFUNCTION("""COMPUTED_VALUE"""),44530.1124438194)</f>
        <v>44530.11244</v>
      </c>
      <c r="D7143" s="15">
        <f>IFERROR(__xludf.DUMMYFUNCTION("""COMPUTED_VALUE"""),1.039)</f>
        <v>1.039</v>
      </c>
      <c r="E7143" s="16">
        <f>IFERROR(__xludf.DUMMYFUNCTION("""COMPUTED_VALUE"""),64.0)</f>
        <v>64</v>
      </c>
      <c r="F7143" s="19" t="str">
        <f>IFERROR(__xludf.DUMMYFUNCTION("""COMPUTED_VALUE"""),"BLACK")</f>
        <v>BLACK</v>
      </c>
      <c r="G7143" s="20" t="str">
        <f>IFERROR(__xludf.DUMMYFUNCTION("""COMPUTED_VALUE"""),"Uncle Sams Cider (11/12/2021) 02")</f>
        <v>Uncle Sams Cider (11/12/2021) 02</v>
      </c>
      <c r="H7143" s="19"/>
    </row>
    <row r="7144">
      <c r="A7144" s="9"/>
      <c r="B7144" s="15"/>
      <c r="C7144" s="9">
        <f>IFERROR(__xludf.DUMMYFUNCTION("""COMPUTED_VALUE"""),44530.1020230671)</f>
        <v>44530.10202</v>
      </c>
      <c r="D7144" s="15">
        <f>IFERROR(__xludf.DUMMYFUNCTION("""COMPUTED_VALUE"""),1.039)</f>
        <v>1.039</v>
      </c>
      <c r="E7144" s="16">
        <f>IFERROR(__xludf.DUMMYFUNCTION("""COMPUTED_VALUE"""),64.0)</f>
        <v>64</v>
      </c>
      <c r="F7144" s="19" t="str">
        <f>IFERROR(__xludf.DUMMYFUNCTION("""COMPUTED_VALUE"""),"BLACK")</f>
        <v>BLACK</v>
      </c>
      <c r="G7144" s="20" t="str">
        <f>IFERROR(__xludf.DUMMYFUNCTION("""COMPUTED_VALUE"""),"Uncle Sams Cider (11/12/2021) 02")</f>
        <v>Uncle Sams Cider (11/12/2021) 02</v>
      </c>
      <c r="H7144" s="19"/>
    </row>
    <row r="7145">
      <c r="A7145" s="9"/>
      <c r="B7145" s="15"/>
      <c r="C7145" s="9">
        <f>IFERROR(__xludf.DUMMYFUNCTION("""COMPUTED_VALUE"""),44530.0916028472)</f>
        <v>44530.0916</v>
      </c>
      <c r="D7145" s="15">
        <f>IFERROR(__xludf.DUMMYFUNCTION("""COMPUTED_VALUE"""),1.039)</f>
        <v>1.039</v>
      </c>
      <c r="E7145" s="16">
        <f>IFERROR(__xludf.DUMMYFUNCTION("""COMPUTED_VALUE"""),64.0)</f>
        <v>64</v>
      </c>
      <c r="F7145" s="19" t="str">
        <f>IFERROR(__xludf.DUMMYFUNCTION("""COMPUTED_VALUE"""),"BLACK")</f>
        <v>BLACK</v>
      </c>
      <c r="G7145" s="20" t="str">
        <f>IFERROR(__xludf.DUMMYFUNCTION("""COMPUTED_VALUE"""),"Uncle Sams Cider (11/12/2021) 02")</f>
        <v>Uncle Sams Cider (11/12/2021) 02</v>
      </c>
      <c r="H7145" s="19"/>
    </row>
    <row r="7146">
      <c r="A7146" s="9"/>
      <c r="B7146" s="15"/>
      <c r="C7146" s="9">
        <f>IFERROR(__xludf.DUMMYFUNCTION("""COMPUTED_VALUE"""),44530.0811819328)</f>
        <v>44530.08118</v>
      </c>
      <c r="D7146" s="15">
        <f>IFERROR(__xludf.DUMMYFUNCTION("""COMPUTED_VALUE"""),1.039)</f>
        <v>1.039</v>
      </c>
      <c r="E7146" s="16">
        <f>IFERROR(__xludf.DUMMYFUNCTION("""COMPUTED_VALUE"""),64.0)</f>
        <v>64</v>
      </c>
      <c r="F7146" s="19" t="str">
        <f>IFERROR(__xludf.DUMMYFUNCTION("""COMPUTED_VALUE"""),"BLACK")</f>
        <v>BLACK</v>
      </c>
      <c r="G7146" s="20" t="str">
        <f>IFERROR(__xludf.DUMMYFUNCTION("""COMPUTED_VALUE"""),"Uncle Sams Cider (11/12/2021) 02")</f>
        <v>Uncle Sams Cider (11/12/2021) 02</v>
      </c>
      <c r="H7146" s="19"/>
    </row>
    <row r="7147">
      <c r="A7147" s="9"/>
      <c r="B7147" s="15"/>
      <c r="C7147" s="9">
        <f>IFERROR(__xludf.DUMMYFUNCTION("""COMPUTED_VALUE"""),44530.0707600231)</f>
        <v>44530.07076</v>
      </c>
      <c r="D7147" s="15">
        <f>IFERROR(__xludf.DUMMYFUNCTION("""COMPUTED_VALUE"""),1.039)</f>
        <v>1.039</v>
      </c>
      <c r="E7147" s="16">
        <f>IFERROR(__xludf.DUMMYFUNCTION("""COMPUTED_VALUE"""),64.0)</f>
        <v>64</v>
      </c>
      <c r="F7147" s="19" t="str">
        <f>IFERROR(__xludf.DUMMYFUNCTION("""COMPUTED_VALUE"""),"BLACK")</f>
        <v>BLACK</v>
      </c>
      <c r="G7147" s="20" t="str">
        <f>IFERROR(__xludf.DUMMYFUNCTION("""COMPUTED_VALUE"""),"Uncle Sams Cider (11/12/2021) 02")</f>
        <v>Uncle Sams Cider (11/12/2021) 02</v>
      </c>
      <c r="H7147" s="19"/>
    </row>
    <row r="7148">
      <c r="A7148" s="9"/>
      <c r="B7148" s="15"/>
      <c r="C7148" s="9">
        <f>IFERROR(__xludf.DUMMYFUNCTION("""COMPUTED_VALUE"""),44530.0603393055)</f>
        <v>44530.06034</v>
      </c>
      <c r="D7148" s="15">
        <f>IFERROR(__xludf.DUMMYFUNCTION("""COMPUTED_VALUE"""),1.039)</f>
        <v>1.039</v>
      </c>
      <c r="E7148" s="16">
        <f>IFERROR(__xludf.DUMMYFUNCTION("""COMPUTED_VALUE"""),64.0)</f>
        <v>64</v>
      </c>
      <c r="F7148" s="19" t="str">
        <f>IFERROR(__xludf.DUMMYFUNCTION("""COMPUTED_VALUE"""),"BLACK")</f>
        <v>BLACK</v>
      </c>
      <c r="G7148" s="20" t="str">
        <f>IFERROR(__xludf.DUMMYFUNCTION("""COMPUTED_VALUE"""),"Uncle Sams Cider (11/12/2021) 02")</f>
        <v>Uncle Sams Cider (11/12/2021) 02</v>
      </c>
      <c r="H7148" s="19"/>
    </row>
    <row r="7149">
      <c r="A7149" s="9"/>
      <c r="B7149" s="15"/>
      <c r="C7149" s="9">
        <f>IFERROR(__xludf.DUMMYFUNCTION("""COMPUTED_VALUE"""),44530.0499185763)</f>
        <v>44530.04992</v>
      </c>
      <c r="D7149" s="15">
        <f>IFERROR(__xludf.DUMMYFUNCTION("""COMPUTED_VALUE"""),1.039)</f>
        <v>1.039</v>
      </c>
      <c r="E7149" s="16">
        <f>IFERROR(__xludf.DUMMYFUNCTION("""COMPUTED_VALUE"""),64.0)</f>
        <v>64</v>
      </c>
      <c r="F7149" s="19" t="str">
        <f>IFERROR(__xludf.DUMMYFUNCTION("""COMPUTED_VALUE"""),"BLACK")</f>
        <v>BLACK</v>
      </c>
      <c r="G7149" s="20" t="str">
        <f>IFERROR(__xludf.DUMMYFUNCTION("""COMPUTED_VALUE"""),"Uncle Sams Cider (11/12/2021) 02")</f>
        <v>Uncle Sams Cider (11/12/2021) 02</v>
      </c>
      <c r="H7149" s="19"/>
    </row>
    <row r="7150">
      <c r="A7150" s="9"/>
      <c r="B7150" s="15"/>
      <c r="C7150" s="9">
        <f>IFERROR(__xludf.DUMMYFUNCTION("""COMPUTED_VALUE"""),44530.0394984374)</f>
        <v>44530.0395</v>
      </c>
      <c r="D7150" s="15">
        <f>IFERROR(__xludf.DUMMYFUNCTION("""COMPUTED_VALUE"""),1.039)</f>
        <v>1.039</v>
      </c>
      <c r="E7150" s="16">
        <f>IFERROR(__xludf.DUMMYFUNCTION("""COMPUTED_VALUE"""),64.0)</f>
        <v>64</v>
      </c>
      <c r="F7150" s="19" t="str">
        <f>IFERROR(__xludf.DUMMYFUNCTION("""COMPUTED_VALUE"""),"BLACK")</f>
        <v>BLACK</v>
      </c>
      <c r="G7150" s="20" t="str">
        <f>IFERROR(__xludf.DUMMYFUNCTION("""COMPUTED_VALUE"""),"Uncle Sams Cider (11/12/2021) 02")</f>
        <v>Uncle Sams Cider (11/12/2021) 02</v>
      </c>
      <c r="H7150" s="19"/>
    </row>
    <row r="7151">
      <c r="A7151" s="9"/>
      <c r="B7151" s="15"/>
      <c r="C7151" s="9">
        <f>IFERROR(__xludf.DUMMYFUNCTION("""COMPUTED_VALUE"""),44530.0290649421)</f>
        <v>44530.02906</v>
      </c>
      <c r="D7151" s="15">
        <f>IFERROR(__xludf.DUMMYFUNCTION("""COMPUTED_VALUE"""),1.039)</f>
        <v>1.039</v>
      </c>
      <c r="E7151" s="16">
        <f>IFERROR(__xludf.DUMMYFUNCTION("""COMPUTED_VALUE"""),64.0)</f>
        <v>64</v>
      </c>
      <c r="F7151" s="19" t="str">
        <f>IFERROR(__xludf.DUMMYFUNCTION("""COMPUTED_VALUE"""),"BLACK")</f>
        <v>BLACK</v>
      </c>
      <c r="G7151" s="20" t="str">
        <f>IFERROR(__xludf.DUMMYFUNCTION("""COMPUTED_VALUE"""),"Uncle Sams Cider (11/12/2021) 02")</f>
        <v>Uncle Sams Cider (11/12/2021) 02</v>
      </c>
      <c r="H7151" s="19"/>
    </row>
    <row r="7152">
      <c r="A7152" s="9"/>
      <c r="B7152" s="15"/>
      <c r="C7152" s="9">
        <f>IFERROR(__xludf.DUMMYFUNCTION("""COMPUTED_VALUE"""),44530.0186431944)</f>
        <v>44530.01864</v>
      </c>
      <c r="D7152" s="15">
        <f>IFERROR(__xludf.DUMMYFUNCTION("""COMPUTED_VALUE"""),1.039)</f>
        <v>1.039</v>
      </c>
      <c r="E7152" s="16">
        <f>IFERROR(__xludf.DUMMYFUNCTION("""COMPUTED_VALUE"""),64.0)</f>
        <v>64</v>
      </c>
      <c r="F7152" s="19" t="str">
        <f>IFERROR(__xludf.DUMMYFUNCTION("""COMPUTED_VALUE"""),"BLACK")</f>
        <v>BLACK</v>
      </c>
      <c r="G7152" s="20" t="str">
        <f>IFERROR(__xludf.DUMMYFUNCTION("""COMPUTED_VALUE"""),"Uncle Sams Cider (11/12/2021) 02")</f>
        <v>Uncle Sams Cider (11/12/2021) 02</v>
      </c>
      <c r="H7152" s="19"/>
    </row>
    <row r="7153">
      <c r="A7153" s="9"/>
      <c r="B7153" s="15"/>
      <c r="C7153" s="9">
        <f>IFERROR(__xludf.DUMMYFUNCTION("""COMPUTED_VALUE"""),44530.0082108911)</f>
        <v>44530.00821</v>
      </c>
      <c r="D7153" s="15">
        <f>IFERROR(__xludf.DUMMYFUNCTION("""COMPUTED_VALUE"""),1.039)</f>
        <v>1.039</v>
      </c>
      <c r="E7153" s="16">
        <f>IFERROR(__xludf.DUMMYFUNCTION("""COMPUTED_VALUE"""),64.0)</f>
        <v>64</v>
      </c>
      <c r="F7153" s="19" t="str">
        <f>IFERROR(__xludf.DUMMYFUNCTION("""COMPUTED_VALUE"""),"BLACK")</f>
        <v>BLACK</v>
      </c>
      <c r="G7153" s="20" t="str">
        <f>IFERROR(__xludf.DUMMYFUNCTION("""COMPUTED_VALUE"""),"Uncle Sams Cider (11/12/2021) 02")</f>
        <v>Uncle Sams Cider (11/12/2021) 02</v>
      </c>
      <c r="H7153" s="19"/>
    </row>
    <row r="7154">
      <c r="A7154" s="9"/>
      <c r="B7154" s="15"/>
      <c r="C7154" s="9">
        <f>IFERROR(__xludf.DUMMYFUNCTION("""COMPUTED_VALUE"""),44529.9977906134)</f>
        <v>44529.99779</v>
      </c>
      <c r="D7154" s="15">
        <f>IFERROR(__xludf.DUMMYFUNCTION("""COMPUTED_VALUE"""),1.039)</f>
        <v>1.039</v>
      </c>
      <c r="E7154" s="16">
        <f>IFERROR(__xludf.DUMMYFUNCTION("""COMPUTED_VALUE"""),64.0)</f>
        <v>64</v>
      </c>
      <c r="F7154" s="19" t="str">
        <f>IFERROR(__xludf.DUMMYFUNCTION("""COMPUTED_VALUE"""),"BLACK")</f>
        <v>BLACK</v>
      </c>
      <c r="G7154" s="20" t="str">
        <f>IFERROR(__xludf.DUMMYFUNCTION("""COMPUTED_VALUE"""),"Uncle Sams Cider (11/12/2021) 02")</f>
        <v>Uncle Sams Cider (11/12/2021) 02</v>
      </c>
      <c r="H7154" s="19"/>
    </row>
    <row r="7155">
      <c r="A7155" s="9"/>
      <c r="B7155" s="15"/>
      <c r="C7155" s="9">
        <f>IFERROR(__xludf.DUMMYFUNCTION("""COMPUTED_VALUE"""),44529.987369699)</f>
        <v>44529.98737</v>
      </c>
      <c r="D7155" s="15">
        <f>IFERROR(__xludf.DUMMYFUNCTION("""COMPUTED_VALUE"""),1.039)</f>
        <v>1.039</v>
      </c>
      <c r="E7155" s="16">
        <f>IFERROR(__xludf.DUMMYFUNCTION("""COMPUTED_VALUE"""),64.0)</f>
        <v>64</v>
      </c>
      <c r="F7155" s="19" t="str">
        <f>IFERROR(__xludf.DUMMYFUNCTION("""COMPUTED_VALUE"""),"BLACK")</f>
        <v>BLACK</v>
      </c>
      <c r="G7155" s="20" t="str">
        <f>IFERROR(__xludf.DUMMYFUNCTION("""COMPUTED_VALUE"""),"Uncle Sams Cider (11/12/2021) 02")</f>
        <v>Uncle Sams Cider (11/12/2021) 02</v>
      </c>
      <c r="H7155" s="19"/>
    </row>
    <row r="7156">
      <c r="A7156" s="9"/>
      <c r="B7156" s="15"/>
      <c r="C7156" s="9">
        <f>IFERROR(__xludf.DUMMYFUNCTION("""COMPUTED_VALUE"""),44529.9769488888)</f>
        <v>44529.97695</v>
      </c>
      <c r="D7156" s="15">
        <f>IFERROR(__xludf.DUMMYFUNCTION("""COMPUTED_VALUE"""),1.039)</f>
        <v>1.039</v>
      </c>
      <c r="E7156" s="16">
        <f>IFERROR(__xludf.DUMMYFUNCTION("""COMPUTED_VALUE"""),64.0)</f>
        <v>64</v>
      </c>
      <c r="F7156" s="19" t="str">
        <f>IFERROR(__xludf.DUMMYFUNCTION("""COMPUTED_VALUE"""),"BLACK")</f>
        <v>BLACK</v>
      </c>
      <c r="G7156" s="20" t="str">
        <f>IFERROR(__xludf.DUMMYFUNCTION("""COMPUTED_VALUE"""),"Uncle Sams Cider (11/12/2021) 02")</f>
        <v>Uncle Sams Cider (11/12/2021) 02</v>
      </c>
      <c r="H7156" s="19"/>
    </row>
    <row r="7157">
      <c r="A7157" s="9"/>
      <c r="B7157" s="15"/>
      <c r="C7157" s="9">
        <f>IFERROR(__xludf.DUMMYFUNCTION("""COMPUTED_VALUE"""),44529.966516412)</f>
        <v>44529.96652</v>
      </c>
      <c r="D7157" s="15">
        <f>IFERROR(__xludf.DUMMYFUNCTION("""COMPUTED_VALUE"""),1.039)</f>
        <v>1.039</v>
      </c>
      <c r="E7157" s="16">
        <f>IFERROR(__xludf.DUMMYFUNCTION("""COMPUTED_VALUE"""),64.0)</f>
        <v>64</v>
      </c>
      <c r="F7157" s="19" t="str">
        <f>IFERROR(__xludf.DUMMYFUNCTION("""COMPUTED_VALUE"""),"BLACK")</f>
        <v>BLACK</v>
      </c>
      <c r="G7157" s="20" t="str">
        <f>IFERROR(__xludf.DUMMYFUNCTION("""COMPUTED_VALUE"""),"Uncle Sams Cider (11/12/2021) 02")</f>
        <v>Uncle Sams Cider (11/12/2021) 02</v>
      </c>
      <c r="H7157" s="19"/>
    </row>
    <row r="7158">
      <c r="A7158" s="9"/>
      <c r="B7158" s="15"/>
      <c r="C7158" s="9">
        <f>IFERROR(__xludf.DUMMYFUNCTION("""COMPUTED_VALUE"""),44529.9560950231)</f>
        <v>44529.9561</v>
      </c>
      <c r="D7158" s="15">
        <f>IFERROR(__xludf.DUMMYFUNCTION("""COMPUTED_VALUE"""),1.039)</f>
        <v>1.039</v>
      </c>
      <c r="E7158" s="16">
        <f>IFERROR(__xludf.DUMMYFUNCTION("""COMPUTED_VALUE"""),64.0)</f>
        <v>64</v>
      </c>
      <c r="F7158" s="19" t="str">
        <f>IFERROR(__xludf.DUMMYFUNCTION("""COMPUTED_VALUE"""),"BLACK")</f>
        <v>BLACK</v>
      </c>
      <c r="G7158" s="20" t="str">
        <f>IFERROR(__xludf.DUMMYFUNCTION("""COMPUTED_VALUE"""),"Uncle Sams Cider (11/12/2021) 02")</f>
        <v>Uncle Sams Cider (11/12/2021) 02</v>
      </c>
      <c r="H7158" s="19"/>
    </row>
    <row r="7159">
      <c r="A7159" s="9"/>
      <c r="B7159" s="15"/>
      <c r="C7159" s="9">
        <f>IFERROR(__xludf.DUMMYFUNCTION("""COMPUTED_VALUE"""),44529.9456743981)</f>
        <v>44529.94567</v>
      </c>
      <c r="D7159" s="15">
        <f>IFERROR(__xludf.DUMMYFUNCTION("""COMPUTED_VALUE"""),1.039)</f>
        <v>1.039</v>
      </c>
      <c r="E7159" s="16">
        <f>IFERROR(__xludf.DUMMYFUNCTION("""COMPUTED_VALUE"""),64.0)</f>
        <v>64</v>
      </c>
      <c r="F7159" s="19" t="str">
        <f>IFERROR(__xludf.DUMMYFUNCTION("""COMPUTED_VALUE"""),"BLACK")</f>
        <v>BLACK</v>
      </c>
      <c r="G7159" s="20" t="str">
        <f>IFERROR(__xludf.DUMMYFUNCTION("""COMPUTED_VALUE"""),"Uncle Sams Cider (11/12/2021) 02")</f>
        <v>Uncle Sams Cider (11/12/2021) 02</v>
      </c>
      <c r="H7159" s="19"/>
    </row>
    <row r="7160">
      <c r="A7160" s="9"/>
      <c r="B7160" s="15"/>
      <c r="C7160" s="9">
        <f>IFERROR(__xludf.DUMMYFUNCTION("""COMPUTED_VALUE"""),44529.935251655)</f>
        <v>44529.93525</v>
      </c>
      <c r="D7160" s="15">
        <f>IFERROR(__xludf.DUMMYFUNCTION("""COMPUTED_VALUE"""),1.04)</f>
        <v>1.04</v>
      </c>
      <c r="E7160" s="16">
        <f>IFERROR(__xludf.DUMMYFUNCTION("""COMPUTED_VALUE"""),64.0)</f>
        <v>64</v>
      </c>
      <c r="F7160" s="19" t="str">
        <f>IFERROR(__xludf.DUMMYFUNCTION("""COMPUTED_VALUE"""),"BLACK")</f>
        <v>BLACK</v>
      </c>
      <c r="G7160" s="20" t="str">
        <f>IFERROR(__xludf.DUMMYFUNCTION("""COMPUTED_VALUE"""),"Uncle Sams Cider (11/12/2021) 02")</f>
        <v>Uncle Sams Cider (11/12/2021) 02</v>
      </c>
      <c r="H7160" s="19"/>
    </row>
    <row r="7161">
      <c r="A7161" s="9"/>
      <c r="B7161" s="15"/>
      <c r="C7161" s="9">
        <f>IFERROR(__xludf.DUMMYFUNCTION("""COMPUTED_VALUE"""),44529.9248320717)</f>
        <v>44529.92483</v>
      </c>
      <c r="D7161" s="15">
        <f>IFERROR(__xludf.DUMMYFUNCTION("""COMPUTED_VALUE"""),1.039)</f>
        <v>1.039</v>
      </c>
      <c r="E7161" s="16">
        <f>IFERROR(__xludf.DUMMYFUNCTION("""COMPUTED_VALUE"""),64.0)</f>
        <v>64</v>
      </c>
      <c r="F7161" s="19" t="str">
        <f>IFERROR(__xludf.DUMMYFUNCTION("""COMPUTED_VALUE"""),"BLACK")</f>
        <v>BLACK</v>
      </c>
      <c r="G7161" s="20" t="str">
        <f>IFERROR(__xludf.DUMMYFUNCTION("""COMPUTED_VALUE"""),"Uncle Sams Cider (11/12/2021) 02")</f>
        <v>Uncle Sams Cider (11/12/2021) 02</v>
      </c>
      <c r="H7161" s="19"/>
    </row>
    <row r="7162">
      <c r="A7162" s="9"/>
      <c r="B7162" s="15"/>
      <c r="C7162" s="9">
        <f>IFERROR(__xludf.DUMMYFUNCTION("""COMPUTED_VALUE"""),44529.9144092245)</f>
        <v>44529.91441</v>
      </c>
      <c r="D7162" s="15">
        <f>IFERROR(__xludf.DUMMYFUNCTION("""COMPUTED_VALUE"""),1.039)</f>
        <v>1.039</v>
      </c>
      <c r="E7162" s="16">
        <f>IFERROR(__xludf.DUMMYFUNCTION("""COMPUTED_VALUE"""),64.0)</f>
        <v>64</v>
      </c>
      <c r="F7162" s="19" t="str">
        <f>IFERROR(__xludf.DUMMYFUNCTION("""COMPUTED_VALUE"""),"BLACK")</f>
        <v>BLACK</v>
      </c>
      <c r="G7162" s="20" t="str">
        <f>IFERROR(__xludf.DUMMYFUNCTION("""COMPUTED_VALUE"""),"Uncle Sams Cider (11/12/2021) 02")</f>
        <v>Uncle Sams Cider (11/12/2021) 02</v>
      </c>
      <c r="H7162" s="19"/>
    </row>
    <row r="7163">
      <c r="A7163" s="9"/>
      <c r="B7163" s="15"/>
      <c r="C7163" s="9">
        <f>IFERROR(__xludf.DUMMYFUNCTION("""COMPUTED_VALUE"""),44529.9039892592)</f>
        <v>44529.90399</v>
      </c>
      <c r="D7163" s="15">
        <f>IFERROR(__xludf.DUMMYFUNCTION("""COMPUTED_VALUE"""),1.039)</f>
        <v>1.039</v>
      </c>
      <c r="E7163" s="16">
        <f>IFERROR(__xludf.DUMMYFUNCTION("""COMPUTED_VALUE"""),64.0)</f>
        <v>64</v>
      </c>
      <c r="F7163" s="19" t="str">
        <f>IFERROR(__xludf.DUMMYFUNCTION("""COMPUTED_VALUE"""),"BLACK")</f>
        <v>BLACK</v>
      </c>
      <c r="G7163" s="20" t="str">
        <f>IFERROR(__xludf.DUMMYFUNCTION("""COMPUTED_VALUE"""),"Uncle Sams Cider (11/12/2021) 02")</f>
        <v>Uncle Sams Cider (11/12/2021) 02</v>
      </c>
      <c r="H7163" s="19"/>
    </row>
    <row r="7164">
      <c r="A7164" s="9"/>
      <c r="B7164" s="15"/>
      <c r="C7164" s="9">
        <f>IFERROR(__xludf.DUMMYFUNCTION("""COMPUTED_VALUE"""),44529.8935677199)</f>
        <v>44529.89357</v>
      </c>
      <c r="D7164" s="15">
        <f>IFERROR(__xludf.DUMMYFUNCTION("""COMPUTED_VALUE"""),1.039)</f>
        <v>1.039</v>
      </c>
      <c r="E7164" s="16">
        <f>IFERROR(__xludf.DUMMYFUNCTION("""COMPUTED_VALUE"""),64.0)</f>
        <v>64</v>
      </c>
      <c r="F7164" s="19" t="str">
        <f>IFERROR(__xludf.DUMMYFUNCTION("""COMPUTED_VALUE"""),"BLACK")</f>
        <v>BLACK</v>
      </c>
      <c r="G7164" s="20" t="str">
        <f>IFERROR(__xludf.DUMMYFUNCTION("""COMPUTED_VALUE"""),"Uncle Sams Cider (11/12/2021) 02")</f>
        <v>Uncle Sams Cider (11/12/2021) 02</v>
      </c>
      <c r="H7164" s="19"/>
    </row>
    <row r="7165">
      <c r="A7165" s="9"/>
      <c r="B7165" s="15"/>
      <c r="C7165" s="9">
        <f>IFERROR(__xludf.DUMMYFUNCTION("""COMPUTED_VALUE"""),44529.8831464004)</f>
        <v>44529.88315</v>
      </c>
      <c r="D7165" s="15">
        <f>IFERROR(__xludf.DUMMYFUNCTION("""COMPUTED_VALUE"""),1.04)</f>
        <v>1.04</v>
      </c>
      <c r="E7165" s="16">
        <f>IFERROR(__xludf.DUMMYFUNCTION("""COMPUTED_VALUE"""),64.0)</f>
        <v>64</v>
      </c>
      <c r="F7165" s="19" t="str">
        <f>IFERROR(__xludf.DUMMYFUNCTION("""COMPUTED_VALUE"""),"BLACK")</f>
        <v>BLACK</v>
      </c>
      <c r="G7165" s="20" t="str">
        <f>IFERROR(__xludf.DUMMYFUNCTION("""COMPUTED_VALUE"""),"Uncle Sams Cider (11/12/2021) 02")</f>
        <v>Uncle Sams Cider (11/12/2021) 02</v>
      </c>
      <c r="H7165" s="19"/>
    </row>
    <row r="7166">
      <c r="A7166" s="9"/>
      <c r="B7166" s="15"/>
      <c r="C7166" s="9">
        <f>IFERROR(__xludf.DUMMYFUNCTION("""COMPUTED_VALUE"""),44529.8727253124)</f>
        <v>44529.87273</v>
      </c>
      <c r="D7166" s="15">
        <f>IFERROR(__xludf.DUMMYFUNCTION("""COMPUTED_VALUE"""),1.04)</f>
        <v>1.04</v>
      </c>
      <c r="E7166" s="16">
        <f>IFERROR(__xludf.DUMMYFUNCTION("""COMPUTED_VALUE"""),64.0)</f>
        <v>64</v>
      </c>
      <c r="F7166" s="19" t="str">
        <f>IFERROR(__xludf.DUMMYFUNCTION("""COMPUTED_VALUE"""),"BLACK")</f>
        <v>BLACK</v>
      </c>
      <c r="G7166" s="20" t="str">
        <f>IFERROR(__xludf.DUMMYFUNCTION("""COMPUTED_VALUE"""),"Uncle Sams Cider (11/12/2021) 02")</f>
        <v>Uncle Sams Cider (11/12/2021) 02</v>
      </c>
      <c r="H7166" s="19"/>
    </row>
    <row r="7167">
      <c r="A7167" s="9"/>
      <c r="B7167" s="15"/>
      <c r="C7167" s="9">
        <f>IFERROR(__xludf.DUMMYFUNCTION("""COMPUTED_VALUE"""),44529.862304074)</f>
        <v>44529.8623</v>
      </c>
      <c r="D7167" s="15">
        <f>IFERROR(__xludf.DUMMYFUNCTION("""COMPUTED_VALUE"""),1.039)</f>
        <v>1.039</v>
      </c>
      <c r="E7167" s="16">
        <f>IFERROR(__xludf.DUMMYFUNCTION("""COMPUTED_VALUE"""),64.0)</f>
        <v>64</v>
      </c>
      <c r="F7167" s="19" t="str">
        <f>IFERROR(__xludf.DUMMYFUNCTION("""COMPUTED_VALUE"""),"BLACK")</f>
        <v>BLACK</v>
      </c>
      <c r="G7167" s="20" t="str">
        <f>IFERROR(__xludf.DUMMYFUNCTION("""COMPUTED_VALUE"""),"Uncle Sams Cider (11/12/2021) 02")</f>
        <v>Uncle Sams Cider (11/12/2021) 02</v>
      </c>
      <c r="H7167" s="19"/>
    </row>
    <row r="7168">
      <c r="A7168" s="9"/>
      <c r="B7168" s="15"/>
      <c r="C7168" s="9">
        <f>IFERROR(__xludf.DUMMYFUNCTION("""COMPUTED_VALUE"""),44529.8518595949)</f>
        <v>44529.85186</v>
      </c>
      <c r="D7168" s="15">
        <f>IFERROR(__xludf.DUMMYFUNCTION("""COMPUTED_VALUE"""),1.039)</f>
        <v>1.039</v>
      </c>
      <c r="E7168" s="16">
        <f>IFERROR(__xludf.DUMMYFUNCTION("""COMPUTED_VALUE"""),64.0)</f>
        <v>64</v>
      </c>
      <c r="F7168" s="19" t="str">
        <f>IFERROR(__xludf.DUMMYFUNCTION("""COMPUTED_VALUE"""),"BLACK")</f>
        <v>BLACK</v>
      </c>
      <c r="G7168" s="20" t="str">
        <f>IFERROR(__xludf.DUMMYFUNCTION("""COMPUTED_VALUE"""),"Uncle Sams Cider (11/12/2021) 02")</f>
        <v>Uncle Sams Cider (11/12/2021) 02</v>
      </c>
      <c r="H7168" s="19"/>
    </row>
    <row r="7169">
      <c r="A7169" s="9"/>
      <c r="B7169" s="15"/>
      <c r="C7169" s="9">
        <f>IFERROR(__xludf.DUMMYFUNCTION("""COMPUTED_VALUE"""),44529.8414390509)</f>
        <v>44529.84144</v>
      </c>
      <c r="D7169" s="15">
        <f>IFERROR(__xludf.DUMMYFUNCTION("""COMPUTED_VALUE"""),1.039)</f>
        <v>1.039</v>
      </c>
      <c r="E7169" s="16">
        <f>IFERROR(__xludf.DUMMYFUNCTION("""COMPUTED_VALUE"""),64.0)</f>
        <v>64</v>
      </c>
      <c r="F7169" s="19" t="str">
        <f>IFERROR(__xludf.DUMMYFUNCTION("""COMPUTED_VALUE"""),"BLACK")</f>
        <v>BLACK</v>
      </c>
      <c r="G7169" s="20" t="str">
        <f>IFERROR(__xludf.DUMMYFUNCTION("""COMPUTED_VALUE"""),"Uncle Sams Cider (11/12/2021) 02")</f>
        <v>Uncle Sams Cider (11/12/2021) 02</v>
      </c>
      <c r="H7169" s="19"/>
    </row>
    <row r="7170">
      <c r="A7170" s="9"/>
      <c r="B7170" s="15"/>
      <c r="C7170" s="9">
        <f>IFERROR(__xludf.DUMMYFUNCTION("""COMPUTED_VALUE"""),44529.8310168518)</f>
        <v>44529.83102</v>
      </c>
      <c r="D7170" s="15">
        <f>IFERROR(__xludf.DUMMYFUNCTION("""COMPUTED_VALUE"""),1.04)</f>
        <v>1.04</v>
      </c>
      <c r="E7170" s="16">
        <f>IFERROR(__xludf.DUMMYFUNCTION("""COMPUTED_VALUE"""),64.0)</f>
        <v>64</v>
      </c>
      <c r="F7170" s="19" t="str">
        <f>IFERROR(__xludf.DUMMYFUNCTION("""COMPUTED_VALUE"""),"BLACK")</f>
        <v>BLACK</v>
      </c>
      <c r="G7170" s="20" t="str">
        <f>IFERROR(__xludf.DUMMYFUNCTION("""COMPUTED_VALUE"""),"Uncle Sams Cider (11/12/2021) 02")</f>
        <v>Uncle Sams Cider (11/12/2021) 02</v>
      </c>
      <c r="H7170" s="19"/>
    </row>
    <row r="7171">
      <c r="A7171" s="9"/>
      <c r="B7171" s="15"/>
      <c r="C7171" s="9">
        <f>IFERROR(__xludf.DUMMYFUNCTION("""COMPUTED_VALUE"""),44529.8205963194)</f>
        <v>44529.8206</v>
      </c>
      <c r="D7171" s="15">
        <f>IFERROR(__xludf.DUMMYFUNCTION("""COMPUTED_VALUE"""),1.04)</f>
        <v>1.04</v>
      </c>
      <c r="E7171" s="16">
        <f>IFERROR(__xludf.DUMMYFUNCTION("""COMPUTED_VALUE"""),64.0)</f>
        <v>64</v>
      </c>
      <c r="F7171" s="19" t="str">
        <f>IFERROR(__xludf.DUMMYFUNCTION("""COMPUTED_VALUE"""),"BLACK")</f>
        <v>BLACK</v>
      </c>
      <c r="G7171" s="20" t="str">
        <f>IFERROR(__xludf.DUMMYFUNCTION("""COMPUTED_VALUE"""),"Uncle Sams Cider (11/12/2021) 02")</f>
        <v>Uncle Sams Cider (11/12/2021) 02</v>
      </c>
      <c r="H7171" s="19"/>
    </row>
    <row r="7172">
      <c r="A7172" s="9"/>
      <c r="B7172" s="15"/>
      <c r="C7172" s="9">
        <f>IFERROR(__xludf.DUMMYFUNCTION("""COMPUTED_VALUE"""),44529.8101753472)</f>
        <v>44529.81018</v>
      </c>
      <c r="D7172" s="15">
        <f>IFERROR(__xludf.DUMMYFUNCTION("""COMPUTED_VALUE"""),1.04)</f>
        <v>1.04</v>
      </c>
      <c r="E7172" s="16">
        <f>IFERROR(__xludf.DUMMYFUNCTION("""COMPUTED_VALUE"""),64.0)</f>
        <v>64</v>
      </c>
      <c r="F7172" s="19" t="str">
        <f>IFERROR(__xludf.DUMMYFUNCTION("""COMPUTED_VALUE"""),"BLACK")</f>
        <v>BLACK</v>
      </c>
      <c r="G7172" s="20" t="str">
        <f>IFERROR(__xludf.DUMMYFUNCTION("""COMPUTED_VALUE"""),"Uncle Sams Cider (11/12/2021) 02")</f>
        <v>Uncle Sams Cider (11/12/2021) 02</v>
      </c>
      <c r="H7172" s="19"/>
    </row>
    <row r="7173">
      <c r="A7173" s="9"/>
      <c r="B7173" s="15"/>
      <c r="C7173" s="9">
        <f>IFERROR(__xludf.DUMMYFUNCTION("""COMPUTED_VALUE"""),44529.799754074)</f>
        <v>44529.79975</v>
      </c>
      <c r="D7173" s="15">
        <f>IFERROR(__xludf.DUMMYFUNCTION("""COMPUTED_VALUE"""),1.039)</f>
        <v>1.039</v>
      </c>
      <c r="E7173" s="16">
        <f>IFERROR(__xludf.DUMMYFUNCTION("""COMPUTED_VALUE"""),64.0)</f>
        <v>64</v>
      </c>
      <c r="F7173" s="19" t="str">
        <f>IFERROR(__xludf.DUMMYFUNCTION("""COMPUTED_VALUE"""),"BLACK")</f>
        <v>BLACK</v>
      </c>
      <c r="G7173" s="20" t="str">
        <f>IFERROR(__xludf.DUMMYFUNCTION("""COMPUTED_VALUE"""),"Uncle Sams Cider (11/12/2021) 02")</f>
        <v>Uncle Sams Cider (11/12/2021) 02</v>
      </c>
      <c r="H7173" s="19"/>
    </row>
    <row r="7174">
      <c r="A7174" s="9"/>
      <c r="B7174" s="15"/>
      <c r="C7174" s="9">
        <f>IFERROR(__xludf.DUMMYFUNCTION("""COMPUTED_VALUE"""),44529.7893331597)</f>
        <v>44529.78933</v>
      </c>
      <c r="D7174" s="15">
        <f>IFERROR(__xludf.DUMMYFUNCTION("""COMPUTED_VALUE"""),1.039)</f>
        <v>1.039</v>
      </c>
      <c r="E7174" s="16">
        <f>IFERROR(__xludf.DUMMYFUNCTION("""COMPUTED_VALUE"""),64.0)</f>
        <v>64</v>
      </c>
      <c r="F7174" s="19" t="str">
        <f>IFERROR(__xludf.DUMMYFUNCTION("""COMPUTED_VALUE"""),"BLACK")</f>
        <v>BLACK</v>
      </c>
      <c r="G7174" s="20" t="str">
        <f>IFERROR(__xludf.DUMMYFUNCTION("""COMPUTED_VALUE"""),"Uncle Sams Cider (11/12/2021) 02")</f>
        <v>Uncle Sams Cider (11/12/2021) 02</v>
      </c>
      <c r="H7174" s="19"/>
    </row>
    <row r="7175">
      <c r="A7175" s="9"/>
      <c r="B7175" s="15"/>
      <c r="C7175" s="9">
        <f>IFERROR(__xludf.DUMMYFUNCTION("""COMPUTED_VALUE"""),44529.7789125925)</f>
        <v>44529.77891</v>
      </c>
      <c r="D7175" s="15">
        <f>IFERROR(__xludf.DUMMYFUNCTION("""COMPUTED_VALUE"""),1.039)</f>
        <v>1.039</v>
      </c>
      <c r="E7175" s="16">
        <f>IFERROR(__xludf.DUMMYFUNCTION("""COMPUTED_VALUE"""),64.0)</f>
        <v>64</v>
      </c>
      <c r="F7175" s="19" t="str">
        <f>IFERROR(__xludf.DUMMYFUNCTION("""COMPUTED_VALUE"""),"BLACK")</f>
        <v>BLACK</v>
      </c>
      <c r="G7175" s="20" t="str">
        <f>IFERROR(__xludf.DUMMYFUNCTION("""COMPUTED_VALUE"""),"Uncle Sams Cider (11/12/2021) 02")</f>
        <v>Uncle Sams Cider (11/12/2021) 02</v>
      </c>
      <c r="H7175" s="19"/>
    </row>
    <row r="7176">
      <c r="A7176" s="9"/>
      <c r="B7176" s="15"/>
      <c r="C7176" s="9">
        <f>IFERROR(__xludf.DUMMYFUNCTION("""COMPUTED_VALUE"""),44529.7684907291)</f>
        <v>44529.76849</v>
      </c>
      <c r="D7176" s="15">
        <f>IFERROR(__xludf.DUMMYFUNCTION("""COMPUTED_VALUE"""),1.039)</f>
        <v>1.039</v>
      </c>
      <c r="E7176" s="16">
        <f>IFERROR(__xludf.DUMMYFUNCTION("""COMPUTED_VALUE"""),64.0)</f>
        <v>64</v>
      </c>
      <c r="F7176" s="19" t="str">
        <f>IFERROR(__xludf.DUMMYFUNCTION("""COMPUTED_VALUE"""),"BLACK")</f>
        <v>BLACK</v>
      </c>
      <c r="G7176" s="20" t="str">
        <f>IFERROR(__xludf.DUMMYFUNCTION("""COMPUTED_VALUE"""),"Uncle Sams Cider (11/12/2021) 02")</f>
        <v>Uncle Sams Cider (11/12/2021) 02</v>
      </c>
      <c r="H7176" s="19"/>
    </row>
    <row r="7177">
      <c r="A7177" s="9"/>
      <c r="B7177" s="15"/>
      <c r="C7177" s="9">
        <f>IFERROR(__xludf.DUMMYFUNCTION("""COMPUTED_VALUE"""),44529.7580693055)</f>
        <v>44529.75807</v>
      </c>
      <c r="D7177" s="15">
        <f>IFERROR(__xludf.DUMMYFUNCTION("""COMPUTED_VALUE"""),1.039)</f>
        <v>1.039</v>
      </c>
      <c r="E7177" s="16">
        <f>IFERROR(__xludf.DUMMYFUNCTION("""COMPUTED_VALUE"""),64.0)</f>
        <v>64</v>
      </c>
      <c r="F7177" s="19" t="str">
        <f>IFERROR(__xludf.DUMMYFUNCTION("""COMPUTED_VALUE"""),"BLACK")</f>
        <v>BLACK</v>
      </c>
      <c r="G7177" s="20" t="str">
        <f>IFERROR(__xludf.DUMMYFUNCTION("""COMPUTED_VALUE"""),"Uncle Sams Cider (11/12/2021) 02")</f>
        <v>Uncle Sams Cider (11/12/2021) 02</v>
      </c>
      <c r="H7177" s="19"/>
    </row>
    <row r="7178">
      <c r="A7178" s="9"/>
      <c r="B7178" s="15"/>
      <c r="C7178" s="9">
        <f>IFERROR(__xludf.DUMMYFUNCTION("""COMPUTED_VALUE"""),44529.7476481944)</f>
        <v>44529.74765</v>
      </c>
      <c r="D7178" s="15">
        <f>IFERROR(__xludf.DUMMYFUNCTION("""COMPUTED_VALUE"""),1.04)</f>
        <v>1.04</v>
      </c>
      <c r="E7178" s="16">
        <f>IFERROR(__xludf.DUMMYFUNCTION("""COMPUTED_VALUE"""),64.0)</f>
        <v>64</v>
      </c>
      <c r="F7178" s="19" t="str">
        <f>IFERROR(__xludf.DUMMYFUNCTION("""COMPUTED_VALUE"""),"BLACK")</f>
        <v>BLACK</v>
      </c>
      <c r="G7178" s="20" t="str">
        <f>IFERROR(__xludf.DUMMYFUNCTION("""COMPUTED_VALUE"""),"Uncle Sams Cider (11/12/2021) 02")</f>
        <v>Uncle Sams Cider (11/12/2021) 02</v>
      </c>
      <c r="H7178" s="19"/>
    </row>
    <row r="7179">
      <c r="A7179" s="9"/>
      <c r="B7179" s="15"/>
      <c r="C7179" s="9">
        <f>IFERROR(__xludf.DUMMYFUNCTION("""COMPUTED_VALUE"""),44529.7372266898)</f>
        <v>44529.73723</v>
      </c>
      <c r="D7179" s="15">
        <f>IFERROR(__xludf.DUMMYFUNCTION("""COMPUTED_VALUE"""),1.04)</f>
        <v>1.04</v>
      </c>
      <c r="E7179" s="16">
        <f>IFERROR(__xludf.DUMMYFUNCTION("""COMPUTED_VALUE"""),64.0)</f>
        <v>64</v>
      </c>
      <c r="F7179" s="19" t="str">
        <f>IFERROR(__xludf.DUMMYFUNCTION("""COMPUTED_VALUE"""),"BLACK")</f>
        <v>BLACK</v>
      </c>
      <c r="G7179" s="20" t="str">
        <f>IFERROR(__xludf.DUMMYFUNCTION("""COMPUTED_VALUE"""),"Uncle Sams Cider (11/12/2021) 02")</f>
        <v>Uncle Sams Cider (11/12/2021) 02</v>
      </c>
      <c r="H7179" s="19"/>
    </row>
    <row r="7180">
      <c r="A7180" s="9"/>
      <c r="B7180" s="15"/>
      <c r="C7180" s="9">
        <f>IFERROR(__xludf.DUMMYFUNCTION("""COMPUTED_VALUE"""),44529.7268090856)</f>
        <v>44529.72681</v>
      </c>
      <c r="D7180" s="15">
        <f>IFERROR(__xludf.DUMMYFUNCTION("""COMPUTED_VALUE"""),1.04)</f>
        <v>1.04</v>
      </c>
      <c r="E7180" s="16">
        <f>IFERROR(__xludf.DUMMYFUNCTION("""COMPUTED_VALUE"""),64.0)</f>
        <v>64</v>
      </c>
      <c r="F7180" s="19" t="str">
        <f>IFERROR(__xludf.DUMMYFUNCTION("""COMPUTED_VALUE"""),"BLACK")</f>
        <v>BLACK</v>
      </c>
      <c r="G7180" s="20" t="str">
        <f>IFERROR(__xludf.DUMMYFUNCTION("""COMPUTED_VALUE"""),"Uncle Sams Cider (11/12/2021) 02")</f>
        <v>Uncle Sams Cider (11/12/2021) 02</v>
      </c>
      <c r="H7180" s="19"/>
    </row>
    <row r="7181">
      <c r="A7181" s="9"/>
      <c r="B7181" s="15"/>
      <c r="C7181" s="9">
        <f>IFERROR(__xludf.DUMMYFUNCTION("""COMPUTED_VALUE"""),44529.7163762615)</f>
        <v>44529.71638</v>
      </c>
      <c r="D7181" s="15">
        <f>IFERROR(__xludf.DUMMYFUNCTION("""COMPUTED_VALUE"""),1.04)</f>
        <v>1.04</v>
      </c>
      <c r="E7181" s="16">
        <f>IFERROR(__xludf.DUMMYFUNCTION("""COMPUTED_VALUE"""),64.0)</f>
        <v>64</v>
      </c>
      <c r="F7181" s="19" t="str">
        <f>IFERROR(__xludf.DUMMYFUNCTION("""COMPUTED_VALUE"""),"BLACK")</f>
        <v>BLACK</v>
      </c>
      <c r="G7181" s="20" t="str">
        <f>IFERROR(__xludf.DUMMYFUNCTION("""COMPUTED_VALUE"""),"Uncle Sams Cider (11/12/2021) 02")</f>
        <v>Uncle Sams Cider (11/12/2021) 02</v>
      </c>
      <c r="H7181" s="19"/>
    </row>
    <row r="7182">
      <c r="A7182" s="9"/>
      <c r="B7182" s="15"/>
      <c r="C7182" s="9">
        <f>IFERROR(__xludf.DUMMYFUNCTION("""COMPUTED_VALUE"""),44529.7059433333)</f>
        <v>44529.70594</v>
      </c>
      <c r="D7182" s="15">
        <f>IFERROR(__xludf.DUMMYFUNCTION("""COMPUTED_VALUE"""),1.04)</f>
        <v>1.04</v>
      </c>
      <c r="E7182" s="16">
        <f>IFERROR(__xludf.DUMMYFUNCTION("""COMPUTED_VALUE"""),64.0)</f>
        <v>64</v>
      </c>
      <c r="F7182" s="19" t="str">
        <f>IFERROR(__xludf.DUMMYFUNCTION("""COMPUTED_VALUE"""),"BLACK")</f>
        <v>BLACK</v>
      </c>
      <c r="G7182" s="20" t="str">
        <f>IFERROR(__xludf.DUMMYFUNCTION("""COMPUTED_VALUE"""),"Uncle Sams Cider (11/12/2021) 02")</f>
        <v>Uncle Sams Cider (11/12/2021) 02</v>
      </c>
      <c r="H7182" s="19"/>
    </row>
    <row r="7183">
      <c r="A7183" s="9"/>
      <c r="B7183" s="15"/>
      <c r="C7183" s="9">
        <f>IFERROR(__xludf.DUMMYFUNCTION("""COMPUTED_VALUE"""),44529.6955223032)</f>
        <v>44529.69552</v>
      </c>
      <c r="D7183" s="15">
        <f>IFERROR(__xludf.DUMMYFUNCTION("""COMPUTED_VALUE"""),1.04)</f>
        <v>1.04</v>
      </c>
      <c r="E7183" s="16">
        <f>IFERROR(__xludf.DUMMYFUNCTION("""COMPUTED_VALUE"""),64.0)</f>
        <v>64</v>
      </c>
      <c r="F7183" s="19" t="str">
        <f>IFERROR(__xludf.DUMMYFUNCTION("""COMPUTED_VALUE"""),"BLACK")</f>
        <v>BLACK</v>
      </c>
      <c r="G7183" s="20" t="str">
        <f>IFERROR(__xludf.DUMMYFUNCTION("""COMPUTED_VALUE"""),"Uncle Sams Cider (11/12/2021) 02")</f>
        <v>Uncle Sams Cider (11/12/2021) 02</v>
      </c>
      <c r="H7183" s="19"/>
    </row>
    <row r="7184">
      <c r="A7184" s="9"/>
      <c r="B7184" s="15"/>
      <c r="C7184" s="9">
        <f>IFERROR(__xludf.DUMMYFUNCTION("""COMPUTED_VALUE"""),44529.6850895601)</f>
        <v>44529.68509</v>
      </c>
      <c r="D7184" s="15">
        <f>IFERROR(__xludf.DUMMYFUNCTION("""COMPUTED_VALUE"""),1.04)</f>
        <v>1.04</v>
      </c>
      <c r="E7184" s="16">
        <f>IFERROR(__xludf.DUMMYFUNCTION("""COMPUTED_VALUE"""),64.0)</f>
        <v>64</v>
      </c>
      <c r="F7184" s="19" t="str">
        <f>IFERROR(__xludf.DUMMYFUNCTION("""COMPUTED_VALUE"""),"BLACK")</f>
        <v>BLACK</v>
      </c>
      <c r="G7184" s="20" t="str">
        <f>IFERROR(__xludf.DUMMYFUNCTION("""COMPUTED_VALUE"""),"Uncle Sams Cider (11/12/2021) 02")</f>
        <v>Uncle Sams Cider (11/12/2021) 02</v>
      </c>
      <c r="H7184" s="19"/>
    </row>
    <row r="7185">
      <c r="A7185" s="9"/>
      <c r="B7185" s="15"/>
      <c r="C7185" s="9">
        <f>IFERROR(__xludf.DUMMYFUNCTION("""COMPUTED_VALUE"""),44529.6746689004)</f>
        <v>44529.67467</v>
      </c>
      <c r="D7185" s="15">
        <f>IFERROR(__xludf.DUMMYFUNCTION("""COMPUTED_VALUE"""),1.04)</f>
        <v>1.04</v>
      </c>
      <c r="E7185" s="16">
        <f>IFERROR(__xludf.DUMMYFUNCTION("""COMPUTED_VALUE"""),64.0)</f>
        <v>64</v>
      </c>
      <c r="F7185" s="19" t="str">
        <f>IFERROR(__xludf.DUMMYFUNCTION("""COMPUTED_VALUE"""),"BLACK")</f>
        <v>BLACK</v>
      </c>
      <c r="G7185" s="20" t="str">
        <f>IFERROR(__xludf.DUMMYFUNCTION("""COMPUTED_VALUE"""),"Uncle Sams Cider (11/12/2021) 02")</f>
        <v>Uncle Sams Cider (11/12/2021) 02</v>
      </c>
      <c r="H7185" s="19"/>
    </row>
    <row r="7186">
      <c r="A7186" s="9"/>
      <c r="B7186" s="15"/>
      <c r="C7186" s="9">
        <f>IFERROR(__xludf.DUMMYFUNCTION("""COMPUTED_VALUE"""),44529.6642474768)</f>
        <v>44529.66425</v>
      </c>
      <c r="D7186" s="15">
        <f>IFERROR(__xludf.DUMMYFUNCTION("""COMPUTED_VALUE"""),1.04)</f>
        <v>1.04</v>
      </c>
      <c r="E7186" s="16">
        <f>IFERROR(__xludf.DUMMYFUNCTION("""COMPUTED_VALUE"""),64.0)</f>
        <v>64</v>
      </c>
      <c r="F7186" s="19" t="str">
        <f>IFERROR(__xludf.DUMMYFUNCTION("""COMPUTED_VALUE"""),"BLACK")</f>
        <v>BLACK</v>
      </c>
      <c r="G7186" s="20" t="str">
        <f>IFERROR(__xludf.DUMMYFUNCTION("""COMPUTED_VALUE"""),"Uncle Sams Cider (11/12/2021) 02")</f>
        <v>Uncle Sams Cider (11/12/2021) 02</v>
      </c>
      <c r="H7186" s="19"/>
    </row>
    <row r="7187">
      <c r="A7187" s="9"/>
      <c r="B7187" s="15"/>
      <c r="C7187" s="9">
        <f>IFERROR(__xludf.DUMMYFUNCTION("""COMPUTED_VALUE"""),44529.653825706)</f>
        <v>44529.65383</v>
      </c>
      <c r="D7187" s="15">
        <f>IFERROR(__xludf.DUMMYFUNCTION("""COMPUTED_VALUE"""),1.04)</f>
        <v>1.04</v>
      </c>
      <c r="E7187" s="16">
        <f>IFERROR(__xludf.DUMMYFUNCTION("""COMPUTED_VALUE"""),64.0)</f>
        <v>64</v>
      </c>
      <c r="F7187" s="19" t="str">
        <f>IFERROR(__xludf.DUMMYFUNCTION("""COMPUTED_VALUE"""),"BLACK")</f>
        <v>BLACK</v>
      </c>
      <c r="G7187" s="20" t="str">
        <f>IFERROR(__xludf.DUMMYFUNCTION("""COMPUTED_VALUE"""),"Uncle Sams Cider (11/12/2021) 02")</f>
        <v>Uncle Sams Cider (11/12/2021) 02</v>
      </c>
      <c r="H7187" s="19"/>
    </row>
    <row r="7188">
      <c r="A7188" s="9"/>
      <c r="B7188" s="15"/>
      <c r="C7188" s="9">
        <f>IFERROR(__xludf.DUMMYFUNCTION("""COMPUTED_VALUE"""),44529.6433927546)</f>
        <v>44529.64339</v>
      </c>
      <c r="D7188" s="15">
        <f>IFERROR(__xludf.DUMMYFUNCTION("""COMPUTED_VALUE"""),1.04)</f>
        <v>1.04</v>
      </c>
      <c r="E7188" s="16">
        <f>IFERROR(__xludf.DUMMYFUNCTION("""COMPUTED_VALUE"""),64.0)</f>
        <v>64</v>
      </c>
      <c r="F7188" s="19" t="str">
        <f>IFERROR(__xludf.DUMMYFUNCTION("""COMPUTED_VALUE"""),"BLACK")</f>
        <v>BLACK</v>
      </c>
      <c r="G7188" s="20" t="str">
        <f>IFERROR(__xludf.DUMMYFUNCTION("""COMPUTED_VALUE"""),"Uncle Sams Cider (11/12/2021) 02")</f>
        <v>Uncle Sams Cider (11/12/2021) 02</v>
      </c>
      <c r="H7188" s="19"/>
    </row>
    <row r="7189">
      <c r="A7189" s="9"/>
      <c r="B7189" s="15"/>
      <c r="C7189" s="9">
        <f>IFERROR(__xludf.DUMMYFUNCTION("""COMPUTED_VALUE"""),44529.6329707175)</f>
        <v>44529.63297</v>
      </c>
      <c r="D7189" s="15">
        <f>IFERROR(__xludf.DUMMYFUNCTION("""COMPUTED_VALUE"""),1.04)</f>
        <v>1.04</v>
      </c>
      <c r="E7189" s="16">
        <f>IFERROR(__xludf.DUMMYFUNCTION("""COMPUTED_VALUE"""),64.0)</f>
        <v>64</v>
      </c>
      <c r="F7189" s="19" t="str">
        <f>IFERROR(__xludf.DUMMYFUNCTION("""COMPUTED_VALUE"""),"BLACK")</f>
        <v>BLACK</v>
      </c>
      <c r="G7189" s="20" t="str">
        <f>IFERROR(__xludf.DUMMYFUNCTION("""COMPUTED_VALUE"""),"Uncle Sams Cider (11/12/2021) 02")</f>
        <v>Uncle Sams Cider (11/12/2021) 02</v>
      </c>
      <c r="H7189" s="19"/>
    </row>
    <row r="7190">
      <c r="A7190" s="9"/>
      <c r="B7190" s="15"/>
      <c r="C7190" s="9">
        <f>IFERROR(__xludf.DUMMYFUNCTION("""COMPUTED_VALUE"""),44529.6225495254)</f>
        <v>44529.62255</v>
      </c>
      <c r="D7190" s="15">
        <f>IFERROR(__xludf.DUMMYFUNCTION("""COMPUTED_VALUE"""),1.04)</f>
        <v>1.04</v>
      </c>
      <c r="E7190" s="16">
        <f>IFERROR(__xludf.DUMMYFUNCTION("""COMPUTED_VALUE"""),64.0)</f>
        <v>64</v>
      </c>
      <c r="F7190" s="19" t="str">
        <f>IFERROR(__xludf.DUMMYFUNCTION("""COMPUTED_VALUE"""),"BLACK")</f>
        <v>BLACK</v>
      </c>
      <c r="G7190" s="20" t="str">
        <f>IFERROR(__xludf.DUMMYFUNCTION("""COMPUTED_VALUE"""),"Uncle Sams Cider (11/12/2021) 02")</f>
        <v>Uncle Sams Cider (11/12/2021) 02</v>
      </c>
      <c r="H7190" s="19"/>
    </row>
    <row r="7191">
      <c r="A7191" s="9"/>
      <c r="B7191" s="15"/>
      <c r="C7191" s="9">
        <f>IFERROR(__xludf.DUMMYFUNCTION("""COMPUTED_VALUE"""),44529.6121307638)</f>
        <v>44529.61213</v>
      </c>
      <c r="D7191" s="15">
        <f>IFERROR(__xludf.DUMMYFUNCTION("""COMPUTED_VALUE"""),1.04)</f>
        <v>1.04</v>
      </c>
      <c r="E7191" s="16">
        <f>IFERROR(__xludf.DUMMYFUNCTION("""COMPUTED_VALUE"""),64.0)</f>
        <v>64</v>
      </c>
      <c r="F7191" s="19" t="str">
        <f>IFERROR(__xludf.DUMMYFUNCTION("""COMPUTED_VALUE"""),"BLACK")</f>
        <v>BLACK</v>
      </c>
      <c r="G7191" s="20" t="str">
        <f>IFERROR(__xludf.DUMMYFUNCTION("""COMPUTED_VALUE"""),"Uncle Sams Cider (11/12/2021) 02")</f>
        <v>Uncle Sams Cider (11/12/2021) 02</v>
      </c>
      <c r="H7191" s="19"/>
    </row>
    <row r="7192">
      <c r="A7192" s="9"/>
      <c r="B7192" s="15"/>
      <c r="C7192" s="9">
        <f>IFERROR(__xludf.DUMMYFUNCTION("""COMPUTED_VALUE"""),44529.6017120023)</f>
        <v>44529.60171</v>
      </c>
      <c r="D7192" s="15">
        <f>IFERROR(__xludf.DUMMYFUNCTION("""COMPUTED_VALUE"""),1.04)</f>
        <v>1.04</v>
      </c>
      <c r="E7192" s="16">
        <f>IFERROR(__xludf.DUMMYFUNCTION("""COMPUTED_VALUE"""),64.0)</f>
        <v>64</v>
      </c>
      <c r="F7192" s="19" t="str">
        <f>IFERROR(__xludf.DUMMYFUNCTION("""COMPUTED_VALUE"""),"BLACK")</f>
        <v>BLACK</v>
      </c>
      <c r="G7192" s="20" t="str">
        <f>IFERROR(__xludf.DUMMYFUNCTION("""COMPUTED_VALUE"""),"Uncle Sams Cider (11/12/2021) 02")</f>
        <v>Uncle Sams Cider (11/12/2021) 02</v>
      </c>
      <c r="H7192" s="19"/>
    </row>
    <row r="7193">
      <c r="A7193" s="9"/>
      <c r="B7193" s="15"/>
      <c r="C7193" s="9">
        <f>IFERROR(__xludf.DUMMYFUNCTION("""COMPUTED_VALUE"""),44529.5912916782)</f>
        <v>44529.59129</v>
      </c>
      <c r="D7193" s="15">
        <f>IFERROR(__xludf.DUMMYFUNCTION("""COMPUTED_VALUE"""),1.04)</f>
        <v>1.04</v>
      </c>
      <c r="E7193" s="16">
        <f>IFERROR(__xludf.DUMMYFUNCTION("""COMPUTED_VALUE"""),64.0)</f>
        <v>64</v>
      </c>
      <c r="F7193" s="19" t="str">
        <f>IFERROR(__xludf.DUMMYFUNCTION("""COMPUTED_VALUE"""),"BLACK")</f>
        <v>BLACK</v>
      </c>
      <c r="G7193" s="20" t="str">
        <f>IFERROR(__xludf.DUMMYFUNCTION("""COMPUTED_VALUE"""),"Uncle Sams Cider (11/12/2021) 02")</f>
        <v>Uncle Sams Cider (11/12/2021) 02</v>
      </c>
      <c r="H7193" s="19"/>
    </row>
    <row r="7194">
      <c r="A7194" s="9"/>
      <c r="B7194" s="15"/>
      <c r="C7194" s="9">
        <f>IFERROR(__xludf.DUMMYFUNCTION("""COMPUTED_VALUE"""),44529.5808591435)</f>
        <v>44529.58086</v>
      </c>
      <c r="D7194" s="15">
        <f>IFERROR(__xludf.DUMMYFUNCTION("""COMPUTED_VALUE"""),1.04)</f>
        <v>1.04</v>
      </c>
      <c r="E7194" s="16">
        <f>IFERROR(__xludf.DUMMYFUNCTION("""COMPUTED_VALUE"""),64.0)</f>
        <v>64</v>
      </c>
      <c r="F7194" s="19" t="str">
        <f>IFERROR(__xludf.DUMMYFUNCTION("""COMPUTED_VALUE"""),"BLACK")</f>
        <v>BLACK</v>
      </c>
      <c r="G7194" s="20" t="str">
        <f>IFERROR(__xludf.DUMMYFUNCTION("""COMPUTED_VALUE"""),"Uncle Sams Cider (11/12/2021) 02")</f>
        <v>Uncle Sams Cider (11/12/2021) 02</v>
      </c>
      <c r="H7194" s="19"/>
    </row>
    <row r="7195">
      <c r="A7195" s="9"/>
      <c r="B7195" s="15"/>
      <c r="C7195" s="9">
        <f>IFERROR(__xludf.DUMMYFUNCTION("""COMPUTED_VALUE"""),44529.5704363888)</f>
        <v>44529.57044</v>
      </c>
      <c r="D7195" s="15">
        <f>IFERROR(__xludf.DUMMYFUNCTION("""COMPUTED_VALUE"""),1.04)</f>
        <v>1.04</v>
      </c>
      <c r="E7195" s="16">
        <f>IFERROR(__xludf.DUMMYFUNCTION("""COMPUTED_VALUE"""),64.0)</f>
        <v>64</v>
      </c>
      <c r="F7195" s="19" t="str">
        <f>IFERROR(__xludf.DUMMYFUNCTION("""COMPUTED_VALUE"""),"BLACK")</f>
        <v>BLACK</v>
      </c>
      <c r="G7195" s="20" t="str">
        <f>IFERROR(__xludf.DUMMYFUNCTION("""COMPUTED_VALUE"""),"Uncle Sams Cider (11/12/2021) 02")</f>
        <v>Uncle Sams Cider (11/12/2021) 02</v>
      </c>
      <c r="H7195" s="19"/>
    </row>
    <row r="7196">
      <c r="A7196" s="9"/>
      <c r="B7196" s="15"/>
      <c r="C7196" s="9">
        <f>IFERROR(__xludf.DUMMYFUNCTION("""COMPUTED_VALUE"""),44529.5600027314)</f>
        <v>44529.56</v>
      </c>
      <c r="D7196" s="15">
        <f>IFERROR(__xludf.DUMMYFUNCTION("""COMPUTED_VALUE"""),1.04)</f>
        <v>1.04</v>
      </c>
      <c r="E7196" s="16">
        <f>IFERROR(__xludf.DUMMYFUNCTION("""COMPUTED_VALUE"""),64.0)</f>
        <v>64</v>
      </c>
      <c r="F7196" s="19" t="str">
        <f>IFERROR(__xludf.DUMMYFUNCTION("""COMPUTED_VALUE"""),"BLACK")</f>
        <v>BLACK</v>
      </c>
      <c r="G7196" s="20" t="str">
        <f>IFERROR(__xludf.DUMMYFUNCTION("""COMPUTED_VALUE"""),"Uncle Sams Cider (11/12/2021) 02")</f>
        <v>Uncle Sams Cider (11/12/2021) 02</v>
      </c>
      <c r="H7196" s="19"/>
    </row>
    <row r="7197">
      <c r="A7197" s="9"/>
      <c r="B7197" s="15"/>
      <c r="C7197" s="9">
        <f>IFERROR(__xludf.DUMMYFUNCTION("""COMPUTED_VALUE"""),44529.5495822222)</f>
        <v>44529.54958</v>
      </c>
      <c r="D7197" s="15">
        <f>IFERROR(__xludf.DUMMYFUNCTION("""COMPUTED_VALUE"""),1.04)</f>
        <v>1.04</v>
      </c>
      <c r="E7197" s="16">
        <f>IFERROR(__xludf.DUMMYFUNCTION("""COMPUTED_VALUE"""),64.0)</f>
        <v>64</v>
      </c>
      <c r="F7197" s="19" t="str">
        <f>IFERROR(__xludf.DUMMYFUNCTION("""COMPUTED_VALUE"""),"BLACK")</f>
        <v>BLACK</v>
      </c>
      <c r="G7197" s="20" t="str">
        <f>IFERROR(__xludf.DUMMYFUNCTION("""COMPUTED_VALUE"""),"Uncle Sams Cider (11/12/2021) 02")</f>
        <v>Uncle Sams Cider (11/12/2021) 02</v>
      </c>
      <c r="H7197" s="19"/>
    </row>
    <row r="7198">
      <c r="A7198" s="9"/>
      <c r="B7198" s="15"/>
      <c r="C7198" s="9">
        <f>IFERROR(__xludf.DUMMYFUNCTION("""COMPUTED_VALUE"""),44529.5391618287)</f>
        <v>44529.53916</v>
      </c>
      <c r="D7198" s="15">
        <f>IFERROR(__xludf.DUMMYFUNCTION("""COMPUTED_VALUE"""),1.04)</f>
        <v>1.04</v>
      </c>
      <c r="E7198" s="16">
        <f>IFERROR(__xludf.DUMMYFUNCTION("""COMPUTED_VALUE"""),64.0)</f>
        <v>64</v>
      </c>
      <c r="F7198" s="19" t="str">
        <f>IFERROR(__xludf.DUMMYFUNCTION("""COMPUTED_VALUE"""),"BLACK")</f>
        <v>BLACK</v>
      </c>
      <c r="G7198" s="20" t="str">
        <f>IFERROR(__xludf.DUMMYFUNCTION("""COMPUTED_VALUE"""),"Uncle Sams Cider (11/12/2021) 02")</f>
        <v>Uncle Sams Cider (11/12/2021) 02</v>
      </c>
      <c r="H7198" s="19"/>
    </row>
    <row r="7199">
      <c r="A7199" s="9"/>
      <c r="B7199" s="15"/>
      <c r="C7199" s="9">
        <f>IFERROR(__xludf.DUMMYFUNCTION("""COMPUTED_VALUE"""),44529.5287406944)</f>
        <v>44529.52874</v>
      </c>
      <c r="D7199" s="15">
        <f>IFERROR(__xludf.DUMMYFUNCTION("""COMPUTED_VALUE"""),1.04)</f>
        <v>1.04</v>
      </c>
      <c r="E7199" s="16">
        <f>IFERROR(__xludf.DUMMYFUNCTION("""COMPUTED_VALUE"""),64.0)</f>
        <v>64</v>
      </c>
      <c r="F7199" s="19" t="str">
        <f>IFERROR(__xludf.DUMMYFUNCTION("""COMPUTED_VALUE"""),"BLACK")</f>
        <v>BLACK</v>
      </c>
      <c r="G7199" s="20" t="str">
        <f>IFERROR(__xludf.DUMMYFUNCTION("""COMPUTED_VALUE"""),"Uncle Sams Cider (11/12/2021) 02")</f>
        <v>Uncle Sams Cider (11/12/2021) 02</v>
      </c>
      <c r="H7199" s="19"/>
    </row>
    <row r="7200">
      <c r="A7200" s="9"/>
      <c r="B7200" s="15"/>
      <c r="C7200" s="9">
        <f>IFERROR(__xludf.DUMMYFUNCTION("""COMPUTED_VALUE"""),44529.5183182407)</f>
        <v>44529.51832</v>
      </c>
      <c r="D7200" s="15">
        <f>IFERROR(__xludf.DUMMYFUNCTION("""COMPUTED_VALUE"""),1.04)</f>
        <v>1.04</v>
      </c>
      <c r="E7200" s="16">
        <f>IFERROR(__xludf.DUMMYFUNCTION("""COMPUTED_VALUE"""),64.0)</f>
        <v>64</v>
      </c>
      <c r="F7200" s="19" t="str">
        <f>IFERROR(__xludf.DUMMYFUNCTION("""COMPUTED_VALUE"""),"BLACK")</f>
        <v>BLACK</v>
      </c>
      <c r="G7200" s="20" t="str">
        <f>IFERROR(__xludf.DUMMYFUNCTION("""COMPUTED_VALUE"""),"Uncle Sams Cider (11/12/2021) 02")</f>
        <v>Uncle Sams Cider (11/12/2021) 02</v>
      </c>
      <c r="H7200" s="19"/>
    </row>
    <row r="7201">
      <c r="A7201" s="9"/>
      <c r="B7201" s="15"/>
      <c r="C7201" s="9">
        <f>IFERROR(__xludf.DUMMYFUNCTION("""COMPUTED_VALUE"""),44529.5078959837)</f>
        <v>44529.5079</v>
      </c>
      <c r="D7201" s="15">
        <f>IFERROR(__xludf.DUMMYFUNCTION("""COMPUTED_VALUE"""),1.04)</f>
        <v>1.04</v>
      </c>
      <c r="E7201" s="16">
        <f>IFERROR(__xludf.DUMMYFUNCTION("""COMPUTED_VALUE"""),64.0)</f>
        <v>64</v>
      </c>
      <c r="F7201" s="19" t="str">
        <f>IFERROR(__xludf.DUMMYFUNCTION("""COMPUTED_VALUE"""),"BLACK")</f>
        <v>BLACK</v>
      </c>
      <c r="G7201" s="20" t="str">
        <f>IFERROR(__xludf.DUMMYFUNCTION("""COMPUTED_VALUE"""),"Uncle Sams Cider (11/12/2021) 02")</f>
        <v>Uncle Sams Cider (11/12/2021) 02</v>
      </c>
      <c r="H7201" s="19"/>
    </row>
    <row r="7202">
      <c r="A7202" s="9"/>
      <c r="B7202" s="15"/>
      <c r="C7202" s="9">
        <f>IFERROR(__xludf.DUMMYFUNCTION("""COMPUTED_VALUE"""),44529.4974738657)</f>
        <v>44529.49747</v>
      </c>
      <c r="D7202" s="15">
        <f>IFERROR(__xludf.DUMMYFUNCTION("""COMPUTED_VALUE"""),1.04)</f>
        <v>1.04</v>
      </c>
      <c r="E7202" s="16">
        <f>IFERROR(__xludf.DUMMYFUNCTION("""COMPUTED_VALUE"""),64.0)</f>
        <v>64</v>
      </c>
      <c r="F7202" s="19" t="str">
        <f>IFERROR(__xludf.DUMMYFUNCTION("""COMPUTED_VALUE"""),"BLACK")</f>
        <v>BLACK</v>
      </c>
      <c r="G7202" s="20" t="str">
        <f>IFERROR(__xludf.DUMMYFUNCTION("""COMPUTED_VALUE"""),"Uncle Sams Cider (11/12/2021) 02")</f>
        <v>Uncle Sams Cider (11/12/2021) 02</v>
      </c>
      <c r="H7202" s="19"/>
    </row>
    <row r="7203">
      <c r="A7203" s="9"/>
      <c r="B7203" s="15"/>
      <c r="C7203" s="9">
        <f>IFERROR(__xludf.DUMMYFUNCTION("""COMPUTED_VALUE"""),44529.4870531712)</f>
        <v>44529.48705</v>
      </c>
      <c r="D7203" s="15">
        <f>IFERROR(__xludf.DUMMYFUNCTION("""COMPUTED_VALUE"""),1.04)</f>
        <v>1.04</v>
      </c>
      <c r="E7203" s="16">
        <f>IFERROR(__xludf.DUMMYFUNCTION("""COMPUTED_VALUE"""),64.0)</f>
        <v>64</v>
      </c>
      <c r="F7203" s="19" t="str">
        <f>IFERROR(__xludf.DUMMYFUNCTION("""COMPUTED_VALUE"""),"BLACK")</f>
        <v>BLACK</v>
      </c>
      <c r="G7203" s="20" t="str">
        <f>IFERROR(__xludf.DUMMYFUNCTION("""COMPUTED_VALUE"""),"Uncle Sams Cider (11/12/2021) 02")</f>
        <v>Uncle Sams Cider (11/12/2021) 02</v>
      </c>
      <c r="H7203" s="19"/>
    </row>
    <row r="7204">
      <c r="A7204" s="9"/>
      <c r="B7204" s="15"/>
      <c r="C7204" s="9">
        <f>IFERROR(__xludf.DUMMYFUNCTION("""COMPUTED_VALUE"""),44529.4766314699)</f>
        <v>44529.47663</v>
      </c>
      <c r="D7204" s="15">
        <f>IFERROR(__xludf.DUMMYFUNCTION("""COMPUTED_VALUE"""),1.04)</f>
        <v>1.04</v>
      </c>
      <c r="E7204" s="16">
        <f>IFERROR(__xludf.DUMMYFUNCTION("""COMPUTED_VALUE"""),64.0)</f>
        <v>64</v>
      </c>
      <c r="F7204" s="19" t="str">
        <f>IFERROR(__xludf.DUMMYFUNCTION("""COMPUTED_VALUE"""),"BLACK")</f>
        <v>BLACK</v>
      </c>
      <c r="G7204" s="20" t="str">
        <f>IFERROR(__xludf.DUMMYFUNCTION("""COMPUTED_VALUE"""),"Uncle Sams Cider (11/12/2021) 02")</f>
        <v>Uncle Sams Cider (11/12/2021) 02</v>
      </c>
      <c r="H7204" s="19"/>
    </row>
    <row r="7205">
      <c r="A7205" s="9"/>
      <c r="B7205" s="15"/>
      <c r="C7205" s="9">
        <f>IFERROR(__xludf.DUMMYFUNCTION("""COMPUTED_VALUE"""),44529.4662115046)</f>
        <v>44529.46621</v>
      </c>
      <c r="D7205" s="15">
        <f>IFERROR(__xludf.DUMMYFUNCTION("""COMPUTED_VALUE"""),1.04)</f>
        <v>1.04</v>
      </c>
      <c r="E7205" s="16">
        <f>IFERROR(__xludf.DUMMYFUNCTION("""COMPUTED_VALUE"""),64.0)</f>
        <v>64</v>
      </c>
      <c r="F7205" s="19" t="str">
        <f>IFERROR(__xludf.DUMMYFUNCTION("""COMPUTED_VALUE"""),"BLACK")</f>
        <v>BLACK</v>
      </c>
      <c r="G7205" s="20" t="str">
        <f>IFERROR(__xludf.DUMMYFUNCTION("""COMPUTED_VALUE"""),"Uncle Sams Cider (11/12/2021) 02")</f>
        <v>Uncle Sams Cider (11/12/2021) 02</v>
      </c>
      <c r="H7205" s="19"/>
    </row>
    <row r="7206">
      <c r="A7206" s="9"/>
      <c r="B7206" s="15"/>
      <c r="C7206" s="9">
        <f>IFERROR(__xludf.DUMMYFUNCTION("""COMPUTED_VALUE"""),44529.4557903472)</f>
        <v>44529.45579</v>
      </c>
      <c r="D7206" s="15">
        <f>IFERROR(__xludf.DUMMYFUNCTION("""COMPUTED_VALUE"""),1.04)</f>
        <v>1.04</v>
      </c>
      <c r="E7206" s="16">
        <f>IFERROR(__xludf.DUMMYFUNCTION("""COMPUTED_VALUE"""),64.0)</f>
        <v>64</v>
      </c>
      <c r="F7206" s="19" t="str">
        <f>IFERROR(__xludf.DUMMYFUNCTION("""COMPUTED_VALUE"""),"BLACK")</f>
        <v>BLACK</v>
      </c>
      <c r="G7206" s="20" t="str">
        <f>IFERROR(__xludf.DUMMYFUNCTION("""COMPUTED_VALUE"""),"Uncle Sams Cider (11/12/2021) 02")</f>
        <v>Uncle Sams Cider (11/12/2021) 02</v>
      </c>
      <c r="H7206" s="19"/>
    </row>
    <row r="7207">
      <c r="A7207" s="9"/>
      <c r="B7207" s="15"/>
      <c r="C7207" s="9">
        <f>IFERROR(__xludf.DUMMYFUNCTION("""COMPUTED_VALUE"""),44529.4453675)</f>
        <v>44529.44537</v>
      </c>
      <c r="D7207" s="15">
        <f>IFERROR(__xludf.DUMMYFUNCTION("""COMPUTED_VALUE"""),1.04)</f>
        <v>1.04</v>
      </c>
      <c r="E7207" s="16">
        <f>IFERROR(__xludf.DUMMYFUNCTION("""COMPUTED_VALUE"""),64.0)</f>
        <v>64</v>
      </c>
      <c r="F7207" s="19" t="str">
        <f>IFERROR(__xludf.DUMMYFUNCTION("""COMPUTED_VALUE"""),"BLACK")</f>
        <v>BLACK</v>
      </c>
      <c r="G7207" s="20" t="str">
        <f>IFERROR(__xludf.DUMMYFUNCTION("""COMPUTED_VALUE"""),"Uncle Sams Cider (11/12/2021) 02")</f>
        <v>Uncle Sams Cider (11/12/2021) 02</v>
      </c>
      <c r="H7207" s="19"/>
    </row>
    <row r="7208">
      <c r="A7208" s="9"/>
      <c r="B7208" s="15"/>
      <c r="C7208" s="9">
        <f>IFERROR(__xludf.DUMMYFUNCTION("""COMPUTED_VALUE"""),44529.4349239814)</f>
        <v>44529.43492</v>
      </c>
      <c r="D7208" s="15">
        <f>IFERROR(__xludf.DUMMYFUNCTION("""COMPUTED_VALUE"""),1.04)</f>
        <v>1.04</v>
      </c>
      <c r="E7208" s="16">
        <f>IFERROR(__xludf.DUMMYFUNCTION("""COMPUTED_VALUE"""),64.0)</f>
        <v>64</v>
      </c>
      <c r="F7208" s="19" t="str">
        <f>IFERROR(__xludf.DUMMYFUNCTION("""COMPUTED_VALUE"""),"BLACK")</f>
        <v>BLACK</v>
      </c>
      <c r="G7208" s="20" t="str">
        <f>IFERROR(__xludf.DUMMYFUNCTION("""COMPUTED_VALUE"""),"Uncle Sams Cider (11/12/2021) 02")</f>
        <v>Uncle Sams Cider (11/12/2021) 02</v>
      </c>
      <c r="H7208" s="19"/>
    </row>
    <row r="7209">
      <c r="A7209" s="9"/>
      <c r="B7209" s="15"/>
      <c r="C7209" s="9">
        <f>IFERROR(__xludf.DUMMYFUNCTION("""COMPUTED_VALUE"""),44529.4245030208)</f>
        <v>44529.4245</v>
      </c>
      <c r="D7209" s="15">
        <f>IFERROR(__xludf.DUMMYFUNCTION("""COMPUTED_VALUE"""),1.04)</f>
        <v>1.04</v>
      </c>
      <c r="E7209" s="16">
        <f>IFERROR(__xludf.DUMMYFUNCTION("""COMPUTED_VALUE"""),64.0)</f>
        <v>64</v>
      </c>
      <c r="F7209" s="19" t="str">
        <f>IFERROR(__xludf.DUMMYFUNCTION("""COMPUTED_VALUE"""),"BLACK")</f>
        <v>BLACK</v>
      </c>
      <c r="G7209" s="20" t="str">
        <f>IFERROR(__xludf.DUMMYFUNCTION("""COMPUTED_VALUE"""),"Uncle Sams Cider (11/12/2021) 02")</f>
        <v>Uncle Sams Cider (11/12/2021) 02</v>
      </c>
      <c r="H7209" s="19"/>
    </row>
    <row r="7210">
      <c r="A7210" s="9"/>
      <c r="B7210" s="15"/>
      <c r="C7210" s="9">
        <f>IFERROR(__xludf.DUMMYFUNCTION("""COMPUTED_VALUE"""),44529.4140704282)</f>
        <v>44529.41407</v>
      </c>
      <c r="D7210" s="15">
        <f>IFERROR(__xludf.DUMMYFUNCTION("""COMPUTED_VALUE"""),1.04)</f>
        <v>1.04</v>
      </c>
      <c r="E7210" s="16">
        <f>IFERROR(__xludf.DUMMYFUNCTION("""COMPUTED_VALUE"""),64.0)</f>
        <v>64</v>
      </c>
      <c r="F7210" s="19" t="str">
        <f>IFERROR(__xludf.DUMMYFUNCTION("""COMPUTED_VALUE"""),"BLACK")</f>
        <v>BLACK</v>
      </c>
      <c r="G7210" s="20" t="str">
        <f>IFERROR(__xludf.DUMMYFUNCTION("""COMPUTED_VALUE"""),"Uncle Sams Cider (11/12/2021) 02")</f>
        <v>Uncle Sams Cider (11/12/2021) 02</v>
      </c>
      <c r="H7210" s="19"/>
    </row>
    <row r="7211">
      <c r="A7211" s="9"/>
      <c r="B7211" s="15"/>
      <c r="C7211" s="9">
        <f>IFERROR(__xludf.DUMMYFUNCTION("""COMPUTED_VALUE"""),44529.4036498263)</f>
        <v>44529.40365</v>
      </c>
      <c r="D7211" s="15">
        <f>IFERROR(__xludf.DUMMYFUNCTION("""COMPUTED_VALUE"""),1.04)</f>
        <v>1.04</v>
      </c>
      <c r="E7211" s="16">
        <f>IFERROR(__xludf.DUMMYFUNCTION("""COMPUTED_VALUE"""),64.0)</f>
        <v>64</v>
      </c>
      <c r="F7211" s="19" t="str">
        <f>IFERROR(__xludf.DUMMYFUNCTION("""COMPUTED_VALUE"""),"BLACK")</f>
        <v>BLACK</v>
      </c>
      <c r="G7211" s="20" t="str">
        <f>IFERROR(__xludf.DUMMYFUNCTION("""COMPUTED_VALUE"""),"Uncle Sams Cider (11/12/2021) 02")</f>
        <v>Uncle Sams Cider (11/12/2021) 02</v>
      </c>
      <c r="H7211" s="19"/>
    </row>
    <row r="7212">
      <c r="A7212" s="9"/>
      <c r="B7212" s="15"/>
      <c r="C7212" s="9">
        <f>IFERROR(__xludf.DUMMYFUNCTION("""COMPUTED_VALUE"""),44529.3932043402)</f>
        <v>44529.3932</v>
      </c>
      <c r="D7212" s="15">
        <f>IFERROR(__xludf.DUMMYFUNCTION("""COMPUTED_VALUE"""),1.04)</f>
        <v>1.04</v>
      </c>
      <c r="E7212" s="16">
        <f>IFERROR(__xludf.DUMMYFUNCTION("""COMPUTED_VALUE"""),64.0)</f>
        <v>64</v>
      </c>
      <c r="F7212" s="19" t="str">
        <f>IFERROR(__xludf.DUMMYFUNCTION("""COMPUTED_VALUE"""),"BLACK")</f>
        <v>BLACK</v>
      </c>
      <c r="G7212" s="20" t="str">
        <f>IFERROR(__xludf.DUMMYFUNCTION("""COMPUTED_VALUE"""),"Uncle Sams Cider (11/12/2021) 02")</f>
        <v>Uncle Sams Cider (11/12/2021) 02</v>
      </c>
      <c r="H7212" s="19"/>
    </row>
    <row r="7213">
      <c r="A7213" s="9"/>
      <c r="B7213" s="15"/>
      <c r="C7213" s="9">
        <f>IFERROR(__xludf.DUMMYFUNCTION("""COMPUTED_VALUE"""),44529.3827839004)</f>
        <v>44529.38278</v>
      </c>
      <c r="D7213" s="15">
        <f>IFERROR(__xludf.DUMMYFUNCTION("""COMPUTED_VALUE"""),1.04)</f>
        <v>1.04</v>
      </c>
      <c r="E7213" s="16">
        <f>IFERROR(__xludf.DUMMYFUNCTION("""COMPUTED_VALUE"""),64.0)</f>
        <v>64</v>
      </c>
      <c r="F7213" s="19" t="str">
        <f>IFERROR(__xludf.DUMMYFUNCTION("""COMPUTED_VALUE"""),"BLACK")</f>
        <v>BLACK</v>
      </c>
      <c r="G7213" s="20" t="str">
        <f>IFERROR(__xludf.DUMMYFUNCTION("""COMPUTED_VALUE"""),"Uncle Sams Cider (11/12/2021) 02")</f>
        <v>Uncle Sams Cider (11/12/2021) 02</v>
      </c>
      <c r="H7213" s="19"/>
    </row>
    <row r="7214">
      <c r="A7214" s="9"/>
      <c r="B7214" s="15"/>
      <c r="C7214" s="9">
        <f>IFERROR(__xludf.DUMMYFUNCTION("""COMPUTED_VALUE"""),44529.3723633101)</f>
        <v>44529.37236</v>
      </c>
      <c r="D7214" s="15">
        <f>IFERROR(__xludf.DUMMYFUNCTION("""COMPUTED_VALUE"""),1.04)</f>
        <v>1.04</v>
      </c>
      <c r="E7214" s="16">
        <f>IFERROR(__xludf.DUMMYFUNCTION("""COMPUTED_VALUE"""),64.0)</f>
        <v>64</v>
      </c>
      <c r="F7214" s="19" t="str">
        <f>IFERROR(__xludf.DUMMYFUNCTION("""COMPUTED_VALUE"""),"BLACK")</f>
        <v>BLACK</v>
      </c>
      <c r="G7214" s="20" t="str">
        <f>IFERROR(__xludf.DUMMYFUNCTION("""COMPUTED_VALUE"""),"Uncle Sams Cider (11/12/2021) 02")</f>
        <v>Uncle Sams Cider (11/12/2021) 02</v>
      </c>
      <c r="H7214" s="19"/>
    </row>
    <row r="7215">
      <c r="A7215" s="9"/>
      <c r="B7215" s="15"/>
      <c r="C7215" s="9">
        <f>IFERROR(__xludf.DUMMYFUNCTION("""COMPUTED_VALUE"""),44529.3619312847)</f>
        <v>44529.36193</v>
      </c>
      <c r="D7215" s="15">
        <f>IFERROR(__xludf.DUMMYFUNCTION("""COMPUTED_VALUE"""),1.04)</f>
        <v>1.04</v>
      </c>
      <c r="E7215" s="16">
        <f>IFERROR(__xludf.DUMMYFUNCTION("""COMPUTED_VALUE"""),64.0)</f>
        <v>64</v>
      </c>
      <c r="F7215" s="19" t="str">
        <f>IFERROR(__xludf.DUMMYFUNCTION("""COMPUTED_VALUE"""),"BLACK")</f>
        <v>BLACK</v>
      </c>
      <c r="G7215" s="20" t="str">
        <f>IFERROR(__xludf.DUMMYFUNCTION("""COMPUTED_VALUE"""),"Uncle Sams Cider (11/12/2021) 02")</f>
        <v>Uncle Sams Cider (11/12/2021) 02</v>
      </c>
      <c r="H7215" s="19"/>
    </row>
    <row r="7216">
      <c r="A7216" s="9"/>
      <c r="B7216" s="15"/>
      <c r="C7216" s="9">
        <f>IFERROR(__xludf.DUMMYFUNCTION("""COMPUTED_VALUE"""),44529.3515104398)</f>
        <v>44529.35151</v>
      </c>
      <c r="D7216" s="15">
        <f>IFERROR(__xludf.DUMMYFUNCTION("""COMPUTED_VALUE"""),1.04)</f>
        <v>1.04</v>
      </c>
      <c r="E7216" s="16">
        <f>IFERROR(__xludf.DUMMYFUNCTION("""COMPUTED_VALUE"""),64.0)</f>
        <v>64</v>
      </c>
      <c r="F7216" s="19" t="str">
        <f>IFERROR(__xludf.DUMMYFUNCTION("""COMPUTED_VALUE"""),"BLACK")</f>
        <v>BLACK</v>
      </c>
      <c r="G7216" s="20" t="str">
        <f>IFERROR(__xludf.DUMMYFUNCTION("""COMPUTED_VALUE"""),"Uncle Sams Cider (11/12/2021) 02")</f>
        <v>Uncle Sams Cider (11/12/2021) 02</v>
      </c>
      <c r="H7216" s="19"/>
    </row>
    <row r="7217">
      <c r="A7217" s="9"/>
      <c r="B7217" s="15"/>
      <c r="C7217" s="9">
        <f>IFERROR(__xludf.DUMMYFUNCTION("""COMPUTED_VALUE"""),44529.3410892013)</f>
        <v>44529.34109</v>
      </c>
      <c r="D7217" s="15">
        <f>IFERROR(__xludf.DUMMYFUNCTION("""COMPUTED_VALUE"""),1.04)</f>
        <v>1.04</v>
      </c>
      <c r="E7217" s="16">
        <f>IFERROR(__xludf.DUMMYFUNCTION("""COMPUTED_VALUE"""),64.0)</f>
        <v>64</v>
      </c>
      <c r="F7217" s="19" t="str">
        <f>IFERROR(__xludf.DUMMYFUNCTION("""COMPUTED_VALUE"""),"BLACK")</f>
        <v>BLACK</v>
      </c>
      <c r="G7217" s="20" t="str">
        <f>IFERROR(__xludf.DUMMYFUNCTION("""COMPUTED_VALUE"""),"Uncle Sams Cider (11/12/2021) 02")</f>
        <v>Uncle Sams Cider (11/12/2021) 02</v>
      </c>
      <c r="H7217" s="19"/>
    </row>
    <row r="7218">
      <c r="A7218" s="9"/>
      <c r="B7218" s="15"/>
      <c r="C7218" s="9">
        <f>IFERROR(__xludf.DUMMYFUNCTION("""COMPUTED_VALUE"""),44529.3306690856)</f>
        <v>44529.33067</v>
      </c>
      <c r="D7218" s="15">
        <f>IFERROR(__xludf.DUMMYFUNCTION("""COMPUTED_VALUE"""),1.04)</f>
        <v>1.04</v>
      </c>
      <c r="E7218" s="16">
        <f>IFERROR(__xludf.DUMMYFUNCTION("""COMPUTED_VALUE"""),64.0)</f>
        <v>64</v>
      </c>
      <c r="F7218" s="19" t="str">
        <f>IFERROR(__xludf.DUMMYFUNCTION("""COMPUTED_VALUE"""),"BLACK")</f>
        <v>BLACK</v>
      </c>
      <c r="G7218" s="20" t="str">
        <f>IFERROR(__xludf.DUMMYFUNCTION("""COMPUTED_VALUE"""),"Uncle Sams Cider (11/12/2021) 02")</f>
        <v>Uncle Sams Cider (11/12/2021) 02</v>
      </c>
      <c r="H7218" s="19"/>
    </row>
    <row r="7219">
      <c r="A7219" s="9"/>
      <c r="B7219" s="15"/>
      <c r="C7219" s="9">
        <f>IFERROR(__xludf.DUMMYFUNCTION("""COMPUTED_VALUE"""),44529.3202477199)</f>
        <v>44529.32025</v>
      </c>
      <c r="D7219" s="15">
        <f>IFERROR(__xludf.DUMMYFUNCTION("""COMPUTED_VALUE"""),1.04)</f>
        <v>1.04</v>
      </c>
      <c r="E7219" s="16">
        <f>IFERROR(__xludf.DUMMYFUNCTION("""COMPUTED_VALUE"""),64.0)</f>
        <v>64</v>
      </c>
      <c r="F7219" s="19" t="str">
        <f>IFERROR(__xludf.DUMMYFUNCTION("""COMPUTED_VALUE"""),"BLACK")</f>
        <v>BLACK</v>
      </c>
      <c r="G7219" s="20" t="str">
        <f>IFERROR(__xludf.DUMMYFUNCTION("""COMPUTED_VALUE"""),"Uncle Sams Cider (11/12/2021) 02")</f>
        <v>Uncle Sams Cider (11/12/2021) 02</v>
      </c>
      <c r="H7219" s="19"/>
    </row>
    <row r="7220">
      <c r="A7220" s="9"/>
      <c r="B7220" s="15"/>
      <c r="C7220" s="9">
        <f>IFERROR(__xludf.DUMMYFUNCTION("""COMPUTED_VALUE"""),44529.3098262037)</f>
        <v>44529.30983</v>
      </c>
      <c r="D7220" s="15">
        <f>IFERROR(__xludf.DUMMYFUNCTION("""COMPUTED_VALUE"""),1.04)</f>
        <v>1.04</v>
      </c>
      <c r="E7220" s="16">
        <f>IFERROR(__xludf.DUMMYFUNCTION("""COMPUTED_VALUE"""),64.0)</f>
        <v>64</v>
      </c>
      <c r="F7220" s="19" t="str">
        <f>IFERROR(__xludf.DUMMYFUNCTION("""COMPUTED_VALUE"""),"BLACK")</f>
        <v>BLACK</v>
      </c>
      <c r="G7220" s="20" t="str">
        <f>IFERROR(__xludf.DUMMYFUNCTION("""COMPUTED_VALUE"""),"Uncle Sams Cider (11/12/2021) 02")</f>
        <v>Uncle Sams Cider (11/12/2021) 02</v>
      </c>
      <c r="H7220" s="19"/>
    </row>
    <row r="7221">
      <c r="A7221" s="9"/>
      <c r="B7221" s="15"/>
      <c r="C7221" s="9">
        <f>IFERROR(__xludf.DUMMYFUNCTION("""COMPUTED_VALUE"""),44529.2994038194)</f>
        <v>44529.2994</v>
      </c>
      <c r="D7221" s="15">
        <f>IFERROR(__xludf.DUMMYFUNCTION("""COMPUTED_VALUE"""),1.04)</f>
        <v>1.04</v>
      </c>
      <c r="E7221" s="16">
        <f>IFERROR(__xludf.DUMMYFUNCTION("""COMPUTED_VALUE"""),64.0)</f>
        <v>64</v>
      </c>
      <c r="F7221" s="19" t="str">
        <f>IFERROR(__xludf.DUMMYFUNCTION("""COMPUTED_VALUE"""),"BLACK")</f>
        <v>BLACK</v>
      </c>
      <c r="G7221" s="20" t="str">
        <f>IFERROR(__xludf.DUMMYFUNCTION("""COMPUTED_VALUE"""),"Uncle Sams Cider (11/12/2021) 02")</f>
        <v>Uncle Sams Cider (11/12/2021) 02</v>
      </c>
      <c r="H7221" s="19"/>
    </row>
    <row r="7222">
      <c r="A7222" s="9"/>
      <c r="B7222" s="15"/>
      <c r="C7222" s="9">
        <f>IFERROR(__xludf.DUMMYFUNCTION("""COMPUTED_VALUE"""),44529.2889830555)</f>
        <v>44529.28898</v>
      </c>
      <c r="D7222" s="15">
        <f>IFERROR(__xludf.DUMMYFUNCTION("""COMPUTED_VALUE"""),1.04)</f>
        <v>1.04</v>
      </c>
      <c r="E7222" s="16">
        <f>IFERROR(__xludf.DUMMYFUNCTION("""COMPUTED_VALUE"""),64.0)</f>
        <v>64</v>
      </c>
      <c r="F7222" s="19" t="str">
        <f>IFERROR(__xludf.DUMMYFUNCTION("""COMPUTED_VALUE"""),"BLACK")</f>
        <v>BLACK</v>
      </c>
      <c r="G7222" s="20" t="str">
        <f>IFERROR(__xludf.DUMMYFUNCTION("""COMPUTED_VALUE"""),"Uncle Sams Cider (11/12/2021) 02")</f>
        <v>Uncle Sams Cider (11/12/2021) 02</v>
      </c>
      <c r="H7222" s="19"/>
    </row>
    <row r="7223">
      <c r="A7223" s="9"/>
      <c r="B7223" s="15"/>
      <c r="C7223" s="9">
        <f>IFERROR(__xludf.DUMMYFUNCTION("""COMPUTED_VALUE"""),44529.2785501967)</f>
        <v>44529.27855</v>
      </c>
      <c r="D7223" s="15">
        <f>IFERROR(__xludf.DUMMYFUNCTION("""COMPUTED_VALUE"""),1.04)</f>
        <v>1.04</v>
      </c>
      <c r="E7223" s="16">
        <f>IFERROR(__xludf.DUMMYFUNCTION("""COMPUTED_VALUE"""),64.0)</f>
        <v>64</v>
      </c>
      <c r="F7223" s="19" t="str">
        <f>IFERROR(__xludf.DUMMYFUNCTION("""COMPUTED_VALUE"""),"BLACK")</f>
        <v>BLACK</v>
      </c>
      <c r="G7223" s="20" t="str">
        <f>IFERROR(__xludf.DUMMYFUNCTION("""COMPUTED_VALUE"""),"Uncle Sams Cider (11/12/2021) 02")</f>
        <v>Uncle Sams Cider (11/12/2021) 02</v>
      </c>
      <c r="H7223" s="19"/>
    </row>
    <row r="7224">
      <c r="A7224" s="9"/>
      <c r="B7224" s="15"/>
      <c r="C7224" s="9">
        <f>IFERROR(__xludf.DUMMYFUNCTION("""COMPUTED_VALUE"""),44529.268127905)</f>
        <v>44529.26813</v>
      </c>
      <c r="D7224" s="15">
        <f>IFERROR(__xludf.DUMMYFUNCTION("""COMPUTED_VALUE"""),1.04)</f>
        <v>1.04</v>
      </c>
      <c r="E7224" s="16">
        <f>IFERROR(__xludf.DUMMYFUNCTION("""COMPUTED_VALUE"""),64.0)</f>
        <v>64</v>
      </c>
      <c r="F7224" s="19" t="str">
        <f>IFERROR(__xludf.DUMMYFUNCTION("""COMPUTED_VALUE"""),"BLACK")</f>
        <v>BLACK</v>
      </c>
      <c r="G7224" s="20" t="str">
        <f>IFERROR(__xludf.DUMMYFUNCTION("""COMPUTED_VALUE"""),"Uncle Sams Cider (11/12/2021) 02")</f>
        <v>Uncle Sams Cider (11/12/2021) 02</v>
      </c>
      <c r="H7224" s="19"/>
    </row>
    <row r="7225">
      <c r="A7225" s="9"/>
      <c r="B7225" s="15"/>
      <c r="C7225" s="9">
        <f>IFERROR(__xludf.DUMMYFUNCTION("""COMPUTED_VALUE"""),44529.2577045601)</f>
        <v>44529.2577</v>
      </c>
      <c r="D7225" s="15">
        <f>IFERROR(__xludf.DUMMYFUNCTION("""COMPUTED_VALUE"""),1.04)</f>
        <v>1.04</v>
      </c>
      <c r="E7225" s="16">
        <f>IFERROR(__xludf.DUMMYFUNCTION("""COMPUTED_VALUE"""),64.0)</f>
        <v>64</v>
      </c>
      <c r="F7225" s="19" t="str">
        <f>IFERROR(__xludf.DUMMYFUNCTION("""COMPUTED_VALUE"""),"BLACK")</f>
        <v>BLACK</v>
      </c>
      <c r="G7225" s="20" t="str">
        <f>IFERROR(__xludf.DUMMYFUNCTION("""COMPUTED_VALUE"""),"Uncle Sams Cider (11/12/2021) 02")</f>
        <v>Uncle Sams Cider (11/12/2021) 02</v>
      </c>
      <c r="H7225" s="19"/>
    </row>
    <row r="7226">
      <c r="A7226" s="9"/>
      <c r="B7226" s="15"/>
      <c r="C7226" s="9">
        <f>IFERROR(__xludf.DUMMYFUNCTION("""COMPUTED_VALUE"""),44529.2472840277)</f>
        <v>44529.24728</v>
      </c>
      <c r="D7226" s="15">
        <f>IFERROR(__xludf.DUMMYFUNCTION("""COMPUTED_VALUE"""),1.04)</f>
        <v>1.04</v>
      </c>
      <c r="E7226" s="16">
        <f>IFERROR(__xludf.DUMMYFUNCTION("""COMPUTED_VALUE"""),64.0)</f>
        <v>64</v>
      </c>
      <c r="F7226" s="19" t="str">
        <f>IFERROR(__xludf.DUMMYFUNCTION("""COMPUTED_VALUE"""),"BLACK")</f>
        <v>BLACK</v>
      </c>
      <c r="G7226" s="20" t="str">
        <f>IFERROR(__xludf.DUMMYFUNCTION("""COMPUTED_VALUE"""),"Uncle Sams Cider (11/12/2021) 02")</f>
        <v>Uncle Sams Cider (11/12/2021) 02</v>
      </c>
      <c r="H7226" s="19"/>
    </row>
    <row r="7227">
      <c r="A7227" s="9"/>
      <c r="B7227" s="15"/>
      <c r="C7227" s="9">
        <f>IFERROR(__xludf.DUMMYFUNCTION("""COMPUTED_VALUE"""),44529.2368524768)</f>
        <v>44529.23685</v>
      </c>
      <c r="D7227" s="15">
        <f>IFERROR(__xludf.DUMMYFUNCTION("""COMPUTED_VALUE"""),1.04)</f>
        <v>1.04</v>
      </c>
      <c r="E7227" s="16">
        <f>IFERROR(__xludf.DUMMYFUNCTION("""COMPUTED_VALUE"""),64.0)</f>
        <v>64</v>
      </c>
      <c r="F7227" s="19" t="str">
        <f>IFERROR(__xludf.DUMMYFUNCTION("""COMPUTED_VALUE"""),"BLACK")</f>
        <v>BLACK</v>
      </c>
      <c r="G7227" s="20" t="str">
        <f>IFERROR(__xludf.DUMMYFUNCTION("""COMPUTED_VALUE"""),"Uncle Sams Cider (11/12/2021) 02")</f>
        <v>Uncle Sams Cider (11/12/2021) 02</v>
      </c>
      <c r="H7227" s="19"/>
    </row>
    <row r="7228">
      <c r="A7228" s="9"/>
      <c r="B7228" s="15"/>
      <c r="C7228" s="9">
        <f>IFERROR(__xludf.DUMMYFUNCTION("""COMPUTED_VALUE"""),44529.2264315277)</f>
        <v>44529.22643</v>
      </c>
      <c r="D7228" s="15">
        <f>IFERROR(__xludf.DUMMYFUNCTION("""COMPUTED_VALUE"""),1.04)</f>
        <v>1.04</v>
      </c>
      <c r="E7228" s="16">
        <f>IFERROR(__xludf.DUMMYFUNCTION("""COMPUTED_VALUE"""),64.0)</f>
        <v>64</v>
      </c>
      <c r="F7228" s="19" t="str">
        <f>IFERROR(__xludf.DUMMYFUNCTION("""COMPUTED_VALUE"""),"BLACK")</f>
        <v>BLACK</v>
      </c>
      <c r="G7228" s="20" t="str">
        <f>IFERROR(__xludf.DUMMYFUNCTION("""COMPUTED_VALUE"""),"Uncle Sams Cider (11/12/2021) 02")</f>
        <v>Uncle Sams Cider (11/12/2021) 02</v>
      </c>
      <c r="H7228" s="19"/>
    </row>
    <row r="7229">
      <c r="A7229" s="9"/>
      <c r="B7229" s="15"/>
      <c r="C7229" s="9">
        <f>IFERROR(__xludf.DUMMYFUNCTION("""COMPUTED_VALUE"""),44529.2160117245)</f>
        <v>44529.21601</v>
      </c>
      <c r="D7229" s="15">
        <f>IFERROR(__xludf.DUMMYFUNCTION("""COMPUTED_VALUE"""),1.04)</f>
        <v>1.04</v>
      </c>
      <c r="E7229" s="16">
        <f>IFERROR(__xludf.DUMMYFUNCTION("""COMPUTED_VALUE"""),64.0)</f>
        <v>64</v>
      </c>
      <c r="F7229" s="19" t="str">
        <f>IFERROR(__xludf.DUMMYFUNCTION("""COMPUTED_VALUE"""),"BLACK")</f>
        <v>BLACK</v>
      </c>
      <c r="G7229" s="20" t="str">
        <f>IFERROR(__xludf.DUMMYFUNCTION("""COMPUTED_VALUE"""),"Uncle Sams Cider (11/12/2021) 02")</f>
        <v>Uncle Sams Cider (11/12/2021) 02</v>
      </c>
      <c r="H7229" s="19"/>
    </row>
    <row r="7230">
      <c r="A7230" s="9"/>
      <c r="B7230" s="15"/>
      <c r="C7230" s="9">
        <f>IFERROR(__xludf.DUMMYFUNCTION("""COMPUTED_VALUE"""),44529.2055919097)</f>
        <v>44529.20559</v>
      </c>
      <c r="D7230" s="15">
        <f>IFERROR(__xludf.DUMMYFUNCTION("""COMPUTED_VALUE"""),1.04)</f>
        <v>1.04</v>
      </c>
      <c r="E7230" s="16">
        <f>IFERROR(__xludf.DUMMYFUNCTION("""COMPUTED_VALUE"""),64.0)</f>
        <v>64</v>
      </c>
      <c r="F7230" s="19" t="str">
        <f>IFERROR(__xludf.DUMMYFUNCTION("""COMPUTED_VALUE"""),"BLACK")</f>
        <v>BLACK</v>
      </c>
      <c r="G7230" s="20" t="str">
        <f>IFERROR(__xludf.DUMMYFUNCTION("""COMPUTED_VALUE"""),"Uncle Sams Cider (11/12/2021) 02")</f>
        <v>Uncle Sams Cider (11/12/2021) 02</v>
      </c>
      <c r="H7230" s="19"/>
    </row>
    <row r="7231">
      <c r="A7231" s="9"/>
      <c r="B7231" s="15"/>
      <c r="C7231" s="9">
        <f>IFERROR(__xludf.DUMMYFUNCTION("""COMPUTED_VALUE"""),44529.195158287)</f>
        <v>44529.19516</v>
      </c>
      <c r="D7231" s="15">
        <f>IFERROR(__xludf.DUMMYFUNCTION("""COMPUTED_VALUE"""),1.04)</f>
        <v>1.04</v>
      </c>
      <c r="E7231" s="16">
        <f>IFERROR(__xludf.DUMMYFUNCTION("""COMPUTED_VALUE"""),64.0)</f>
        <v>64</v>
      </c>
      <c r="F7231" s="19" t="str">
        <f>IFERROR(__xludf.DUMMYFUNCTION("""COMPUTED_VALUE"""),"BLACK")</f>
        <v>BLACK</v>
      </c>
      <c r="G7231" s="20" t="str">
        <f>IFERROR(__xludf.DUMMYFUNCTION("""COMPUTED_VALUE"""),"Uncle Sams Cider (11/12/2021) 02")</f>
        <v>Uncle Sams Cider (11/12/2021) 02</v>
      </c>
      <c r="H7231" s="19"/>
    </row>
    <row r="7232">
      <c r="A7232" s="9"/>
      <c r="B7232" s="15"/>
      <c r="C7232" s="9">
        <f>IFERROR(__xludf.DUMMYFUNCTION("""COMPUTED_VALUE"""),44529.18473478)</f>
        <v>44529.18473</v>
      </c>
      <c r="D7232" s="15">
        <f>IFERROR(__xludf.DUMMYFUNCTION("""COMPUTED_VALUE"""),1.04)</f>
        <v>1.04</v>
      </c>
      <c r="E7232" s="16">
        <f>IFERROR(__xludf.DUMMYFUNCTION("""COMPUTED_VALUE"""),64.0)</f>
        <v>64</v>
      </c>
      <c r="F7232" s="19" t="str">
        <f>IFERROR(__xludf.DUMMYFUNCTION("""COMPUTED_VALUE"""),"BLACK")</f>
        <v>BLACK</v>
      </c>
      <c r="G7232" s="20" t="str">
        <f>IFERROR(__xludf.DUMMYFUNCTION("""COMPUTED_VALUE"""),"Uncle Sams Cider (11/12/2021) 02")</f>
        <v>Uncle Sams Cider (11/12/2021) 02</v>
      </c>
      <c r="H7232" s="19"/>
    </row>
    <row r="7233">
      <c r="A7233" s="9"/>
      <c r="B7233" s="15"/>
      <c r="C7233" s="9">
        <f>IFERROR(__xludf.DUMMYFUNCTION("""COMPUTED_VALUE"""),44529.1743144328)</f>
        <v>44529.17431</v>
      </c>
      <c r="D7233" s="15">
        <f>IFERROR(__xludf.DUMMYFUNCTION("""COMPUTED_VALUE"""),1.04)</f>
        <v>1.04</v>
      </c>
      <c r="E7233" s="16">
        <f>IFERROR(__xludf.DUMMYFUNCTION("""COMPUTED_VALUE"""),64.0)</f>
        <v>64</v>
      </c>
      <c r="F7233" s="19" t="str">
        <f>IFERROR(__xludf.DUMMYFUNCTION("""COMPUTED_VALUE"""),"BLACK")</f>
        <v>BLACK</v>
      </c>
      <c r="G7233" s="20" t="str">
        <f>IFERROR(__xludf.DUMMYFUNCTION("""COMPUTED_VALUE"""),"Uncle Sams Cider (11/12/2021) 02")</f>
        <v>Uncle Sams Cider (11/12/2021) 02</v>
      </c>
      <c r="H7233" s="19"/>
    </row>
    <row r="7234">
      <c r="A7234" s="9"/>
      <c r="B7234" s="15"/>
      <c r="C7234" s="9">
        <f>IFERROR(__xludf.DUMMYFUNCTION("""COMPUTED_VALUE"""),44529.1638918518)</f>
        <v>44529.16389</v>
      </c>
      <c r="D7234" s="15">
        <f>IFERROR(__xludf.DUMMYFUNCTION("""COMPUTED_VALUE"""),1.04)</f>
        <v>1.04</v>
      </c>
      <c r="E7234" s="16">
        <f>IFERROR(__xludf.DUMMYFUNCTION("""COMPUTED_VALUE"""),64.0)</f>
        <v>64</v>
      </c>
      <c r="F7234" s="19" t="str">
        <f>IFERROR(__xludf.DUMMYFUNCTION("""COMPUTED_VALUE"""),"BLACK")</f>
        <v>BLACK</v>
      </c>
      <c r="G7234" s="20" t="str">
        <f>IFERROR(__xludf.DUMMYFUNCTION("""COMPUTED_VALUE"""),"Uncle Sams Cider (11/12/2021) 02")</f>
        <v>Uncle Sams Cider (11/12/2021) 02</v>
      </c>
      <c r="H7234" s="19"/>
    </row>
    <row r="7235">
      <c r="A7235" s="9"/>
      <c r="B7235" s="15"/>
      <c r="C7235" s="9">
        <f>IFERROR(__xludf.DUMMYFUNCTION("""COMPUTED_VALUE"""),44529.1534705902)</f>
        <v>44529.15347</v>
      </c>
      <c r="D7235" s="15">
        <f>IFERROR(__xludf.DUMMYFUNCTION("""COMPUTED_VALUE"""),1.04)</f>
        <v>1.04</v>
      </c>
      <c r="E7235" s="16">
        <f>IFERROR(__xludf.DUMMYFUNCTION("""COMPUTED_VALUE"""),64.0)</f>
        <v>64</v>
      </c>
      <c r="F7235" s="19" t="str">
        <f>IFERROR(__xludf.DUMMYFUNCTION("""COMPUTED_VALUE"""),"BLACK")</f>
        <v>BLACK</v>
      </c>
      <c r="G7235" s="20" t="str">
        <f>IFERROR(__xludf.DUMMYFUNCTION("""COMPUTED_VALUE"""),"Uncle Sams Cider (11/12/2021) 02")</f>
        <v>Uncle Sams Cider (11/12/2021) 02</v>
      </c>
      <c r="H7235" s="19"/>
    </row>
    <row r="7236">
      <c r="A7236" s="9"/>
      <c r="B7236" s="15"/>
      <c r="C7236" s="9">
        <f>IFERROR(__xludf.DUMMYFUNCTION("""COMPUTED_VALUE"""),44529.1430492824)</f>
        <v>44529.14305</v>
      </c>
      <c r="D7236" s="15">
        <f>IFERROR(__xludf.DUMMYFUNCTION("""COMPUTED_VALUE"""),1.04)</f>
        <v>1.04</v>
      </c>
      <c r="E7236" s="16">
        <f>IFERROR(__xludf.DUMMYFUNCTION("""COMPUTED_VALUE"""),64.0)</f>
        <v>64</v>
      </c>
      <c r="F7236" s="19" t="str">
        <f>IFERROR(__xludf.DUMMYFUNCTION("""COMPUTED_VALUE"""),"BLACK")</f>
        <v>BLACK</v>
      </c>
      <c r="G7236" s="20" t="str">
        <f>IFERROR(__xludf.DUMMYFUNCTION("""COMPUTED_VALUE"""),"Uncle Sams Cider (11/12/2021) 02")</f>
        <v>Uncle Sams Cider (11/12/2021) 02</v>
      </c>
      <c r="H7236" s="19"/>
    </row>
    <row r="7237">
      <c r="A7237" s="9"/>
      <c r="B7237" s="15"/>
      <c r="C7237" s="9">
        <f>IFERROR(__xludf.DUMMYFUNCTION("""COMPUTED_VALUE"""),44529.1326285648)</f>
        <v>44529.13263</v>
      </c>
      <c r="D7237" s="15">
        <f>IFERROR(__xludf.DUMMYFUNCTION("""COMPUTED_VALUE"""),1.04)</f>
        <v>1.04</v>
      </c>
      <c r="E7237" s="16">
        <f>IFERROR(__xludf.DUMMYFUNCTION("""COMPUTED_VALUE"""),64.0)</f>
        <v>64</v>
      </c>
      <c r="F7237" s="19" t="str">
        <f>IFERROR(__xludf.DUMMYFUNCTION("""COMPUTED_VALUE"""),"BLACK")</f>
        <v>BLACK</v>
      </c>
      <c r="G7237" s="20" t="str">
        <f>IFERROR(__xludf.DUMMYFUNCTION("""COMPUTED_VALUE"""),"Uncle Sams Cider (11/12/2021) 02")</f>
        <v>Uncle Sams Cider (11/12/2021) 02</v>
      </c>
      <c r="H7237" s="19"/>
    </row>
    <row r="7238">
      <c r="A7238" s="9"/>
      <c r="B7238" s="15"/>
      <c r="C7238" s="9">
        <f>IFERROR(__xludf.DUMMYFUNCTION("""COMPUTED_VALUE"""),44529.1222074421)</f>
        <v>44529.12221</v>
      </c>
      <c r="D7238" s="15">
        <f>IFERROR(__xludf.DUMMYFUNCTION("""COMPUTED_VALUE"""),1.04)</f>
        <v>1.04</v>
      </c>
      <c r="E7238" s="16">
        <f>IFERROR(__xludf.DUMMYFUNCTION("""COMPUTED_VALUE"""),64.0)</f>
        <v>64</v>
      </c>
      <c r="F7238" s="19" t="str">
        <f>IFERROR(__xludf.DUMMYFUNCTION("""COMPUTED_VALUE"""),"BLACK")</f>
        <v>BLACK</v>
      </c>
      <c r="G7238" s="20" t="str">
        <f>IFERROR(__xludf.DUMMYFUNCTION("""COMPUTED_VALUE"""),"Uncle Sams Cider (11/12/2021) 02")</f>
        <v>Uncle Sams Cider (11/12/2021) 02</v>
      </c>
      <c r="H7238" s="19"/>
    </row>
    <row r="7239">
      <c r="A7239" s="9"/>
      <c r="B7239" s="15"/>
      <c r="C7239" s="9">
        <f>IFERROR(__xludf.DUMMYFUNCTION("""COMPUTED_VALUE"""),44529.1117870717)</f>
        <v>44529.11179</v>
      </c>
      <c r="D7239" s="15">
        <f>IFERROR(__xludf.DUMMYFUNCTION("""COMPUTED_VALUE"""),1.04)</f>
        <v>1.04</v>
      </c>
      <c r="E7239" s="16">
        <f>IFERROR(__xludf.DUMMYFUNCTION("""COMPUTED_VALUE"""),64.0)</f>
        <v>64</v>
      </c>
      <c r="F7239" s="19" t="str">
        <f>IFERROR(__xludf.DUMMYFUNCTION("""COMPUTED_VALUE"""),"BLACK")</f>
        <v>BLACK</v>
      </c>
      <c r="G7239" s="20" t="str">
        <f>IFERROR(__xludf.DUMMYFUNCTION("""COMPUTED_VALUE"""),"Uncle Sams Cider (11/12/2021) 02")</f>
        <v>Uncle Sams Cider (11/12/2021) 02</v>
      </c>
      <c r="H7239" s="19"/>
    </row>
    <row r="7240">
      <c r="A7240" s="9"/>
      <c r="B7240" s="15"/>
      <c r="C7240" s="9">
        <f>IFERROR(__xludf.DUMMYFUNCTION("""COMPUTED_VALUE"""),44529.1013647222)</f>
        <v>44529.10136</v>
      </c>
      <c r="D7240" s="15">
        <f>IFERROR(__xludf.DUMMYFUNCTION("""COMPUTED_VALUE"""),1.04)</f>
        <v>1.04</v>
      </c>
      <c r="E7240" s="16">
        <f>IFERROR(__xludf.DUMMYFUNCTION("""COMPUTED_VALUE"""),64.0)</f>
        <v>64</v>
      </c>
      <c r="F7240" s="19" t="str">
        <f>IFERROR(__xludf.DUMMYFUNCTION("""COMPUTED_VALUE"""),"BLACK")</f>
        <v>BLACK</v>
      </c>
      <c r="G7240" s="20" t="str">
        <f>IFERROR(__xludf.DUMMYFUNCTION("""COMPUTED_VALUE"""),"Uncle Sams Cider (11/12/2021) 02")</f>
        <v>Uncle Sams Cider (11/12/2021) 02</v>
      </c>
      <c r="H7240" s="19"/>
    </row>
    <row r="7241">
      <c r="A7241" s="9"/>
      <c r="B7241" s="15"/>
      <c r="C7241" s="9">
        <f>IFERROR(__xludf.DUMMYFUNCTION("""COMPUTED_VALUE"""),44529.0909422685)</f>
        <v>44529.09094</v>
      </c>
      <c r="D7241" s="15">
        <f>IFERROR(__xludf.DUMMYFUNCTION("""COMPUTED_VALUE"""),1.04)</f>
        <v>1.04</v>
      </c>
      <c r="E7241" s="16">
        <f>IFERROR(__xludf.DUMMYFUNCTION("""COMPUTED_VALUE"""),65.0)</f>
        <v>65</v>
      </c>
      <c r="F7241" s="19" t="str">
        <f>IFERROR(__xludf.DUMMYFUNCTION("""COMPUTED_VALUE"""),"BLACK")</f>
        <v>BLACK</v>
      </c>
      <c r="G7241" s="20" t="str">
        <f>IFERROR(__xludf.DUMMYFUNCTION("""COMPUTED_VALUE"""),"Uncle Sams Cider (11/12/2021) 02")</f>
        <v>Uncle Sams Cider (11/12/2021) 02</v>
      </c>
      <c r="H7241" s="19"/>
    </row>
    <row r="7242">
      <c r="A7242" s="9"/>
      <c r="B7242" s="15"/>
      <c r="C7242" s="9">
        <f>IFERROR(__xludf.DUMMYFUNCTION("""COMPUTED_VALUE"""),44529.0805195486)</f>
        <v>44529.08052</v>
      </c>
      <c r="D7242" s="15">
        <f>IFERROR(__xludf.DUMMYFUNCTION("""COMPUTED_VALUE"""),1.04)</f>
        <v>1.04</v>
      </c>
      <c r="E7242" s="16">
        <f>IFERROR(__xludf.DUMMYFUNCTION("""COMPUTED_VALUE"""),64.0)</f>
        <v>64</v>
      </c>
      <c r="F7242" s="19" t="str">
        <f>IFERROR(__xludf.DUMMYFUNCTION("""COMPUTED_VALUE"""),"BLACK")</f>
        <v>BLACK</v>
      </c>
      <c r="G7242" s="20" t="str">
        <f>IFERROR(__xludf.DUMMYFUNCTION("""COMPUTED_VALUE"""),"Uncle Sams Cider (11/12/2021) 02")</f>
        <v>Uncle Sams Cider (11/12/2021) 02</v>
      </c>
      <c r="H7242" s="19"/>
    </row>
    <row r="7243">
      <c r="A7243" s="9"/>
      <c r="B7243" s="15"/>
      <c r="C7243" s="9">
        <f>IFERROR(__xludf.DUMMYFUNCTION("""COMPUTED_VALUE"""),44529.0700989814)</f>
        <v>44529.0701</v>
      </c>
      <c r="D7243" s="15">
        <f>IFERROR(__xludf.DUMMYFUNCTION("""COMPUTED_VALUE"""),1.04)</f>
        <v>1.04</v>
      </c>
      <c r="E7243" s="16">
        <f>IFERROR(__xludf.DUMMYFUNCTION("""COMPUTED_VALUE"""),65.0)</f>
        <v>65</v>
      </c>
      <c r="F7243" s="19" t="str">
        <f>IFERROR(__xludf.DUMMYFUNCTION("""COMPUTED_VALUE"""),"BLACK")</f>
        <v>BLACK</v>
      </c>
      <c r="G7243" s="20" t="str">
        <f>IFERROR(__xludf.DUMMYFUNCTION("""COMPUTED_VALUE"""),"Uncle Sams Cider (11/12/2021) 02")</f>
        <v>Uncle Sams Cider (11/12/2021) 02</v>
      </c>
      <c r="H7243" s="19"/>
    </row>
    <row r="7244">
      <c r="A7244" s="9"/>
      <c r="B7244" s="15"/>
      <c r="C7244" s="9">
        <f>IFERROR(__xludf.DUMMYFUNCTION("""COMPUTED_VALUE"""),44529.0596775694)</f>
        <v>44529.05968</v>
      </c>
      <c r="D7244" s="15">
        <f>IFERROR(__xludf.DUMMYFUNCTION("""COMPUTED_VALUE"""),1.04)</f>
        <v>1.04</v>
      </c>
      <c r="E7244" s="16">
        <f>IFERROR(__xludf.DUMMYFUNCTION("""COMPUTED_VALUE"""),64.0)</f>
        <v>64</v>
      </c>
      <c r="F7244" s="19" t="str">
        <f>IFERROR(__xludf.DUMMYFUNCTION("""COMPUTED_VALUE"""),"BLACK")</f>
        <v>BLACK</v>
      </c>
      <c r="G7244" s="20" t="str">
        <f>IFERROR(__xludf.DUMMYFUNCTION("""COMPUTED_VALUE"""),"Uncle Sams Cider (11/12/2021) 02")</f>
        <v>Uncle Sams Cider (11/12/2021) 02</v>
      </c>
      <c r="H7244" s="19"/>
    </row>
    <row r="7245">
      <c r="A7245" s="9"/>
      <c r="B7245" s="15"/>
      <c r="C7245" s="9">
        <f>IFERROR(__xludf.DUMMYFUNCTION("""COMPUTED_VALUE"""),44529.0492573842)</f>
        <v>44529.04926</v>
      </c>
      <c r="D7245" s="15">
        <f>IFERROR(__xludf.DUMMYFUNCTION("""COMPUTED_VALUE"""),1.04)</f>
        <v>1.04</v>
      </c>
      <c r="E7245" s="16">
        <f>IFERROR(__xludf.DUMMYFUNCTION("""COMPUTED_VALUE"""),65.0)</f>
        <v>65</v>
      </c>
      <c r="F7245" s="19" t="str">
        <f>IFERROR(__xludf.DUMMYFUNCTION("""COMPUTED_VALUE"""),"BLACK")</f>
        <v>BLACK</v>
      </c>
      <c r="G7245" s="20" t="str">
        <f>IFERROR(__xludf.DUMMYFUNCTION("""COMPUTED_VALUE"""),"Uncle Sams Cider (11/12/2021) 02")</f>
        <v>Uncle Sams Cider (11/12/2021) 02</v>
      </c>
      <c r="H7245" s="19"/>
    </row>
    <row r="7246">
      <c r="A7246" s="9"/>
      <c r="B7246" s="15"/>
      <c r="C7246" s="9">
        <f>IFERROR(__xludf.DUMMYFUNCTION("""COMPUTED_VALUE"""),44529.0388354513)</f>
        <v>44529.03884</v>
      </c>
      <c r="D7246" s="15">
        <f>IFERROR(__xludf.DUMMYFUNCTION("""COMPUTED_VALUE"""),1.04)</f>
        <v>1.04</v>
      </c>
      <c r="E7246" s="16">
        <f>IFERROR(__xludf.DUMMYFUNCTION("""COMPUTED_VALUE"""),65.0)</f>
        <v>65</v>
      </c>
      <c r="F7246" s="19" t="str">
        <f>IFERROR(__xludf.DUMMYFUNCTION("""COMPUTED_VALUE"""),"BLACK")</f>
        <v>BLACK</v>
      </c>
      <c r="G7246" s="20" t="str">
        <f>IFERROR(__xludf.DUMMYFUNCTION("""COMPUTED_VALUE"""),"Uncle Sams Cider (11/12/2021) 02")</f>
        <v>Uncle Sams Cider (11/12/2021) 02</v>
      </c>
      <c r="H7246" s="19"/>
    </row>
    <row r="7247">
      <c r="A7247" s="9"/>
      <c r="B7247" s="15"/>
      <c r="C7247" s="9">
        <f>IFERROR(__xludf.DUMMYFUNCTION("""COMPUTED_VALUE"""),44529.0283795601)</f>
        <v>44529.02838</v>
      </c>
      <c r="D7247" s="15">
        <f>IFERROR(__xludf.DUMMYFUNCTION("""COMPUTED_VALUE"""),1.04)</f>
        <v>1.04</v>
      </c>
      <c r="E7247" s="16">
        <f>IFERROR(__xludf.DUMMYFUNCTION("""COMPUTED_VALUE"""),64.0)</f>
        <v>64</v>
      </c>
      <c r="F7247" s="19" t="str">
        <f>IFERROR(__xludf.DUMMYFUNCTION("""COMPUTED_VALUE"""),"BLACK")</f>
        <v>BLACK</v>
      </c>
      <c r="G7247" s="20" t="str">
        <f>IFERROR(__xludf.DUMMYFUNCTION("""COMPUTED_VALUE"""),"Uncle Sams Cider (11/12/2021) 02")</f>
        <v>Uncle Sams Cider (11/12/2021) 02</v>
      </c>
      <c r="H7247" s="19"/>
    </row>
    <row r="7248">
      <c r="A7248" s="9"/>
      <c r="B7248" s="15"/>
      <c r="C7248" s="9">
        <f>IFERROR(__xludf.DUMMYFUNCTION("""COMPUTED_VALUE"""),44529.017958368)</f>
        <v>44529.01796</v>
      </c>
      <c r="D7248" s="15">
        <f>IFERROR(__xludf.DUMMYFUNCTION("""COMPUTED_VALUE"""),1.04)</f>
        <v>1.04</v>
      </c>
      <c r="E7248" s="16">
        <f>IFERROR(__xludf.DUMMYFUNCTION("""COMPUTED_VALUE"""),64.0)</f>
        <v>64</v>
      </c>
      <c r="F7248" s="19" t="str">
        <f>IFERROR(__xludf.DUMMYFUNCTION("""COMPUTED_VALUE"""),"BLACK")</f>
        <v>BLACK</v>
      </c>
      <c r="G7248" s="20" t="str">
        <f>IFERROR(__xludf.DUMMYFUNCTION("""COMPUTED_VALUE"""),"Uncle Sams Cider (11/12/2021) 02")</f>
        <v>Uncle Sams Cider (11/12/2021) 02</v>
      </c>
      <c r="H7248" s="19"/>
    </row>
    <row r="7249">
      <c r="A7249" s="9"/>
      <c r="B7249" s="15"/>
      <c r="C7249" s="9">
        <f>IFERROR(__xludf.DUMMYFUNCTION("""COMPUTED_VALUE"""),44529.00753625)</f>
        <v>44529.00754</v>
      </c>
      <c r="D7249" s="15">
        <f>IFERROR(__xludf.DUMMYFUNCTION("""COMPUTED_VALUE"""),1.041)</f>
        <v>1.041</v>
      </c>
      <c r="E7249" s="16">
        <f>IFERROR(__xludf.DUMMYFUNCTION("""COMPUTED_VALUE"""),65.0)</f>
        <v>65</v>
      </c>
      <c r="F7249" s="19" t="str">
        <f>IFERROR(__xludf.DUMMYFUNCTION("""COMPUTED_VALUE"""),"BLACK")</f>
        <v>BLACK</v>
      </c>
      <c r="G7249" s="20" t="str">
        <f>IFERROR(__xludf.DUMMYFUNCTION("""COMPUTED_VALUE"""),"Uncle Sams Cider (11/12/2021) 02")</f>
        <v>Uncle Sams Cider (11/12/2021) 02</v>
      </c>
      <c r="H7249" s="19"/>
    </row>
    <row r="7250">
      <c r="A7250" s="9"/>
      <c r="B7250" s="15"/>
      <c r="C7250" s="9">
        <f>IFERROR(__xludf.DUMMYFUNCTION("""COMPUTED_VALUE"""),44528.9971151041)</f>
        <v>44528.99712</v>
      </c>
      <c r="D7250" s="15">
        <f>IFERROR(__xludf.DUMMYFUNCTION("""COMPUTED_VALUE"""),1.041)</f>
        <v>1.041</v>
      </c>
      <c r="E7250" s="16">
        <f>IFERROR(__xludf.DUMMYFUNCTION("""COMPUTED_VALUE"""),65.0)</f>
        <v>65</v>
      </c>
      <c r="F7250" s="19" t="str">
        <f>IFERROR(__xludf.DUMMYFUNCTION("""COMPUTED_VALUE"""),"BLACK")</f>
        <v>BLACK</v>
      </c>
      <c r="G7250" s="20" t="str">
        <f>IFERROR(__xludf.DUMMYFUNCTION("""COMPUTED_VALUE"""),"Uncle Sams Cider (11/12/2021) 02")</f>
        <v>Uncle Sams Cider (11/12/2021) 02</v>
      </c>
      <c r="H7250" s="19"/>
    </row>
    <row r="7251">
      <c r="A7251" s="9"/>
      <c r="B7251" s="15"/>
      <c r="C7251" s="9">
        <f>IFERROR(__xludf.DUMMYFUNCTION("""COMPUTED_VALUE"""),44528.9866825462)</f>
        <v>44528.98668</v>
      </c>
      <c r="D7251" s="15">
        <f>IFERROR(__xludf.DUMMYFUNCTION("""COMPUTED_VALUE"""),1.04)</f>
        <v>1.04</v>
      </c>
      <c r="E7251" s="16">
        <f>IFERROR(__xludf.DUMMYFUNCTION("""COMPUTED_VALUE"""),65.0)</f>
        <v>65</v>
      </c>
      <c r="F7251" s="19" t="str">
        <f>IFERROR(__xludf.DUMMYFUNCTION("""COMPUTED_VALUE"""),"BLACK")</f>
        <v>BLACK</v>
      </c>
      <c r="G7251" s="20" t="str">
        <f>IFERROR(__xludf.DUMMYFUNCTION("""COMPUTED_VALUE"""),"Uncle Sams Cider (11/12/2021) 02")</f>
        <v>Uncle Sams Cider (11/12/2021) 02</v>
      </c>
      <c r="H7251" s="19"/>
    </row>
    <row r="7252">
      <c r="A7252" s="9"/>
      <c r="B7252" s="15"/>
      <c r="C7252" s="9">
        <f>IFERROR(__xludf.DUMMYFUNCTION("""COMPUTED_VALUE"""),44528.9762620023)</f>
        <v>44528.97626</v>
      </c>
      <c r="D7252" s="15">
        <f>IFERROR(__xludf.DUMMYFUNCTION("""COMPUTED_VALUE"""),1.041)</f>
        <v>1.041</v>
      </c>
      <c r="E7252" s="16">
        <f>IFERROR(__xludf.DUMMYFUNCTION("""COMPUTED_VALUE"""),65.0)</f>
        <v>65</v>
      </c>
      <c r="F7252" s="19" t="str">
        <f>IFERROR(__xludf.DUMMYFUNCTION("""COMPUTED_VALUE"""),"BLACK")</f>
        <v>BLACK</v>
      </c>
      <c r="G7252" s="20" t="str">
        <f>IFERROR(__xludf.DUMMYFUNCTION("""COMPUTED_VALUE"""),"Uncle Sams Cider (11/12/2021) 02")</f>
        <v>Uncle Sams Cider (11/12/2021) 02</v>
      </c>
      <c r="H7252" s="19"/>
    </row>
    <row r="7253">
      <c r="A7253" s="9"/>
      <c r="B7253" s="15"/>
      <c r="C7253" s="9">
        <f>IFERROR(__xludf.DUMMYFUNCTION("""COMPUTED_VALUE"""),44528.9658404861)</f>
        <v>44528.96584</v>
      </c>
      <c r="D7253" s="15">
        <f>IFERROR(__xludf.DUMMYFUNCTION("""COMPUTED_VALUE"""),1.041)</f>
        <v>1.041</v>
      </c>
      <c r="E7253" s="16">
        <f>IFERROR(__xludf.DUMMYFUNCTION("""COMPUTED_VALUE"""),65.0)</f>
        <v>65</v>
      </c>
      <c r="F7253" s="19" t="str">
        <f>IFERROR(__xludf.DUMMYFUNCTION("""COMPUTED_VALUE"""),"BLACK")</f>
        <v>BLACK</v>
      </c>
      <c r="G7253" s="20" t="str">
        <f>IFERROR(__xludf.DUMMYFUNCTION("""COMPUTED_VALUE"""),"Uncle Sams Cider (11/12/2021) 02")</f>
        <v>Uncle Sams Cider (11/12/2021) 02</v>
      </c>
      <c r="H7253" s="19"/>
    </row>
    <row r="7254">
      <c r="A7254" s="9"/>
      <c r="B7254" s="15"/>
      <c r="C7254" s="9">
        <f>IFERROR(__xludf.DUMMYFUNCTION("""COMPUTED_VALUE"""),44528.9554208564)</f>
        <v>44528.95542</v>
      </c>
      <c r="D7254" s="15">
        <f>IFERROR(__xludf.DUMMYFUNCTION("""COMPUTED_VALUE"""),1.041)</f>
        <v>1.041</v>
      </c>
      <c r="E7254" s="16">
        <f>IFERROR(__xludf.DUMMYFUNCTION("""COMPUTED_VALUE"""),65.0)</f>
        <v>65</v>
      </c>
      <c r="F7254" s="19" t="str">
        <f>IFERROR(__xludf.DUMMYFUNCTION("""COMPUTED_VALUE"""),"BLACK")</f>
        <v>BLACK</v>
      </c>
      <c r="G7254" s="20" t="str">
        <f>IFERROR(__xludf.DUMMYFUNCTION("""COMPUTED_VALUE"""),"Uncle Sams Cider (11/12/2021) 02")</f>
        <v>Uncle Sams Cider (11/12/2021) 02</v>
      </c>
      <c r="H7254" s="19"/>
    </row>
    <row r="7255">
      <c r="A7255" s="9"/>
      <c r="B7255" s="15"/>
      <c r="C7255" s="9">
        <f>IFERROR(__xludf.DUMMYFUNCTION("""COMPUTED_VALUE"""),44528.9449993171)</f>
        <v>44528.945</v>
      </c>
      <c r="D7255" s="15">
        <f>IFERROR(__xludf.DUMMYFUNCTION("""COMPUTED_VALUE"""),1.041)</f>
        <v>1.041</v>
      </c>
      <c r="E7255" s="16">
        <f>IFERROR(__xludf.DUMMYFUNCTION("""COMPUTED_VALUE"""),65.0)</f>
        <v>65</v>
      </c>
      <c r="F7255" s="19" t="str">
        <f>IFERROR(__xludf.DUMMYFUNCTION("""COMPUTED_VALUE"""),"BLACK")</f>
        <v>BLACK</v>
      </c>
      <c r="G7255" s="20" t="str">
        <f>IFERROR(__xludf.DUMMYFUNCTION("""COMPUTED_VALUE"""),"Uncle Sams Cider (11/12/2021) 02")</f>
        <v>Uncle Sams Cider (11/12/2021) 02</v>
      </c>
      <c r="H7255" s="19"/>
    </row>
    <row r="7256">
      <c r="A7256" s="9"/>
      <c r="B7256" s="15"/>
      <c r="C7256" s="9">
        <f>IFERROR(__xludf.DUMMYFUNCTION("""COMPUTED_VALUE"""),44528.9345781944)</f>
        <v>44528.93458</v>
      </c>
      <c r="D7256" s="15">
        <f>IFERROR(__xludf.DUMMYFUNCTION("""COMPUTED_VALUE"""),1.041)</f>
        <v>1.041</v>
      </c>
      <c r="E7256" s="16">
        <f>IFERROR(__xludf.DUMMYFUNCTION("""COMPUTED_VALUE"""),65.0)</f>
        <v>65</v>
      </c>
      <c r="F7256" s="19" t="str">
        <f>IFERROR(__xludf.DUMMYFUNCTION("""COMPUTED_VALUE"""),"BLACK")</f>
        <v>BLACK</v>
      </c>
      <c r="G7256" s="20" t="str">
        <f>IFERROR(__xludf.DUMMYFUNCTION("""COMPUTED_VALUE"""),"Uncle Sams Cider (11/12/2021) 02")</f>
        <v>Uncle Sams Cider (11/12/2021) 02</v>
      </c>
      <c r="H7256" s="19"/>
    </row>
    <row r="7257">
      <c r="A7257" s="9"/>
      <c r="B7257" s="15"/>
      <c r="C7257" s="9">
        <f>IFERROR(__xludf.DUMMYFUNCTION("""COMPUTED_VALUE"""),44528.924155706)</f>
        <v>44528.92416</v>
      </c>
      <c r="D7257" s="15">
        <f>IFERROR(__xludf.DUMMYFUNCTION("""COMPUTED_VALUE"""),1.041)</f>
        <v>1.041</v>
      </c>
      <c r="E7257" s="16">
        <f>IFERROR(__xludf.DUMMYFUNCTION("""COMPUTED_VALUE"""),65.0)</f>
        <v>65</v>
      </c>
      <c r="F7257" s="19" t="str">
        <f>IFERROR(__xludf.DUMMYFUNCTION("""COMPUTED_VALUE"""),"BLACK")</f>
        <v>BLACK</v>
      </c>
      <c r="G7257" s="20" t="str">
        <f>IFERROR(__xludf.DUMMYFUNCTION("""COMPUTED_VALUE"""),"Uncle Sams Cider (11/12/2021) 02")</f>
        <v>Uncle Sams Cider (11/12/2021) 02</v>
      </c>
      <c r="H7257" s="19"/>
    </row>
    <row r="7258">
      <c r="A7258" s="9"/>
      <c r="B7258" s="15"/>
      <c r="C7258" s="9">
        <f>IFERROR(__xludf.DUMMYFUNCTION("""COMPUTED_VALUE"""),44528.9137354745)</f>
        <v>44528.91374</v>
      </c>
      <c r="D7258" s="15">
        <f>IFERROR(__xludf.DUMMYFUNCTION("""COMPUTED_VALUE"""),1.041)</f>
        <v>1.041</v>
      </c>
      <c r="E7258" s="16">
        <f>IFERROR(__xludf.DUMMYFUNCTION("""COMPUTED_VALUE"""),65.0)</f>
        <v>65</v>
      </c>
      <c r="F7258" s="19" t="str">
        <f>IFERROR(__xludf.DUMMYFUNCTION("""COMPUTED_VALUE"""),"BLACK")</f>
        <v>BLACK</v>
      </c>
      <c r="G7258" s="20" t="str">
        <f>IFERROR(__xludf.DUMMYFUNCTION("""COMPUTED_VALUE"""),"Uncle Sams Cider (11/12/2021) 02")</f>
        <v>Uncle Sams Cider (11/12/2021) 02</v>
      </c>
      <c r="H7258" s="19"/>
    </row>
    <row r="7259">
      <c r="A7259" s="9"/>
      <c r="B7259" s="15"/>
      <c r="C7259" s="9">
        <f>IFERROR(__xludf.DUMMYFUNCTION("""COMPUTED_VALUE"""),44528.903302199)</f>
        <v>44528.9033</v>
      </c>
      <c r="D7259" s="15">
        <f>IFERROR(__xludf.DUMMYFUNCTION("""COMPUTED_VALUE"""),1.041)</f>
        <v>1.041</v>
      </c>
      <c r="E7259" s="16">
        <f>IFERROR(__xludf.DUMMYFUNCTION("""COMPUTED_VALUE"""),65.0)</f>
        <v>65</v>
      </c>
      <c r="F7259" s="19" t="str">
        <f>IFERROR(__xludf.DUMMYFUNCTION("""COMPUTED_VALUE"""),"BLACK")</f>
        <v>BLACK</v>
      </c>
      <c r="G7259" s="20" t="str">
        <f>IFERROR(__xludf.DUMMYFUNCTION("""COMPUTED_VALUE"""),"Uncle Sams Cider (11/12/2021) 02")</f>
        <v>Uncle Sams Cider (11/12/2021) 02</v>
      </c>
      <c r="H7259" s="19"/>
    </row>
    <row r="7260">
      <c r="A7260" s="9"/>
      <c r="B7260" s="15"/>
      <c r="C7260" s="9">
        <f>IFERROR(__xludf.DUMMYFUNCTION("""COMPUTED_VALUE"""),44528.8928812847)</f>
        <v>44528.89288</v>
      </c>
      <c r="D7260" s="15">
        <f>IFERROR(__xludf.DUMMYFUNCTION("""COMPUTED_VALUE"""),1.041)</f>
        <v>1.041</v>
      </c>
      <c r="E7260" s="16">
        <f>IFERROR(__xludf.DUMMYFUNCTION("""COMPUTED_VALUE"""),65.0)</f>
        <v>65</v>
      </c>
      <c r="F7260" s="19" t="str">
        <f>IFERROR(__xludf.DUMMYFUNCTION("""COMPUTED_VALUE"""),"BLACK")</f>
        <v>BLACK</v>
      </c>
      <c r="G7260" s="20" t="str">
        <f>IFERROR(__xludf.DUMMYFUNCTION("""COMPUTED_VALUE"""),"Uncle Sams Cider (11/12/2021) 02")</f>
        <v>Uncle Sams Cider (11/12/2021) 02</v>
      </c>
      <c r="H7260" s="19"/>
    </row>
    <row r="7261">
      <c r="A7261" s="9"/>
      <c r="B7261" s="15"/>
      <c r="C7261" s="9">
        <f>IFERROR(__xludf.DUMMYFUNCTION("""COMPUTED_VALUE"""),44528.8824601504)</f>
        <v>44528.88246</v>
      </c>
      <c r="D7261" s="15">
        <f>IFERROR(__xludf.DUMMYFUNCTION("""COMPUTED_VALUE"""),1.041)</f>
        <v>1.041</v>
      </c>
      <c r="E7261" s="16">
        <f>IFERROR(__xludf.DUMMYFUNCTION("""COMPUTED_VALUE"""),65.0)</f>
        <v>65</v>
      </c>
      <c r="F7261" s="19" t="str">
        <f>IFERROR(__xludf.DUMMYFUNCTION("""COMPUTED_VALUE"""),"BLACK")</f>
        <v>BLACK</v>
      </c>
      <c r="G7261" s="20" t="str">
        <f>IFERROR(__xludf.DUMMYFUNCTION("""COMPUTED_VALUE"""),"Uncle Sams Cider (11/12/2021) 02")</f>
        <v>Uncle Sams Cider (11/12/2021) 02</v>
      </c>
      <c r="H7261" s="19"/>
    </row>
    <row r="7262">
      <c r="A7262" s="9"/>
      <c r="B7262" s="15"/>
      <c r="C7262" s="9">
        <f>IFERROR(__xludf.DUMMYFUNCTION("""COMPUTED_VALUE"""),44528.8720382754)</f>
        <v>44528.87204</v>
      </c>
      <c r="D7262" s="15">
        <f>IFERROR(__xludf.DUMMYFUNCTION("""COMPUTED_VALUE"""),1.041)</f>
        <v>1.041</v>
      </c>
      <c r="E7262" s="16">
        <f>IFERROR(__xludf.DUMMYFUNCTION("""COMPUTED_VALUE"""),65.0)</f>
        <v>65</v>
      </c>
      <c r="F7262" s="19" t="str">
        <f>IFERROR(__xludf.DUMMYFUNCTION("""COMPUTED_VALUE"""),"BLACK")</f>
        <v>BLACK</v>
      </c>
      <c r="G7262" s="20" t="str">
        <f>IFERROR(__xludf.DUMMYFUNCTION("""COMPUTED_VALUE"""),"Uncle Sams Cider (11/12/2021) 02")</f>
        <v>Uncle Sams Cider (11/12/2021) 02</v>
      </c>
      <c r="H7262" s="19"/>
    </row>
    <row r="7263">
      <c r="A7263" s="9"/>
      <c r="B7263" s="15"/>
      <c r="C7263" s="9">
        <f>IFERROR(__xludf.DUMMYFUNCTION("""COMPUTED_VALUE"""),44528.861615787)</f>
        <v>44528.86162</v>
      </c>
      <c r="D7263" s="15">
        <f>IFERROR(__xludf.DUMMYFUNCTION("""COMPUTED_VALUE"""),1.041)</f>
        <v>1.041</v>
      </c>
      <c r="E7263" s="16">
        <f>IFERROR(__xludf.DUMMYFUNCTION("""COMPUTED_VALUE"""),65.0)</f>
        <v>65</v>
      </c>
      <c r="F7263" s="19" t="str">
        <f>IFERROR(__xludf.DUMMYFUNCTION("""COMPUTED_VALUE"""),"BLACK")</f>
        <v>BLACK</v>
      </c>
      <c r="G7263" s="20" t="str">
        <f>IFERROR(__xludf.DUMMYFUNCTION("""COMPUTED_VALUE"""),"Uncle Sams Cider (11/12/2021) 02")</f>
        <v>Uncle Sams Cider (11/12/2021) 02</v>
      </c>
      <c r="H7263" s="19"/>
    </row>
    <row r="7264">
      <c r="A7264" s="9"/>
      <c r="B7264" s="15"/>
      <c r="C7264" s="9">
        <f>IFERROR(__xludf.DUMMYFUNCTION("""COMPUTED_VALUE"""),44528.8511938657)</f>
        <v>44528.85119</v>
      </c>
      <c r="D7264" s="15">
        <f>IFERROR(__xludf.DUMMYFUNCTION("""COMPUTED_VALUE"""),1.041)</f>
        <v>1.041</v>
      </c>
      <c r="E7264" s="16">
        <f>IFERROR(__xludf.DUMMYFUNCTION("""COMPUTED_VALUE"""),65.0)</f>
        <v>65</v>
      </c>
      <c r="F7264" s="19" t="str">
        <f>IFERROR(__xludf.DUMMYFUNCTION("""COMPUTED_VALUE"""),"BLACK")</f>
        <v>BLACK</v>
      </c>
      <c r="G7264" s="20" t="str">
        <f>IFERROR(__xludf.DUMMYFUNCTION("""COMPUTED_VALUE"""),"Uncle Sams Cider (11/12/2021) 02")</f>
        <v>Uncle Sams Cider (11/12/2021) 02</v>
      </c>
      <c r="H7264" s="19"/>
    </row>
    <row r="7265">
      <c r="A7265" s="9"/>
      <c r="B7265" s="15"/>
      <c r="C7265" s="9">
        <f>IFERROR(__xludf.DUMMYFUNCTION("""COMPUTED_VALUE"""),44528.840770949)</f>
        <v>44528.84077</v>
      </c>
      <c r="D7265" s="15">
        <f>IFERROR(__xludf.DUMMYFUNCTION("""COMPUTED_VALUE"""),1.041)</f>
        <v>1.041</v>
      </c>
      <c r="E7265" s="16">
        <f>IFERROR(__xludf.DUMMYFUNCTION("""COMPUTED_VALUE"""),65.0)</f>
        <v>65</v>
      </c>
      <c r="F7265" s="19" t="str">
        <f>IFERROR(__xludf.DUMMYFUNCTION("""COMPUTED_VALUE"""),"BLACK")</f>
        <v>BLACK</v>
      </c>
      <c r="G7265" s="20" t="str">
        <f>IFERROR(__xludf.DUMMYFUNCTION("""COMPUTED_VALUE"""),"Uncle Sams Cider (11/12/2021) 02")</f>
        <v>Uncle Sams Cider (11/12/2021) 02</v>
      </c>
      <c r="H7265" s="19"/>
    </row>
    <row r="7266">
      <c r="A7266" s="9"/>
      <c r="B7266" s="15"/>
      <c r="C7266" s="9">
        <f>IFERROR(__xludf.DUMMYFUNCTION("""COMPUTED_VALUE"""),44528.83034853)</f>
        <v>44528.83035</v>
      </c>
      <c r="D7266" s="15">
        <f>IFERROR(__xludf.DUMMYFUNCTION("""COMPUTED_VALUE"""),1.041)</f>
        <v>1.041</v>
      </c>
      <c r="E7266" s="16">
        <f>IFERROR(__xludf.DUMMYFUNCTION("""COMPUTED_VALUE"""),65.0)</f>
        <v>65</v>
      </c>
      <c r="F7266" s="19" t="str">
        <f>IFERROR(__xludf.DUMMYFUNCTION("""COMPUTED_VALUE"""),"BLACK")</f>
        <v>BLACK</v>
      </c>
      <c r="G7266" s="20" t="str">
        <f>IFERROR(__xludf.DUMMYFUNCTION("""COMPUTED_VALUE"""),"Uncle Sams Cider (11/12/2021) 02")</f>
        <v>Uncle Sams Cider (11/12/2021) 02</v>
      </c>
      <c r="H7266" s="19"/>
    </row>
    <row r="7267">
      <c r="A7267" s="9"/>
      <c r="B7267" s="15"/>
      <c r="C7267" s="9">
        <f>IFERROR(__xludf.DUMMYFUNCTION("""COMPUTED_VALUE"""),44528.819928368)</f>
        <v>44528.81993</v>
      </c>
      <c r="D7267" s="15">
        <f>IFERROR(__xludf.DUMMYFUNCTION("""COMPUTED_VALUE"""),1.041)</f>
        <v>1.041</v>
      </c>
      <c r="E7267" s="16">
        <f>IFERROR(__xludf.DUMMYFUNCTION("""COMPUTED_VALUE"""),65.0)</f>
        <v>65</v>
      </c>
      <c r="F7267" s="19" t="str">
        <f>IFERROR(__xludf.DUMMYFUNCTION("""COMPUTED_VALUE"""),"BLACK")</f>
        <v>BLACK</v>
      </c>
      <c r="G7267" s="20" t="str">
        <f>IFERROR(__xludf.DUMMYFUNCTION("""COMPUTED_VALUE"""),"Uncle Sams Cider (11/12/2021) 02")</f>
        <v>Uncle Sams Cider (11/12/2021) 02</v>
      </c>
      <c r="H7267" s="19"/>
    </row>
    <row r="7268">
      <c r="A7268" s="9"/>
      <c r="B7268" s="15"/>
      <c r="C7268" s="9">
        <f>IFERROR(__xludf.DUMMYFUNCTION("""COMPUTED_VALUE"""),44528.8095080902)</f>
        <v>44528.80951</v>
      </c>
      <c r="D7268" s="15">
        <f>IFERROR(__xludf.DUMMYFUNCTION("""COMPUTED_VALUE"""),1.041)</f>
        <v>1.041</v>
      </c>
      <c r="E7268" s="16">
        <f>IFERROR(__xludf.DUMMYFUNCTION("""COMPUTED_VALUE"""),65.0)</f>
        <v>65</v>
      </c>
      <c r="F7268" s="19" t="str">
        <f>IFERROR(__xludf.DUMMYFUNCTION("""COMPUTED_VALUE"""),"BLACK")</f>
        <v>BLACK</v>
      </c>
      <c r="G7268" s="20" t="str">
        <f>IFERROR(__xludf.DUMMYFUNCTION("""COMPUTED_VALUE"""),"Uncle Sams Cider (11/12/2021) 02")</f>
        <v>Uncle Sams Cider (11/12/2021) 02</v>
      </c>
      <c r="H7268" s="19"/>
    </row>
    <row r="7269">
      <c r="A7269" s="9"/>
      <c r="B7269" s="15"/>
      <c r="C7269" s="9">
        <f>IFERROR(__xludf.DUMMYFUNCTION("""COMPUTED_VALUE"""),44528.7990869097)</f>
        <v>44528.79909</v>
      </c>
      <c r="D7269" s="15">
        <f>IFERROR(__xludf.DUMMYFUNCTION("""COMPUTED_VALUE"""),1.041)</f>
        <v>1.041</v>
      </c>
      <c r="E7269" s="16">
        <f>IFERROR(__xludf.DUMMYFUNCTION("""COMPUTED_VALUE"""),65.0)</f>
        <v>65</v>
      </c>
      <c r="F7269" s="19" t="str">
        <f>IFERROR(__xludf.DUMMYFUNCTION("""COMPUTED_VALUE"""),"BLACK")</f>
        <v>BLACK</v>
      </c>
      <c r="G7269" s="20" t="str">
        <f>IFERROR(__xludf.DUMMYFUNCTION("""COMPUTED_VALUE"""),"Uncle Sams Cider (11/12/2021) 02")</f>
        <v>Uncle Sams Cider (11/12/2021) 02</v>
      </c>
      <c r="H7269" s="19"/>
    </row>
    <row r="7270">
      <c r="A7270" s="9"/>
      <c r="B7270" s="15"/>
      <c r="C7270" s="9">
        <f>IFERROR(__xludf.DUMMYFUNCTION("""COMPUTED_VALUE"""),44528.7886527777)</f>
        <v>44528.78865</v>
      </c>
      <c r="D7270" s="15">
        <f>IFERROR(__xludf.DUMMYFUNCTION("""COMPUTED_VALUE"""),1.041)</f>
        <v>1.041</v>
      </c>
      <c r="E7270" s="16">
        <f>IFERROR(__xludf.DUMMYFUNCTION("""COMPUTED_VALUE"""),65.0)</f>
        <v>65</v>
      </c>
      <c r="F7270" s="19" t="str">
        <f>IFERROR(__xludf.DUMMYFUNCTION("""COMPUTED_VALUE"""),"BLACK")</f>
        <v>BLACK</v>
      </c>
      <c r="G7270" s="20" t="str">
        <f>IFERROR(__xludf.DUMMYFUNCTION("""COMPUTED_VALUE"""),"Uncle Sams Cider (11/12/2021) 02")</f>
        <v>Uncle Sams Cider (11/12/2021) 02</v>
      </c>
      <c r="H7270" s="19"/>
    </row>
    <row r="7271">
      <c r="A7271" s="9"/>
      <c r="B7271" s="15"/>
      <c r="C7271" s="9">
        <f>IFERROR(__xludf.DUMMYFUNCTION("""COMPUTED_VALUE"""),44528.7782065393)</f>
        <v>44528.77821</v>
      </c>
      <c r="D7271" s="15">
        <f>IFERROR(__xludf.DUMMYFUNCTION("""COMPUTED_VALUE"""),1.041)</f>
        <v>1.041</v>
      </c>
      <c r="E7271" s="16">
        <f>IFERROR(__xludf.DUMMYFUNCTION("""COMPUTED_VALUE"""),65.0)</f>
        <v>65</v>
      </c>
      <c r="F7271" s="19" t="str">
        <f>IFERROR(__xludf.DUMMYFUNCTION("""COMPUTED_VALUE"""),"BLACK")</f>
        <v>BLACK</v>
      </c>
      <c r="G7271" s="20" t="str">
        <f>IFERROR(__xludf.DUMMYFUNCTION("""COMPUTED_VALUE"""),"Uncle Sams Cider (11/12/2021) 02")</f>
        <v>Uncle Sams Cider (11/12/2021) 02</v>
      </c>
      <c r="H7271" s="19"/>
    </row>
    <row r="7272">
      <c r="A7272" s="9"/>
      <c r="B7272" s="15"/>
      <c r="C7272" s="9">
        <f>IFERROR(__xludf.DUMMYFUNCTION("""COMPUTED_VALUE"""),44528.7677850694)</f>
        <v>44528.76779</v>
      </c>
      <c r="D7272" s="15">
        <f>IFERROR(__xludf.DUMMYFUNCTION("""COMPUTED_VALUE"""),1.041)</f>
        <v>1.041</v>
      </c>
      <c r="E7272" s="16">
        <f>IFERROR(__xludf.DUMMYFUNCTION("""COMPUTED_VALUE"""),65.0)</f>
        <v>65</v>
      </c>
      <c r="F7272" s="19" t="str">
        <f>IFERROR(__xludf.DUMMYFUNCTION("""COMPUTED_VALUE"""),"BLACK")</f>
        <v>BLACK</v>
      </c>
      <c r="G7272" s="20" t="str">
        <f>IFERROR(__xludf.DUMMYFUNCTION("""COMPUTED_VALUE"""),"Uncle Sams Cider (11/12/2021) 02")</f>
        <v>Uncle Sams Cider (11/12/2021) 02</v>
      </c>
      <c r="H7272" s="19"/>
    </row>
    <row r="7273">
      <c r="A7273" s="9"/>
      <c r="B7273" s="15"/>
      <c r="C7273" s="9">
        <f>IFERROR(__xludf.DUMMYFUNCTION("""COMPUTED_VALUE"""),44528.7573625115)</f>
        <v>44528.75736</v>
      </c>
      <c r="D7273" s="15">
        <f>IFERROR(__xludf.DUMMYFUNCTION("""COMPUTED_VALUE"""),1.041)</f>
        <v>1.041</v>
      </c>
      <c r="E7273" s="16">
        <f>IFERROR(__xludf.DUMMYFUNCTION("""COMPUTED_VALUE"""),65.0)</f>
        <v>65</v>
      </c>
      <c r="F7273" s="19" t="str">
        <f>IFERROR(__xludf.DUMMYFUNCTION("""COMPUTED_VALUE"""),"BLACK")</f>
        <v>BLACK</v>
      </c>
      <c r="G7273" s="20" t="str">
        <f>IFERROR(__xludf.DUMMYFUNCTION("""COMPUTED_VALUE"""),"Uncle Sams Cider (11/12/2021) 02")</f>
        <v>Uncle Sams Cider (11/12/2021) 02</v>
      </c>
      <c r="H7273" s="19"/>
    </row>
    <row r="7274">
      <c r="A7274" s="9"/>
      <c r="B7274" s="15"/>
      <c r="C7274" s="9">
        <f>IFERROR(__xludf.DUMMYFUNCTION("""COMPUTED_VALUE"""),44528.7469409143)</f>
        <v>44528.74694</v>
      </c>
      <c r="D7274" s="15">
        <f>IFERROR(__xludf.DUMMYFUNCTION("""COMPUTED_VALUE"""),1.041)</f>
        <v>1.041</v>
      </c>
      <c r="E7274" s="16">
        <f>IFERROR(__xludf.DUMMYFUNCTION("""COMPUTED_VALUE"""),65.0)</f>
        <v>65</v>
      </c>
      <c r="F7274" s="19" t="str">
        <f>IFERROR(__xludf.DUMMYFUNCTION("""COMPUTED_VALUE"""),"BLACK")</f>
        <v>BLACK</v>
      </c>
      <c r="G7274" s="20" t="str">
        <f>IFERROR(__xludf.DUMMYFUNCTION("""COMPUTED_VALUE"""),"Uncle Sams Cider (11/12/2021) 02")</f>
        <v>Uncle Sams Cider (11/12/2021) 02</v>
      </c>
      <c r="H7274" s="19"/>
    </row>
    <row r="7275">
      <c r="A7275" s="9"/>
      <c r="B7275" s="15"/>
      <c r="C7275" s="9">
        <f>IFERROR(__xludf.DUMMYFUNCTION("""COMPUTED_VALUE"""),44528.7365185416)</f>
        <v>44528.73652</v>
      </c>
      <c r="D7275" s="15">
        <f>IFERROR(__xludf.DUMMYFUNCTION("""COMPUTED_VALUE"""),1.041)</f>
        <v>1.041</v>
      </c>
      <c r="E7275" s="16">
        <f>IFERROR(__xludf.DUMMYFUNCTION("""COMPUTED_VALUE"""),65.0)</f>
        <v>65</v>
      </c>
      <c r="F7275" s="19" t="str">
        <f>IFERROR(__xludf.DUMMYFUNCTION("""COMPUTED_VALUE"""),"BLACK")</f>
        <v>BLACK</v>
      </c>
      <c r="G7275" s="20" t="str">
        <f>IFERROR(__xludf.DUMMYFUNCTION("""COMPUTED_VALUE"""),"Uncle Sams Cider (11/12/2021) 02")</f>
        <v>Uncle Sams Cider (11/12/2021) 02</v>
      </c>
      <c r="H7275" s="19"/>
    </row>
    <row r="7276">
      <c r="A7276" s="9"/>
      <c r="B7276" s="15"/>
      <c r="C7276" s="9">
        <f>IFERROR(__xludf.DUMMYFUNCTION("""COMPUTED_VALUE"""),44528.7260848263)</f>
        <v>44528.72608</v>
      </c>
      <c r="D7276" s="15">
        <f>IFERROR(__xludf.DUMMYFUNCTION("""COMPUTED_VALUE"""),1.041)</f>
        <v>1.041</v>
      </c>
      <c r="E7276" s="16">
        <f>IFERROR(__xludf.DUMMYFUNCTION("""COMPUTED_VALUE"""),65.0)</f>
        <v>65</v>
      </c>
      <c r="F7276" s="19" t="str">
        <f>IFERROR(__xludf.DUMMYFUNCTION("""COMPUTED_VALUE"""),"BLACK")</f>
        <v>BLACK</v>
      </c>
      <c r="G7276" s="20" t="str">
        <f>IFERROR(__xludf.DUMMYFUNCTION("""COMPUTED_VALUE"""),"Uncle Sams Cider (11/12/2021) 02")</f>
        <v>Uncle Sams Cider (11/12/2021) 02</v>
      </c>
      <c r="H7276" s="19"/>
    </row>
    <row r="7277">
      <c r="A7277" s="9"/>
      <c r="B7277" s="15"/>
      <c r="C7277" s="9">
        <f>IFERROR(__xludf.DUMMYFUNCTION("""COMPUTED_VALUE"""),44528.7156635416)</f>
        <v>44528.71566</v>
      </c>
      <c r="D7277" s="15">
        <f>IFERROR(__xludf.DUMMYFUNCTION("""COMPUTED_VALUE"""),1.041)</f>
        <v>1.041</v>
      </c>
      <c r="E7277" s="16">
        <f>IFERROR(__xludf.DUMMYFUNCTION("""COMPUTED_VALUE"""),65.0)</f>
        <v>65</v>
      </c>
      <c r="F7277" s="19" t="str">
        <f>IFERROR(__xludf.DUMMYFUNCTION("""COMPUTED_VALUE"""),"BLACK")</f>
        <v>BLACK</v>
      </c>
      <c r="G7277" s="20" t="str">
        <f>IFERROR(__xludf.DUMMYFUNCTION("""COMPUTED_VALUE"""),"Uncle Sams Cider (11/12/2021) 02")</f>
        <v>Uncle Sams Cider (11/12/2021) 02</v>
      </c>
      <c r="H7277" s="19"/>
    </row>
    <row r="7278">
      <c r="A7278" s="9"/>
      <c r="B7278" s="15"/>
      <c r="C7278" s="9">
        <f>IFERROR(__xludf.DUMMYFUNCTION("""COMPUTED_VALUE"""),44528.7052433796)</f>
        <v>44528.70524</v>
      </c>
      <c r="D7278" s="15">
        <f>IFERROR(__xludf.DUMMYFUNCTION("""COMPUTED_VALUE"""),1.041)</f>
        <v>1.041</v>
      </c>
      <c r="E7278" s="16">
        <f>IFERROR(__xludf.DUMMYFUNCTION("""COMPUTED_VALUE"""),65.0)</f>
        <v>65</v>
      </c>
      <c r="F7278" s="19" t="str">
        <f>IFERROR(__xludf.DUMMYFUNCTION("""COMPUTED_VALUE"""),"BLACK")</f>
        <v>BLACK</v>
      </c>
      <c r="G7278" s="20" t="str">
        <f>IFERROR(__xludf.DUMMYFUNCTION("""COMPUTED_VALUE"""),"Uncle Sams Cider (11/12/2021) 02")</f>
        <v>Uncle Sams Cider (11/12/2021) 02</v>
      </c>
      <c r="H7278" s="19"/>
    </row>
    <row r="7279">
      <c r="A7279" s="9"/>
      <c r="B7279" s="15"/>
      <c r="C7279" s="9">
        <f>IFERROR(__xludf.DUMMYFUNCTION("""COMPUTED_VALUE"""),44528.6948106944)</f>
        <v>44528.69481</v>
      </c>
      <c r="D7279" s="15">
        <f>IFERROR(__xludf.DUMMYFUNCTION("""COMPUTED_VALUE"""),1.041)</f>
        <v>1.041</v>
      </c>
      <c r="E7279" s="16">
        <f>IFERROR(__xludf.DUMMYFUNCTION("""COMPUTED_VALUE"""),65.0)</f>
        <v>65</v>
      </c>
      <c r="F7279" s="19" t="str">
        <f>IFERROR(__xludf.DUMMYFUNCTION("""COMPUTED_VALUE"""),"BLACK")</f>
        <v>BLACK</v>
      </c>
      <c r="G7279" s="20" t="str">
        <f>IFERROR(__xludf.DUMMYFUNCTION("""COMPUTED_VALUE"""),"Uncle Sams Cider (11/12/2021) 02")</f>
        <v>Uncle Sams Cider (11/12/2021) 02</v>
      </c>
      <c r="H7279" s="19"/>
    </row>
    <row r="7280">
      <c r="A7280" s="9"/>
      <c r="B7280" s="15"/>
      <c r="C7280" s="9">
        <f>IFERROR(__xludf.DUMMYFUNCTION("""COMPUTED_VALUE"""),44528.6843910648)</f>
        <v>44528.68439</v>
      </c>
      <c r="D7280" s="15">
        <f>IFERROR(__xludf.DUMMYFUNCTION("""COMPUTED_VALUE"""),1.041)</f>
        <v>1.041</v>
      </c>
      <c r="E7280" s="16">
        <f>IFERROR(__xludf.DUMMYFUNCTION("""COMPUTED_VALUE"""),65.0)</f>
        <v>65</v>
      </c>
      <c r="F7280" s="19" t="str">
        <f>IFERROR(__xludf.DUMMYFUNCTION("""COMPUTED_VALUE"""),"BLACK")</f>
        <v>BLACK</v>
      </c>
      <c r="G7280" s="20" t="str">
        <f>IFERROR(__xludf.DUMMYFUNCTION("""COMPUTED_VALUE"""),"Uncle Sams Cider (11/12/2021) 02")</f>
        <v>Uncle Sams Cider (11/12/2021) 02</v>
      </c>
      <c r="H7280" s="19"/>
    </row>
    <row r="7281">
      <c r="A7281" s="9"/>
      <c r="B7281" s="15"/>
      <c r="C7281" s="9">
        <f>IFERROR(__xludf.DUMMYFUNCTION("""COMPUTED_VALUE"""),44528.6739690046)</f>
        <v>44528.67397</v>
      </c>
      <c r="D7281" s="15">
        <f>IFERROR(__xludf.DUMMYFUNCTION("""COMPUTED_VALUE"""),1.041)</f>
        <v>1.041</v>
      </c>
      <c r="E7281" s="16">
        <f>IFERROR(__xludf.DUMMYFUNCTION("""COMPUTED_VALUE"""),65.0)</f>
        <v>65</v>
      </c>
      <c r="F7281" s="19" t="str">
        <f>IFERROR(__xludf.DUMMYFUNCTION("""COMPUTED_VALUE"""),"BLACK")</f>
        <v>BLACK</v>
      </c>
      <c r="G7281" s="20" t="str">
        <f>IFERROR(__xludf.DUMMYFUNCTION("""COMPUTED_VALUE"""),"Uncle Sams Cider (11/12/2021) 02")</f>
        <v>Uncle Sams Cider (11/12/2021) 02</v>
      </c>
      <c r="H7281" s="19"/>
    </row>
    <row r="7282">
      <c r="A7282" s="9"/>
      <c r="B7282" s="15"/>
      <c r="C7282" s="9">
        <f>IFERROR(__xludf.DUMMYFUNCTION("""COMPUTED_VALUE"""),44528.6635359259)</f>
        <v>44528.66354</v>
      </c>
      <c r="D7282" s="15">
        <f>IFERROR(__xludf.DUMMYFUNCTION("""COMPUTED_VALUE"""),1.041)</f>
        <v>1.041</v>
      </c>
      <c r="E7282" s="16">
        <f>IFERROR(__xludf.DUMMYFUNCTION("""COMPUTED_VALUE"""),65.0)</f>
        <v>65</v>
      </c>
      <c r="F7282" s="19" t="str">
        <f>IFERROR(__xludf.DUMMYFUNCTION("""COMPUTED_VALUE"""),"BLACK")</f>
        <v>BLACK</v>
      </c>
      <c r="G7282" s="20" t="str">
        <f>IFERROR(__xludf.DUMMYFUNCTION("""COMPUTED_VALUE"""),"Uncle Sams Cider (11/12/2021) 02")</f>
        <v>Uncle Sams Cider (11/12/2021) 02</v>
      </c>
      <c r="H7282" s="19"/>
    </row>
    <row r="7283">
      <c r="A7283" s="9"/>
      <c r="B7283" s="15"/>
      <c r="C7283" s="9">
        <f>IFERROR(__xludf.DUMMYFUNCTION("""COMPUTED_VALUE"""),44528.6531144791)</f>
        <v>44528.65311</v>
      </c>
      <c r="D7283" s="15">
        <f>IFERROR(__xludf.DUMMYFUNCTION("""COMPUTED_VALUE"""),1.041)</f>
        <v>1.041</v>
      </c>
      <c r="E7283" s="16">
        <f>IFERROR(__xludf.DUMMYFUNCTION("""COMPUTED_VALUE"""),65.0)</f>
        <v>65</v>
      </c>
      <c r="F7283" s="19" t="str">
        <f>IFERROR(__xludf.DUMMYFUNCTION("""COMPUTED_VALUE"""),"BLACK")</f>
        <v>BLACK</v>
      </c>
      <c r="G7283" s="20" t="str">
        <f>IFERROR(__xludf.DUMMYFUNCTION("""COMPUTED_VALUE"""),"Uncle Sams Cider (11/12/2021) 02")</f>
        <v>Uncle Sams Cider (11/12/2021) 02</v>
      </c>
      <c r="H7283" s="19"/>
    </row>
    <row r="7284">
      <c r="A7284" s="9"/>
      <c r="B7284" s="15"/>
      <c r="C7284" s="9">
        <f>IFERROR(__xludf.DUMMYFUNCTION("""COMPUTED_VALUE"""),44528.6426915625)</f>
        <v>44528.64269</v>
      </c>
      <c r="D7284" s="15">
        <f>IFERROR(__xludf.DUMMYFUNCTION("""COMPUTED_VALUE"""),1.041)</f>
        <v>1.041</v>
      </c>
      <c r="E7284" s="16">
        <f>IFERROR(__xludf.DUMMYFUNCTION("""COMPUTED_VALUE"""),65.0)</f>
        <v>65</v>
      </c>
      <c r="F7284" s="19" t="str">
        <f>IFERROR(__xludf.DUMMYFUNCTION("""COMPUTED_VALUE"""),"BLACK")</f>
        <v>BLACK</v>
      </c>
      <c r="G7284" s="20" t="str">
        <f>IFERROR(__xludf.DUMMYFUNCTION("""COMPUTED_VALUE"""),"Uncle Sams Cider (11/12/2021) 02")</f>
        <v>Uncle Sams Cider (11/12/2021) 02</v>
      </c>
      <c r="H7284" s="19"/>
    </row>
    <row r="7285">
      <c r="A7285" s="9"/>
      <c r="B7285" s="15"/>
      <c r="C7285" s="9">
        <f>IFERROR(__xludf.DUMMYFUNCTION("""COMPUTED_VALUE"""),44528.6322708796)</f>
        <v>44528.63227</v>
      </c>
      <c r="D7285" s="15">
        <f>IFERROR(__xludf.DUMMYFUNCTION("""COMPUTED_VALUE"""),1.041)</f>
        <v>1.041</v>
      </c>
      <c r="E7285" s="16">
        <f>IFERROR(__xludf.DUMMYFUNCTION("""COMPUTED_VALUE"""),65.0)</f>
        <v>65</v>
      </c>
      <c r="F7285" s="19" t="str">
        <f>IFERROR(__xludf.DUMMYFUNCTION("""COMPUTED_VALUE"""),"BLACK")</f>
        <v>BLACK</v>
      </c>
      <c r="G7285" s="20" t="str">
        <f>IFERROR(__xludf.DUMMYFUNCTION("""COMPUTED_VALUE"""),"Uncle Sams Cider (11/12/2021) 02")</f>
        <v>Uncle Sams Cider (11/12/2021) 02</v>
      </c>
      <c r="H7285" s="19"/>
    </row>
    <row r="7286">
      <c r="A7286" s="9"/>
      <c r="B7286" s="15"/>
      <c r="C7286" s="9">
        <f>IFERROR(__xludf.DUMMYFUNCTION("""COMPUTED_VALUE"""),44528.6218500925)</f>
        <v>44528.62185</v>
      </c>
      <c r="D7286" s="15">
        <f>IFERROR(__xludf.DUMMYFUNCTION("""COMPUTED_VALUE"""),1.041)</f>
        <v>1.041</v>
      </c>
      <c r="E7286" s="16">
        <f>IFERROR(__xludf.DUMMYFUNCTION("""COMPUTED_VALUE"""),65.0)</f>
        <v>65</v>
      </c>
      <c r="F7286" s="19" t="str">
        <f>IFERROR(__xludf.DUMMYFUNCTION("""COMPUTED_VALUE"""),"BLACK")</f>
        <v>BLACK</v>
      </c>
      <c r="G7286" s="20" t="str">
        <f>IFERROR(__xludf.DUMMYFUNCTION("""COMPUTED_VALUE"""),"Uncle Sams Cider (11/12/2021) 02")</f>
        <v>Uncle Sams Cider (11/12/2021) 02</v>
      </c>
      <c r="H7286" s="19"/>
    </row>
    <row r="7287">
      <c r="A7287" s="9"/>
      <c r="B7287" s="15"/>
      <c r="C7287" s="9">
        <f>IFERROR(__xludf.DUMMYFUNCTION("""COMPUTED_VALUE"""),44528.611428831)</f>
        <v>44528.61143</v>
      </c>
      <c r="D7287" s="15">
        <f>IFERROR(__xludf.DUMMYFUNCTION("""COMPUTED_VALUE"""),1.041)</f>
        <v>1.041</v>
      </c>
      <c r="E7287" s="16">
        <f>IFERROR(__xludf.DUMMYFUNCTION("""COMPUTED_VALUE"""),65.0)</f>
        <v>65</v>
      </c>
      <c r="F7287" s="19" t="str">
        <f>IFERROR(__xludf.DUMMYFUNCTION("""COMPUTED_VALUE"""),"BLACK")</f>
        <v>BLACK</v>
      </c>
      <c r="G7287" s="20" t="str">
        <f>IFERROR(__xludf.DUMMYFUNCTION("""COMPUTED_VALUE"""),"Uncle Sams Cider (11/12/2021) 02")</f>
        <v>Uncle Sams Cider (11/12/2021) 02</v>
      </c>
      <c r="H7287" s="19"/>
    </row>
    <row r="7288">
      <c r="A7288" s="9"/>
      <c r="B7288" s="15"/>
      <c r="C7288" s="9">
        <f>IFERROR(__xludf.DUMMYFUNCTION("""COMPUTED_VALUE"""),44528.6010077314)</f>
        <v>44528.60101</v>
      </c>
      <c r="D7288" s="15">
        <f>IFERROR(__xludf.DUMMYFUNCTION("""COMPUTED_VALUE"""),1.041)</f>
        <v>1.041</v>
      </c>
      <c r="E7288" s="16">
        <f>IFERROR(__xludf.DUMMYFUNCTION("""COMPUTED_VALUE"""),65.0)</f>
        <v>65</v>
      </c>
      <c r="F7288" s="19" t="str">
        <f>IFERROR(__xludf.DUMMYFUNCTION("""COMPUTED_VALUE"""),"BLACK")</f>
        <v>BLACK</v>
      </c>
      <c r="G7288" s="20" t="str">
        <f>IFERROR(__xludf.DUMMYFUNCTION("""COMPUTED_VALUE"""),"Uncle Sams Cider (11/12/2021) 02")</f>
        <v>Uncle Sams Cider (11/12/2021) 02</v>
      </c>
      <c r="H7288" s="19"/>
    </row>
    <row r="7289">
      <c r="A7289" s="9"/>
      <c r="B7289" s="15"/>
      <c r="C7289" s="9">
        <f>IFERROR(__xludf.DUMMYFUNCTION("""COMPUTED_VALUE"""),44528.5905874189)</f>
        <v>44528.59059</v>
      </c>
      <c r="D7289" s="15">
        <f>IFERROR(__xludf.DUMMYFUNCTION("""COMPUTED_VALUE"""),1.041)</f>
        <v>1.041</v>
      </c>
      <c r="E7289" s="16">
        <f>IFERROR(__xludf.DUMMYFUNCTION("""COMPUTED_VALUE"""),65.0)</f>
        <v>65</v>
      </c>
      <c r="F7289" s="19" t="str">
        <f>IFERROR(__xludf.DUMMYFUNCTION("""COMPUTED_VALUE"""),"BLACK")</f>
        <v>BLACK</v>
      </c>
      <c r="G7289" s="20" t="str">
        <f>IFERROR(__xludf.DUMMYFUNCTION("""COMPUTED_VALUE"""),"Uncle Sams Cider (11/12/2021) 02")</f>
        <v>Uncle Sams Cider (11/12/2021) 02</v>
      </c>
      <c r="H7289" s="19"/>
    </row>
    <row r="7290">
      <c r="A7290" s="9"/>
      <c r="B7290" s="15"/>
      <c r="C7290" s="9">
        <f>IFERROR(__xludf.DUMMYFUNCTION("""COMPUTED_VALUE"""),44528.580165787)</f>
        <v>44528.58017</v>
      </c>
      <c r="D7290" s="15">
        <f>IFERROR(__xludf.DUMMYFUNCTION("""COMPUTED_VALUE"""),1.041)</f>
        <v>1.041</v>
      </c>
      <c r="E7290" s="16">
        <f>IFERROR(__xludf.DUMMYFUNCTION("""COMPUTED_VALUE"""),65.0)</f>
        <v>65</v>
      </c>
      <c r="F7290" s="19" t="str">
        <f>IFERROR(__xludf.DUMMYFUNCTION("""COMPUTED_VALUE"""),"BLACK")</f>
        <v>BLACK</v>
      </c>
      <c r="G7290" s="20" t="str">
        <f>IFERROR(__xludf.DUMMYFUNCTION("""COMPUTED_VALUE"""),"Uncle Sams Cider (11/12/2021) 02")</f>
        <v>Uncle Sams Cider (11/12/2021) 02</v>
      </c>
      <c r="H7290" s="19"/>
    </row>
    <row r="7291">
      <c r="A7291" s="9"/>
      <c r="B7291" s="15"/>
      <c r="C7291" s="9">
        <f>IFERROR(__xludf.DUMMYFUNCTION("""COMPUTED_VALUE"""),44528.5697329513)</f>
        <v>44528.56973</v>
      </c>
      <c r="D7291" s="15">
        <f>IFERROR(__xludf.DUMMYFUNCTION("""COMPUTED_VALUE"""),1.041)</f>
        <v>1.041</v>
      </c>
      <c r="E7291" s="16">
        <f>IFERROR(__xludf.DUMMYFUNCTION("""COMPUTED_VALUE"""),65.0)</f>
        <v>65</v>
      </c>
      <c r="F7291" s="19" t="str">
        <f>IFERROR(__xludf.DUMMYFUNCTION("""COMPUTED_VALUE"""),"BLACK")</f>
        <v>BLACK</v>
      </c>
      <c r="G7291" s="20" t="str">
        <f>IFERROR(__xludf.DUMMYFUNCTION("""COMPUTED_VALUE"""),"Uncle Sams Cider (11/12/2021) 02")</f>
        <v>Uncle Sams Cider (11/12/2021) 02</v>
      </c>
      <c r="H7291" s="19"/>
    </row>
    <row r="7292">
      <c r="A7292" s="9"/>
      <c r="B7292" s="15"/>
      <c r="C7292" s="9">
        <f>IFERROR(__xludf.DUMMYFUNCTION("""COMPUTED_VALUE"""),44528.5592998032)</f>
        <v>44528.5593</v>
      </c>
      <c r="D7292" s="15">
        <f>IFERROR(__xludf.DUMMYFUNCTION("""COMPUTED_VALUE"""),1.041)</f>
        <v>1.041</v>
      </c>
      <c r="E7292" s="16">
        <f>IFERROR(__xludf.DUMMYFUNCTION("""COMPUTED_VALUE"""),65.0)</f>
        <v>65</v>
      </c>
      <c r="F7292" s="19" t="str">
        <f>IFERROR(__xludf.DUMMYFUNCTION("""COMPUTED_VALUE"""),"BLACK")</f>
        <v>BLACK</v>
      </c>
      <c r="G7292" s="20" t="str">
        <f>IFERROR(__xludf.DUMMYFUNCTION("""COMPUTED_VALUE"""),"Uncle Sams Cider (11/12/2021) 02")</f>
        <v>Uncle Sams Cider (11/12/2021) 02</v>
      </c>
      <c r="H7292" s="19"/>
    </row>
    <row r="7293">
      <c r="A7293" s="9"/>
      <c r="B7293" s="15"/>
      <c r="C7293" s="9">
        <f>IFERROR(__xludf.DUMMYFUNCTION("""COMPUTED_VALUE"""),44528.5488781712)</f>
        <v>44528.54888</v>
      </c>
      <c r="D7293" s="15">
        <f>IFERROR(__xludf.DUMMYFUNCTION("""COMPUTED_VALUE"""),1.041)</f>
        <v>1.041</v>
      </c>
      <c r="E7293" s="16">
        <f>IFERROR(__xludf.DUMMYFUNCTION("""COMPUTED_VALUE"""),65.0)</f>
        <v>65</v>
      </c>
      <c r="F7293" s="19" t="str">
        <f>IFERROR(__xludf.DUMMYFUNCTION("""COMPUTED_VALUE"""),"BLACK")</f>
        <v>BLACK</v>
      </c>
      <c r="G7293" s="20" t="str">
        <f>IFERROR(__xludf.DUMMYFUNCTION("""COMPUTED_VALUE"""),"Uncle Sams Cider (11/12/2021) 02")</f>
        <v>Uncle Sams Cider (11/12/2021) 02</v>
      </c>
      <c r="H7293" s="19"/>
    </row>
    <row r="7294">
      <c r="A7294" s="9"/>
      <c r="B7294" s="15"/>
      <c r="C7294" s="9">
        <f>IFERROR(__xludf.DUMMYFUNCTION("""COMPUTED_VALUE"""),44528.5384582291)</f>
        <v>44528.53846</v>
      </c>
      <c r="D7294" s="15">
        <f>IFERROR(__xludf.DUMMYFUNCTION("""COMPUTED_VALUE"""),1.041)</f>
        <v>1.041</v>
      </c>
      <c r="E7294" s="16">
        <f>IFERROR(__xludf.DUMMYFUNCTION("""COMPUTED_VALUE"""),65.0)</f>
        <v>65</v>
      </c>
      <c r="F7294" s="19" t="str">
        <f>IFERROR(__xludf.DUMMYFUNCTION("""COMPUTED_VALUE"""),"BLACK")</f>
        <v>BLACK</v>
      </c>
      <c r="G7294" s="20" t="str">
        <f>IFERROR(__xludf.DUMMYFUNCTION("""COMPUTED_VALUE"""),"Uncle Sams Cider (11/12/2021) 02")</f>
        <v>Uncle Sams Cider (11/12/2021) 02</v>
      </c>
      <c r="H7294" s="19"/>
    </row>
    <row r="7295">
      <c r="A7295" s="9"/>
      <c r="B7295" s="15"/>
      <c r="C7295" s="9">
        <f>IFERROR(__xludf.DUMMYFUNCTION("""COMPUTED_VALUE"""),44528.5280349768)</f>
        <v>44528.52803</v>
      </c>
      <c r="D7295" s="15">
        <f>IFERROR(__xludf.DUMMYFUNCTION("""COMPUTED_VALUE"""),1.041)</f>
        <v>1.041</v>
      </c>
      <c r="E7295" s="16">
        <f>IFERROR(__xludf.DUMMYFUNCTION("""COMPUTED_VALUE"""),65.0)</f>
        <v>65</v>
      </c>
      <c r="F7295" s="19" t="str">
        <f>IFERROR(__xludf.DUMMYFUNCTION("""COMPUTED_VALUE"""),"BLACK")</f>
        <v>BLACK</v>
      </c>
      <c r="G7295" s="20" t="str">
        <f>IFERROR(__xludf.DUMMYFUNCTION("""COMPUTED_VALUE"""),"Uncle Sams Cider (11/12/2021) 02")</f>
        <v>Uncle Sams Cider (11/12/2021) 02</v>
      </c>
      <c r="H7295" s="19"/>
    </row>
    <row r="7296">
      <c r="A7296" s="9"/>
      <c r="B7296" s="15"/>
      <c r="C7296" s="9">
        <f>IFERROR(__xludf.DUMMYFUNCTION("""COMPUTED_VALUE"""),44528.5176020254)</f>
        <v>44528.5176</v>
      </c>
      <c r="D7296" s="15">
        <f>IFERROR(__xludf.DUMMYFUNCTION("""COMPUTED_VALUE"""),1.041)</f>
        <v>1.041</v>
      </c>
      <c r="E7296" s="16">
        <f>IFERROR(__xludf.DUMMYFUNCTION("""COMPUTED_VALUE"""),65.0)</f>
        <v>65</v>
      </c>
      <c r="F7296" s="19" t="str">
        <f>IFERROR(__xludf.DUMMYFUNCTION("""COMPUTED_VALUE"""),"BLACK")</f>
        <v>BLACK</v>
      </c>
      <c r="G7296" s="20" t="str">
        <f>IFERROR(__xludf.DUMMYFUNCTION("""COMPUTED_VALUE"""),"Uncle Sams Cider (11/12/2021) 02")</f>
        <v>Uncle Sams Cider (11/12/2021) 02</v>
      </c>
      <c r="H7296" s="19"/>
    </row>
    <row r="7297">
      <c r="A7297" s="9"/>
      <c r="B7297" s="15"/>
      <c r="C7297" s="9">
        <f>IFERROR(__xludf.DUMMYFUNCTION("""COMPUTED_VALUE"""),44528.5071799189)</f>
        <v>44528.50718</v>
      </c>
      <c r="D7297" s="15">
        <f>IFERROR(__xludf.DUMMYFUNCTION("""COMPUTED_VALUE"""),1.041)</f>
        <v>1.041</v>
      </c>
      <c r="E7297" s="16">
        <f>IFERROR(__xludf.DUMMYFUNCTION("""COMPUTED_VALUE"""),65.0)</f>
        <v>65</v>
      </c>
      <c r="F7297" s="19" t="str">
        <f>IFERROR(__xludf.DUMMYFUNCTION("""COMPUTED_VALUE"""),"BLACK")</f>
        <v>BLACK</v>
      </c>
      <c r="G7297" s="20" t="str">
        <f>IFERROR(__xludf.DUMMYFUNCTION("""COMPUTED_VALUE"""),"Uncle Sams Cider (11/12/2021) 02")</f>
        <v>Uncle Sams Cider (11/12/2021) 02</v>
      </c>
      <c r="H7297" s="19"/>
    </row>
    <row r="7298">
      <c r="A7298" s="9"/>
      <c r="B7298" s="15"/>
      <c r="C7298" s="9">
        <f>IFERROR(__xludf.DUMMYFUNCTION("""COMPUTED_VALUE"""),44528.4967583564)</f>
        <v>44528.49676</v>
      </c>
      <c r="D7298" s="15">
        <f>IFERROR(__xludf.DUMMYFUNCTION("""COMPUTED_VALUE"""),1.041)</f>
        <v>1.041</v>
      </c>
      <c r="E7298" s="16">
        <f>IFERROR(__xludf.DUMMYFUNCTION("""COMPUTED_VALUE"""),65.0)</f>
        <v>65</v>
      </c>
      <c r="F7298" s="19" t="str">
        <f>IFERROR(__xludf.DUMMYFUNCTION("""COMPUTED_VALUE"""),"BLACK")</f>
        <v>BLACK</v>
      </c>
      <c r="G7298" s="20" t="str">
        <f>IFERROR(__xludf.DUMMYFUNCTION("""COMPUTED_VALUE"""),"Uncle Sams Cider (11/12/2021) 02")</f>
        <v>Uncle Sams Cider (11/12/2021) 02</v>
      </c>
      <c r="H7298" s="19"/>
    </row>
    <row r="7299">
      <c r="A7299" s="9"/>
      <c r="B7299" s="15"/>
      <c r="C7299" s="9">
        <f>IFERROR(__xludf.DUMMYFUNCTION("""COMPUTED_VALUE"""),44528.4863379745)</f>
        <v>44528.48634</v>
      </c>
      <c r="D7299" s="15">
        <f>IFERROR(__xludf.DUMMYFUNCTION("""COMPUTED_VALUE"""),1.041)</f>
        <v>1.041</v>
      </c>
      <c r="E7299" s="16">
        <f>IFERROR(__xludf.DUMMYFUNCTION("""COMPUTED_VALUE"""),65.0)</f>
        <v>65</v>
      </c>
      <c r="F7299" s="19" t="str">
        <f>IFERROR(__xludf.DUMMYFUNCTION("""COMPUTED_VALUE"""),"BLACK")</f>
        <v>BLACK</v>
      </c>
      <c r="G7299" s="20" t="str">
        <f>IFERROR(__xludf.DUMMYFUNCTION("""COMPUTED_VALUE"""),"Uncle Sams Cider (11/12/2021) 02")</f>
        <v>Uncle Sams Cider (11/12/2021) 02</v>
      </c>
      <c r="H7299" s="19"/>
    </row>
    <row r="7300">
      <c r="A7300" s="9"/>
      <c r="B7300" s="15"/>
      <c r="C7300" s="9">
        <f>IFERROR(__xludf.DUMMYFUNCTION("""COMPUTED_VALUE"""),44528.475915243)</f>
        <v>44528.47592</v>
      </c>
      <c r="D7300" s="15">
        <f>IFERROR(__xludf.DUMMYFUNCTION("""COMPUTED_VALUE"""),1.042)</f>
        <v>1.042</v>
      </c>
      <c r="E7300" s="16">
        <f>IFERROR(__xludf.DUMMYFUNCTION("""COMPUTED_VALUE"""),65.0)</f>
        <v>65</v>
      </c>
      <c r="F7300" s="19" t="str">
        <f>IFERROR(__xludf.DUMMYFUNCTION("""COMPUTED_VALUE"""),"BLACK")</f>
        <v>BLACK</v>
      </c>
      <c r="G7300" s="20" t="str">
        <f>IFERROR(__xludf.DUMMYFUNCTION("""COMPUTED_VALUE"""),"Uncle Sams Cider (11/12/2021) 02")</f>
        <v>Uncle Sams Cider (11/12/2021) 02</v>
      </c>
      <c r="H7300" s="19"/>
    </row>
    <row r="7301">
      <c r="A7301" s="9"/>
      <c r="B7301" s="15"/>
      <c r="C7301" s="9">
        <f>IFERROR(__xludf.DUMMYFUNCTION("""COMPUTED_VALUE"""),44528.4654935185)</f>
        <v>44528.46549</v>
      </c>
      <c r="D7301" s="15">
        <f>IFERROR(__xludf.DUMMYFUNCTION("""COMPUTED_VALUE"""),1.042)</f>
        <v>1.042</v>
      </c>
      <c r="E7301" s="16">
        <f>IFERROR(__xludf.DUMMYFUNCTION("""COMPUTED_VALUE"""),65.0)</f>
        <v>65</v>
      </c>
      <c r="F7301" s="19" t="str">
        <f>IFERROR(__xludf.DUMMYFUNCTION("""COMPUTED_VALUE"""),"BLACK")</f>
        <v>BLACK</v>
      </c>
      <c r="G7301" s="20" t="str">
        <f>IFERROR(__xludf.DUMMYFUNCTION("""COMPUTED_VALUE"""),"Uncle Sams Cider (11/12/2021) 02")</f>
        <v>Uncle Sams Cider (11/12/2021) 02</v>
      </c>
      <c r="H7301" s="19"/>
    </row>
    <row r="7302">
      <c r="A7302" s="9"/>
      <c r="B7302" s="15"/>
      <c r="C7302" s="9">
        <f>IFERROR(__xludf.DUMMYFUNCTION("""COMPUTED_VALUE"""),44528.4550735763)</f>
        <v>44528.45507</v>
      </c>
      <c r="D7302" s="15">
        <f>IFERROR(__xludf.DUMMYFUNCTION("""COMPUTED_VALUE"""),1.042)</f>
        <v>1.042</v>
      </c>
      <c r="E7302" s="16">
        <f>IFERROR(__xludf.DUMMYFUNCTION("""COMPUTED_VALUE"""),65.0)</f>
        <v>65</v>
      </c>
      <c r="F7302" s="19" t="str">
        <f>IFERROR(__xludf.DUMMYFUNCTION("""COMPUTED_VALUE"""),"BLACK")</f>
        <v>BLACK</v>
      </c>
      <c r="G7302" s="20" t="str">
        <f>IFERROR(__xludf.DUMMYFUNCTION("""COMPUTED_VALUE"""),"Uncle Sams Cider (11/12/2021) 02")</f>
        <v>Uncle Sams Cider (11/12/2021) 02</v>
      </c>
      <c r="H7302" s="19"/>
    </row>
    <row r="7303">
      <c r="A7303" s="9"/>
      <c r="B7303" s="15"/>
      <c r="C7303" s="9">
        <f>IFERROR(__xludf.DUMMYFUNCTION("""COMPUTED_VALUE"""),44528.4446524884)</f>
        <v>44528.44465</v>
      </c>
      <c r="D7303" s="15">
        <f>IFERROR(__xludf.DUMMYFUNCTION("""COMPUTED_VALUE"""),1.041)</f>
        <v>1.041</v>
      </c>
      <c r="E7303" s="16">
        <f>IFERROR(__xludf.DUMMYFUNCTION("""COMPUTED_VALUE"""),65.0)</f>
        <v>65</v>
      </c>
      <c r="F7303" s="19" t="str">
        <f>IFERROR(__xludf.DUMMYFUNCTION("""COMPUTED_VALUE"""),"BLACK")</f>
        <v>BLACK</v>
      </c>
      <c r="G7303" s="20" t="str">
        <f>IFERROR(__xludf.DUMMYFUNCTION("""COMPUTED_VALUE"""),"Uncle Sams Cider (11/12/2021) 02")</f>
        <v>Uncle Sams Cider (11/12/2021) 02</v>
      </c>
      <c r="H7303" s="19"/>
    </row>
    <row r="7304">
      <c r="A7304" s="9"/>
      <c r="B7304" s="15"/>
      <c r="C7304" s="9">
        <f>IFERROR(__xludf.DUMMYFUNCTION("""COMPUTED_VALUE"""),44528.4342309375)</f>
        <v>44528.43423</v>
      </c>
      <c r="D7304" s="15">
        <f>IFERROR(__xludf.DUMMYFUNCTION("""COMPUTED_VALUE"""),1.042)</f>
        <v>1.042</v>
      </c>
      <c r="E7304" s="16">
        <f>IFERROR(__xludf.DUMMYFUNCTION("""COMPUTED_VALUE"""),65.0)</f>
        <v>65</v>
      </c>
      <c r="F7304" s="19" t="str">
        <f>IFERROR(__xludf.DUMMYFUNCTION("""COMPUTED_VALUE"""),"BLACK")</f>
        <v>BLACK</v>
      </c>
      <c r="G7304" s="20" t="str">
        <f>IFERROR(__xludf.DUMMYFUNCTION("""COMPUTED_VALUE"""),"Uncle Sams Cider (11/12/2021) 02")</f>
        <v>Uncle Sams Cider (11/12/2021) 02</v>
      </c>
      <c r="H7304" s="19"/>
    </row>
    <row r="7305">
      <c r="A7305" s="9"/>
      <c r="B7305" s="15"/>
      <c r="C7305" s="9">
        <f>IFERROR(__xludf.DUMMYFUNCTION("""COMPUTED_VALUE"""),44528.4238097685)</f>
        <v>44528.42381</v>
      </c>
      <c r="D7305" s="15">
        <f>IFERROR(__xludf.DUMMYFUNCTION("""COMPUTED_VALUE"""),1.042)</f>
        <v>1.042</v>
      </c>
      <c r="E7305" s="16">
        <f>IFERROR(__xludf.DUMMYFUNCTION("""COMPUTED_VALUE"""),65.0)</f>
        <v>65</v>
      </c>
      <c r="F7305" s="19" t="str">
        <f>IFERROR(__xludf.DUMMYFUNCTION("""COMPUTED_VALUE"""),"BLACK")</f>
        <v>BLACK</v>
      </c>
      <c r="G7305" s="20" t="str">
        <f>IFERROR(__xludf.DUMMYFUNCTION("""COMPUTED_VALUE"""),"Uncle Sams Cider (11/12/2021) 02")</f>
        <v>Uncle Sams Cider (11/12/2021) 02</v>
      </c>
      <c r="H7305" s="19"/>
    </row>
    <row r="7306">
      <c r="A7306" s="9"/>
      <c r="B7306" s="15"/>
      <c r="C7306" s="9">
        <f>IFERROR(__xludf.DUMMYFUNCTION("""COMPUTED_VALUE"""),44528.4133895023)</f>
        <v>44528.41339</v>
      </c>
      <c r="D7306" s="15">
        <f>IFERROR(__xludf.DUMMYFUNCTION("""COMPUTED_VALUE"""),1.042)</f>
        <v>1.042</v>
      </c>
      <c r="E7306" s="16">
        <f>IFERROR(__xludf.DUMMYFUNCTION("""COMPUTED_VALUE"""),65.0)</f>
        <v>65</v>
      </c>
      <c r="F7306" s="19" t="str">
        <f>IFERROR(__xludf.DUMMYFUNCTION("""COMPUTED_VALUE"""),"BLACK")</f>
        <v>BLACK</v>
      </c>
      <c r="G7306" s="20" t="str">
        <f>IFERROR(__xludf.DUMMYFUNCTION("""COMPUTED_VALUE"""),"Uncle Sams Cider (11/12/2021) 02")</f>
        <v>Uncle Sams Cider (11/12/2021) 02</v>
      </c>
      <c r="H7306" s="19"/>
    </row>
    <row r="7307">
      <c r="A7307" s="9"/>
      <c r="B7307" s="15"/>
      <c r="C7307" s="9">
        <f>IFERROR(__xludf.DUMMYFUNCTION("""COMPUTED_VALUE"""),44528.4029571412)</f>
        <v>44528.40296</v>
      </c>
      <c r="D7307" s="15">
        <f>IFERROR(__xludf.DUMMYFUNCTION("""COMPUTED_VALUE"""),1.042)</f>
        <v>1.042</v>
      </c>
      <c r="E7307" s="16">
        <f>IFERROR(__xludf.DUMMYFUNCTION("""COMPUTED_VALUE"""),65.0)</f>
        <v>65</v>
      </c>
      <c r="F7307" s="19" t="str">
        <f>IFERROR(__xludf.DUMMYFUNCTION("""COMPUTED_VALUE"""),"BLACK")</f>
        <v>BLACK</v>
      </c>
      <c r="G7307" s="20" t="str">
        <f>IFERROR(__xludf.DUMMYFUNCTION("""COMPUTED_VALUE"""),"Uncle Sams Cider (11/12/2021) 02")</f>
        <v>Uncle Sams Cider (11/12/2021) 02</v>
      </c>
      <c r="H7307" s="19"/>
    </row>
    <row r="7308">
      <c r="A7308" s="9"/>
      <c r="B7308" s="15"/>
      <c r="C7308" s="9">
        <f>IFERROR(__xludf.DUMMYFUNCTION("""COMPUTED_VALUE"""),44528.3925367245)</f>
        <v>44528.39254</v>
      </c>
      <c r="D7308" s="15">
        <f>IFERROR(__xludf.DUMMYFUNCTION("""COMPUTED_VALUE"""),1.042)</f>
        <v>1.042</v>
      </c>
      <c r="E7308" s="16">
        <f>IFERROR(__xludf.DUMMYFUNCTION("""COMPUTED_VALUE"""),65.0)</f>
        <v>65</v>
      </c>
      <c r="F7308" s="19" t="str">
        <f>IFERROR(__xludf.DUMMYFUNCTION("""COMPUTED_VALUE"""),"BLACK")</f>
        <v>BLACK</v>
      </c>
      <c r="G7308" s="20" t="str">
        <f>IFERROR(__xludf.DUMMYFUNCTION("""COMPUTED_VALUE"""),"Uncle Sams Cider (11/12/2021) 02")</f>
        <v>Uncle Sams Cider (11/12/2021) 02</v>
      </c>
      <c r="H7308" s="19"/>
    </row>
    <row r="7309">
      <c r="A7309" s="9"/>
      <c r="B7309" s="15"/>
      <c r="C7309" s="9">
        <f>IFERROR(__xludf.DUMMYFUNCTION("""COMPUTED_VALUE"""),44528.3821157986)</f>
        <v>44528.38212</v>
      </c>
      <c r="D7309" s="15">
        <f>IFERROR(__xludf.DUMMYFUNCTION("""COMPUTED_VALUE"""),1.042)</f>
        <v>1.042</v>
      </c>
      <c r="E7309" s="16">
        <f>IFERROR(__xludf.DUMMYFUNCTION("""COMPUTED_VALUE"""),65.0)</f>
        <v>65</v>
      </c>
      <c r="F7309" s="19" t="str">
        <f>IFERROR(__xludf.DUMMYFUNCTION("""COMPUTED_VALUE"""),"BLACK")</f>
        <v>BLACK</v>
      </c>
      <c r="G7309" s="20" t="str">
        <f>IFERROR(__xludf.DUMMYFUNCTION("""COMPUTED_VALUE"""),"Uncle Sams Cider (11/12/2021) 02")</f>
        <v>Uncle Sams Cider (11/12/2021) 02</v>
      </c>
      <c r="H7309" s="19"/>
    </row>
    <row r="7310">
      <c r="A7310" s="9"/>
      <c r="B7310" s="15"/>
      <c r="C7310" s="9">
        <f>IFERROR(__xludf.DUMMYFUNCTION("""COMPUTED_VALUE"""),44528.3716711458)</f>
        <v>44528.37167</v>
      </c>
      <c r="D7310" s="15">
        <f>IFERROR(__xludf.DUMMYFUNCTION("""COMPUTED_VALUE"""),1.042)</f>
        <v>1.042</v>
      </c>
      <c r="E7310" s="16">
        <f>IFERROR(__xludf.DUMMYFUNCTION("""COMPUTED_VALUE"""),65.0)</f>
        <v>65</v>
      </c>
      <c r="F7310" s="19" t="str">
        <f>IFERROR(__xludf.DUMMYFUNCTION("""COMPUTED_VALUE"""),"BLACK")</f>
        <v>BLACK</v>
      </c>
      <c r="G7310" s="20" t="str">
        <f>IFERROR(__xludf.DUMMYFUNCTION("""COMPUTED_VALUE"""),"Uncle Sams Cider (11/12/2021) 02")</f>
        <v>Uncle Sams Cider (11/12/2021) 02</v>
      </c>
      <c r="H7310" s="19"/>
    </row>
    <row r="7311">
      <c r="A7311" s="9"/>
      <c r="B7311" s="15"/>
      <c r="C7311" s="9">
        <f>IFERROR(__xludf.DUMMYFUNCTION("""COMPUTED_VALUE"""),44528.3612491782)</f>
        <v>44528.36125</v>
      </c>
      <c r="D7311" s="15">
        <f>IFERROR(__xludf.DUMMYFUNCTION("""COMPUTED_VALUE"""),1.042)</f>
        <v>1.042</v>
      </c>
      <c r="E7311" s="16">
        <f>IFERROR(__xludf.DUMMYFUNCTION("""COMPUTED_VALUE"""),65.0)</f>
        <v>65</v>
      </c>
      <c r="F7311" s="19" t="str">
        <f>IFERROR(__xludf.DUMMYFUNCTION("""COMPUTED_VALUE"""),"BLACK")</f>
        <v>BLACK</v>
      </c>
      <c r="G7311" s="20" t="str">
        <f>IFERROR(__xludf.DUMMYFUNCTION("""COMPUTED_VALUE"""),"Uncle Sams Cider (11/12/2021) 02")</f>
        <v>Uncle Sams Cider (11/12/2021) 02</v>
      </c>
      <c r="H7311" s="19"/>
    </row>
    <row r="7312">
      <c r="A7312" s="9"/>
      <c r="B7312" s="15"/>
      <c r="C7312" s="9">
        <f>IFERROR(__xludf.DUMMYFUNCTION("""COMPUTED_VALUE"""),44528.3508150578)</f>
        <v>44528.35082</v>
      </c>
      <c r="D7312" s="15">
        <f>IFERROR(__xludf.DUMMYFUNCTION("""COMPUTED_VALUE"""),1.042)</f>
        <v>1.042</v>
      </c>
      <c r="E7312" s="16">
        <f>IFERROR(__xludf.DUMMYFUNCTION("""COMPUTED_VALUE"""),65.0)</f>
        <v>65</v>
      </c>
      <c r="F7312" s="19" t="str">
        <f>IFERROR(__xludf.DUMMYFUNCTION("""COMPUTED_VALUE"""),"BLACK")</f>
        <v>BLACK</v>
      </c>
      <c r="G7312" s="20" t="str">
        <f>IFERROR(__xludf.DUMMYFUNCTION("""COMPUTED_VALUE"""),"Uncle Sams Cider (11/12/2021) 02")</f>
        <v>Uncle Sams Cider (11/12/2021) 02</v>
      </c>
      <c r="H7312" s="19"/>
    </row>
    <row r="7313">
      <c r="A7313" s="9"/>
      <c r="B7313" s="15"/>
      <c r="C7313" s="9">
        <f>IFERROR(__xludf.DUMMYFUNCTION("""COMPUTED_VALUE"""),44528.3403822106)</f>
        <v>44528.34038</v>
      </c>
      <c r="D7313" s="15">
        <f>IFERROR(__xludf.DUMMYFUNCTION("""COMPUTED_VALUE"""),1.042)</f>
        <v>1.042</v>
      </c>
      <c r="E7313" s="16">
        <f>IFERROR(__xludf.DUMMYFUNCTION("""COMPUTED_VALUE"""),65.0)</f>
        <v>65</v>
      </c>
      <c r="F7313" s="19" t="str">
        <f>IFERROR(__xludf.DUMMYFUNCTION("""COMPUTED_VALUE"""),"BLACK")</f>
        <v>BLACK</v>
      </c>
      <c r="G7313" s="20" t="str">
        <f>IFERROR(__xludf.DUMMYFUNCTION("""COMPUTED_VALUE"""),"Uncle Sams Cider (11/12/2021) 02")</f>
        <v>Uncle Sams Cider (11/12/2021) 02</v>
      </c>
      <c r="H7313" s="19"/>
    </row>
    <row r="7314">
      <c r="A7314" s="9"/>
      <c r="B7314" s="15"/>
      <c r="C7314" s="9">
        <f>IFERROR(__xludf.DUMMYFUNCTION("""COMPUTED_VALUE"""),44528.3299484143)</f>
        <v>44528.32995</v>
      </c>
      <c r="D7314" s="15">
        <f>IFERROR(__xludf.DUMMYFUNCTION("""COMPUTED_VALUE"""),1.042)</f>
        <v>1.042</v>
      </c>
      <c r="E7314" s="16">
        <f>IFERROR(__xludf.DUMMYFUNCTION("""COMPUTED_VALUE"""),65.0)</f>
        <v>65</v>
      </c>
      <c r="F7314" s="19" t="str">
        <f>IFERROR(__xludf.DUMMYFUNCTION("""COMPUTED_VALUE"""),"BLACK")</f>
        <v>BLACK</v>
      </c>
      <c r="G7314" s="20" t="str">
        <f>IFERROR(__xludf.DUMMYFUNCTION("""COMPUTED_VALUE"""),"Uncle Sams Cider (11/12/2021) 02")</f>
        <v>Uncle Sams Cider (11/12/2021) 02</v>
      </c>
      <c r="H7314" s="19"/>
    </row>
    <row r="7315">
      <c r="A7315" s="9"/>
      <c r="B7315" s="15"/>
      <c r="C7315" s="9">
        <f>IFERROR(__xludf.DUMMYFUNCTION("""COMPUTED_VALUE"""),44528.3195262037)</f>
        <v>44528.31953</v>
      </c>
      <c r="D7315" s="15">
        <f>IFERROR(__xludf.DUMMYFUNCTION("""COMPUTED_VALUE"""),1.042)</f>
        <v>1.042</v>
      </c>
      <c r="E7315" s="16">
        <f>IFERROR(__xludf.DUMMYFUNCTION("""COMPUTED_VALUE"""),65.0)</f>
        <v>65</v>
      </c>
      <c r="F7315" s="19" t="str">
        <f>IFERROR(__xludf.DUMMYFUNCTION("""COMPUTED_VALUE"""),"BLACK")</f>
        <v>BLACK</v>
      </c>
      <c r="G7315" s="20" t="str">
        <f>IFERROR(__xludf.DUMMYFUNCTION("""COMPUTED_VALUE"""),"Uncle Sams Cider (11/12/2021) 02")</f>
        <v>Uncle Sams Cider (11/12/2021) 02</v>
      </c>
      <c r="H7315" s="19"/>
    </row>
    <row r="7316">
      <c r="A7316" s="9"/>
      <c r="B7316" s="15"/>
      <c r="C7316" s="9">
        <f>IFERROR(__xludf.DUMMYFUNCTION("""COMPUTED_VALUE"""),44528.3091055092)</f>
        <v>44528.30911</v>
      </c>
      <c r="D7316" s="15">
        <f>IFERROR(__xludf.DUMMYFUNCTION("""COMPUTED_VALUE"""),1.042)</f>
        <v>1.042</v>
      </c>
      <c r="E7316" s="16">
        <f>IFERROR(__xludf.DUMMYFUNCTION("""COMPUTED_VALUE"""),65.0)</f>
        <v>65</v>
      </c>
      <c r="F7316" s="19" t="str">
        <f>IFERROR(__xludf.DUMMYFUNCTION("""COMPUTED_VALUE"""),"BLACK")</f>
        <v>BLACK</v>
      </c>
      <c r="G7316" s="20" t="str">
        <f>IFERROR(__xludf.DUMMYFUNCTION("""COMPUTED_VALUE"""),"Uncle Sams Cider (11/12/2021) 02")</f>
        <v>Uncle Sams Cider (11/12/2021) 02</v>
      </c>
      <c r="H7316" s="19"/>
    </row>
    <row r="7317">
      <c r="A7317" s="9"/>
      <c r="B7317" s="15"/>
      <c r="C7317" s="9">
        <f>IFERROR(__xludf.DUMMYFUNCTION("""COMPUTED_VALUE"""),44528.298684155)</f>
        <v>44528.29868</v>
      </c>
      <c r="D7317" s="15">
        <f>IFERROR(__xludf.DUMMYFUNCTION("""COMPUTED_VALUE"""),1.042)</f>
        <v>1.042</v>
      </c>
      <c r="E7317" s="16">
        <f>IFERROR(__xludf.DUMMYFUNCTION("""COMPUTED_VALUE"""),65.0)</f>
        <v>65</v>
      </c>
      <c r="F7317" s="19" t="str">
        <f>IFERROR(__xludf.DUMMYFUNCTION("""COMPUTED_VALUE"""),"BLACK")</f>
        <v>BLACK</v>
      </c>
      <c r="G7317" s="20" t="str">
        <f>IFERROR(__xludf.DUMMYFUNCTION("""COMPUTED_VALUE"""),"Uncle Sams Cider (11/12/2021) 02")</f>
        <v>Uncle Sams Cider (11/12/2021) 02</v>
      </c>
      <c r="H7317" s="19"/>
    </row>
    <row r="7318">
      <c r="A7318" s="9"/>
      <c r="B7318" s="15"/>
      <c r="C7318" s="9">
        <f>IFERROR(__xludf.DUMMYFUNCTION("""COMPUTED_VALUE"""),44528.2882643171)</f>
        <v>44528.28826</v>
      </c>
      <c r="D7318" s="15">
        <f>IFERROR(__xludf.DUMMYFUNCTION("""COMPUTED_VALUE"""),1.042)</f>
        <v>1.042</v>
      </c>
      <c r="E7318" s="16">
        <f>IFERROR(__xludf.DUMMYFUNCTION("""COMPUTED_VALUE"""),65.0)</f>
        <v>65</v>
      </c>
      <c r="F7318" s="19" t="str">
        <f>IFERROR(__xludf.DUMMYFUNCTION("""COMPUTED_VALUE"""),"BLACK")</f>
        <v>BLACK</v>
      </c>
      <c r="G7318" s="20" t="str">
        <f>IFERROR(__xludf.DUMMYFUNCTION("""COMPUTED_VALUE"""),"Uncle Sams Cider (11/12/2021) 02")</f>
        <v>Uncle Sams Cider (11/12/2021) 02</v>
      </c>
      <c r="H7318" s="19"/>
    </row>
    <row r="7319">
      <c r="A7319" s="9"/>
      <c r="B7319" s="15"/>
      <c r="C7319" s="9">
        <f>IFERROR(__xludf.DUMMYFUNCTION("""COMPUTED_VALUE"""),44528.2778426041)</f>
        <v>44528.27784</v>
      </c>
      <c r="D7319" s="15">
        <f>IFERROR(__xludf.DUMMYFUNCTION("""COMPUTED_VALUE"""),1.042)</f>
        <v>1.042</v>
      </c>
      <c r="E7319" s="16">
        <f>IFERROR(__xludf.DUMMYFUNCTION("""COMPUTED_VALUE"""),65.0)</f>
        <v>65</v>
      </c>
      <c r="F7319" s="19" t="str">
        <f>IFERROR(__xludf.DUMMYFUNCTION("""COMPUTED_VALUE"""),"BLACK")</f>
        <v>BLACK</v>
      </c>
      <c r="G7319" s="20" t="str">
        <f>IFERROR(__xludf.DUMMYFUNCTION("""COMPUTED_VALUE"""),"Uncle Sams Cider (11/12/2021) 02")</f>
        <v>Uncle Sams Cider (11/12/2021) 02</v>
      </c>
      <c r="H7319" s="19"/>
    </row>
    <row r="7320">
      <c r="A7320" s="9"/>
      <c r="B7320" s="15"/>
      <c r="C7320" s="9">
        <f>IFERROR(__xludf.DUMMYFUNCTION("""COMPUTED_VALUE"""),44528.2674216898)</f>
        <v>44528.26742</v>
      </c>
      <c r="D7320" s="15">
        <f>IFERROR(__xludf.DUMMYFUNCTION("""COMPUTED_VALUE"""),1.042)</f>
        <v>1.042</v>
      </c>
      <c r="E7320" s="16">
        <f>IFERROR(__xludf.DUMMYFUNCTION("""COMPUTED_VALUE"""),65.0)</f>
        <v>65</v>
      </c>
      <c r="F7320" s="19" t="str">
        <f>IFERROR(__xludf.DUMMYFUNCTION("""COMPUTED_VALUE"""),"BLACK")</f>
        <v>BLACK</v>
      </c>
      <c r="G7320" s="20" t="str">
        <f>IFERROR(__xludf.DUMMYFUNCTION("""COMPUTED_VALUE"""),"Uncle Sams Cider (11/12/2021) 02")</f>
        <v>Uncle Sams Cider (11/12/2021) 02</v>
      </c>
      <c r="H7320" s="19"/>
    </row>
    <row r="7321">
      <c r="A7321" s="9"/>
      <c r="B7321" s="15"/>
      <c r="C7321" s="9">
        <f>IFERROR(__xludf.DUMMYFUNCTION("""COMPUTED_VALUE"""),44528.2569985416)</f>
        <v>44528.257</v>
      </c>
      <c r="D7321" s="15">
        <f>IFERROR(__xludf.DUMMYFUNCTION("""COMPUTED_VALUE"""),1.042)</f>
        <v>1.042</v>
      </c>
      <c r="E7321" s="16">
        <f>IFERROR(__xludf.DUMMYFUNCTION("""COMPUTED_VALUE"""),65.0)</f>
        <v>65</v>
      </c>
      <c r="F7321" s="19" t="str">
        <f>IFERROR(__xludf.DUMMYFUNCTION("""COMPUTED_VALUE"""),"BLACK")</f>
        <v>BLACK</v>
      </c>
      <c r="G7321" s="20" t="str">
        <f>IFERROR(__xludf.DUMMYFUNCTION("""COMPUTED_VALUE"""),"Uncle Sams Cider (11/12/2021) 02")</f>
        <v>Uncle Sams Cider (11/12/2021) 02</v>
      </c>
      <c r="H7321" s="19"/>
    </row>
    <row r="7322">
      <c r="A7322" s="9"/>
      <c r="B7322" s="15"/>
      <c r="C7322" s="9">
        <f>IFERROR(__xludf.DUMMYFUNCTION("""COMPUTED_VALUE"""),44528.2465791319)</f>
        <v>44528.24658</v>
      </c>
      <c r="D7322" s="15">
        <f>IFERROR(__xludf.DUMMYFUNCTION("""COMPUTED_VALUE"""),1.042)</f>
        <v>1.042</v>
      </c>
      <c r="E7322" s="16">
        <f>IFERROR(__xludf.DUMMYFUNCTION("""COMPUTED_VALUE"""),65.0)</f>
        <v>65</v>
      </c>
      <c r="F7322" s="19" t="str">
        <f>IFERROR(__xludf.DUMMYFUNCTION("""COMPUTED_VALUE"""),"BLACK")</f>
        <v>BLACK</v>
      </c>
      <c r="G7322" s="20" t="str">
        <f>IFERROR(__xludf.DUMMYFUNCTION("""COMPUTED_VALUE"""),"Uncle Sams Cider (11/12/2021) 02")</f>
        <v>Uncle Sams Cider (11/12/2021) 02</v>
      </c>
      <c r="H7322" s="19"/>
    </row>
    <row r="7323">
      <c r="A7323" s="9"/>
      <c r="B7323" s="15"/>
      <c r="C7323" s="9">
        <f>IFERROR(__xludf.DUMMYFUNCTION("""COMPUTED_VALUE"""),44528.2361582638)</f>
        <v>44528.23616</v>
      </c>
      <c r="D7323" s="15">
        <f>IFERROR(__xludf.DUMMYFUNCTION("""COMPUTED_VALUE"""),1.042)</f>
        <v>1.042</v>
      </c>
      <c r="E7323" s="16">
        <f>IFERROR(__xludf.DUMMYFUNCTION("""COMPUTED_VALUE"""),65.0)</f>
        <v>65</v>
      </c>
      <c r="F7323" s="19" t="str">
        <f>IFERROR(__xludf.DUMMYFUNCTION("""COMPUTED_VALUE"""),"BLACK")</f>
        <v>BLACK</v>
      </c>
      <c r="G7323" s="20" t="str">
        <f>IFERROR(__xludf.DUMMYFUNCTION("""COMPUTED_VALUE"""),"Uncle Sams Cider (11/12/2021) 02")</f>
        <v>Uncle Sams Cider (11/12/2021) 02</v>
      </c>
      <c r="H7323" s="19"/>
    </row>
    <row r="7324">
      <c r="A7324" s="9"/>
      <c r="B7324" s="15"/>
      <c r="C7324" s="9">
        <f>IFERROR(__xludf.DUMMYFUNCTION("""COMPUTED_VALUE"""),44528.2257384837)</f>
        <v>44528.22574</v>
      </c>
      <c r="D7324" s="15">
        <f>IFERROR(__xludf.DUMMYFUNCTION("""COMPUTED_VALUE"""),1.042)</f>
        <v>1.042</v>
      </c>
      <c r="E7324" s="16">
        <f>IFERROR(__xludf.DUMMYFUNCTION("""COMPUTED_VALUE"""),65.0)</f>
        <v>65</v>
      </c>
      <c r="F7324" s="19" t="str">
        <f>IFERROR(__xludf.DUMMYFUNCTION("""COMPUTED_VALUE"""),"BLACK")</f>
        <v>BLACK</v>
      </c>
      <c r="G7324" s="20" t="str">
        <f>IFERROR(__xludf.DUMMYFUNCTION("""COMPUTED_VALUE"""),"Uncle Sams Cider (11/12/2021) 02")</f>
        <v>Uncle Sams Cider (11/12/2021) 02</v>
      </c>
      <c r="H7324" s="19"/>
    </row>
    <row r="7325">
      <c r="A7325" s="9"/>
      <c r="B7325" s="15"/>
      <c r="C7325" s="9">
        <f>IFERROR(__xludf.DUMMYFUNCTION("""COMPUTED_VALUE"""),44528.215305706)</f>
        <v>44528.21531</v>
      </c>
      <c r="D7325" s="15">
        <f>IFERROR(__xludf.DUMMYFUNCTION("""COMPUTED_VALUE"""),1.042)</f>
        <v>1.042</v>
      </c>
      <c r="E7325" s="16">
        <f>IFERROR(__xludf.DUMMYFUNCTION("""COMPUTED_VALUE"""),65.0)</f>
        <v>65</v>
      </c>
      <c r="F7325" s="19" t="str">
        <f>IFERROR(__xludf.DUMMYFUNCTION("""COMPUTED_VALUE"""),"BLACK")</f>
        <v>BLACK</v>
      </c>
      <c r="G7325" s="20" t="str">
        <f>IFERROR(__xludf.DUMMYFUNCTION("""COMPUTED_VALUE"""),"Uncle Sams Cider (11/12/2021) 02")</f>
        <v>Uncle Sams Cider (11/12/2021) 02</v>
      </c>
      <c r="H7325" s="19"/>
    </row>
    <row r="7326">
      <c r="A7326" s="9"/>
      <c r="B7326" s="15"/>
      <c r="C7326" s="9">
        <f>IFERROR(__xludf.DUMMYFUNCTION("""COMPUTED_VALUE"""),44528.2048599652)</f>
        <v>44528.20486</v>
      </c>
      <c r="D7326" s="15">
        <f>IFERROR(__xludf.DUMMYFUNCTION("""COMPUTED_VALUE"""),1.042)</f>
        <v>1.042</v>
      </c>
      <c r="E7326" s="16">
        <f>IFERROR(__xludf.DUMMYFUNCTION("""COMPUTED_VALUE"""),65.0)</f>
        <v>65</v>
      </c>
      <c r="F7326" s="19" t="str">
        <f>IFERROR(__xludf.DUMMYFUNCTION("""COMPUTED_VALUE"""),"BLACK")</f>
        <v>BLACK</v>
      </c>
      <c r="G7326" s="20" t="str">
        <f>IFERROR(__xludf.DUMMYFUNCTION("""COMPUTED_VALUE"""),"Uncle Sams Cider (11/12/2021) 02")</f>
        <v>Uncle Sams Cider (11/12/2021) 02</v>
      </c>
      <c r="H7326" s="19"/>
    </row>
    <row r="7327">
      <c r="A7327" s="9"/>
      <c r="B7327" s="15"/>
      <c r="C7327" s="9">
        <f>IFERROR(__xludf.DUMMYFUNCTION("""COMPUTED_VALUE"""),44528.1944404861)</f>
        <v>44528.19444</v>
      </c>
      <c r="D7327" s="15">
        <f>IFERROR(__xludf.DUMMYFUNCTION("""COMPUTED_VALUE"""),1.042)</f>
        <v>1.042</v>
      </c>
      <c r="E7327" s="16">
        <f>IFERROR(__xludf.DUMMYFUNCTION("""COMPUTED_VALUE"""),65.0)</f>
        <v>65</v>
      </c>
      <c r="F7327" s="19" t="str">
        <f>IFERROR(__xludf.DUMMYFUNCTION("""COMPUTED_VALUE"""),"BLACK")</f>
        <v>BLACK</v>
      </c>
      <c r="G7327" s="20" t="str">
        <f>IFERROR(__xludf.DUMMYFUNCTION("""COMPUTED_VALUE"""),"Uncle Sams Cider (11/12/2021) 02")</f>
        <v>Uncle Sams Cider (11/12/2021) 02</v>
      </c>
      <c r="H7327" s="19"/>
    </row>
    <row r="7328">
      <c r="A7328" s="9"/>
      <c r="B7328" s="15"/>
      <c r="C7328" s="9">
        <f>IFERROR(__xludf.DUMMYFUNCTION("""COMPUTED_VALUE"""),44528.1840188078)</f>
        <v>44528.18402</v>
      </c>
      <c r="D7328" s="15">
        <f>IFERROR(__xludf.DUMMYFUNCTION("""COMPUTED_VALUE"""),1.042)</f>
        <v>1.042</v>
      </c>
      <c r="E7328" s="16">
        <f>IFERROR(__xludf.DUMMYFUNCTION("""COMPUTED_VALUE"""),65.0)</f>
        <v>65</v>
      </c>
      <c r="F7328" s="19" t="str">
        <f>IFERROR(__xludf.DUMMYFUNCTION("""COMPUTED_VALUE"""),"BLACK")</f>
        <v>BLACK</v>
      </c>
      <c r="G7328" s="20" t="str">
        <f>IFERROR(__xludf.DUMMYFUNCTION("""COMPUTED_VALUE"""),"Uncle Sams Cider (11/12/2021) 02")</f>
        <v>Uncle Sams Cider (11/12/2021) 02</v>
      </c>
      <c r="H7328" s="19"/>
    </row>
    <row r="7329">
      <c r="A7329" s="9"/>
      <c r="B7329" s="15"/>
      <c r="C7329" s="9">
        <f>IFERROR(__xludf.DUMMYFUNCTION("""COMPUTED_VALUE"""),44528.173599074)</f>
        <v>44528.1736</v>
      </c>
      <c r="D7329" s="15">
        <f>IFERROR(__xludf.DUMMYFUNCTION("""COMPUTED_VALUE"""),1.042)</f>
        <v>1.042</v>
      </c>
      <c r="E7329" s="16">
        <f>IFERROR(__xludf.DUMMYFUNCTION("""COMPUTED_VALUE"""),65.0)</f>
        <v>65</v>
      </c>
      <c r="F7329" s="19" t="str">
        <f>IFERROR(__xludf.DUMMYFUNCTION("""COMPUTED_VALUE"""),"BLACK")</f>
        <v>BLACK</v>
      </c>
      <c r="G7329" s="20" t="str">
        <f>IFERROR(__xludf.DUMMYFUNCTION("""COMPUTED_VALUE"""),"Uncle Sams Cider (11/12/2021) 02")</f>
        <v>Uncle Sams Cider (11/12/2021) 02</v>
      </c>
      <c r="H7329" s="19"/>
    </row>
    <row r="7330">
      <c r="A7330" s="9"/>
      <c r="B7330" s="15"/>
      <c r="C7330" s="9">
        <f>IFERROR(__xludf.DUMMYFUNCTION("""COMPUTED_VALUE"""),44528.1631672106)</f>
        <v>44528.16317</v>
      </c>
      <c r="D7330" s="15">
        <f>IFERROR(__xludf.DUMMYFUNCTION("""COMPUTED_VALUE"""),1.042)</f>
        <v>1.042</v>
      </c>
      <c r="E7330" s="16">
        <f>IFERROR(__xludf.DUMMYFUNCTION("""COMPUTED_VALUE"""),65.0)</f>
        <v>65</v>
      </c>
      <c r="F7330" s="19" t="str">
        <f>IFERROR(__xludf.DUMMYFUNCTION("""COMPUTED_VALUE"""),"BLACK")</f>
        <v>BLACK</v>
      </c>
      <c r="G7330" s="20" t="str">
        <f>IFERROR(__xludf.DUMMYFUNCTION("""COMPUTED_VALUE"""),"Uncle Sams Cider (11/12/2021) 02")</f>
        <v>Uncle Sams Cider (11/12/2021) 02</v>
      </c>
      <c r="H7330" s="19"/>
    </row>
    <row r="7331">
      <c r="A7331" s="9"/>
      <c r="B7331" s="15"/>
      <c r="C7331" s="9">
        <f>IFERROR(__xludf.DUMMYFUNCTION("""COMPUTED_VALUE"""),44528.152734537)</f>
        <v>44528.15273</v>
      </c>
      <c r="D7331" s="15">
        <f>IFERROR(__xludf.DUMMYFUNCTION("""COMPUTED_VALUE"""),1.042)</f>
        <v>1.042</v>
      </c>
      <c r="E7331" s="16">
        <f>IFERROR(__xludf.DUMMYFUNCTION("""COMPUTED_VALUE"""),65.0)</f>
        <v>65</v>
      </c>
      <c r="F7331" s="19" t="str">
        <f>IFERROR(__xludf.DUMMYFUNCTION("""COMPUTED_VALUE"""),"BLACK")</f>
        <v>BLACK</v>
      </c>
      <c r="G7331" s="20" t="str">
        <f>IFERROR(__xludf.DUMMYFUNCTION("""COMPUTED_VALUE"""),"Uncle Sams Cider (11/12/2021) 02")</f>
        <v>Uncle Sams Cider (11/12/2021) 02</v>
      </c>
      <c r="H7331" s="19"/>
    </row>
    <row r="7332">
      <c r="A7332" s="9"/>
      <c r="B7332" s="15"/>
      <c r="C7332" s="9">
        <f>IFERROR(__xludf.DUMMYFUNCTION("""COMPUTED_VALUE"""),44528.1423029282)</f>
        <v>44528.1423</v>
      </c>
      <c r="D7332" s="15">
        <f>IFERROR(__xludf.DUMMYFUNCTION("""COMPUTED_VALUE"""),1.042)</f>
        <v>1.042</v>
      </c>
      <c r="E7332" s="16">
        <f>IFERROR(__xludf.DUMMYFUNCTION("""COMPUTED_VALUE"""),65.0)</f>
        <v>65</v>
      </c>
      <c r="F7332" s="19" t="str">
        <f>IFERROR(__xludf.DUMMYFUNCTION("""COMPUTED_VALUE"""),"BLACK")</f>
        <v>BLACK</v>
      </c>
      <c r="G7332" s="20" t="str">
        <f>IFERROR(__xludf.DUMMYFUNCTION("""COMPUTED_VALUE"""),"Uncle Sams Cider (11/12/2021) 02")</f>
        <v>Uncle Sams Cider (11/12/2021) 02</v>
      </c>
      <c r="H7332" s="19"/>
    </row>
    <row r="7333">
      <c r="A7333" s="9"/>
      <c r="B7333" s="15"/>
      <c r="C7333" s="9">
        <f>IFERROR(__xludf.DUMMYFUNCTION("""COMPUTED_VALUE"""),44528.1318704745)</f>
        <v>44528.13187</v>
      </c>
      <c r="D7333" s="15">
        <f>IFERROR(__xludf.DUMMYFUNCTION("""COMPUTED_VALUE"""),1.042)</f>
        <v>1.042</v>
      </c>
      <c r="E7333" s="16">
        <f>IFERROR(__xludf.DUMMYFUNCTION("""COMPUTED_VALUE"""),65.0)</f>
        <v>65</v>
      </c>
      <c r="F7333" s="19" t="str">
        <f>IFERROR(__xludf.DUMMYFUNCTION("""COMPUTED_VALUE"""),"BLACK")</f>
        <v>BLACK</v>
      </c>
      <c r="G7333" s="20" t="str">
        <f>IFERROR(__xludf.DUMMYFUNCTION("""COMPUTED_VALUE"""),"Uncle Sams Cider (11/12/2021) 02")</f>
        <v>Uncle Sams Cider (11/12/2021) 02</v>
      </c>
      <c r="H7333" s="19"/>
    </row>
    <row r="7334">
      <c r="A7334" s="9"/>
      <c r="B7334" s="15"/>
      <c r="C7334" s="9">
        <f>IFERROR(__xludf.DUMMYFUNCTION("""COMPUTED_VALUE"""),44528.121448831)</f>
        <v>44528.12145</v>
      </c>
      <c r="D7334" s="15">
        <f>IFERROR(__xludf.DUMMYFUNCTION("""COMPUTED_VALUE"""),1.042)</f>
        <v>1.042</v>
      </c>
      <c r="E7334" s="16">
        <f>IFERROR(__xludf.DUMMYFUNCTION("""COMPUTED_VALUE"""),65.0)</f>
        <v>65</v>
      </c>
      <c r="F7334" s="19" t="str">
        <f>IFERROR(__xludf.DUMMYFUNCTION("""COMPUTED_VALUE"""),"BLACK")</f>
        <v>BLACK</v>
      </c>
      <c r="G7334" s="20" t="str">
        <f>IFERROR(__xludf.DUMMYFUNCTION("""COMPUTED_VALUE"""),"Uncle Sams Cider (11/12/2021) 02")</f>
        <v>Uncle Sams Cider (11/12/2021) 02</v>
      </c>
      <c r="H7334" s="19"/>
    </row>
    <row r="7335">
      <c r="A7335" s="9"/>
      <c r="B7335" s="15"/>
      <c r="C7335" s="9">
        <f>IFERROR(__xludf.DUMMYFUNCTION("""COMPUTED_VALUE"""),44528.1110048263)</f>
        <v>44528.111</v>
      </c>
      <c r="D7335" s="15">
        <f>IFERROR(__xludf.DUMMYFUNCTION("""COMPUTED_VALUE"""),1.042)</f>
        <v>1.042</v>
      </c>
      <c r="E7335" s="16">
        <f>IFERROR(__xludf.DUMMYFUNCTION("""COMPUTED_VALUE"""),65.0)</f>
        <v>65</v>
      </c>
      <c r="F7335" s="19" t="str">
        <f>IFERROR(__xludf.DUMMYFUNCTION("""COMPUTED_VALUE"""),"BLACK")</f>
        <v>BLACK</v>
      </c>
      <c r="G7335" s="20" t="str">
        <f>IFERROR(__xludf.DUMMYFUNCTION("""COMPUTED_VALUE"""),"Uncle Sams Cider (11/12/2021) 02")</f>
        <v>Uncle Sams Cider (11/12/2021) 02</v>
      </c>
      <c r="H7335" s="19"/>
    </row>
    <row r="7336">
      <c r="A7336" s="9"/>
      <c r="B7336" s="15"/>
      <c r="C7336" s="9">
        <f>IFERROR(__xludf.DUMMYFUNCTION("""COMPUTED_VALUE"""),44528.1005842129)</f>
        <v>44528.10058</v>
      </c>
      <c r="D7336" s="15">
        <f>IFERROR(__xludf.DUMMYFUNCTION("""COMPUTED_VALUE"""),1.042)</f>
        <v>1.042</v>
      </c>
      <c r="E7336" s="16">
        <f>IFERROR(__xludf.DUMMYFUNCTION("""COMPUTED_VALUE"""),65.0)</f>
        <v>65</v>
      </c>
      <c r="F7336" s="19" t="str">
        <f>IFERROR(__xludf.DUMMYFUNCTION("""COMPUTED_VALUE"""),"BLACK")</f>
        <v>BLACK</v>
      </c>
      <c r="G7336" s="20" t="str">
        <f>IFERROR(__xludf.DUMMYFUNCTION("""COMPUTED_VALUE"""),"Uncle Sams Cider (11/12/2021) 02")</f>
        <v>Uncle Sams Cider (11/12/2021) 02</v>
      </c>
      <c r="H7336" s="19"/>
    </row>
    <row r="7337">
      <c r="A7337" s="9"/>
      <c r="B7337" s="15"/>
      <c r="C7337" s="9">
        <f>IFERROR(__xludf.DUMMYFUNCTION("""COMPUTED_VALUE"""),44528.0901637731)</f>
        <v>44528.09016</v>
      </c>
      <c r="D7337" s="15">
        <f>IFERROR(__xludf.DUMMYFUNCTION("""COMPUTED_VALUE"""),1.042)</f>
        <v>1.042</v>
      </c>
      <c r="E7337" s="16">
        <f>IFERROR(__xludf.DUMMYFUNCTION("""COMPUTED_VALUE"""),65.0)</f>
        <v>65</v>
      </c>
      <c r="F7337" s="19" t="str">
        <f>IFERROR(__xludf.DUMMYFUNCTION("""COMPUTED_VALUE"""),"BLACK")</f>
        <v>BLACK</v>
      </c>
      <c r="G7337" s="20" t="str">
        <f>IFERROR(__xludf.DUMMYFUNCTION("""COMPUTED_VALUE"""),"Uncle Sams Cider (11/12/2021) 02")</f>
        <v>Uncle Sams Cider (11/12/2021) 02</v>
      </c>
      <c r="H7337" s="19"/>
    </row>
    <row r="7338">
      <c r="A7338" s="9"/>
      <c r="B7338" s="15"/>
      <c r="C7338" s="9">
        <f>IFERROR(__xludf.DUMMYFUNCTION("""COMPUTED_VALUE"""),44528.0797416203)</f>
        <v>44528.07974</v>
      </c>
      <c r="D7338" s="15">
        <f>IFERROR(__xludf.DUMMYFUNCTION("""COMPUTED_VALUE"""),1.042)</f>
        <v>1.042</v>
      </c>
      <c r="E7338" s="16">
        <f>IFERROR(__xludf.DUMMYFUNCTION("""COMPUTED_VALUE"""),65.0)</f>
        <v>65</v>
      </c>
      <c r="F7338" s="19" t="str">
        <f>IFERROR(__xludf.DUMMYFUNCTION("""COMPUTED_VALUE"""),"BLACK")</f>
        <v>BLACK</v>
      </c>
      <c r="G7338" s="20" t="str">
        <f>IFERROR(__xludf.DUMMYFUNCTION("""COMPUTED_VALUE"""),"Uncle Sams Cider (11/12/2021) 02")</f>
        <v>Uncle Sams Cider (11/12/2021) 02</v>
      </c>
      <c r="H7338" s="19"/>
    </row>
    <row r="7339">
      <c r="A7339" s="9"/>
      <c r="B7339" s="15"/>
      <c r="C7339" s="9">
        <f>IFERROR(__xludf.DUMMYFUNCTION("""COMPUTED_VALUE"""),44528.0693200694)</f>
        <v>44528.06932</v>
      </c>
      <c r="D7339" s="15">
        <f>IFERROR(__xludf.DUMMYFUNCTION("""COMPUTED_VALUE"""),1.042)</f>
        <v>1.042</v>
      </c>
      <c r="E7339" s="16">
        <f>IFERROR(__xludf.DUMMYFUNCTION("""COMPUTED_VALUE"""),65.0)</f>
        <v>65</v>
      </c>
      <c r="F7339" s="19" t="str">
        <f>IFERROR(__xludf.DUMMYFUNCTION("""COMPUTED_VALUE"""),"BLACK")</f>
        <v>BLACK</v>
      </c>
      <c r="G7339" s="20" t="str">
        <f>IFERROR(__xludf.DUMMYFUNCTION("""COMPUTED_VALUE"""),"Uncle Sams Cider (11/12/2021) 02")</f>
        <v>Uncle Sams Cider (11/12/2021) 02</v>
      </c>
      <c r="H7339" s="19"/>
    </row>
    <row r="7340">
      <c r="A7340" s="9"/>
      <c r="B7340" s="15"/>
      <c r="C7340" s="9">
        <f>IFERROR(__xludf.DUMMYFUNCTION("""COMPUTED_VALUE"""),44528.0588981597)</f>
        <v>44528.0589</v>
      </c>
      <c r="D7340" s="15">
        <f>IFERROR(__xludf.DUMMYFUNCTION("""COMPUTED_VALUE"""),1.042)</f>
        <v>1.042</v>
      </c>
      <c r="E7340" s="16">
        <f>IFERROR(__xludf.DUMMYFUNCTION("""COMPUTED_VALUE"""),65.0)</f>
        <v>65</v>
      </c>
      <c r="F7340" s="19" t="str">
        <f>IFERROR(__xludf.DUMMYFUNCTION("""COMPUTED_VALUE"""),"BLACK")</f>
        <v>BLACK</v>
      </c>
      <c r="G7340" s="20" t="str">
        <f>IFERROR(__xludf.DUMMYFUNCTION("""COMPUTED_VALUE"""),"Uncle Sams Cider (11/12/2021) 02")</f>
        <v>Uncle Sams Cider (11/12/2021) 02</v>
      </c>
      <c r="H7340" s="19"/>
    </row>
    <row r="7341">
      <c r="A7341" s="9"/>
      <c r="B7341" s="15"/>
      <c r="C7341" s="9">
        <f>IFERROR(__xludf.DUMMYFUNCTION("""COMPUTED_VALUE"""),44528.04847603)</f>
        <v>44528.04848</v>
      </c>
      <c r="D7341" s="15">
        <f>IFERROR(__xludf.DUMMYFUNCTION("""COMPUTED_VALUE"""),1.042)</f>
        <v>1.042</v>
      </c>
      <c r="E7341" s="16">
        <f>IFERROR(__xludf.DUMMYFUNCTION("""COMPUTED_VALUE"""),65.0)</f>
        <v>65</v>
      </c>
      <c r="F7341" s="19" t="str">
        <f>IFERROR(__xludf.DUMMYFUNCTION("""COMPUTED_VALUE"""),"BLACK")</f>
        <v>BLACK</v>
      </c>
      <c r="G7341" s="20" t="str">
        <f>IFERROR(__xludf.DUMMYFUNCTION("""COMPUTED_VALUE"""),"Uncle Sams Cider (11/12/2021) 02")</f>
        <v>Uncle Sams Cider (11/12/2021) 02</v>
      </c>
      <c r="H7341" s="19"/>
    </row>
    <row r="7342">
      <c r="A7342" s="9"/>
      <c r="B7342" s="15"/>
      <c r="C7342" s="9">
        <f>IFERROR(__xludf.DUMMYFUNCTION("""COMPUTED_VALUE"""),44528.0380549421)</f>
        <v>44528.03805</v>
      </c>
      <c r="D7342" s="15">
        <f>IFERROR(__xludf.DUMMYFUNCTION("""COMPUTED_VALUE"""),1.042)</f>
        <v>1.042</v>
      </c>
      <c r="E7342" s="16">
        <f>IFERROR(__xludf.DUMMYFUNCTION("""COMPUTED_VALUE"""),65.0)</f>
        <v>65</v>
      </c>
      <c r="F7342" s="19" t="str">
        <f>IFERROR(__xludf.DUMMYFUNCTION("""COMPUTED_VALUE"""),"BLACK")</f>
        <v>BLACK</v>
      </c>
      <c r="G7342" s="20" t="str">
        <f>IFERROR(__xludf.DUMMYFUNCTION("""COMPUTED_VALUE"""),"Uncle Sams Cider (11/12/2021) 02")</f>
        <v>Uncle Sams Cider (11/12/2021) 02</v>
      </c>
      <c r="H7342" s="19"/>
    </row>
    <row r="7343">
      <c r="A7343" s="9"/>
      <c r="B7343" s="15"/>
      <c r="C7343" s="9">
        <f>IFERROR(__xludf.DUMMYFUNCTION("""COMPUTED_VALUE"""),44528.0276348032)</f>
        <v>44528.02763</v>
      </c>
      <c r="D7343" s="15">
        <f>IFERROR(__xludf.DUMMYFUNCTION("""COMPUTED_VALUE"""),1.042)</f>
        <v>1.042</v>
      </c>
      <c r="E7343" s="16">
        <f>IFERROR(__xludf.DUMMYFUNCTION("""COMPUTED_VALUE"""),65.0)</f>
        <v>65</v>
      </c>
      <c r="F7343" s="19" t="str">
        <f>IFERROR(__xludf.DUMMYFUNCTION("""COMPUTED_VALUE"""),"BLACK")</f>
        <v>BLACK</v>
      </c>
      <c r="G7343" s="20" t="str">
        <f>IFERROR(__xludf.DUMMYFUNCTION("""COMPUTED_VALUE"""),"Uncle Sams Cider (11/12/2021) 02")</f>
        <v>Uncle Sams Cider (11/12/2021) 02</v>
      </c>
      <c r="H7343" s="19"/>
    </row>
    <row r="7344">
      <c r="A7344" s="9"/>
      <c r="B7344" s="15"/>
      <c r="C7344" s="9">
        <f>IFERROR(__xludf.DUMMYFUNCTION("""COMPUTED_VALUE"""),44528.0172144212)</f>
        <v>44528.01721</v>
      </c>
      <c r="D7344" s="15">
        <f>IFERROR(__xludf.DUMMYFUNCTION("""COMPUTED_VALUE"""),1.042)</f>
        <v>1.042</v>
      </c>
      <c r="E7344" s="16">
        <f>IFERROR(__xludf.DUMMYFUNCTION("""COMPUTED_VALUE"""),65.0)</f>
        <v>65</v>
      </c>
      <c r="F7344" s="19" t="str">
        <f>IFERROR(__xludf.DUMMYFUNCTION("""COMPUTED_VALUE"""),"BLACK")</f>
        <v>BLACK</v>
      </c>
      <c r="G7344" s="20" t="str">
        <f>IFERROR(__xludf.DUMMYFUNCTION("""COMPUTED_VALUE"""),"Uncle Sams Cider (11/12/2021) 02")</f>
        <v>Uncle Sams Cider (11/12/2021) 02</v>
      </c>
      <c r="H7344" s="19"/>
    </row>
    <row r="7345">
      <c r="A7345" s="9"/>
      <c r="B7345" s="15"/>
      <c r="C7345" s="9">
        <f>IFERROR(__xludf.DUMMYFUNCTION("""COMPUTED_VALUE"""),44528.0067928587)</f>
        <v>44528.00679</v>
      </c>
      <c r="D7345" s="15">
        <f>IFERROR(__xludf.DUMMYFUNCTION("""COMPUTED_VALUE"""),1.042)</f>
        <v>1.042</v>
      </c>
      <c r="E7345" s="16">
        <f>IFERROR(__xludf.DUMMYFUNCTION("""COMPUTED_VALUE"""),65.0)</f>
        <v>65</v>
      </c>
      <c r="F7345" s="19" t="str">
        <f>IFERROR(__xludf.DUMMYFUNCTION("""COMPUTED_VALUE"""),"BLACK")</f>
        <v>BLACK</v>
      </c>
      <c r="G7345" s="20" t="str">
        <f>IFERROR(__xludf.DUMMYFUNCTION("""COMPUTED_VALUE"""),"Uncle Sams Cider (11/12/2021) 02")</f>
        <v>Uncle Sams Cider (11/12/2021) 02</v>
      </c>
      <c r="H7345" s="19"/>
    </row>
    <row r="7346">
      <c r="A7346" s="9"/>
      <c r="B7346" s="15"/>
      <c r="C7346" s="9">
        <f>IFERROR(__xludf.DUMMYFUNCTION("""COMPUTED_VALUE"""),44527.9963723032)</f>
        <v>44527.99637</v>
      </c>
      <c r="D7346" s="15">
        <f>IFERROR(__xludf.DUMMYFUNCTION("""COMPUTED_VALUE"""),1.042)</f>
        <v>1.042</v>
      </c>
      <c r="E7346" s="16">
        <f>IFERROR(__xludf.DUMMYFUNCTION("""COMPUTED_VALUE"""),65.0)</f>
        <v>65</v>
      </c>
      <c r="F7346" s="19" t="str">
        <f>IFERROR(__xludf.DUMMYFUNCTION("""COMPUTED_VALUE"""),"BLACK")</f>
        <v>BLACK</v>
      </c>
      <c r="G7346" s="20" t="str">
        <f>IFERROR(__xludf.DUMMYFUNCTION("""COMPUTED_VALUE"""),"Uncle Sams Cider (11/12/2021) 02")</f>
        <v>Uncle Sams Cider (11/12/2021) 02</v>
      </c>
      <c r="H7346" s="19"/>
    </row>
    <row r="7347">
      <c r="A7347" s="9"/>
      <c r="B7347" s="15"/>
      <c r="C7347" s="9">
        <f>IFERROR(__xludf.DUMMYFUNCTION("""COMPUTED_VALUE"""),44527.9859501273)</f>
        <v>44527.98595</v>
      </c>
      <c r="D7347" s="15">
        <f>IFERROR(__xludf.DUMMYFUNCTION("""COMPUTED_VALUE"""),1.042)</f>
        <v>1.042</v>
      </c>
      <c r="E7347" s="16">
        <f>IFERROR(__xludf.DUMMYFUNCTION("""COMPUTED_VALUE"""),65.0)</f>
        <v>65</v>
      </c>
      <c r="F7347" s="19" t="str">
        <f>IFERROR(__xludf.DUMMYFUNCTION("""COMPUTED_VALUE"""),"BLACK")</f>
        <v>BLACK</v>
      </c>
      <c r="G7347" s="20" t="str">
        <f>IFERROR(__xludf.DUMMYFUNCTION("""COMPUTED_VALUE"""),"Uncle Sams Cider (11/12/2021) 02")</f>
        <v>Uncle Sams Cider (11/12/2021) 02</v>
      </c>
      <c r="H7347" s="19"/>
    </row>
    <row r="7348">
      <c r="A7348" s="9"/>
      <c r="B7348" s="15"/>
      <c r="C7348" s="9">
        <f>IFERROR(__xludf.DUMMYFUNCTION("""COMPUTED_VALUE"""),44527.9755306249)</f>
        <v>44527.97553</v>
      </c>
      <c r="D7348" s="15">
        <f>IFERROR(__xludf.DUMMYFUNCTION("""COMPUTED_VALUE"""),1.042)</f>
        <v>1.042</v>
      </c>
      <c r="E7348" s="16">
        <f>IFERROR(__xludf.DUMMYFUNCTION("""COMPUTED_VALUE"""),65.0)</f>
        <v>65</v>
      </c>
      <c r="F7348" s="19" t="str">
        <f>IFERROR(__xludf.DUMMYFUNCTION("""COMPUTED_VALUE"""),"BLACK")</f>
        <v>BLACK</v>
      </c>
      <c r="G7348" s="20" t="str">
        <f>IFERROR(__xludf.DUMMYFUNCTION("""COMPUTED_VALUE"""),"Uncle Sams Cider (11/12/2021) 02")</f>
        <v>Uncle Sams Cider (11/12/2021) 02</v>
      </c>
      <c r="H7348" s="19"/>
    </row>
    <row r="7349">
      <c r="A7349" s="9"/>
      <c r="B7349" s="15"/>
      <c r="C7349" s="9">
        <f>IFERROR(__xludf.DUMMYFUNCTION("""COMPUTED_VALUE"""),44527.9651084143)</f>
        <v>44527.96511</v>
      </c>
      <c r="D7349" s="15">
        <f>IFERROR(__xludf.DUMMYFUNCTION("""COMPUTED_VALUE"""),1.042)</f>
        <v>1.042</v>
      </c>
      <c r="E7349" s="16">
        <f>IFERROR(__xludf.DUMMYFUNCTION("""COMPUTED_VALUE"""),65.0)</f>
        <v>65</v>
      </c>
      <c r="F7349" s="19" t="str">
        <f>IFERROR(__xludf.DUMMYFUNCTION("""COMPUTED_VALUE"""),"BLACK")</f>
        <v>BLACK</v>
      </c>
      <c r="G7349" s="20" t="str">
        <f>IFERROR(__xludf.DUMMYFUNCTION("""COMPUTED_VALUE"""),"Uncle Sams Cider (11/12/2021) 02")</f>
        <v>Uncle Sams Cider (11/12/2021) 02</v>
      </c>
      <c r="H7349" s="19"/>
    </row>
    <row r="7350">
      <c r="A7350" s="9"/>
      <c r="B7350" s="15"/>
      <c r="C7350" s="9">
        <f>IFERROR(__xludf.DUMMYFUNCTION("""COMPUTED_VALUE"""),44527.9546874652)</f>
        <v>44527.95469</v>
      </c>
      <c r="D7350" s="15">
        <f>IFERROR(__xludf.DUMMYFUNCTION("""COMPUTED_VALUE"""),1.042)</f>
        <v>1.042</v>
      </c>
      <c r="E7350" s="16">
        <f>IFERROR(__xludf.DUMMYFUNCTION("""COMPUTED_VALUE"""),65.0)</f>
        <v>65</v>
      </c>
      <c r="F7350" s="19" t="str">
        <f>IFERROR(__xludf.DUMMYFUNCTION("""COMPUTED_VALUE"""),"BLACK")</f>
        <v>BLACK</v>
      </c>
      <c r="G7350" s="20" t="str">
        <f>IFERROR(__xludf.DUMMYFUNCTION("""COMPUTED_VALUE"""),"Uncle Sams Cider (11/12/2021) 02")</f>
        <v>Uncle Sams Cider (11/12/2021) 02</v>
      </c>
      <c r="H7350" s="19"/>
    </row>
    <row r="7351">
      <c r="A7351" s="9"/>
      <c r="B7351" s="15"/>
      <c r="C7351" s="9">
        <f>IFERROR(__xludf.DUMMYFUNCTION("""COMPUTED_VALUE"""),44527.944265)</f>
        <v>44527.94427</v>
      </c>
      <c r="D7351" s="15">
        <f>IFERROR(__xludf.DUMMYFUNCTION("""COMPUTED_VALUE"""),1.043)</f>
        <v>1.043</v>
      </c>
      <c r="E7351" s="16">
        <f>IFERROR(__xludf.DUMMYFUNCTION("""COMPUTED_VALUE"""),65.0)</f>
        <v>65</v>
      </c>
      <c r="F7351" s="19" t="str">
        <f>IFERROR(__xludf.DUMMYFUNCTION("""COMPUTED_VALUE"""),"BLACK")</f>
        <v>BLACK</v>
      </c>
      <c r="G7351" s="20" t="str">
        <f>IFERROR(__xludf.DUMMYFUNCTION("""COMPUTED_VALUE"""),"Uncle Sams Cider (11/12/2021) 02")</f>
        <v>Uncle Sams Cider (11/12/2021) 02</v>
      </c>
      <c r="H7351" s="19"/>
    </row>
    <row r="7352">
      <c r="A7352" s="9"/>
      <c r="B7352" s="15"/>
      <c r="C7352" s="9">
        <f>IFERROR(__xludf.DUMMYFUNCTION("""COMPUTED_VALUE"""),44527.9338441782)</f>
        <v>44527.93384</v>
      </c>
      <c r="D7352" s="15">
        <f>IFERROR(__xludf.DUMMYFUNCTION("""COMPUTED_VALUE"""),1.043)</f>
        <v>1.043</v>
      </c>
      <c r="E7352" s="16">
        <f>IFERROR(__xludf.DUMMYFUNCTION("""COMPUTED_VALUE"""),65.0)</f>
        <v>65</v>
      </c>
      <c r="F7352" s="19" t="str">
        <f>IFERROR(__xludf.DUMMYFUNCTION("""COMPUTED_VALUE"""),"BLACK")</f>
        <v>BLACK</v>
      </c>
      <c r="G7352" s="20" t="str">
        <f>IFERROR(__xludf.DUMMYFUNCTION("""COMPUTED_VALUE"""),"Uncle Sams Cider (11/12/2021) 02")</f>
        <v>Uncle Sams Cider (11/12/2021) 02</v>
      </c>
      <c r="H7352" s="19"/>
    </row>
    <row r="7353">
      <c r="A7353" s="9"/>
      <c r="B7353" s="15"/>
      <c r="C7353" s="9">
        <f>IFERROR(__xludf.DUMMYFUNCTION("""COMPUTED_VALUE"""),44527.9234231944)</f>
        <v>44527.92342</v>
      </c>
      <c r="D7353" s="15">
        <f>IFERROR(__xludf.DUMMYFUNCTION("""COMPUTED_VALUE"""),1.043)</f>
        <v>1.043</v>
      </c>
      <c r="E7353" s="16">
        <f>IFERROR(__xludf.DUMMYFUNCTION("""COMPUTED_VALUE"""),65.0)</f>
        <v>65</v>
      </c>
      <c r="F7353" s="19" t="str">
        <f>IFERROR(__xludf.DUMMYFUNCTION("""COMPUTED_VALUE"""),"BLACK")</f>
        <v>BLACK</v>
      </c>
      <c r="G7353" s="20" t="str">
        <f>IFERROR(__xludf.DUMMYFUNCTION("""COMPUTED_VALUE"""),"Uncle Sams Cider (11/12/2021) 02")</f>
        <v>Uncle Sams Cider (11/12/2021) 02</v>
      </c>
      <c r="H7353" s="19"/>
    </row>
    <row r="7354">
      <c r="A7354" s="9"/>
      <c r="B7354" s="15"/>
      <c r="C7354" s="9">
        <f>IFERROR(__xludf.DUMMYFUNCTION("""COMPUTED_VALUE"""),44527.9130012268)</f>
        <v>44527.913</v>
      </c>
      <c r="D7354" s="15">
        <f>IFERROR(__xludf.DUMMYFUNCTION("""COMPUTED_VALUE"""),1.043)</f>
        <v>1.043</v>
      </c>
      <c r="E7354" s="16">
        <f>IFERROR(__xludf.DUMMYFUNCTION("""COMPUTED_VALUE"""),65.0)</f>
        <v>65</v>
      </c>
      <c r="F7354" s="19" t="str">
        <f>IFERROR(__xludf.DUMMYFUNCTION("""COMPUTED_VALUE"""),"BLACK")</f>
        <v>BLACK</v>
      </c>
      <c r="G7354" s="20" t="str">
        <f>IFERROR(__xludf.DUMMYFUNCTION("""COMPUTED_VALUE"""),"Uncle Sams Cider (11/12/2021) 02")</f>
        <v>Uncle Sams Cider (11/12/2021) 02</v>
      </c>
      <c r="H7354" s="19"/>
    </row>
    <row r="7355">
      <c r="A7355" s="9"/>
      <c r="B7355" s="15"/>
      <c r="C7355" s="9">
        <f>IFERROR(__xludf.DUMMYFUNCTION("""COMPUTED_VALUE"""),44527.902580405)</f>
        <v>44527.90258</v>
      </c>
      <c r="D7355" s="15">
        <f>IFERROR(__xludf.DUMMYFUNCTION("""COMPUTED_VALUE"""),1.043)</f>
        <v>1.043</v>
      </c>
      <c r="E7355" s="16">
        <f>IFERROR(__xludf.DUMMYFUNCTION("""COMPUTED_VALUE"""),65.0)</f>
        <v>65</v>
      </c>
      <c r="F7355" s="19" t="str">
        <f>IFERROR(__xludf.DUMMYFUNCTION("""COMPUTED_VALUE"""),"BLACK")</f>
        <v>BLACK</v>
      </c>
      <c r="G7355" s="20" t="str">
        <f>IFERROR(__xludf.DUMMYFUNCTION("""COMPUTED_VALUE"""),"Uncle Sams Cider (11/12/2021) 02")</f>
        <v>Uncle Sams Cider (11/12/2021) 02</v>
      </c>
      <c r="H7355" s="19"/>
    </row>
    <row r="7356">
      <c r="A7356" s="9"/>
      <c r="B7356" s="15"/>
      <c r="C7356" s="9">
        <f>IFERROR(__xludf.DUMMYFUNCTION("""COMPUTED_VALUE"""),44527.8921578472)</f>
        <v>44527.89216</v>
      </c>
      <c r="D7356" s="15">
        <f>IFERROR(__xludf.DUMMYFUNCTION("""COMPUTED_VALUE"""),1.043)</f>
        <v>1.043</v>
      </c>
      <c r="E7356" s="16">
        <f>IFERROR(__xludf.DUMMYFUNCTION("""COMPUTED_VALUE"""),65.0)</f>
        <v>65</v>
      </c>
      <c r="F7356" s="19" t="str">
        <f>IFERROR(__xludf.DUMMYFUNCTION("""COMPUTED_VALUE"""),"BLACK")</f>
        <v>BLACK</v>
      </c>
      <c r="G7356" s="20" t="str">
        <f>IFERROR(__xludf.DUMMYFUNCTION("""COMPUTED_VALUE"""),"Uncle Sams Cider (11/12/2021) 02")</f>
        <v>Uncle Sams Cider (11/12/2021) 02</v>
      </c>
      <c r="H7356" s="19"/>
    </row>
    <row r="7357">
      <c r="A7357" s="9"/>
      <c r="B7357" s="15"/>
      <c r="C7357" s="9">
        <f>IFERROR(__xludf.DUMMYFUNCTION("""COMPUTED_VALUE"""),44527.8817254513)</f>
        <v>44527.88173</v>
      </c>
      <c r="D7357" s="15">
        <f>IFERROR(__xludf.DUMMYFUNCTION("""COMPUTED_VALUE"""),1.043)</f>
        <v>1.043</v>
      </c>
      <c r="E7357" s="16">
        <f>IFERROR(__xludf.DUMMYFUNCTION("""COMPUTED_VALUE"""),65.0)</f>
        <v>65</v>
      </c>
      <c r="F7357" s="19" t="str">
        <f>IFERROR(__xludf.DUMMYFUNCTION("""COMPUTED_VALUE"""),"BLACK")</f>
        <v>BLACK</v>
      </c>
      <c r="G7357" s="20" t="str">
        <f>IFERROR(__xludf.DUMMYFUNCTION("""COMPUTED_VALUE"""),"Uncle Sams Cider (11/12/2021) 02")</f>
        <v>Uncle Sams Cider (11/12/2021) 02</v>
      </c>
      <c r="H7357" s="19"/>
    </row>
    <row r="7358">
      <c r="A7358" s="9"/>
      <c r="B7358" s="15"/>
      <c r="C7358" s="9">
        <f>IFERROR(__xludf.DUMMYFUNCTION("""COMPUTED_VALUE"""),44527.8713050578)</f>
        <v>44527.87131</v>
      </c>
      <c r="D7358" s="15">
        <f>IFERROR(__xludf.DUMMYFUNCTION("""COMPUTED_VALUE"""),1.043)</f>
        <v>1.043</v>
      </c>
      <c r="E7358" s="16">
        <f>IFERROR(__xludf.DUMMYFUNCTION("""COMPUTED_VALUE"""),65.0)</f>
        <v>65</v>
      </c>
      <c r="F7358" s="19" t="str">
        <f>IFERROR(__xludf.DUMMYFUNCTION("""COMPUTED_VALUE"""),"BLACK")</f>
        <v>BLACK</v>
      </c>
      <c r="G7358" s="20" t="str">
        <f>IFERROR(__xludf.DUMMYFUNCTION("""COMPUTED_VALUE"""),"Uncle Sams Cider (11/12/2021) 02")</f>
        <v>Uncle Sams Cider (11/12/2021) 02</v>
      </c>
      <c r="H7358" s="19"/>
    </row>
    <row r="7359">
      <c r="A7359" s="9"/>
      <c r="B7359" s="15"/>
      <c r="C7359" s="9">
        <f>IFERROR(__xludf.DUMMYFUNCTION("""COMPUTED_VALUE"""),44527.8608824421)</f>
        <v>44527.86088</v>
      </c>
      <c r="D7359" s="15">
        <f>IFERROR(__xludf.DUMMYFUNCTION("""COMPUTED_VALUE"""),1.043)</f>
        <v>1.043</v>
      </c>
      <c r="E7359" s="16">
        <f>IFERROR(__xludf.DUMMYFUNCTION("""COMPUTED_VALUE"""),65.0)</f>
        <v>65</v>
      </c>
      <c r="F7359" s="19" t="str">
        <f>IFERROR(__xludf.DUMMYFUNCTION("""COMPUTED_VALUE"""),"BLACK")</f>
        <v>BLACK</v>
      </c>
      <c r="G7359" s="20" t="str">
        <f>IFERROR(__xludf.DUMMYFUNCTION("""COMPUTED_VALUE"""),"Uncle Sams Cider (11/12/2021) 02")</f>
        <v>Uncle Sams Cider (11/12/2021) 02</v>
      </c>
      <c r="H7359" s="19"/>
    </row>
    <row r="7360">
      <c r="A7360" s="9"/>
      <c r="B7360" s="15"/>
      <c r="C7360" s="9">
        <f>IFERROR(__xludf.DUMMYFUNCTION("""COMPUTED_VALUE"""),44527.8504369791)</f>
        <v>44527.85044</v>
      </c>
      <c r="D7360" s="15">
        <f>IFERROR(__xludf.DUMMYFUNCTION("""COMPUTED_VALUE"""),1.043)</f>
        <v>1.043</v>
      </c>
      <c r="E7360" s="16">
        <f>IFERROR(__xludf.DUMMYFUNCTION("""COMPUTED_VALUE"""),65.0)</f>
        <v>65</v>
      </c>
      <c r="F7360" s="19" t="str">
        <f>IFERROR(__xludf.DUMMYFUNCTION("""COMPUTED_VALUE"""),"BLACK")</f>
        <v>BLACK</v>
      </c>
      <c r="G7360" s="20" t="str">
        <f>IFERROR(__xludf.DUMMYFUNCTION("""COMPUTED_VALUE"""),"Uncle Sams Cider (11/12/2021) 02")</f>
        <v>Uncle Sams Cider (11/12/2021) 02</v>
      </c>
      <c r="H7360" s="19"/>
    </row>
    <row r="7361">
      <c r="A7361" s="9"/>
      <c r="B7361" s="15"/>
      <c r="C7361" s="9">
        <f>IFERROR(__xludf.DUMMYFUNCTION("""COMPUTED_VALUE"""),44527.8399818171)</f>
        <v>44527.83998</v>
      </c>
      <c r="D7361" s="15">
        <f>IFERROR(__xludf.DUMMYFUNCTION("""COMPUTED_VALUE"""),1.043)</f>
        <v>1.043</v>
      </c>
      <c r="E7361" s="16">
        <f>IFERROR(__xludf.DUMMYFUNCTION("""COMPUTED_VALUE"""),65.0)</f>
        <v>65</v>
      </c>
      <c r="F7361" s="19" t="str">
        <f>IFERROR(__xludf.DUMMYFUNCTION("""COMPUTED_VALUE"""),"BLACK")</f>
        <v>BLACK</v>
      </c>
      <c r="G7361" s="20" t="str">
        <f>IFERROR(__xludf.DUMMYFUNCTION("""COMPUTED_VALUE"""),"Uncle Sams Cider (11/12/2021) 02")</f>
        <v>Uncle Sams Cider (11/12/2021) 02</v>
      </c>
      <c r="H7361" s="19"/>
    </row>
    <row r="7362">
      <c r="A7362" s="9"/>
      <c r="B7362" s="15"/>
      <c r="C7362" s="9">
        <f>IFERROR(__xludf.DUMMYFUNCTION("""COMPUTED_VALUE"""),44527.8295602893)</f>
        <v>44527.82956</v>
      </c>
      <c r="D7362" s="15">
        <f>IFERROR(__xludf.DUMMYFUNCTION("""COMPUTED_VALUE"""),1.043)</f>
        <v>1.043</v>
      </c>
      <c r="E7362" s="16">
        <f>IFERROR(__xludf.DUMMYFUNCTION("""COMPUTED_VALUE"""),65.0)</f>
        <v>65</v>
      </c>
      <c r="F7362" s="19" t="str">
        <f>IFERROR(__xludf.DUMMYFUNCTION("""COMPUTED_VALUE"""),"BLACK")</f>
        <v>BLACK</v>
      </c>
      <c r="G7362" s="20" t="str">
        <f>IFERROR(__xludf.DUMMYFUNCTION("""COMPUTED_VALUE"""),"Uncle Sams Cider (11/12/2021) 02")</f>
        <v>Uncle Sams Cider (11/12/2021) 02</v>
      </c>
      <c r="H7362" s="19"/>
    </row>
    <row r="7363">
      <c r="A7363" s="9"/>
      <c r="B7363" s="15"/>
      <c r="C7363" s="9">
        <f>IFERROR(__xludf.DUMMYFUNCTION("""COMPUTED_VALUE"""),44527.8191055902)</f>
        <v>44527.81911</v>
      </c>
      <c r="D7363" s="15">
        <f>IFERROR(__xludf.DUMMYFUNCTION("""COMPUTED_VALUE"""),1.043)</f>
        <v>1.043</v>
      </c>
      <c r="E7363" s="16">
        <f>IFERROR(__xludf.DUMMYFUNCTION("""COMPUTED_VALUE"""),65.0)</f>
        <v>65</v>
      </c>
      <c r="F7363" s="19" t="str">
        <f>IFERROR(__xludf.DUMMYFUNCTION("""COMPUTED_VALUE"""),"BLACK")</f>
        <v>BLACK</v>
      </c>
      <c r="G7363" s="20" t="str">
        <f>IFERROR(__xludf.DUMMYFUNCTION("""COMPUTED_VALUE"""),"Uncle Sams Cider (11/12/2021) 02")</f>
        <v>Uncle Sams Cider (11/12/2021) 02</v>
      </c>
      <c r="H7363" s="19"/>
    </row>
    <row r="7364">
      <c r="A7364" s="9"/>
      <c r="B7364" s="15"/>
      <c r="C7364" s="9">
        <f>IFERROR(__xludf.DUMMYFUNCTION("""COMPUTED_VALUE"""),44527.8086849074)</f>
        <v>44527.80868</v>
      </c>
      <c r="D7364" s="15">
        <f>IFERROR(__xludf.DUMMYFUNCTION("""COMPUTED_VALUE"""),1.043)</f>
        <v>1.043</v>
      </c>
      <c r="E7364" s="16">
        <f>IFERROR(__xludf.DUMMYFUNCTION("""COMPUTED_VALUE"""),65.0)</f>
        <v>65</v>
      </c>
      <c r="F7364" s="19" t="str">
        <f>IFERROR(__xludf.DUMMYFUNCTION("""COMPUTED_VALUE"""),"BLACK")</f>
        <v>BLACK</v>
      </c>
      <c r="G7364" s="20" t="str">
        <f>IFERROR(__xludf.DUMMYFUNCTION("""COMPUTED_VALUE"""),"Uncle Sams Cider (11/12/2021) 02")</f>
        <v>Uncle Sams Cider (11/12/2021) 02</v>
      </c>
      <c r="H7364" s="19"/>
    </row>
    <row r="7365">
      <c r="A7365" s="9"/>
      <c r="B7365" s="15"/>
      <c r="C7365" s="9">
        <f>IFERROR(__xludf.DUMMYFUNCTION("""COMPUTED_VALUE"""),44527.7982643287)</f>
        <v>44527.79826</v>
      </c>
      <c r="D7365" s="15">
        <f>IFERROR(__xludf.DUMMYFUNCTION("""COMPUTED_VALUE"""),1.043)</f>
        <v>1.043</v>
      </c>
      <c r="E7365" s="16">
        <f>IFERROR(__xludf.DUMMYFUNCTION("""COMPUTED_VALUE"""),65.0)</f>
        <v>65</v>
      </c>
      <c r="F7365" s="19" t="str">
        <f>IFERROR(__xludf.DUMMYFUNCTION("""COMPUTED_VALUE"""),"BLACK")</f>
        <v>BLACK</v>
      </c>
      <c r="G7365" s="20" t="str">
        <f>IFERROR(__xludf.DUMMYFUNCTION("""COMPUTED_VALUE"""),"Uncle Sams Cider (11/12/2021) 02")</f>
        <v>Uncle Sams Cider (11/12/2021) 02</v>
      </c>
      <c r="H7365" s="19"/>
    </row>
    <row r="7366">
      <c r="A7366" s="9"/>
      <c r="B7366" s="15"/>
      <c r="C7366" s="9">
        <f>IFERROR(__xludf.DUMMYFUNCTION("""COMPUTED_VALUE"""),44527.7878432291)</f>
        <v>44527.78784</v>
      </c>
      <c r="D7366" s="15">
        <f>IFERROR(__xludf.DUMMYFUNCTION("""COMPUTED_VALUE"""),1.043)</f>
        <v>1.043</v>
      </c>
      <c r="E7366" s="16">
        <f>IFERROR(__xludf.DUMMYFUNCTION("""COMPUTED_VALUE"""),65.0)</f>
        <v>65</v>
      </c>
      <c r="F7366" s="19" t="str">
        <f>IFERROR(__xludf.DUMMYFUNCTION("""COMPUTED_VALUE"""),"BLACK")</f>
        <v>BLACK</v>
      </c>
      <c r="G7366" s="20" t="str">
        <f>IFERROR(__xludf.DUMMYFUNCTION("""COMPUTED_VALUE"""),"Uncle Sams Cider (11/12/2021) 02")</f>
        <v>Uncle Sams Cider (11/12/2021) 02</v>
      </c>
      <c r="H7366" s="19"/>
    </row>
    <row r="7367">
      <c r="A7367" s="9"/>
      <c r="B7367" s="15"/>
      <c r="C7367" s="9">
        <f>IFERROR(__xludf.DUMMYFUNCTION("""COMPUTED_VALUE"""),44527.7774095138)</f>
        <v>44527.77741</v>
      </c>
      <c r="D7367" s="15">
        <f>IFERROR(__xludf.DUMMYFUNCTION("""COMPUTED_VALUE"""),1.043)</f>
        <v>1.043</v>
      </c>
      <c r="E7367" s="16">
        <f>IFERROR(__xludf.DUMMYFUNCTION("""COMPUTED_VALUE"""),65.0)</f>
        <v>65</v>
      </c>
      <c r="F7367" s="19" t="str">
        <f>IFERROR(__xludf.DUMMYFUNCTION("""COMPUTED_VALUE"""),"BLACK")</f>
        <v>BLACK</v>
      </c>
      <c r="G7367" s="20" t="str">
        <f>IFERROR(__xludf.DUMMYFUNCTION("""COMPUTED_VALUE"""),"Uncle Sams Cider (11/12/2021) 02")</f>
        <v>Uncle Sams Cider (11/12/2021) 02</v>
      </c>
      <c r="H7367" s="19"/>
    </row>
    <row r="7368">
      <c r="A7368" s="9"/>
      <c r="B7368" s="15"/>
      <c r="C7368" s="9">
        <f>IFERROR(__xludf.DUMMYFUNCTION("""COMPUTED_VALUE"""),44527.7669892245)</f>
        <v>44527.76699</v>
      </c>
      <c r="D7368" s="15">
        <f>IFERROR(__xludf.DUMMYFUNCTION("""COMPUTED_VALUE"""),1.043)</f>
        <v>1.043</v>
      </c>
      <c r="E7368" s="16">
        <f>IFERROR(__xludf.DUMMYFUNCTION("""COMPUTED_VALUE"""),65.0)</f>
        <v>65</v>
      </c>
      <c r="F7368" s="19" t="str">
        <f>IFERROR(__xludf.DUMMYFUNCTION("""COMPUTED_VALUE"""),"BLACK")</f>
        <v>BLACK</v>
      </c>
      <c r="G7368" s="20" t="str">
        <f>IFERROR(__xludf.DUMMYFUNCTION("""COMPUTED_VALUE"""),"Uncle Sams Cider (11/12/2021) 02")</f>
        <v>Uncle Sams Cider (11/12/2021) 02</v>
      </c>
      <c r="H7368" s="19"/>
    </row>
    <row r="7369">
      <c r="A7369" s="9"/>
      <c r="B7369" s="15"/>
      <c r="C7369" s="9">
        <f>IFERROR(__xludf.DUMMYFUNCTION("""COMPUTED_VALUE"""),44527.7565664467)</f>
        <v>44527.75657</v>
      </c>
      <c r="D7369" s="15">
        <f>IFERROR(__xludf.DUMMYFUNCTION("""COMPUTED_VALUE"""),1.043)</f>
        <v>1.043</v>
      </c>
      <c r="E7369" s="16">
        <f>IFERROR(__xludf.DUMMYFUNCTION("""COMPUTED_VALUE"""),65.0)</f>
        <v>65</v>
      </c>
      <c r="F7369" s="19" t="str">
        <f>IFERROR(__xludf.DUMMYFUNCTION("""COMPUTED_VALUE"""),"BLACK")</f>
        <v>BLACK</v>
      </c>
      <c r="G7369" s="20" t="str">
        <f>IFERROR(__xludf.DUMMYFUNCTION("""COMPUTED_VALUE"""),"Uncle Sams Cider (11/12/2021) 02")</f>
        <v>Uncle Sams Cider (11/12/2021) 02</v>
      </c>
      <c r="H7369" s="19"/>
    </row>
    <row r="7370">
      <c r="A7370" s="9"/>
      <c r="B7370" s="15"/>
      <c r="C7370" s="9">
        <f>IFERROR(__xludf.DUMMYFUNCTION("""COMPUTED_VALUE"""),44527.7461455555)</f>
        <v>44527.74615</v>
      </c>
      <c r="D7370" s="15">
        <f>IFERROR(__xludf.DUMMYFUNCTION("""COMPUTED_VALUE"""),1.043)</f>
        <v>1.043</v>
      </c>
      <c r="E7370" s="16">
        <f>IFERROR(__xludf.DUMMYFUNCTION("""COMPUTED_VALUE"""),65.0)</f>
        <v>65</v>
      </c>
      <c r="F7370" s="19" t="str">
        <f>IFERROR(__xludf.DUMMYFUNCTION("""COMPUTED_VALUE"""),"BLACK")</f>
        <v>BLACK</v>
      </c>
      <c r="G7370" s="20" t="str">
        <f>IFERROR(__xludf.DUMMYFUNCTION("""COMPUTED_VALUE"""),"Uncle Sams Cider (11/12/2021) 02")</f>
        <v>Uncle Sams Cider (11/12/2021) 02</v>
      </c>
      <c r="H7370" s="19"/>
    </row>
    <row r="7371">
      <c r="A7371" s="9"/>
      <c r="B7371" s="15"/>
      <c r="C7371" s="9">
        <f>IFERROR(__xludf.DUMMYFUNCTION("""COMPUTED_VALUE"""),44527.7357139699)</f>
        <v>44527.73571</v>
      </c>
      <c r="D7371" s="15">
        <f>IFERROR(__xludf.DUMMYFUNCTION("""COMPUTED_VALUE"""),1.043)</f>
        <v>1.043</v>
      </c>
      <c r="E7371" s="16">
        <f>IFERROR(__xludf.DUMMYFUNCTION("""COMPUTED_VALUE"""),65.0)</f>
        <v>65</v>
      </c>
      <c r="F7371" s="19" t="str">
        <f>IFERROR(__xludf.DUMMYFUNCTION("""COMPUTED_VALUE"""),"BLACK")</f>
        <v>BLACK</v>
      </c>
      <c r="G7371" s="20" t="str">
        <f>IFERROR(__xludf.DUMMYFUNCTION("""COMPUTED_VALUE"""),"Uncle Sams Cider (11/12/2021) 02")</f>
        <v>Uncle Sams Cider (11/12/2021) 02</v>
      </c>
      <c r="H7371" s="19"/>
    </row>
    <row r="7372">
      <c r="A7372" s="9"/>
      <c r="B7372" s="15"/>
      <c r="C7372" s="9">
        <f>IFERROR(__xludf.DUMMYFUNCTION("""COMPUTED_VALUE"""),44527.7252940162)</f>
        <v>44527.72529</v>
      </c>
      <c r="D7372" s="15">
        <f>IFERROR(__xludf.DUMMYFUNCTION("""COMPUTED_VALUE"""),1.043)</f>
        <v>1.043</v>
      </c>
      <c r="E7372" s="16">
        <f>IFERROR(__xludf.DUMMYFUNCTION("""COMPUTED_VALUE"""),65.0)</f>
        <v>65</v>
      </c>
      <c r="F7372" s="19" t="str">
        <f>IFERROR(__xludf.DUMMYFUNCTION("""COMPUTED_VALUE"""),"BLACK")</f>
        <v>BLACK</v>
      </c>
      <c r="G7372" s="20" t="str">
        <f>IFERROR(__xludf.DUMMYFUNCTION("""COMPUTED_VALUE"""),"Uncle Sams Cider (11/12/2021) 02")</f>
        <v>Uncle Sams Cider (11/12/2021) 02</v>
      </c>
      <c r="H7372" s="19"/>
    </row>
    <row r="7373">
      <c r="A7373" s="9"/>
      <c r="B7373" s="15"/>
      <c r="C7373" s="9">
        <f>IFERROR(__xludf.DUMMYFUNCTION("""COMPUTED_VALUE"""),44527.714861412)</f>
        <v>44527.71486</v>
      </c>
      <c r="D7373" s="15">
        <f>IFERROR(__xludf.DUMMYFUNCTION("""COMPUTED_VALUE"""),1.043)</f>
        <v>1.043</v>
      </c>
      <c r="E7373" s="16">
        <f>IFERROR(__xludf.DUMMYFUNCTION("""COMPUTED_VALUE"""),65.0)</f>
        <v>65</v>
      </c>
      <c r="F7373" s="19" t="str">
        <f>IFERROR(__xludf.DUMMYFUNCTION("""COMPUTED_VALUE"""),"BLACK")</f>
        <v>BLACK</v>
      </c>
      <c r="G7373" s="20" t="str">
        <f>IFERROR(__xludf.DUMMYFUNCTION("""COMPUTED_VALUE"""),"Uncle Sams Cider (11/12/2021) 02")</f>
        <v>Uncle Sams Cider (11/12/2021) 02</v>
      </c>
      <c r="H7373" s="19"/>
    </row>
    <row r="7374">
      <c r="A7374" s="9"/>
      <c r="B7374" s="15"/>
      <c r="C7374" s="9">
        <f>IFERROR(__xludf.DUMMYFUNCTION("""COMPUTED_VALUE"""),44527.7044406944)</f>
        <v>44527.70444</v>
      </c>
      <c r="D7374" s="15">
        <f>IFERROR(__xludf.DUMMYFUNCTION("""COMPUTED_VALUE"""),1.043)</f>
        <v>1.043</v>
      </c>
      <c r="E7374" s="16">
        <f>IFERROR(__xludf.DUMMYFUNCTION("""COMPUTED_VALUE"""),65.0)</f>
        <v>65</v>
      </c>
      <c r="F7374" s="19" t="str">
        <f>IFERROR(__xludf.DUMMYFUNCTION("""COMPUTED_VALUE"""),"BLACK")</f>
        <v>BLACK</v>
      </c>
      <c r="G7374" s="20" t="str">
        <f>IFERROR(__xludf.DUMMYFUNCTION("""COMPUTED_VALUE"""),"Uncle Sams Cider (11/12/2021) 02")</f>
        <v>Uncle Sams Cider (11/12/2021) 02</v>
      </c>
      <c r="H7374" s="19"/>
    </row>
    <row r="7375">
      <c r="A7375" s="9"/>
      <c r="B7375" s="15"/>
      <c r="C7375" s="9">
        <f>IFERROR(__xludf.DUMMYFUNCTION("""COMPUTED_VALUE"""),44527.694020405)</f>
        <v>44527.69402</v>
      </c>
      <c r="D7375" s="15">
        <f>IFERROR(__xludf.DUMMYFUNCTION("""COMPUTED_VALUE"""),1.043)</f>
        <v>1.043</v>
      </c>
      <c r="E7375" s="16">
        <f>IFERROR(__xludf.DUMMYFUNCTION("""COMPUTED_VALUE"""),65.0)</f>
        <v>65</v>
      </c>
      <c r="F7375" s="19" t="str">
        <f>IFERROR(__xludf.DUMMYFUNCTION("""COMPUTED_VALUE"""),"BLACK")</f>
        <v>BLACK</v>
      </c>
      <c r="G7375" s="20" t="str">
        <f>IFERROR(__xludf.DUMMYFUNCTION("""COMPUTED_VALUE"""),"Uncle Sams Cider (11/12/2021) 02")</f>
        <v>Uncle Sams Cider (11/12/2021) 02</v>
      </c>
      <c r="H7375" s="19"/>
    </row>
    <row r="7376">
      <c r="A7376" s="9"/>
      <c r="B7376" s="15"/>
      <c r="C7376" s="9">
        <f>IFERROR(__xludf.DUMMYFUNCTION("""COMPUTED_VALUE"""),44527.6835995486)</f>
        <v>44527.6836</v>
      </c>
      <c r="D7376" s="15">
        <f>IFERROR(__xludf.DUMMYFUNCTION("""COMPUTED_VALUE"""),1.043)</f>
        <v>1.043</v>
      </c>
      <c r="E7376" s="16">
        <f>IFERROR(__xludf.DUMMYFUNCTION("""COMPUTED_VALUE"""),65.0)</f>
        <v>65</v>
      </c>
      <c r="F7376" s="19" t="str">
        <f>IFERROR(__xludf.DUMMYFUNCTION("""COMPUTED_VALUE"""),"BLACK")</f>
        <v>BLACK</v>
      </c>
      <c r="G7376" s="20" t="str">
        <f>IFERROR(__xludf.DUMMYFUNCTION("""COMPUTED_VALUE"""),"Uncle Sams Cider (11/12/2021) 02")</f>
        <v>Uncle Sams Cider (11/12/2021) 02</v>
      </c>
      <c r="H7376" s="19"/>
    </row>
    <row r="7377">
      <c r="A7377" s="9"/>
      <c r="B7377" s="15"/>
      <c r="C7377" s="9">
        <f>IFERROR(__xludf.DUMMYFUNCTION("""COMPUTED_VALUE"""),44527.6731787963)</f>
        <v>44527.67318</v>
      </c>
      <c r="D7377" s="15">
        <f>IFERROR(__xludf.DUMMYFUNCTION("""COMPUTED_VALUE"""),1.043)</f>
        <v>1.043</v>
      </c>
      <c r="E7377" s="16">
        <f>IFERROR(__xludf.DUMMYFUNCTION("""COMPUTED_VALUE"""),65.0)</f>
        <v>65</v>
      </c>
      <c r="F7377" s="19" t="str">
        <f>IFERROR(__xludf.DUMMYFUNCTION("""COMPUTED_VALUE"""),"BLACK")</f>
        <v>BLACK</v>
      </c>
      <c r="G7377" s="20" t="str">
        <f>IFERROR(__xludf.DUMMYFUNCTION("""COMPUTED_VALUE"""),"Uncle Sams Cider (11/12/2021) 02")</f>
        <v>Uncle Sams Cider (11/12/2021) 02</v>
      </c>
      <c r="H7377" s="19"/>
    </row>
    <row r="7378">
      <c r="A7378" s="9"/>
      <c r="B7378" s="15"/>
      <c r="C7378" s="9">
        <f>IFERROR(__xludf.DUMMYFUNCTION("""COMPUTED_VALUE"""),44527.6627577662)</f>
        <v>44527.66276</v>
      </c>
      <c r="D7378" s="15">
        <f>IFERROR(__xludf.DUMMYFUNCTION("""COMPUTED_VALUE"""),1.043)</f>
        <v>1.043</v>
      </c>
      <c r="E7378" s="16">
        <f>IFERROR(__xludf.DUMMYFUNCTION("""COMPUTED_VALUE"""),65.0)</f>
        <v>65</v>
      </c>
      <c r="F7378" s="19" t="str">
        <f>IFERROR(__xludf.DUMMYFUNCTION("""COMPUTED_VALUE"""),"BLACK")</f>
        <v>BLACK</v>
      </c>
      <c r="G7378" s="20" t="str">
        <f>IFERROR(__xludf.DUMMYFUNCTION("""COMPUTED_VALUE"""),"Uncle Sams Cider (11/12/2021) 02")</f>
        <v>Uncle Sams Cider (11/12/2021) 02</v>
      </c>
      <c r="H7378" s="19"/>
    </row>
    <row r="7379">
      <c r="A7379" s="9"/>
      <c r="B7379" s="15"/>
      <c r="C7379" s="9">
        <f>IFERROR(__xludf.DUMMYFUNCTION("""COMPUTED_VALUE"""),44527.6523369907)</f>
        <v>44527.65234</v>
      </c>
      <c r="D7379" s="15">
        <f>IFERROR(__xludf.DUMMYFUNCTION("""COMPUTED_VALUE"""),1.043)</f>
        <v>1.043</v>
      </c>
      <c r="E7379" s="16">
        <f>IFERROR(__xludf.DUMMYFUNCTION("""COMPUTED_VALUE"""),65.0)</f>
        <v>65</v>
      </c>
      <c r="F7379" s="19" t="str">
        <f>IFERROR(__xludf.DUMMYFUNCTION("""COMPUTED_VALUE"""),"BLACK")</f>
        <v>BLACK</v>
      </c>
      <c r="G7379" s="20" t="str">
        <f>IFERROR(__xludf.DUMMYFUNCTION("""COMPUTED_VALUE"""),"Uncle Sams Cider (11/12/2021) 02")</f>
        <v>Uncle Sams Cider (11/12/2021) 02</v>
      </c>
      <c r="H7379" s="19"/>
    </row>
    <row r="7380">
      <c r="A7380" s="9"/>
      <c r="B7380" s="15"/>
      <c r="C7380" s="9">
        <f>IFERROR(__xludf.DUMMYFUNCTION("""COMPUTED_VALUE"""),44527.6419169675)</f>
        <v>44527.64192</v>
      </c>
      <c r="D7380" s="15">
        <f>IFERROR(__xludf.DUMMYFUNCTION("""COMPUTED_VALUE"""),1.043)</f>
        <v>1.043</v>
      </c>
      <c r="E7380" s="16">
        <f>IFERROR(__xludf.DUMMYFUNCTION("""COMPUTED_VALUE"""),65.0)</f>
        <v>65</v>
      </c>
      <c r="F7380" s="19" t="str">
        <f>IFERROR(__xludf.DUMMYFUNCTION("""COMPUTED_VALUE"""),"BLACK")</f>
        <v>BLACK</v>
      </c>
      <c r="G7380" s="20" t="str">
        <f>IFERROR(__xludf.DUMMYFUNCTION("""COMPUTED_VALUE"""),"Uncle Sams Cider (11/12/2021) 02")</f>
        <v>Uncle Sams Cider (11/12/2021) 02</v>
      </c>
      <c r="H7380" s="19"/>
    </row>
    <row r="7381">
      <c r="A7381" s="9"/>
      <c r="B7381" s="15"/>
      <c r="C7381" s="9">
        <f>IFERROR(__xludf.DUMMYFUNCTION("""COMPUTED_VALUE"""),44527.6314973148)</f>
        <v>44527.6315</v>
      </c>
      <c r="D7381" s="15">
        <f>IFERROR(__xludf.DUMMYFUNCTION("""COMPUTED_VALUE"""),1.043)</f>
        <v>1.043</v>
      </c>
      <c r="E7381" s="16">
        <f>IFERROR(__xludf.DUMMYFUNCTION("""COMPUTED_VALUE"""),65.0)</f>
        <v>65</v>
      </c>
      <c r="F7381" s="19" t="str">
        <f>IFERROR(__xludf.DUMMYFUNCTION("""COMPUTED_VALUE"""),"BLACK")</f>
        <v>BLACK</v>
      </c>
      <c r="G7381" s="20" t="str">
        <f>IFERROR(__xludf.DUMMYFUNCTION("""COMPUTED_VALUE"""),"Uncle Sams Cider (11/12/2021) 02")</f>
        <v>Uncle Sams Cider (11/12/2021) 02</v>
      </c>
      <c r="H7381" s="19"/>
    </row>
    <row r="7382">
      <c r="A7382" s="9"/>
      <c r="B7382" s="15"/>
      <c r="C7382" s="9">
        <f>IFERROR(__xludf.DUMMYFUNCTION("""COMPUTED_VALUE"""),44527.6210656134)</f>
        <v>44527.62107</v>
      </c>
      <c r="D7382" s="15">
        <f>IFERROR(__xludf.DUMMYFUNCTION("""COMPUTED_VALUE"""),1.043)</f>
        <v>1.043</v>
      </c>
      <c r="E7382" s="16">
        <f>IFERROR(__xludf.DUMMYFUNCTION("""COMPUTED_VALUE"""),65.0)</f>
        <v>65</v>
      </c>
      <c r="F7382" s="19" t="str">
        <f>IFERROR(__xludf.DUMMYFUNCTION("""COMPUTED_VALUE"""),"BLACK")</f>
        <v>BLACK</v>
      </c>
      <c r="G7382" s="20" t="str">
        <f>IFERROR(__xludf.DUMMYFUNCTION("""COMPUTED_VALUE"""),"Uncle Sams Cider (11/12/2021) 02")</f>
        <v>Uncle Sams Cider (11/12/2021) 02</v>
      </c>
      <c r="H7382" s="19"/>
    </row>
    <row r="7383">
      <c r="A7383" s="9"/>
      <c r="B7383" s="15"/>
      <c r="C7383" s="9">
        <f>IFERROR(__xludf.DUMMYFUNCTION("""COMPUTED_VALUE"""),44527.6106459953)</f>
        <v>44527.61065</v>
      </c>
      <c r="D7383" s="15">
        <f>IFERROR(__xludf.DUMMYFUNCTION("""COMPUTED_VALUE"""),1.043)</f>
        <v>1.043</v>
      </c>
      <c r="E7383" s="16">
        <f>IFERROR(__xludf.DUMMYFUNCTION("""COMPUTED_VALUE"""),65.0)</f>
        <v>65</v>
      </c>
      <c r="F7383" s="19" t="str">
        <f>IFERROR(__xludf.DUMMYFUNCTION("""COMPUTED_VALUE"""),"BLACK")</f>
        <v>BLACK</v>
      </c>
      <c r="G7383" s="20" t="str">
        <f>IFERROR(__xludf.DUMMYFUNCTION("""COMPUTED_VALUE"""),"Uncle Sams Cider (11/12/2021) 02")</f>
        <v>Uncle Sams Cider (11/12/2021) 02</v>
      </c>
      <c r="H7383" s="19"/>
    </row>
    <row r="7384">
      <c r="A7384" s="9"/>
      <c r="B7384" s="15"/>
      <c r="C7384" s="9">
        <f>IFERROR(__xludf.DUMMYFUNCTION("""COMPUTED_VALUE"""),44527.6002255555)</f>
        <v>44527.60023</v>
      </c>
      <c r="D7384" s="15">
        <f>IFERROR(__xludf.DUMMYFUNCTION("""COMPUTED_VALUE"""),1.043)</f>
        <v>1.043</v>
      </c>
      <c r="E7384" s="16">
        <f>IFERROR(__xludf.DUMMYFUNCTION("""COMPUTED_VALUE"""),65.0)</f>
        <v>65</v>
      </c>
      <c r="F7384" s="19" t="str">
        <f>IFERROR(__xludf.DUMMYFUNCTION("""COMPUTED_VALUE"""),"BLACK")</f>
        <v>BLACK</v>
      </c>
      <c r="G7384" s="20" t="str">
        <f>IFERROR(__xludf.DUMMYFUNCTION("""COMPUTED_VALUE"""),"Uncle Sams Cider (11/12/2021) 02")</f>
        <v>Uncle Sams Cider (11/12/2021) 02</v>
      </c>
      <c r="H7384" s="19"/>
    </row>
    <row r="7385">
      <c r="A7385" s="9"/>
      <c r="B7385" s="15"/>
      <c r="C7385" s="9">
        <f>IFERROR(__xludf.DUMMYFUNCTION("""COMPUTED_VALUE"""),44527.5898040162)</f>
        <v>44527.5898</v>
      </c>
      <c r="D7385" s="15">
        <f>IFERROR(__xludf.DUMMYFUNCTION("""COMPUTED_VALUE"""),1.043)</f>
        <v>1.043</v>
      </c>
      <c r="E7385" s="16">
        <f>IFERROR(__xludf.DUMMYFUNCTION("""COMPUTED_VALUE"""),65.0)</f>
        <v>65</v>
      </c>
      <c r="F7385" s="19" t="str">
        <f>IFERROR(__xludf.DUMMYFUNCTION("""COMPUTED_VALUE"""),"BLACK")</f>
        <v>BLACK</v>
      </c>
      <c r="G7385" s="20" t="str">
        <f>IFERROR(__xludf.DUMMYFUNCTION("""COMPUTED_VALUE"""),"Uncle Sams Cider (11/12/2021) 02")</f>
        <v>Uncle Sams Cider (11/12/2021) 02</v>
      </c>
      <c r="H7385" s="19"/>
    </row>
    <row r="7386">
      <c r="A7386" s="9"/>
      <c r="B7386" s="15"/>
      <c r="C7386" s="9">
        <f>IFERROR(__xludf.DUMMYFUNCTION("""COMPUTED_VALUE"""),44527.5793835763)</f>
        <v>44527.57938</v>
      </c>
      <c r="D7386" s="15">
        <f>IFERROR(__xludf.DUMMYFUNCTION("""COMPUTED_VALUE"""),1.043)</f>
        <v>1.043</v>
      </c>
      <c r="E7386" s="16">
        <f>IFERROR(__xludf.DUMMYFUNCTION("""COMPUTED_VALUE"""),65.0)</f>
        <v>65</v>
      </c>
      <c r="F7386" s="19" t="str">
        <f>IFERROR(__xludf.DUMMYFUNCTION("""COMPUTED_VALUE"""),"BLACK")</f>
        <v>BLACK</v>
      </c>
      <c r="G7386" s="20" t="str">
        <f>IFERROR(__xludf.DUMMYFUNCTION("""COMPUTED_VALUE"""),"Uncle Sams Cider (11/12/2021) 02")</f>
        <v>Uncle Sams Cider (11/12/2021) 02</v>
      </c>
      <c r="H7386" s="19"/>
    </row>
    <row r="7387">
      <c r="A7387" s="9"/>
      <c r="B7387" s="15"/>
      <c r="C7387" s="9">
        <f>IFERROR(__xludf.DUMMYFUNCTION("""COMPUTED_VALUE"""),44527.5689634953)</f>
        <v>44527.56896</v>
      </c>
      <c r="D7387" s="15">
        <f>IFERROR(__xludf.DUMMYFUNCTION("""COMPUTED_VALUE"""),1.043)</f>
        <v>1.043</v>
      </c>
      <c r="E7387" s="16">
        <f>IFERROR(__xludf.DUMMYFUNCTION("""COMPUTED_VALUE"""),65.0)</f>
        <v>65</v>
      </c>
      <c r="F7387" s="19" t="str">
        <f>IFERROR(__xludf.DUMMYFUNCTION("""COMPUTED_VALUE"""),"BLACK")</f>
        <v>BLACK</v>
      </c>
      <c r="G7387" s="20" t="str">
        <f>IFERROR(__xludf.DUMMYFUNCTION("""COMPUTED_VALUE"""),"Uncle Sams Cider (11/12/2021) 02")</f>
        <v>Uncle Sams Cider (11/12/2021) 02</v>
      </c>
      <c r="H7387" s="19"/>
    </row>
    <row r="7388">
      <c r="A7388" s="9"/>
      <c r="B7388" s="15"/>
      <c r="C7388" s="9">
        <f>IFERROR(__xludf.DUMMYFUNCTION("""COMPUTED_VALUE"""),44527.5585408449)</f>
        <v>44527.55854</v>
      </c>
      <c r="D7388" s="15">
        <f>IFERROR(__xludf.DUMMYFUNCTION("""COMPUTED_VALUE"""),1.043)</f>
        <v>1.043</v>
      </c>
      <c r="E7388" s="16">
        <f>IFERROR(__xludf.DUMMYFUNCTION("""COMPUTED_VALUE"""),65.0)</f>
        <v>65</v>
      </c>
      <c r="F7388" s="19" t="str">
        <f>IFERROR(__xludf.DUMMYFUNCTION("""COMPUTED_VALUE"""),"BLACK")</f>
        <v>BLACK</v>
      </c>
      <c r="G7388" s="20" t="str">
        <f>IFERROR(__xludf.DUMMYFUNCTION("""COMPUTED_VALUE"""),"Uncle Sams Cider (11/12/2021) 02")</f>
        <v>Uncle Sams Cider (11/12/2021) 02</v>
      </c>
      <c r="H7388" s="19"/>
    </row>
    <row r="7389">
      <c r="A7389" s="9"/>
      <c r="B7389" s="15"/>
      <c r="C7389" s="9">
        <f>IFERROR(__xludf.DUMMYFUNCTION("""COMPUTED_VALUE"""),44527.5481195254)</f>
        <v>44527.54812</v>
      </c>
      <c r="D7389" s="15">
        <f>IFERROR(__xludf.DUMMYFUNCTION("""COMPUTED_VALUE"""),1.043)</f>
        <v>1.043</v>
      </c>
      <c r="E7389" s="16">
        <f>IFERROR(__xludf.DUMMYFUNCTION("""COMPUTED_VALUE"""),65.0)</f>
        <v>65</v>
      </c>
      <c r="F7389" s="19" t="str">
        <f>IFERROR(__xludf.DUMMYFUNCTION("""COMPUTED_VALUE"""),"BLACK")</f>
        <v>BLACK</v>
      </c>
      <c r="G7389" s="20" t="str">
        <f>IFERROR(__xludf.DUMMYFUNCTION("""COMPUTED_VALUE"""),"Uncle Sams Cider (11/12/2021) 02")</f>
        <v>Uncle Sams Cider (11/12/2021) 02</v>
      </c>
      <c r="H7389" s="19"/>
    </row>
    <row r="7390">
      <c r="A7390" s="9"/>
      <c r="B7390" s="15"/>
      <c r="C7390" s="9">
        <f>IFERROR(__xludf.DUMMYFUNCTION("""COMPUTED_VALUE"""),44527.5376983449)</f>
        <v>44527.5377</v>
      </c>
      <c r="D7390" s="15">
        <f>IFERROR(__xludf.DUMMYFUNCTION("""COMPUTED_VALUE"""),1.043)</f>
        <v>1.043</v>
      </c>
      <c r="E7390" s="16">
        <f>IFERROR(__xludf.DUMMYFUNCTION("""COMPUTED_VALUE"""),65.0)</f>
        <v>65</v>
      </c>
      <c r="F7390" s="19" t="str">
        <f>IFERROR(__xludf.DUMMYFUNCTION("""COMPUTED_VALUE"""),"BLACK")</f>
        <v>BLACK</v>
      </c>
      <c r="G7390" s="20" t="str">
        <f>IFERROR(__xludf.DUMMYFUNCTION("""COMPUTED_VALUE"""),"Uncle Sams Cider (11/12/2021) 02")</f>
        <v>Uncle Sams Cider (11/12/2021) 02</v>
      </c>
      <c r="H7390" s="19"/>
    </row>
    <row r="7391">
      <c r="A7391" s="9"/>
      <c r="B7391" s="15"/>
      <c r="C7391" s="9">
        <f>IFERROR(__xludf.DUMMYFUNCTION("""COMPUTED_VALUE"""),44527.5272783796)</f>
        <v>44527.52728</v>
      </c>
      <c r="D7391" s="15">
        <f>IFERROR(__xludf.DUMMYFUNCTION("""COMPUTED_VALUE"""),1.043)</f>
        <v>1.043</v>
      </c>
      <c r="E7391" s="16">
        <f>IFERROR(__xludf.DUMMYFUNCTION("""COMPUTED_VALUE"""),65.0)</f>
        <v>65</v>
      </c>
      <c r="F7391" s="19" t="str">
        <f>IFERROR(__xludf.DUMMYFUNCTION("""COMPUTED_VALUE"""),"BLACK")</f>
        <v>BLACK</v>
      </c>
      <c r="G7391" s="20" t="str">
        <f>IFERROR(__xludf.DUMMYFUNCTION("""COMPUTED_VALUE"""),"Uncle Sams Cider (11/12/2021) 02")</f>
        <v>Uncle Sams Cider (11/12/2021) 02</v>
      </c>
      <c r="H7391" s="19"/>
    </row>
    <row r="7392">
      <c r="A7392" s="9"/>
      <c r="B7392" s="15"/>
      <c r="C7392" s="9">
        <f>IFERROR(__xludf.DUMMYFUNCTION("""COMPUTED_VALUE"""),44527.5168568518)</f>
        <v>44527.51686</v>
      </c>
      <c r="D7392" s="15">
        <f>IFERROR(__xludf.DUMMYFUNCTION("""COMPUTED_VALUE"""),1.043)</f>
        <v>1.043</v>
      </c>
      <c r="E7392" s="16">
        <f>IFERROR(__xludf.DUMMYFUNCTION("""COMPUTED_VALUE"""),65.0)</f>
        <v>65</v>
      </c>
      <c r="F7392" s="19" t="str">
        <f>IFERROR(__xludf.DUMMYFUNCTION("""COMPUTED_VALUE"""),"BLACK")</f>
        <v>BLACK</v>
      </c>
      <c r="G7392" s="20" t="str">
        <f>IFERROR(__xludf.DUMMYFUNCTION("""COMPUTED_VALUE"""),"Uncle Sams Cider (11/12/2021) 02")</f>
        <v>Uncle Sams Cider (11/12/2021) 02</v>
      </c>
      <c r="H7392" s="19"/>
    </row>
    <row r="7393">
      <c r="A7393" s="9"/>
      <c r="B7393" s="15"/>
      <c r="C7393" s="9">
        <f>IFERROR(__xludf.DUMMYFUNCTION("""COMPUTED_VALUE"""),44527.5064346874)</f>
        <v>44527.50643</v>
      </c>
      <c r="D7393" s="15">
        <f>IFERROR(__xludf.DUMMYFUNCTION("""COMPUTED_VALUE"""),1.043)</f>
        <v>1.043</v>
      </c>
      <c r="E7393" s="16">
        <f>IFERROR(__xludf.DUMMYFUNCTION("""COMPUTED_VALUE"""),65.0)</f>
        <v>65</v>
      </c>
      <c r="F7393" s="19" t="str">
        <f>IFERROR(__xludf.DUMMYFUNCTION("""COMPUTED_VALUE"""),"BLACK")</f>
        <v>BLACK</v>
      </c>
      <c r="G7393" s="20" t="str">
        <f>IFERROR(__xludf.DUMMYFUNCTION("""COMPUTED_VALUE"""),"Uncle Sams Cider (11/12/2021) 02")</f>
        <v>Uncle Sams Cider (11/12/2021) 02</v>
      </c>
      <c r="H7393" s="19"/>
    </row>
    <row r="7394">
      <c r="A7394" s="9"/>
      <c r="B7394" s="15"/>
      <c r="C7394" s="9">
        <f>IFERROR(__xludf.DUMMYFUNCTION("""COMPUTED_VALUE"""),44527.4960127083)</f>
        <v>44527.49601</v>
      </c>
      <c r="D7394" s="15">
        <f>IFERROR(__xludf.DUMMYFUNCTION("""COMPUTED_VALUE"""),1.043)</f>
        <v>1.043</v>
      </c>
      <c r="E7394" s="16">
        <f>IFERROR(__xludf.DUMMYFUNCTION("""COMPUTED_VALUE"""),65.0)</f>
        <v>65</v>
      </c>
      <c r="F7394" s="19" t="str">
        <f>IFERROR(__xludf.DUMMYFUNCTION("""COMPUTED_VALUE"""),"BLACK")</f>
        <v>BLACK</v>
      </c>
      <c r="G7394" s="20" t="str">
        <f>IFERROR(__xludf.DUMMYFUNCTION("""COMPUTED_VALUE"""),"Uncle Sams Cider (11/12/2021) 02")</f>
        <v>Uncle Sams Cider (11/12/2021) 02</v>
      </c>
      <c r="H7394" s="19"/>
    </row>
    <row r="7395">
      <c r="A7395" s="9"/>
      <c r="B7395" s="15"/>
      <c r="C7395" s="9">
        <f>IFERROR(__xludf.DUMMYFUNCTION("""COMPUTED_VALUE"""),44527.485590949)</f>
        <v>44527.48559</v>
      </c>
      <c r="D7395" s="15">
        <f>IFERROR(__xludf.DUMMYFUNCTION("""COMPUTED_VALUE"""),1.043)</f>
        <v>1.043</v>
      </c>
      <c r="E7395" s="16">
        <f>IFERROR(__xludf.DUMMYFUNCTION("""COMPUTED_VALUE"""),65.0)</f>
        <v>65</v>
      </c>
      <c r="F7395" s="19" t="str">
        <f>IFERROR(__xludf.DUMMYFUNCTION("""COMPUTED_VALUE"""),"BLACK")</f>
        <v>BLACK</v>
      </c>
      <c r="G7395" s="20" t="str">
        <f>IFERROR(__xludf.DUMMYFUNCTION("""COMPUTED_VALUE"""),"Uncle Sams Cider (11/12/2021) 02")</f>
        <v>Uncle Sams Cider (11/12/2021) 02</v>
      </c>
      <c r="H7395" s="19"/>
    </row>
    <row r="7396">
      <c r="A7396" s="9"/>
      <c r="B7396" s="15"/>
      <c r="C7396" s="9">
        <f>IFERROR(__xludf.DUMMYFUNCTION("""COMPUTED_VALUE"""),44527.4751700694)</f>
        <v>44527.47517</v>
      </c>
      <c r="D7396" s="15">
        <f>IFERROR(__xludf.DUMMYFUNCTION("""COMPUTED_VALUE"""),1.043)</f>
        <v>1.043</v>
      </c>
      <c r="E7396" s="16">
        <f>IFERROR(__xludf.DUMMYFUNCTION("""COMPUTED_VALUE"""),65.0)</f>
        <v>65</v>
      </c>
      <c r="F7396" s="19" t="str">
        <f>IFERROR(__xludf.DUMMYFUNCTION("""COMPUTED_VALUE"""),"BLACK")</f>
        <v>BLACK</v>
      </c>
      <c r="G7396" s="20" t="str">
        <f>IFERROR(__xludf.DUMMYFUNCTION("""COMPUTED_VALUE"""),"Uncle Sams Cider (11/12/2021) 02")</f>
        <v>Uncle Sams Cider (11/12/2021) 02</v>
      </c>
      <c r="H7396" s="19"/>
    </row>
    <row r="7397">
      <c r="A7397" s="9"/>
      <c r="B7397" s="15"/>
      <c r="C7397" s="9">
        <f>IFERROR(__xludf.DUMMYFUNCTION("""COMPUTED_VALUE"""),44527.4647467592)</f>
        <v>44527.46475</v>
      </c>
      <c r="D7397" s="15">
        <f>IFERROR(__xludf.DUMMYFUNCTION("""COMPUTED_VALUE"""),1.043)</f>
        <v>1.043</v>
      </c>
      <c r="E7397" s="16">
        <f>IFERROR(__xludf.DUMMYFUNCTION("""COMPUTED_VALUE"""),65.0)</f>
        <v>65</v>
      </c>
      <c r="F7397" s="19" t="str">
        <f>IFERROR(__xludf.DUMMYFUNCTION("""COMPUTED_VALUE"""),"BLACK")</f>
        <v>BLACK</v>
      </c>
      <c r="G7397" s="20" t="str">
        <f>IFERROR(__xludf.DUMMYFUNCTION("""COMPUTED_VALUE"""),"Uncle Sams Cider (11/12/2021) 02")</f>
        <v>Uncle Sams Cider (11/12/2021) 02</v>
      </c>
      <c r="H7397" s="19"/>
    </row>
    <row r="7398">
      <c r="A7398" s="9"/>
      <c r="B7398" s="15"/>
      <c r="C7398" s="9">
        <f>IFERROR(__xludf.DUMMYFUNCTION("""COMPUTED_VALUE"""),44527.4543273842)</f>
        <v>44527.45433</v>
      </c>
      <c r="D7398" s="15">
        <f>IFERROR(__xludf.DUMMYFUNCTION("""COMPUTED_VALUE"""),1.043)</f>
        <v>1.043</v>
      </c>
      <c r="E7398" s="16">
        <f>IFERROR(__xludf.DUMMYFUNCTION("""COMPUTED_VALUE"""),65.0)</f>
        <v>65</v>
      </c>
      <c r="F7398" s="19" t="str">
        <f>IFERROR(__xludf.DUMMYFUNCTION("""COMPUTED_VALUE"""),"BLACK")</f>
        <v>BLACK</v>
      </c>
      <c r="G7398" s="20" t="str">
        <f>IFERROR(__xludf.DUMMYFUNCTION("""COMPUTED_VALUE"""),"Uncle Sams Cider (11/12/2021) 02")</f>
        <v>Uncle Sams Cider (11/12/2021) 02</v>
      </c>
      <c r="H7398" s="19"/>
    </row>
    <row r="7399">
      <c r="A7399" s="9"/>
      <c r="B7399" s="15"/>
      <c r="C7399" s="9">
        <f>IFERROR(__xludf.DUMMYFUNCTION("""COMPUTED_VALUE"""),44527.4439058449)</f>
        <v>44527.44391</v>
      </c>
      <c r="D7399" s="15">
        <f>IFERROR(__xludf.DUMMYFUNCTION("""COMPUTED_VALUE"""),1.043)</f>
        <v>1.043</v>
      </c>
      <c r="E7399" s="16">
        <f>IFERROR(__xludf.DUMMYFUNCTION("""COMPUTED_VALUE"""),65.0)</f>
        <v>65</v>
      </c>
      <c r="F7399" s="19" t="str">
        <f>IFERROR(__xludf.DUMMYFUNCTION("""COMPUTED_VALUE"""),"BLACK")</f>
        <v>BLACK</v>
      </c>
      <c r="G7399" s="20" t="str">
        <f>IFERROR(__xludf.DUMMYFUNCTION("""COMPUTED_VALUE"""),"Uncle Sams Cider (11/12/2021) 02")</f>
        <v>Uncle Sams Cider (11/12/2021) 02</v>
      </c>
      <c r="H7399" s="19"/>
    </row>
    <row r="7400">
      <c r="A7400" s="9"/>
      <c r="B7400" s="15"/>
      <c r="C7400" s="9">
        <f>IFERROR(__xludf.DUMMYFUNCTION("""COMPUTED_VALUE"""),44527.4334832986)</f>
        <v>44527.43348</v>
      </c>
      <c r="D7400" s="15">
        <f>IFERROR(__xludf.DUMMYFUNCTION("""COMPUTED_VALUE"""),1.043)</f>
        <v>1.043</v>
      </c>
      <c r="E7400" s="16">
        <f>IFERROR(__xludf.DUMMYFUNCTION("""COMPUTED_VALUE"""),65.0)</f>
        <v>65</v>
      </c>
      <c r="F7400" s="19" t="str">
        <f>IFERROR(__xludf.DUMMYFUNCTION("""COMPUTED_VALUE"""),"BLACK")</f>
        <v>BLACK</v>
      </c>
      <c r="G7400" s="20" t="str">
        <f>IFERROR(__xludf.DUMMYFUNCTION("""COMPUTED_VALUE"""),"Uncle Sams Cider (11/12/2021) 02")</f>
        <v>Uncle Sams Cider (11/12/2021) 02</v>
      </c>
      <c r="H7400" s="19"/>
    </row>
    <row r="7401">
      <c r="A7401" s="9"/>
      <c r="B7401" s="15"/>
      <c r="C7401" s="9">
        <f>IFERROR(__xludf.DUMMYFUNCTION("""COMPUTED_VALUE"""),44527.4230626967)</f>
        <v>44527.42306</v>
      </c>
      <c r="D7401" s="15">
        <f>IFERROR(__xludf.DUMMYFUNCTION("""COMPUTED_VALUE"""),1.043)</f>
        <v>1.043</v>
      </c>
      <c r="E7401" s="16">
        <f>IFERROR(__xludf.DUMMYFUNCTION("""COMPUTED_VALUE"""),65.0)</f>
        <v>65</v>
      </c>
      <c r="F7401" s="19" t="str">
        <f>IFERROR(__xludf.DUMMYFUNCTION("""COMPUTED_VALUE"""),"BLACK")</f>
        <v>BLACK</v>
      </c>
      <c r="G7401" s="20" t="str">
        <f>IFERROR(__xludf.DUMMYFUNCTION("""COMPUTED_VALUE"""),"Uncle Sams Cider (11/12/2021) 02")</f>
        <v>Uncle Sams Cider (11/12/2021) 02</v>
      </c>
      <c r="H7401" s="19"/>
    </row>
    <row r="7402">
      <c r="A7402" s="9"/>
      <c r="B7402" s="15"/>
      <c r="C7402" s="9">
        <f>IFERROR(__xludf.DUMMYFUNCTION("""COMPUTED_VALUE"""),44527.4126403587)</f>
        <v>44527.41264</v>
      </c>
      <c r="D7402" s="15">
        <f>IFERROR(__xludf.DUMMYFUNCTION("""COMPUTED_VALUE"""),1.043)</f>
        <v>1.043</v>
      </c>
      <c r="E7402" s="16">
        <f>IFERROR(__xludf.DUMMYFUNCTION("""COMPUTED_VALUE"""),65.0)</f>
        <v>65</v>
      </c>
      <c r="F7402" s="19" t="str">
        <f>IFERROR(__xludf.DUMMYFUNCTION("""COMPUTED_VALUE"""),"BLACK")</f>
        <v>BLACK</v>
      </c>
      <c r="G7402" s="20" t="str">
        <f>IFERROR(__xludf.DUMMYFUNCTION("""COMPUTED_VALUE"""),"Uncle Sams Cider (11/12/2021) 02")</f>
        <v>Uncle Sams Cider (11/12/2021) 02</v>
      </c>
      <c r="H7402" s="19"/>
    </row>
    <row r="7403">
      <c r="A7403" s="9"/>
      <c r="B7403" s="15"/>
      <c r="C7403" s="9">
        <f>IFERROR(__xludf.DUMMYFUNCTION("""COMPUTED_VALUE"""),44527.4022197222)</f>
        <v>44527.40222</v>
      </c>
      <c r="D7403" s="15">
        <f>IFERROR(__xludf.DUMMYFUNCTION("""COMPUTED_VALUE"""),1.043)</f>
        <v>1.043</v>
      </c>
      <c r="E7403" s="16">
        <f>IFERROR(__xludf.DUMMYFUNCTION("""COMPUTED_VALUE"""),65.0)</f>
        <v>65</v>
      </c>
      <c r="F7403" s="19" t="str">
        <f>IFERROR(__xludf.DUMMYFUNCTION("""COMPUTED_VALUE"""),"BLACK")</f>
        <v>BLACK</v>
      </c>
      <c r="G7403" s="20" t="str">
        <f>IFERROR(__xludf.DUMMYFUNCTION("""COMPUTED_VALUE"""),"Uncle Sams Cider (11/12/2021) 02")</f>
        <v>Uncle Sams Cider (11/12/2021) 02</v>
      </c>
      <c r="H7403" s="19"/>
    </row>
    <row r="7404">
      <c r="A7404" s="9"/>
      <c r="B7404" s="15"/>
      <c r="C7404" s="9">
        <f>IFERROR(__xludf.DUMMYFUNCTION("""COMPUTED_VALUE"""),44527.3917984722)</f>
        <v>44527.3918</v>
      </c>
      <c r="D7404" s="15">
        <f>IFERROR(__xludf.DUMMYFUNCTION("""COMPUTED_VALUE"""),1.043)</f>
        <v>1.043</v>
      </c>
      <c r="E7404" s="16">
        <f>IFERROR(__xludf.DUMMYFUNCTION("""COMPUTED_VALUE"""),65.0)</f>
        <v>65</v>
      </c>
      <c r="F7404" s="19" t="str">
        <f>IFERROR(__xludf.DUMMYFUNCTION("""COMPUTED_VALUE"""),"BLACK")</f>
        <v>BLACK</v>
      </c>
      <c r="G7404" s="20" t="str">
        <f>IFERROR(__xludf.DUMMYFUNCTION("""COMPUTED_VALUE"""),"Uncle Sams Cider (11/12/2021) 02")</f>
        <v>Uncle Sams Cider (11/12/2021) 02</v>
      </c>
      <c r="H7404" s="19"/>
    </row>
    <row r="7405">
      <c r="A7405" s="9"/>
      <c r="B7405" s="15"/>
      <c r="C7405" s="9">
        <f>IFERROR(__xludf.DUMMYFUNCTION("""COMPUTED_VALUE"""),44527.381364456)</f>
        <v>44527.38136</v>
      </c>
      <c r="D7405" s="15">
        <f>IFERROR(__xludf.DUMMYFUNCTION("""COMPUTED_VALUE"""),1.043)</f>
        <v>1.043</v>
      </c>
      <c r="E7405" s="16">
        <f>IFERROR(__xludf.DUMMYFUNCTION("""COMPUTED_VALUE"""),65.0)</f>
        <v>65</v>
      </c>
      <c r="F7405" s="19" t="str">
        <f>IFERROR(__xludf.DUMMYFUNCTION("""COMPUTED_VALUE"""),"BLACK")</f>
        <v>BLACK</v>
      </c>
      <c r="G7405" s="20" t="str">
        <f>IFERROR(__xludf.DUMMYFUNCTION("""COMPUTED_VALUE"""),"Uncle Sams Cider (11/12/2021) 02")</f>
        <v>Uncle Sams Cider (11/12/2021) 02</v>
      </c>
      <c r="H7405" s="19"/>
    </row>
    <row r="7406">
      <c r="A7406" s="9"/>
      <c r="B7406" s="15"/>
      <c r="C7406" s="9">
        <f>IFERROR(__xludf.DUMMYFUNCTION("""COMPUTED_VALUE"""),44527.3709419328)</f>
        <v>44527.37094</v>
      </c>
      <c r="D7406" s="15">
        <f>IFERROR(__xludf.DUMMYFUNCTION("""COMPUTED_VALUE"""),1.044)</f>
        <v>1.044</v>
      </c>
      <c r="E7406" s="16">
        <f>IFERROR(__xludf.DUMMYFUNCTION("""COMPUTED_VALUE"""),65.0)</f>
        <v>65</v>
      </c>
      <c r="F7406" s="19" t="str">
        <f>IFERROR(__xludf.DUMMYFUNCTION("""COMPUTED_VALUE"""),"BLACK")</f>
        <v>BLACK</v>
      </c>
      <c r="G7406" s="20" t="str">
        <f>IFERROR(__xludf.DUMMYFUNCTION("""COMPUTED_VALUE"""),"Uncle Sams Cider (11/12/2021) 02")</f>
        <v>Uncle Sams Cider (11/12/2021) 02</v>
      </c>
      <c r="H7406" s="19"/>
    </row>
    <row r="7407">
      <c r="A7407" s="9"/>
      <c r="B7407" s="15"/>
      <c r="C7407" s="9">
        <f>IFERROR(__xludf.DUMMYFUNCTION("""COMPUTED_VALUE"""),44527.360508287)</f>
        <v>44527.36051</v>
      </c>
      <c r="D7407" s="15">
        <f>IFERROR(__xludf.DUMMYFUNCTION("""COMPUTED_VALUE"""),1.044)</f>
        <v>1.044</v>
      </c>
      <c r="E7407" s="16">
        <f>IFERROR(__xludf.DUMMYFUNCTION("""COMPUTED_VALUE"""),65.0)</f>
        <v>65</v>
      </c>
      <c r="F7407" s="19" t="str">
        <f>IFERROR(__xludf.DUMMYFUNCTION("""COMPUTED_VALUE"""),"BLACK")</f>
        <v>BLACK</v>
      </c>
      <c r="G7407" s="20" t="str">
        <f>IFERROR(__xludf.DUMMYFUNCTION("""COMPUTED_VALUE"""),"Uncle Sams Cider (11/12/2021) 02")</f>
        <v>Uncle Sams Cider (11/12/2021) 02</v>
      </c>
      <c r="H7407" s="19"/>
    </row>
    <row r="7408">
      <c r="A7408" s="9"/>
      <c r="B7408" s="15"/>
      <c r="C7408" s="9">
        <f>IFERROR(__xludf.DUMMYFUNCTION("""COMPUTED_VALUE"""),44527.3500870023)</f>
        <v>44527.35009</v>
      </c>
      <c r="D7408" s="15">
        <f>IFERROR(__xludf.DUMMYFUNCTION("""COMPUTED_VALUE"""),1.044)</f>
        <v>1.044</v>
      </c>
      <c r="E7408" s="16">
        <f>IFERROR(__xludf.DUMMYFUNCTION("""COMPUTED_VALUE"""),65.0)</f>
        <v>65</v>
      </c>
      <c r="F7408" s="19" t="str">
        <f>IFERROR(__xludf.DUMMYFUNCTION("""COMPUTED_VALUE"""),"BLACK")</f>
        <v>BLACK</v>
      </c>
      <c r="G7408" s="20" t="str">
        <f>IFERROR(__xludf.DUMMYFUNCTION("""COMPUTED_VALUE"""),"Uncle Sams Cider (11/12/2021) 02")</f>
        <v>Uncle Sams Cider (11/12/2021) 02</v>
      </c>
      <c r="H7408" s="19"/>
    </row>
    <row r="7409">
      <c r="A7409" s="9"/>
      <c r="B7409" s="15"/>
      <c r="C7409" s="9">
        <f>IFERROR(__xludf.DUMMYFUNCTION("""COMPUTED_VALUE"""),44527.3396655555)</f>
        <v>44527.33967</v>
      </c>
      <c r="D7409" s="15">
        <f>IFERROR(__xludf.DUMMYFUNCTION("""COMPUTED_VALUE"""),1.043)</f>
        <v>1.043</v>
      </c>
      <c r="E7409" s="16">
        <f>IFERROR(__xludf.DUMMYFUNCTION("""COMPUTED_VALUE"""),65.0)</f>
        <v>65</v>
      </c>
      <c r="F7409" s="19" t="str">
        <f>IFERROR(__xludf.DUMMYFUNCTION("""COMPUTED_VALUE"""),"BLACK")</f>
        <v>BLACK</v>
      </c>
      <c r="G7409" s="20" t="str">
        <f>IFERROR(__xludf.DUMMYFUNCTION("""COMPUTED_VALUE"""),"Uncle Sams Cider (11/12/2021) 02")</f>
        <v>Uncle Sams Cider (11/12/2021) 02</v>
      </c>
      <c r="H7409" s="19"/>
    </row>
    <row r="7410">
      <c r="A7410" s="9"/>
      <c r="B7410" s="15"/>
      <c r="C7410" s="9">
        <f>IFERROR(__xludf.DUMMYFUNCTION("""COMPUTED_VALUE"""),44527.3292211111)</f>
        <v>44527.32922</v>
      </c>
      <c r="D7410" s="15">
        <f>IFERROR(__xludf.DUMMYFUNCTION("""COMPUTED_VALUE"""),1.043)</f>
        <v>1.043</v>
      </c>
      <c r="E7410" s="16">
        <f>IFERROR(__xludf.DUMMYFUNCTION("""COMPUTED_VALUE"""),65.0)</f>
        <v>65</v>
      </c>
      <c r="F7410" s="19" t="str">
        <f>IFERROR(__xludf.DUMMYFUNCTION("""COMPUTED_VALUE"""),"BLACK")</f>
        <v>BLACK</v>
      </c>
      <c r="G7410" s="20" t="str">
        <f>IFERROR(__xludf.DUMMYFUNCTION("""COMPUTED_VALUE"""),"Uncle Sams Cider (11/12/2021) 02")</f>
        <v>Uncle Sams Cider (11/12/2021) 02</v>
      </c>
      <c r="H7410" s="19"/>
    </row>
    <row r="7411">
      <c r="A7411" s="9"/>
      <c r="B7411" s="15"/>
      <c r="C7411" s="9">
        <f>IFERROR(__xludf.DUMMYFUNCTION("""COMPUTED_VALUE"""),44527.3188002199)</f>
        <v>44527.3188</v>
      </c>
      <c r="D7411" s="15">
        <f>IFERROR(__xludf.DUMMYFUNCTION("""COMPUTED_VALUE"""),1.044)</f>
        <v>1.044</v>
      </c>
      <c r="E7411" s="16">
        <f>IFERROR(__xludf.DUMMYFUNCTION("""COMPUTED_VALUE"""),65.0)</f>
        <v>65</v>
      </c>
      <c r="F7411" s="19" t="str">
        <f>IFERROR(__xludf.DUMMYFUNCTION("""COMPUTED_VALUE"""),"BLACK")</f>
        <v>BLACK</v>
      </c>
      <c r="G7411" s="20" t="str">
        <f>IFERROR(__xludf.DUMMYFUNCTION("""COMPUTED_VALUE"""),"Uncle Sams Cider (11/12/2021) 02")</f>
        <v>Uncle Sams Cider (11/12/2021) 02</v>
      </c>
      <c r="H7411" s="19"/>
    </row>
    <row r="7412">
      <c r="A7412" s="9"/>
      <c r="B7412" s="15"/>
      <c r="C7412" s="9">
        <f>IFERROR(__xludf.DUMMYFUNCTION("""COMPUTED_VALUE"""),44527.3083789351)</f>
        <v>44527.30838</v>
      </c>
      <c r="D7412" s="15">
        <f>IFERROR(__xludf.DUMMYFUNCTION("""COMPUTED_VALUE"""),1.044)</f>
        <v>1.044</v>
      </c>
      <c r="E7412" s="16">
        <f>IFERROR(__xludf.DUMMYFUNCTION("""COMPUTED_VALUE"""),65.0)</f>
        <v>65</v>
      </c>
      <c r="F7412" s="19" t="str">
        <f>IFERROR(__xludf.DUMMYFUNCTION("""COMPUTED_VALUE"""),"BLACK")</f>
        <v>BLACK</v>
      </c>
      <c r="G7412" s="20" t="str">
        <f>IFERROR(__xludf.DUMMYFUNCTION("""COMPUTED_VALUE"""),"Uncle Sams Cider (11/12/2021) 02")</f>
        <v>Uncle Sams Cider (11/12/2021) 02</v>
      </c>
      <c r="H7412" s="19"/>
    </row>
    <row r="7413">
      <c r="A7413" s="9"/>
      <c r="B7413" s="15"/>
      <c r="C7413" s="9">
        <f>IFERROR(__xludf.DUMMYFUNCTION("""COMPUTED_VALUE"""),44527.2979580324)</f>
        <v>44527.29796</v>
      </c>
      <c r="D7413" s="15">
        <f>IFERROR(__xludf.DUMMYFUNCTION("""COMPUTED_VALUE"""),1.044)</f>
        <v>1.044</v>
      </c>
      <c r="E7413" s="16">
        <f>IFERROR(__xludf.DUMMYFUNCTION("""COMPUTED_VALUE"""),65.0)</f>
        <v>65</v>
      </c>
      <c r="F7413" s="19" t="str">
        <f>IFERROR(__xludf.DUMMYFUNCTION("""COMPUTED_VALUE"""),"BLACK")</f>
        <v>BLACK</v>
      </c>
      <c r="G7413" s="20" t="str">
        <f>IFERROR(__xludf.DUMMYFUNCTION("""COMPUTED_VALUE"""),"Uncle Sams Cider (11/12/2021) 02")</f>
        <v>Uncle Sams Cider (11/12/2021) 02</v>
      </c>
      <c r="H7413" s="19"/>
    </row>
    <row r="7414">
      <c r="A7414" s="9"/>
      <c r="B7414" s="15"/>
      <c r="C7414" s="9">
        <f>IFERROR(__xludf.DUMMYFUNCTION("""COMPUTED_VALUE"""),44527.2875368865)</f>
        <v>44527.28754</v>
      </c>
      <c r="D7414" s="15">
        <f>IFERROR(__xludf.DUMMYFUNCTION("""COMPUTED_VALUE"""),1.043)</f>
        <v>1.043</v>
      </c>
      <c r="E7414" s="16">
        <f>IFERROR(__xludf.DUMMYFUNCTION("""COMPUTED_VALUE"""),65.0)</f>
        <v>65</v>
      </c>
      <c r="F7414" s="19" t="str">
        <f>IFERROR(__xludf.DUMMYFUNCTION("""COMPUTED_VALUE"""),"BLACK")</f>
        <v>BLACK</v>
      </c>
      <c r="G7414" s="20" t="str">
        <f>IFERROR(__xludf.DUMMYFUNCTION("""COMPUTED_VALUE"""),"Uncle Sams Cider (11/12/2021) 02")</f>
        <v>Uncle Sams Cider (11/12/2021) 02</v>
      </c>
      <c r="H7414" s="19"/>
    </row>
    <row r="7415">
      <c r="A7415" s="9"/>
      <c r="B7415" s="15"/>
      <c r="C7415" s="9">
        <f>IFERROR(__xludf.DUMMYFUNCTION("""COMPUTED_VALUE"""),44527.2771155324)</f>
        <v>44527.27712</v>
      </c>
      <c r="D7415" s="15">
        <f>IFERROR(__xludf.DUMMYFUNCTION("""COMPUTED_VALUE"""),1.044)</f>
        <v>1.044</v>
      </c>
      <c r="E7415" s="16">
        <f>IFERROR(__xludf.DUMMYFUNCTION("""COMPUTED_VALUE"""),65.0)</f>
        <v>65</v>
      </c>
      <c r="F7415" s="19" t="str">
        <f>IFERROR(__xludf.DUMMYFUNCTION("""COMPUTED_VALUE"""),"BLACK")</f>
        <v>BLACK</v>
      </c>
      <c r="G7415" s="20" t="str">
        <f>IFERROR(__xludf.DUMMYFUNCTION("""COMPUTED_VALUE"""),"Uncle Sams Cider (11/12/2021) 02")</f>
        <v>Uncle Sams Cider (11/12/2021) 02</v>
      </c>
      <c r="H7415" s="19"/>
    </row>
    <row r="7416">
      <c r="A7416" s="9"/>
      <c r="B7416" s="15"/>
      <c r="C7416" s="9">
        <f>IFERROR(__xludf.DUMMYFUNCTION("""COMPUTED_VALUE"""),44527.2666940509)</f>
        <v>44527.26669</v>
      </c>
      <c r="D7416" s="15">
        <f>IFERROR(__xludf.DUMMYFUNCTION("""COMPUTED_VALUE"""),1.044)</f>
        <v>1.044</v>
      </c>
      <c r="E7416" s="16">
        <f>IFERROR(__xludf.DUMMYFUNCTION("""COMPUTED_VALUE"""),65.0)</f>
        <v>65</v>
      </c>
      <c r="F7416" s="19" t="str">
        <f>IFERROR(__xludf.DUMMYFUNCTION("""COMPUTED_VALUE"""),"BLACK")</f>
        <v>BLACK</v>
      </c>
      <c r="G7416" s="20" t="str">
        <f>IFERROR(__xludf.DUMMYFUNCTION("""COMPUTED_VALUE"""),"Uncle Sams Cider (11/12/2021) 02")</f>
        <v>Uncle Sams Cider (11/12/2021) 02</v>
      </c>
      <c r="H7416" s="19"/>
    </row>
    <row r="7417">
      <c r="A7417" s="9"/>
      <c r="B7417" s="15"/>
      <c r="C7417" s="9">
        <f>IFERROR(__xludf.DUMMYFUNCTION("""COMPUTED_VALUE"""),44527.2562601388)</f>
        <v>44527.25626</v>
      </c>
      <c r="D7417" s="15">
        <f>IFERROR(__xludf.DUMMYFUNCTION("""COMPUTED_VALUE"""),1.044)</f>
        <v>1.044</v>
      </c>
      <c r="E7417" s="16">
        <f>IFERROR(__xludf.DUMMYFUNCTION("""COMPUTED_VALUE"""),65.0)</f>
        <v>65</v>
      </c>
      <c r="F7417" s="19" t="str">
        <f>IFERROR(__xludf.DUMMYFUNCTION("""COMPUTED_VALUE"""),"BLACK")</f>
        <v>BLACK</v>
      </c>
      <c r="G7417" s="20" t="str">
        <f>IFERROR(__xludf.DUMMYFUNCTION("""COMPUTED_VALUE"""),"Uncle Sams Cider (11/12/2021) 02")</f>
        <v>Uncle Sams Cider (11/12/2021) 02</v>
      </c>
      <c r="H7417" s="19"/>
    </row>
    <row r="7418">
      <c r="A7418" s="9"/>
      <c r="B7418" s="15"/>
      <c r="C7418" s="9">
        <f>IFERROR(__xludf.DUMMYFUNCTION("""COMPUTED_VALUE"""),44527.2458401273)</f>
        <v>44527.24584</v>
      </c>
      <c r="D7418" s="15">
        <f>IFERROR(__xludf.DUMMYFUNCTION("""COMPUTED_VALUE"""),1.044)</f>
        <v>1.044</v>
      </c>
      <c r="E7418" s="16">
        <f>IFERROR(__xludf.DUMMYFUNCTION("""COMPUTED_VALUE"""),65.0)</f>
        <v>65</v>
      </c>
      <c r="F7418" s="19" t="str">
        <f>IFERROR(__xludf.DUMMYFUNCTION("""COMPUTED_VALUE"""),"BLACK")</f>
        <v>BLACK</v>
      </c>
      <c r="G7418" s="20" t="str">
        <f>IFERROR(__xludf.DUMMYFUNCTION("""COMPUTED_VALUE"""),"Uncle Sams Cider (11/12/2021) 02")</f>
        <v>Uncle Sams Cider (11/12/2021) 02</v>
      </c>
      <c r="H7418" s="19"/>
    </row>
    <row r="7419">
      <c r="A7419" s="9"/>
      <c r="B7419" s="15"/>
      <c r="C7419" s="9">
        <f>IFERROR(__xludf.DUMMYFUNCTION("""COMPUTED_VALUE"""),44527.2354065277)</f>
        <v>44527.23541</v>
      </c>
      <c r="D7419" s="15">
        <f>IFERROR(__xludf.DUMMYFUNCTION("""COMPUTED_VALUE"""),1.044)</f>
        <v>1.044</v>
      </c>
      <c r="E7419" s="16">
        <f>IFERROR(__xludf.DUMMYFUNCTION("""COMPUTED_VALUE"""),65.0)</f>
        <v>65</v>
      </c>
      <c r="F7419" s="19" t="str">
        <f>IFERROR(__xludf.DUMMYFUNCTION("""COMPUTED_VALUE"""),"BLACK")</f>
        <v>BLACK</v>
      </c>
      <c r="G7419" s="20" t="str">
        <f>IFERROR(__xludf.DUMMYFUNCTION("""COMPUTED_VALUE"""),"Uncle Sams Cider (11/12/2021) 02")</f>
        <v>Uncle Sams Cider (11/12/2021) 02</v>
      </c>
      <c r="H7419" s="19"/>
    </row>
    <row r="7420">
      <c r="A7420" s="9"/>
      <c r="B7420" s="15"/>
      <c r="C7420" s="9">
        <f>IFERROR(__xludf.DUMMYFUNCTION("""COMPUTED_VALUE"""),44527.2249840509)</f>
        <v>44527.22498</v>
      </c>
      <c r="D7420" s="15">
        <f>IFERROR(__xludf.DUMMYFUNCTION("""COMPUTED_VALUE"""),1.044)</f>
        <v>1.044</v>
      </c>
      <c r="E7420" s="16">
        <f>IFERROR(__xludf.DUMMYFUNCTION("""COMPUTED_VALUE"""),65.0)</f>
        <v>65</v>
      </c>
      <c r="F7420" s="19" t="str">
        <f>IFERROR(__xludf.DUMMYFUNCTION("""COMPUTED_VALUE"""),"BLACK")</f>
        <v>BLACK</v>
      </c>
      <c r="G7420" s="20" t="str">
        <f>IFERROR(__xludf.DUMMYFUNCTION("""COMPUTED_VALUE"""),"Uncle Sams Cider (11/12/2021) 02")</f>
        <v>Uncle Sams Cider (11/12/2021) 02</v>
      </c>
      <c r="H7420" s="19"/>
    </row>
    <row r="7421">
      <c r="A7421" s="9"/>
      <c r="B7421" s="15"/>
      <c r="C7421" s="9">
        <f>IFERROR(__xludf.DUMMYFUNCTION("""COMPUTED_VALUE"""),44527.2145629629)</f>
        <v>44527.21456</v>
      </c>
      <c r="D7421" s="15">
        <f>IFERROR(__xludf.DUMMYFUNCTION("""COMPUTED_VALUE"""),1.044)</f>
        <v>1.044</v>
      </c>
      <c r="E7421" s="16">
        <f>IFERROR(__xludf.DUMMYFUNCTION("""COMPUTED_VALUE"""),65.0)</f>
        <v>65</v>
      </c>
      <c r="F7421" s="19" t="str">
        <f>IFERROR(__xludf.DUMMYFUNCTION("""COMPUTED_VALUE"""),"BLACK")</f>
        <v>BLACK</v>
      </c>
      <c r="G7421" s="20" t="str">
        <f>IFERROR(__xludf.DUMMYFUNCTION("""COMPUTED_VALUE"""),"Uncle Sams Cider (11/12/2021) 02")</f>
        <v>Uncle Sams Cider (11/12/2021) 02</v>
      </c>
      <c r="H7421" s="19"/>
    </row>
    <row r="7422">
      <c r="A7422" s="9"/>
      <c r="B7422" s="15"/>
      <c r="C7422" s="9">
        <f>IFERROR(__xludf.DUMMYFUNCTION("""COMPUTED_VALUE"""),44527.2041308333)</f>
        <v>44527.20413</v>
      </c>
      <c r="D7422" s="15">
        <f>IFERROR(__xludf.DUMMYFUNCTION("""COMPUTED_VALUE"""),1.044)</f>
        <v>1.044</v>
      </c>
      <c r="E7422" s="16">
        <f>IFERROR(__xludf.DUMMYFUNCTION("""COMPUTED_VALUE"""),65.0)</f>
        <v>65</v>
      </c>
      <c r="F7422" s="19" t="str">
        <f>IFERROR(__xludf.DUMMYFUNCTION("""COMPUTED_VALUE"""),"BLACK")</f>
        <v>BLACK</v>
      </c>
      <c r="G7422" s="20" t="str">
        <f>IFERROR(__xludf.DUMMYFUNCTION("""COMPUTED_VALUE"""),"Uncle Sams Cider (11/12/2021) 02")</f>
        <v>Uncle Sams Cider (11/12/2021) 02</v>
      </c>
      <c r="H7422" s="19"/>
    </row>
    <row r="7423">
      <c r="A7423" s="9"/>
      <c r="B7423" s="15"/>
      <c r="C7423" s="9">
        <f>IFERROR(__xludf.DUMMYFUNCTION("""COMPUTED_VALUE"""),44527.1937103125)</f>
        <v>44527.19371</v>
      </c>
      <c r="D7423" s="15">
        <f>IFERROR(__xludf.DUMMYFUNCTION("""COMPUTED_VALUE"""),1.044)</f>
        <v>1.044</v>
      </c>
      <c r="E7423" s="16">
        <f>IFERROR(__xludf.DUMMYFUNCTION("""COMPUTED_VALUE"""),65.0)</f>
        <v>65</v>
      </c>
      <c r="F7423" s="19" t="str">
        <f>IFERROR(__xludf.DUMMYFUNCTION("""COMPUTED_VALUE"""),"BLACK")</f>
        <v>BLACK</v>
      </c>
      <c r="G7423" s="20" t="str">
        <f>IFERROR(__xludf.DUMMYFUNCTION("""COMPUTED_VALUE"""),"Uncle Sams Cider (11/12/2021) 02")</f>
        <v>Uncle Sams Cider (11/12/2021) 02</v>
      </c>
      <c r="H7423" s="19"/>
    </row>
    <row r="7424">
      <c r="A7424" s="9"/>
      <c r="B7424" s="15"/>
      <c r="C7424" s="9">
        <f>IFERROR(__xludf.DUMMYFUNCTION("""COMPUTED_VALUE"""),44527.1832766435)</f>
        <v>44527.18328</v>
      </c>
      <c r="D7424" s="15">
        <f>IFERROR(__xludf.DUMMYFUNCTION("""COMPUTED_VALUE"""),1.044)</f>
        <v>1.044</v>
      </c>
      <c r="E7424" s="16">
        <f>IFERROR(__xludf.DUMMYFUNCTION("""COMPUTED_VALUE"""),65.0)</f>
        <v>65</v>
      </c>
      <c r="F7424" s="19" t="str">
        <f>IFERROR(__xludf.DUMMYFUNCTION("""COMPUTED_VALUE"""),"BLACK")</f>
        <v>BLACK</v>
      </c>
      <c r="G7424" s="20" t="str">
        <f>IFERROR(__xludf.DUMMYFUNCTION("""COMPUTED_VALUE"""),"Uncle Sams Cider (11/12/2021) 02")</f>
        <v>Uncle Sams Cider (11/12/2021) 02</v>
      </c>
      <c r="H7424" s="19"/>
    </row>
    <row r="7425">
      <c r="A7425" s="9"/>
      <c r="B7425" s="15"/>
      <c r="C7425" s="9">
        <f>IFERROR(__xludf.DUMMYFUNCTION("""COMPUTED_VALUE"""),44527.1728553356)</f>
        <v>44527.17286</v>
      </c>
      <c r="D7425" s="15">
        <f>IFERROR(__xludf.DUMMYFUNCTION("""COMPUTED_VALUE"""),1.044)</f>
        <v>1.044</v>
      </c>
      <c r="E7425" s="16">
        <f>IFERROR(__xludf.DUMMYFUNCTION("""COMPUTED_VALUE"""),65.0)</f>
        <v>65</v>
      </c>
      <c r="F7425" s="19" t="str">
        <f>IFERROR(__xludf.DUMMYFUNCTION("""COMPUTED_VALUE"""),"BLACK")</f>
        <v>BLACK</v>
      </c>
      <c r="G7425" s="20" t="str">
        <f>IFERROR(__xludf.DUMMYFUNCTION("""COMPUTED_VALUE"""),"Uncle Sams Cider (11/12/2021) 02")</f>
        <v>Uncle Sams Cider (11/12/2021) 02</v>
      </c>
      <c r="H7425" s="19"/>
    </row>
    <row r="7426">
      <c r="A7426" s="9"/>
      <c r="B7426" s="15"/>
      <c r="C7426" s="9">
        <f>IFERROR(__xludf.DUMMYFUNCTION("""COMPUTED_VALUE"""),44527.1624352314)</f>
        <v>44527.16244</v>
      </c>
      <c r="D7426" s="15">
        <f>IFERROR(__xludf.DUMMYFUNCTION("""COMPUTED_VALUE"""),1.044)</f>
        <v>1.044</v>
      </c>
      <c r="E7426" s="16">
        <f>IFERROR(__xludf.DUMMYFUNCTION("""COMPUTED_VALUE"""),65.0)</f>
        <v>65</v>
      </c>
      <c r="F7426" s="19" t="str">
        <f>IFERROR(__xludf.DUMMYFUNCTION("""COMPUTED_VALUE"""),"BLACK")</f>
        <v>BLACK</v>
      </c>
      <c r="G7426" s="20" t="str">
        <f>IFERROR(__xludf.DUMMYFUNCTION("""COMPUTED_VALUE"""),"Uncle Sams Cider (11/12/2021) 02")</f>
        <v>Uncle Sams Cider (11/12/2021) 02</v>
      </c>
      <c r="H7426" s="19"/>
    </row>
    <row r="7427">
      <c r="A7427" s="9"/>
      <c r="B7427" s="15"/>
      <c r="C7427" s="9">
        <f>IFERROR(__xludf.DUMMYFUNCTION("""COMPUTED_VALUE"""),44527.1520150694)</f>
        <v>44527.15202</v>
      </c>
      <c r="D7427" s="15">
        <f>IFERROR(__xludf.DUMMYFUNCTION("""COMPUTED_VALUE"""),1.044)</f>
        <v>1.044</v>
      </c>
      <c r="E7427" s="16">
        <f>IFERROR(__xludf.DUMMYFUNCTION("""COMPUTED_VALUE"""),65.0)</f>
        <v>65</v>
      </c>
      <c r="F7427" s="19" t="str">
        <f>IFERROR(__xludf.DUMMYFUNCTION("""COMPUTED_VALUE"""),"BLACK")</f>
        <v>BLACK</v>
      </c>
      <c r="G7427" s="20" t="str">
        <f>IFERROR(__xludf.DUMMYFUNCTION("""COMPUTED_VALUE"""),"Uncle Sams Cider (11/12/2021) 02")</f>
        <v>Uncle Sams Cider (11/12/2021) 02</v>
      </c>
      <c r="H7427" s="19"/>
    </row>
    <row r="7428">
      <c r="A7428" s="9"/>
      <c r="B7428" s="15"/>
      <c r="C7428" s="9">
        <f>IFERROR(__xludf.DUMMYFUNCTION("""COMPUTED_VALUE"""),44527.141593125)</f>
        <v>44527.14159</v>
      </c>
      <c r="D7428" s="15">
        <f>IFERROR(__xludf.DUMMYFUNCTION("""COMPUTED_VALUE"""),1.044)</f>
        <v>1.044</v>
      </c>
      <c r="E7428" s="16">
        <f>IFERROR(__xludf.DUMMYFUNCTION("""COMPUTED_VALUE"""),65.0)</f>
        <v>65</v>
      </c>
      <c r="F7428" s="19" t="str">
        <f>IFERROR(__xludf.DUMMYFUNCTION("""COMPUTED_VALUE"""),"BLACK")</f>
        <v>BLACK</v>
      </c>
      <c r="G7428" s="20" t="str">
        <f>IFERROR(__xludf.DUMMYFUNCTION("""COMPUTED_VALUE"""),"Uncle Sams Cider (11/12/2021) 02")</f>
        <v>Uncle Sams Cider (11/12/2021) 02</v>
      </c>
      <c r="H7428" s="19"/>
    </row>
    <row r="7429">
      <c r="A7429" s="9"/>
      <c r="B7429" s="15"/>
      <c r="C7429" s="9">
        <f>IFERROR(__xludf.DUMMYFUNCTION("""COMPUTED_VALUE"""),44527.131172199)</f>
        <v>44527.13117</v>
      </c>
      <c r="D7429" s="15">
        <f>IFERROR(__xludf.DUMMYFUNCTION("""COMPUTED_VALUE"""),1.044)</f>
        <v>1.044</v>
      </c>
      <c r="E7429" s="16">
        <f>IFERROR(__xludf.DUMMYFUNCTION("""COMPUTED_VALUE"""),65.0)</f>
        <v>65</v>
      </c>
      <c r="F7429" s="19" t="str">
        <f>IFERROR(__xludf.DUMMYFUNCTION("""COMPUTED_VALUE"""),"BLACK")</f>
        <v>BLACK</v>
      </c>
      <c r="G7429" s="20" t="str">
        <f>IFERROR(__xludf.DUMMYFUNCTION("""COMPUTED_VALUE"""),"Uncle Sams Cider (11/12/2021) 02")</f>
        <v>Uncle Sams Cider (11/12/2021) 02</v>
      </c>
      <c r="H7429" s="19"/>
    </row>
    <row r="7430">
      <c r="A7430" s="9"/>
      <c r="B7430" s="15"/>
      <c r="C7430" s="9">
        <f>IFERROR(__xludf.DUMMYFUNCTION("""COMPUTED_VALUE"""),44527.12075103)</f>
        <v>44527.12075</v>
      </c>
      <c r="D7430" s="15">
        <f>IFERROR(__xludf.DUMMYFUNCTION("""COMPUTED_VALUE"""),1.044)</f>
        <v>1.044</v>
      </c>
      <c r="E7430" s="16">
        <f>IFERROR(__xludf.DUMMYFUNCTION("""COMPUTED_VALUE"""),65.0)</f>
        <v>65</v>
      </c>
      <c r="F7430" s="19" t="str">
        <f>IFERROR(__xludf.DUMMYFUNCTION("""COMPUTED_VALUE"""),"BLACK")</f>
        <v>BLACK</v>
      </c>
      <c r="G7430" s="20" t="str">
        <f>IFERROR(__xludf.DUMMYFUNCTION("""COMPUTED_VALUE"""),"Uncle Sams Cider (11/12/2021) 02")</f>
        <v>Uncle Sams Cider (11/12/2021) 02</v>
      </c>
      <c r="H7430" s="19"/>
    </row>
    <row r="7431">
      <c r="A7431" s="9"/>
      <c r="B7431" s="15"/>
      <c r="C7431" s="9">
        <f>IFERROR(__xludf.DUMMYFUNCTION("""COMPUTED_VALUE"""),44527.1103181944)</f>
        <v>44527.11032</v>
      </c>
      <c r="D7431" s="15">
        <f>IFERROR(__xludf.DUMMYFUNCTION("""COMPUTED_VALUE"""),1.044)</f>
        <v>1.044</v>
      </c>
      <c r="E7431" s="16">
        <f>IFERROR(__xludf.DUMMYFUNCTION("""COMPUTED_VALUE"""),65.0)</f>
        <v>65</v>
      </c>
      <c r="F7431" s="19" t="str">
        <f>IFERROR(__xludf.DUMMYFUNCTION("""COMPUTED_VALUE"""),"BLACK")</f>
        <v>BLACK</v>
      </c>
      <c r="G7431" s="20" t="str">
        <f>IFERROR(__xludf.DUMMYFUNCTION("""COMPUTED_VALUE"""),"Uncle Sams Cider (11/12/2021) 02")</f>
        <v>Uncle Sams Cider (11/12/2021) 02</v>
      </c>
      <c r="H7431" s="19"/>
    </row>
    <row r="7432">
      <c r="A7432" s="9"/>
      <c r="B7432" s="15"/>
      <c r="C7432" s="9">
        <f>IFERROR(__xludf.DUMMYFUNCTION("""COMPUTED_VALUE"""),44527.0998969675)</f>
        <v>44527.0999</v>
      </c>
      <c r="D7432" s="15">
        <f>IFERROR(__xludf.DUMMYFUNCTION("""COMPUTED_VALUE"""),1.044)</f>
        <v>1.044</v>
      </c>
      <c r="E7432" s="16">
        <f>IFERROR(__xludf.DUMMYFUNCTION("""COMPUTED_VALUE"""),65.0)</f>
        <v>65</v>
      </c>
      <c r="F7432" s="19" t="str">
        <f>IFERROR(__xludf.DUMMYFUNCTION("""COMPUTED_VALUE"""),"BLACK")</f>
        <v>BLACK</v>
      </c>
      <c r="G7432" s="20" t="str">
        <f>IFERROR(__xludf.DUMMYFUNCTION("""COMPUTED_VALUE"""),"Uncle Sams Cider (11/12/2021) 02")</f>
        <v>Uncle Sams Cider (11/12/2021) 02</v>
      </c>
      <c r="H7432" s="19"/>
    </row>
    <row r="7433">
      <c r="A7433" s="9"/>
      <c r="B7433" s="15"/>
      <c r="C7433" s="9">
        <f>IFERROR(__xludf.DUMMYFUNCTION("""COMPUTED_VALUE"""),44527.0894744097)</f>
        <v>44527.08947</v>
      </c>
      <c r="D7433" s="15">
        <f>IFERROR(__xludf.DUMMYFUNCTION("""COMPUTED_VALUE"""),1.044)</f>
        <v>1.044</v>
      </c>
      <c r="E7433" s="16">
        <f>IFERROR(__xludf.DUMMYFUNCTION("""COMPUTED_VALUE"""),65.0)</f>
        <v>65</v>
      </c>
      <c r="F7433" s="19" t="str">
        <f>IFERROR(__xludf.DUMMYFUNCTION("""COMPUTED_VALUE"""),"BLACK")</f>
        <v>BLACK</v>
      </c>
      <c r="G7433" s="20" t="str">
        <f>IFERROR(__xludf.DUMMYFUNCTION("""COMPUTED_VALUE"""),"Uncle Sams Cider (11/12/2021) 02")</f>
        <v>Uncle Sams Cider (11/12/2021) 02</v>
      </c>
      <c r="H7433" s="19"/>
    </row>
    <row r="7434">
      <c r="A7434" s="9"/>
      <c r="B7434" s="15"/>
      <c r="C7434" s="9">
        <f>IFERROR(__xludf.DUMMYFUNCTION("""COMPUTED_VALUE"""),44527.0790530092)</f>
        <v>44527.07905</v>
      </c>
      <c r="D7434" s="15">
        <f>IFERROR(__xludf.DUMMYFUNCTION("""COMPUTED_VALUE"""),1.044)</f>
        <v>1.044</v>
      </c>
      <c r="E7434" s="16">
        <f>IFERROR(__xludf.DUMMYFUNCTION("""COMPUTED_VALUE"""),65.0)</f>
        <v>65</v>
      </c>
      <c r="F7434" s="19" t="str">
        <f>IFERROR(__xludf.DUMMYFUNCTION("""COMPUTED_VALUE"""),"BLACK")</f>
        <v>BLACK</v>
      </c>
      <c r="G7434" s="20" t="str">
        <f>IFERROR(__xludf.DUMMYFUNCTION("""COMPUTED_VALUE"""),"Uncle Sams Cider (11/12/2021) 02")</f>
        <v>Uncle Sams Cider (11/12/2021) 02</v>
      </c>
      <c r="H7434" s="19"/>
    </row>
    <row r="7435">
      <c r="A7435" s="9"/>
      <c r="B7435" s="15"/>
      <c r="C7435" s="9">
        <f>IFERROR(__xludf.DUMMYFUNCTION("""COMPUTED_VALUE"""),44527.0686303009)</f>
        <v>44527.06863</v>
      </c>
      <c r="D7435" s="15">
        <f>IFERROR(__xludf.DUMMYFUNCTION("""COMPUTED_VALUE"""),1.044)</f>
        <v>1.044</v>
      </c>
      <c r="E7435" s="16">
        <f>IFERROR(__xludf.DUMMYFUNCTION("""COMPUTED_VALUE"""),65.0)</f>
        <v>65</v>
      </c>
      <c r="F7435" s="19" t="str">
        <f>IFERROR(__xludf.DUMMYFUNCTION("""COMPUTED_VALUE"""),"BLACK")</f>
        <v>BLACK</v>
      </c>
      <c r="G7435" s="20" t="str">
        <f>IFERROR(__xludf.DUMMYFUNCTION("""COMPUTED_VALUE"""),"Uncle Sams Cider (11/12/2021) 02")</f>
        <v>Uncle Sams Cider (11/12/2021) 02</v>
      </c>
      <c r="H7435" s="19"/>
    </row>
    <row r="7436">
      <c r="A7436" s="9"/>
      <c r="B7436" s="15"/>
      <c r="C7436" s="9">
        <f>IFERROR(__xludf.DUMMYFUNCTION("""COMPUTED_VALUE"""),44527.058209537)</f>
        <v>44527.05821</v>
      </c>
      <c r="D7436" s="15">
        <f>IFERROR(__xludf.DUMMYFUNCTION("""COMPUTED_VALUE"""),1.044)</f>
        <v>1.044</v>
      </c>
      <c r="E7436" s="16">
        <f>IFERROR(__xludf.DUMMYFUNCTION("""COMPUTED_VALUE"""),65.0)</f>
        <v>65</v>
      </c>
      <c r="F7436" s="19" t="str">
        <f>IFERROR(__xludf.DUMMYFUNCTION("""COMPUTED_VALUE"""),"BLACK")</f>
        <v>BLACK</v>
      </c>
      <c r="G7436" s="20" t="str">
        <f>IFERROR(__xludf.DUMMYFUNCTION("""COMPUTED_VALUE"""),"Uncle Sams Cider (11/12/2021) 02")</f>
        <v>Uncle Sams Cider (11/12/2021) 02</v>
      </c>
      <c r="H7436" s="19"/>
    </row>
    <row r="7437">
      <c r="A7437" s="9"/>
      <c r="B7437" s="15"/>
      <c r="C7437" s="9">
        <f>IFERROR(__xludf.DUMMYFUNCTION("""COMPUTED_VALUE"""),44527.0477893171)</f>
        <v>44527.04779</v>
      </c>
      <c r="D7437" s="15">
        <f>IFERROR(__xludf.DUMMYFUNCTION("""COMPUTED_VALUE"""),1.044)</f>
        <v>1.044</v>
      </c>
      <c r="E7437" s="16">
        <f>IFERROR(__xludf.DUMMYFUNCTION("""COMPUTED_VALUE"""),65.0)</f>
        <v>65</v>
      </c>
      <c r="F7437" s="19" t="str">
        <f>IFERROR(__xludf.DUMMYFUNCTION("""COMPUTED_VALUE"""),"BLACK")</f>
        <v>BLACK</v>
      </c>
      <c r="G7437" s="20" t="str">
        <f>IFERROR(__xludf.DUMMYFUNCTION("""COMPUTED_VALUE"""),"Uncle Sams Cider (11/12/2021) 02")</f>
        <v>Uncle Sams Cider (11/12/2021) 02</v>
      </c>
      <c r="H7437" s="19"/>
    </row>
    <row r="7438">
      <c r="A7438" s="9"/>
      <c r="B7438" s="15"/>
      <c r="C7438" s="9">
        <f>IFERROR(__xludf.DUMMYFUNCTION("""COMPUTED_VALUE"""),44527.037367037)</f>
        <v>44527.03737</v>
      </c>
      <c r="D7438" s="15">
        <f>IFERROR(__xludf.DUMMYFUNCTION("""COMPUTED_VALUE"""),1.044)</f>
        <v>1.044</v>
      </c>
      <c r="E7438" s="16">
        <f>IFERROR(__xludf.DUMMYFUNCTION("""COMPUTED_VALUE"""),65.0)</f>
        <v>65</v>
      </c>
      <c r="F7438" s="19" t="str">
        <f>IFERROR(__xludf.DUMMYFUNCTION("""COMPUTED_VALUE"""),"BLACK")</f>
        <v>BLACK</v>
      </c>
      <c r="G7438" s="20" t="str">
        <f>IFERROR(__xludf.DUMMYFUNCTION("""COMPUTED_VALUE"""),"Uncle Sams Cider (11/12/2021) 02")</f>
        <v>Uncle Sams Cider (11/12/2021) 02</v>
      </c>
      <c r="H7438" s="19"/>
    </row>
    <row r="7439">
      <c r="A7439" s="9"/>
      <c r="B7439" s="15"/>
      <c r="C7439" s="9">
        <f>IFERROR(__xludf.DUMMYFUNCTION("""COMPUTED_VALUE"""),44527.0269459606)</f>
        <v>44527.02695</v>
      </c>
      <c r="D7439" s="15">
        <f>IFERROR(__xludf.DUMMYFUNCTION("""COMPUTED_VALUE"""),1.044)</f>
        <v>1.044</v>
      </c>
      <c r="E7439" s="16">
        <f>IFERROR(__xludf.DUMMYFUNCTION("""COMPUTED_VALUE"""),65.0)</f>
        <v>65</v>
      </c>
      <c r="F7439" s="19" t="str">
        <f>IFERROR(__xludf.DUMMYFUNCTION("""COMPUTED_VALUE"""),"BLACK")</f>
        <v>BLACK</v>
      </c>
      <c r="G7439" s="20" t="str">
        <f>IFERROR(__xludf.DUMMYFUNCTION("""COMPUTED_VALUE"""),"Uncle Sams Cider (11/12/2021) 02")</f>
        <v>Uncle Sams Cider (11/12/2021) 02</v>
      </c>
      <c r="H7439" s="19"/>
    </row>
    <row r="7440">
      <c r="A7440" s="9"/>
      <c r="B7440" s="15"/>
      <c r="C7440" s="9">
        <f>IFERROR(__xludf.DUMMYFUNCTION("""COMPUTED_VALUE"""),44527.0165242129)</f>
        <v>44527.01652</v>
      </c>
      <c r="D7440" s="15">
        <f>IFERROR(__xludf.DUMMYFUNCTION("""COMPUTED_VALUE"""),1.044)</f>
        <v>1.044</v>
      </c>
      <c r="E7440" s="16">
        <f>IFERROR(__xludf.DUMMYFUNCTION("""COMPUTED_VALUE"""),65.0)</f>
        <v>65</v>
      </c>
      <c r="F7440" s="19" t="str">
        <f>IFERROR(__xludf.DUMMYFUNCTION("""COMPUTED_VALUE"""),"BLACK")</f>
        <v>BLACK</v>
      </c>
      <c r="G7440" s="20" t="str">
        <f>IFERROR(__xludf.DUMMYFUNCTION("""COMPUTED_VALUE"""),"Uncle Sams Cider (11/12/2021) 02")</f>
        <v>Uncle Sams Cider (11/12/2021) 02</v>
      </c>
      <c r="H7440" s="19"/>
    </row>
    <row r="7441">
      <c r="A7441" s="9"/>
      <c r="B7441" s="15"/>
      <c r="C7441" s="9">
        <f>IFERROR(__xludf.DUMMYFUNCTION("""COMPUTED_VALUE"""),44527.0060794791)</f>
        <v>44527.00608</v>
      </c>
      <c r="D7441" s="15">
        <f>IFERROR(__xludf.DUMMYFUNCTION("""COMPUTED_VALUE"""),1.044)</f>
        <v>1.044</v>
      </c>
      <c r="E7441" s="16">
        <f>IFERROR(__xludf.DUMMYFUNCTION("""COMPUTED_VALUE"""),65.0)</f>
        <v>65</v>
      </c>
      <c r="F7441" s="19" t="str">
        <f>IFERROR(__xludf.DUMMYFUNCTION("""COMPUTED_VALUE"""),"BLACK")</f>
        <v>BLACK</v>
      </c>
      <c r="G7441" s="20" t="str">
        <f>IFERROR(__xludf.DUMMYFUNCTION("""COMPUTED_VALUE"""),"Uncle Sams Cider (11/12/2021) 02")</f>
        <v>Uncle Sams Cider (11/12/2021) 02</v>
      </c>
      <c r="H7441" s="19"/>
    </row>
    <row r="7442">
      <c r="A7442" s="9"/>
      <c r="B7442" s="15"/>
      <c r="C7442" s="9">
        <f>IFERROR(__xludf.DUMMYFUNCTION("""COMPUTED_VALUE"""),44526.995658912)</f>
        <v>44526.99566</v>
      </c>
      <c r="D7442" s="15">
        <f>IFERROR(__xludf.DUMMYFUNCTION("""COMPUTED_VALUE"""),1.044)</f>
        <v>1.044</v>
      </c>
      <c r="E7442" s="16">
        <f>IFERROR(__xludf.DUMMYFUNCTION("""COMPUTED_VALUE"""),65.0)</f>
        <v>65</v>
      </c>
      <c r="F7442" s="19" t="str">
        <f>IFERROR(__xludf.DUMMYFUNCTION("""COMPUTED_VALUE"""),"BLACK")</f>
        <v>BLACK</v>
      </c>
      <c r="G7442" s="20" t="str">
        <f>IFERROR(__xludf.DUMMYFUNCTION("""COMPUTED_VALUE"""),"Uncle Sams Cider (11/12/2021) 02")</f>
        <v>Uncle Sams Cider (11/12/2021) 02</v>
      </c>
      <c r="H7442" s="19"/>
    </row>
    <row r="7443">
      <c r="A7443" s="9"/>
      <c r="B7443" s="15"/>
      <c r="C7443" s="9">
        <f>IFERROR(__xludf.DUMMYFUNCTION("""COMPUTED_VALUE"""),44526.9852358564)</f>
        <v>44526.98524</v>
      </c>
      <c r="D7443" s="15">
        <f>IFERROR(__xludf.DUMMYFUNCTION("""COMPUTED_VALUE"""),1.044)</f>
        <v>1.044</v>
      </c>
      <c r="E7443" s="16">
        <f>IFERROR(__xludf.DUMMYFUNCTION("""COMPUTED_VALUE"""),65.0)</f>
        <v>65</v>
      </c>
      <c r="F7443" s="19" t="str">
        <f>IFERROR(__xludf.DUMMYFUNCTION("""COMPUTED_VALUE"""),"BLACK")</f>
        <v>BLACK</v>
      </c>
      <c r="G7443" s="20" t="str">
        <f>IFERROR(__xludf.DUMMYFUNCTION("""COMPUTED_VALUE"""),"Uncle Sams Cider (11/12/2021) 02")</f>
        <v>Uncle Sams Cider (11/12/2021) 02</v>
      </c>
      <c r="H7443" s="19"/>
    </row>
    <row r="7444">
      <c r="A7444" s="9"/>
      <c r="B7444" s="15"/>
      <c r="C7444" s="9">
        <f>IFERROR(__xludf.DUMMYFUNCTION("""COMPUTED_VALUE"""),44526.974814699)</f>
        <v>44526.97481</v>
      </c>
      <c r="D7444" s="15">
        <f>IFERROR(__xludf.DUMMYFUNCTION("""COMPUTED_VALUE"""),1.044)</f>
        <v>1.044</v>
      </c>
      <c r="E7444" s="16">
        <f>IFERROR(__xludf.DUMMYFUNCTION("""COMPUTED_VALUE"""),65.0)</f>
        <v>65</v>
      </c>
      <c r="F7444" s="19" t="str">
        <f>IFERROR(__xludf.DUMMYFUNCTION("""COMPUTED_VALUE"""),"BLACK")</f>
        <v>BLACK</v>
      </c>
      <c r="G7444" s="20" t="str">
        <f>IFERROR(__xludf.DUMMYFUNCTION("""COMPUTED_VALUE"""),"Uncle Sams Cider (11/12/2021) 02")</f>
        <v>Uncle Sams Cider (11/12/2021) 02</v>
      </c>
      <c r="H7444" s="19"/>
    </row>
    <row r="7445">
      <c r="A7445" s="9"/>
      <c r="B7445" s="15"/>
      <c r="C7445" s="9">
        <f>IFERROR(__xludf.DUMMYFUNCTION("""COMPUTED_VALUE"""),44526.9643815972)</f>
        <v>44526.96438</v>
      </c>
      <c r="D7445" s="15">
        <f>IFERROR(__xludf.DUMMYFUNCTION("""COMPUTED_VALUE"""),1.044)</f>
        <v>1.044</v>
      </c>
      <c r="E7445" s="16">
        <f>IFERROR(__xludf.DUMMYFUNCTION("""COMPUTED_VALUE"""),65.0)</f>
        <v>65</v>
      </c>
      <c r="F7445" s="19" t="str">
        <f>IFERROR(__xludf.DUMMYFUNCTION("""COMPUTED_VALUE"""),"BLACK")</f>
        <v>BLACK</v>
      </c>
      <c r="G7445" s="20" t="str">
        <f>IFERROR(__xludf.DUMMYFUNCTION("""COMPUTED_VALUE"""),"Uncle Sams Cider (11/12/2021) 02")</f>
        <v>Uncle Sams Cider (11/12/2021) 02</v>
      </c>
      <c r="H7445" s="19"/>
    </row>
    <row r="7446">
      <c r="A7446" s="9"/>
      <c r="B7446" s="15"/>
      <c r="C7446" s="9">
        <f>IFERROR(__xludf.DUMMYFUNCTION("""COMPUTED_VALUE"""),44526.9539586458)</f>
        <v>44526.95396</v>
      </c>
      <c r="D7446" s="15">
        <f>IFERROR(__xludf.DUMMYFUNCTION("""COMPUTED_VALUE"""),1.044)</f>
        <v>1.044</v>
      </c>
      <c r="E7446" s="16">
        <f>IFERROR(__xludf.DUMMYFUNCTION("""COMPUTED_VALUE"""),65.0)</f>
        <v>65</v>
      </c>
      <c r="F7446" s="19" t="str">
        <f>IFERROR(__xludf.DUMMYFUNCTION("""COMPUTED_VALUE"""),"BLACK")</f>
        <v>BLACK</v>
      </c>
      <c r="G7446" s="20" t="str">
        <f>IFERROR(__xludf.DUMMYFUNCTION("""COMPUTED_VALUE"""),"Uncle Sams Cider (11/12/2021) 02")</f>
        <v>Uncle Sams Cider (11/12/2021) 02</v>
      </c>
      <c r="H7446" s="19"/>
    </row>
    <row r="7447">
      <c r="A7447" s="9"/>
      <c r="B7447" s="15"/>
      <c r="C7447" s="9">
        <f>IFERROR(__xludf.DUMMYFUNCTION("""COMPUTED_VALUE"""),44526.9435265393)</f>
        <v>44526.94353</v>
      </c>
      <c r="D7447" s="15">
        <f>IFERROR(__xludf.DUMMYFUNCTION("""COMPUTED_VALUE"""),1.044)</f>
        <v>1.044</v>
      </c>
      <c r="E7447" s="16">
        <f>IFERROR(__xludf.DUMMYFUNCTION("""COMPUTED_VALUE"""),65.0)</f>
        <v>65</v>
      </c>
      <c r="F7447" s="19" t="str">
        <f>IFERROR(__xludf.DUMMYFUNCTION("""COMPUTED_VALUE"""),"BLACK")</f>
        <v>BLACK</v>
      </c>
      <c r="G7447" s="20" t="str">
        <f>IFERROR(__xludf.DUMMYFUNCTION("""COMPUTED_VALUE"""),"Uncle Sams Cider (11/12/2021) 02")</f>
        <v>Uncle Sams Cider (11/12/2021) 02</v>
      </c>
      <c r="H7447" s="19"/>
    </row>
    <row r="7448">
      <c r="A7448" s="9"/>
      <c r="B7448" s="15"/>
      <c r="C7448" s="9">
        <f>IFERROR(__xludf.DUMMYFUNCTION("""COMPUTED_VALUE"""),44526.9331067708)</f>
        <v>44526.93311</v>
      </c>
      <c r="D7448" s="15">
        <f>IFERROR(__xludf.DUMMYFUNCTION("""COMPUTED_VALUE"""),1.044)</f>
        <v>1.044</v>
      </c>
      <c r="E7448" s="16">
        <f>IFERROR(__xludf.DUMMYFUNCTION("""COMPUTED_VALUE"""),65.0)</f>
        <v>65</v>
      </c>
      <c r="F7448" s="19" t="str">
        <f>IFERROR(__xludf.DUMMYFUNCTION("""COMPUTED_VALUE"""),"BLACK")</f>
        <v>BLACK</v>
      </c>
      <c r="G7448" s="20" t="str">
        <f>IFERROR(__xludf.DUMMYFUNCTION("""COMPUTED_VALUE"""),"Uncle Sams Cider (11/12/2021) 02")</f>
        <v>Uncle Sams Cider (11/12/2021) 02</v>
      </c>
      <c r="H7448" s="19"/>
    </row>
    <row r="7449">
      <c r="A7449" s="9"/>
      <c r="B7449" s="15"/>
      <c r="C7449" s="9">
        <f>IFERROR(__xludf.DUMMYFUNCTION("""COMPUTED_VALUE"""),44526.9226870138)</f>
        <v>44526.92269</v>
      </c>
      <c r="D7449" s="15">
        <f>IFERROR(__xludf.DUMMYFUNCTION("""COMPUTED_VALUE"""),1.044)</f>
        <v>1.044</v>
      </c>
      <c r="E7449" s="16">
        <f>IFERROR(__xludf.DUMMYFUNCTION("""COMPUTED_VALUE"""),65.0)</f>
        <v>65</v>
      </c>
      <c r="F7449" s="19" t="str">
        <f>IFERROR(__xludf.DUMMYFUNCTION("""COMPUTED_VALUE"""),"BLACK")</f>
        <v>BLACK</v>
      </c>
      <c r="G7449" s="20" t="str">
        <f>IFERROR(__xludf.DUMMYFUNCTION("""COMPUTED_VALUE"""),"Uncle Sams Cider (11/12/2021) 02")</f>
        <v>Uncle Sams Cider (11/12/2021) 02</v>
      </c>
      <c r="H7449" s="19"/>
    </row>
    <row r="7450">
      <c r="A7450" s="9"/>
      <c r="B7450" s="15"/>
      <c r="C7450" s="9">
        <f>IFERROR(__xludf.DUMMYFUNCTION("""COMPUTED_VALUE"""),44526.9122653125)</f>
        <v>44526.91227</v>
      </c>
      <c r="D7450" s="15">
        <f>IFERROR(__xludf.DUMMYFUNCTION("""COMPUTED_VALUE"""),1.044)</f>
        <v>1.044</v>
      </c>
      <c r="E7450" s="16">
        <f>IFERROR(__xludf.DUMMYFUNCTION("""COMPUTED_VALUE"""),65.0)</f>
        <v>65</v>
      </c>
      <c r="F7450" s="19" t="str">
        <f>IFERROR(__xludf.DUMMYFUNCTION("""COMPUTED_VALUE"""),"BLACK")</f>
        <v>BLACK</v>
      </c>
      <c r="G7450" s="20" t="str">
        <f>IFERROR(__xludf.DUMMYFUNCTION("""COMPUTED_VALUE"""),"Uncle Sams Cider (11/12/2021) 02")</f>
        <v>Uncle Sams Cider (11/12/2021) 02</v>
      </c>
      <c r="H7450" s="19"/>
    </row>
    <row r="7451">
      <c r="A7451" s="9"/>
      <c r="B7451" s="15"/>
      <c r="C7451" s="9">
        <f>IFERROR(__xludf.DUMMYFUNCTION("""COMPUTED_VALUE"""),44526.9018438078)</f>
        <v>44526.90184</v>
      </c>
      <c r="D7451" s="15">
        <f>IFERROR(__xludf.DUMMYFUNCTION("""COMPUTED_VALUE"""),1.044)</f>
        <v>1.044</v>
      </c>
      <c r="E7451" s="16">
        <f>IFERROR(__xludf.DUMMYFUNCTION("""COMPUTED_VALUE"""),65.0)</f>
        <v>65</v>
      </c>
      <c r="F7451" s="19" t="str">
        <f>IFERROR(__xludf.DUMMYFUNCTION("""COMPUTED_VALUE"""),"BLACK")</f>
        <v>BLACK</v>
      </c>
      <c r="G7451" s="20" t="str">
        <f>IFERROR(__xludf.DUMMYFUNCTION("""COMPUTED_VALUE"""),"Uncle Sams Cider (11/12/2021) 02")</f>
        <v>Uncle Sams Cider (11/12/2021) 02</v>
      </c>
      <c r="H7451" s="19"/>
    </row>
    <row r="7452">
      <c r="A7452" s="9"/>
      <c r="B7452" s="15"/>
      <c r="C7452" s="9">
        <f>IFERROR(__xludf.DUMMYFUNCTION("""COMPUTED_VALUE"""),44526.8914102199)</f>
        <v>44526.89141</v>
      </c>
      <c r="D7452" s="15">
        <f>IFERROR(__xludf.DUMMYFUNCTION("""COMPUTED_VALUE"""),1.044)</f>
        <v>1.044</v>
      </c>
      <c r="E7452" s="16">
        <f>IFERROR(__xludf.DUMMYFUNCTION("""COMPUTED_VALUE"""),65.0)</f>
        <v>65</v>
      </c>
      <c r="F7452" s="19" t="str">
        <f>IFERROR(__xludf.DUMMYFUNCTION("""COMPUTED_VALUE"""),"BLACK")</f>
        <v>BLACK</v>
      </c>
      <c r="G7452" s="20" t="str">
        <f>IFERROR(__xludf.DUMMYFUNCTION("""COMPUTED_VALUE"""),"Uncle Sams Cider (11/12/2021) 02")</f>
        <v>Uncle Sams Cider (11/12/2021) 02</v>
      </c>
      <c r="H7452" s="19"/>
    </row>
    <row r="7453">
      <c r="A7453" s="9"/>
      <c r="B7453" s="15"/>
      <c r="C7453" s="9">
        <f>IFERROR(__xludf.DUMMYFUNCTION("""COMPUTED_VALUE"""),44526.8809925925)</f>
        <v>44526.88099</v>
      </c>
      <c r="D7453" s="15">
        <f>IFERROR(__xludf.DUMMYFUNCTION("""COMPUTED_VALUE"""),1.044)</f>
        <v>1.044</v>
      </c>
      <c r="E7453" s="16">
        <f>IFERROR(__xludf.DUMMYFUNCTION("""COMPUTED_VALUE"""),65.0)</f>
        <v>65</v>
      </c>
      <c r="F7453" s="19" t="str">
        <f>IFERROR(__xludf.DUMMYFUNCTION("""COMPUTED_VALUE"""),"BLACK")</f>
        <v>BLACK</v>
      </c>
      <c r="G7453" s="20" t="str">
        <f>IFERROR(__xludf.DUMMYFUNCTION("""COMPUTED_VALUE"""),"Uncle Sams Cider (11/12/2021) 02")</f>
        <v>Uncle Sams Cider (11/12/2021) 02</v>
      </c>
      <c r="H7453" s="19"/>
    </row>
    <row r="7454">
      <c r="A7454" s="9"/>
      <c r="B7454" s="15"/>
      <c r="C7454" s="9">
        <f>IFERROR(__xludf.DUMMYFUNCTION("""COMPUTED_VALUE"""),44526.8705717939)</f>
        <v>44526.87057</v>
      </c>
      <c r="D7454" s="15">
        <f>IFERROR(__xludf.DUMMYFUNCTION("""COMPUTED_VALUE"""),1.044)</f>
        <v>1.044</v>
      </c>
      <c r="E7454" s="16">
        <f>IFERROR(__xludf.DUMMYFUNCTION("""COMPUTED_VALUE"""),65.0)</f>
        <v>65</v>
      </c>
      <c r="F7454" s="19" t="str">
        <f>IFERROR(__xludf.DUMMYFUNCTION("""COMPUTED_VALUE"""),"BLACK")</f>
        <v>BLACK</v>
      </c>
      <c r="G7454" s="20" t="str">
        <f>IFERROR(__xludf.DUMMYFUNCTION("""COMPUTED_VALUE"""),"Uncle Sams Cider (11/12/2021) 02")</f>
        <v>Uncle Sams Cider (11/12/2021) 02</v>
      </c>
      <c r="H7454" s="19"/>
    </row>
    <row r="7455">
      <c r="A7455" s="9"/>
      <c r="B7455" s="15"/>
      <c r="C7455" s="9">
        <f>IFERROR(__xludf.DUMMYFUNCTION("""COMPUTED_VALUE"""),44526.8601502083)</f>
        <v>44526.86015</v>
      </c>
      <c r="D7455" s="15">
        <f>IFERROR(__xludf.DUMMYFUNCTION("""COMPUTED_VALUE"""),1.044)</f>
        <v>1.044</v>
      </c>
      <c r="E7455" s="16">
        <f>IFERROR(__xludf.DUMMYFUNCTION("""COMPUTED_VALUE"""),65.0)</f>
        <v>65</v>
      </c>
      <c r="F7455" s="19" t="str">
        <f>IFERROR(__xludf.DUMMYFUNCTION("""COMPUTED_VALUE"""),"BLACK")</f>
        <v>BLACK</v>
      </c>
      <c r="G7455" s="20" t="str">
        <f>IFERROR(__xludf.DUMMYFUNCTION("""COMPUTED_VALUE"""),"Uncle Sams Cider (11/12/2021) 02")</f>
        <v>Uncle Sams Cider (11/12/2021) 02</v>
      </c>
      <c r="H7455" s="19"/>
    </row>
    <row r="7456">
      <c r="A7456" s="9"/>
      <c r="B7456" s="15"/>
      <c r="C7456" s="9">
        <f>IFERROR(__xludf.DUMMYFUNCTION("""COMPUTED_VALUE"""),44526.8497070717)</f>
        <v>44526.84971</v>
      </c>
      <c r="D7456" s="15">
        <f>IFERROR(__xludf.DUMMYFUNCTION("""COMPUTED_VALUE"""),1.044)</f>
        <v>1.044</v>
      </c>
      <c r="E7456" s="16">
        <f>IFERROR(__xludf.DUMMYFUNCTION("""COMPUTED_VALUE"""),65.0)</f>
        <v>65</v>
      </c>
      <c r="F7456" s="19" t="str">
        <f>IFERROR(__xludf.DUMMYFUNCTION("""COMPUTED_VALUE"""),"BLACK")</f>
        <v>BLACK</v>
      </c>
      <c r="G7456" s="20" t="str">
        <f>IFERROR(__xludf.DUMMYFUNCTION("""COMPUTED_VALUE"""),"Uncle Sams Cider (11/12/2021) 02")</f>
        <v>Uncle Sams Cider (11/12/2021) 02</v>
      </c>
      <c r="H7456" s="19"/>
    </row>
    <row r="7457">
      <c r="A7457" s="9"/>
      <c r="B7457" s="15"/>
      <c r="C7457" s="9">
        <f>IFERROR(__xludf.DUMMYFUNCTION("""COMPUTED_VALUE"""),44526.839286655)</f>
        <v>44526.83929</v>
      </c>
      <c r="D7457" s="15">
        <f>IFERROR(__xludf.DUMMYFUNCTION("""COMPUTED_VALUE"""),1.044)</f>
        <v>1.044</v>
      </c>
      <c r="E7457" s="16">
        <f>IFERROR(__xludf.DUMMYFUNCTION("""COMPUTED_VALUE"""),65.0)</f>
        <v>65</v>
      </c>
      <c r="F7457" s="19" t="str">
        <f>IFERROR(__xludf.DUMMYFUNCTION("""COMPUTED_VALUE"""),"BLACK")</f>
        <v>BLACK</v>
      </c>
      <c r="G7457" s="20" t="str">
        <f>IFERROR(__xludf.DUMMYFUNCTION("""COMPUTED_VALUE"""),"Uncle Sams Cider (11/12/2021) 02")</f>
        <v>Uncle Sams Cider (11/12/2021) 02</v>
      </c>
      <c r="H7457" s="19"/>
    </row>
    <row r="7458">
      <c r="A7458" s="9"/>
      <c r="B7458" s="15"/>
      <c r="C7458" s="9">
        <f>IFERROR(__xludf.DUMMYFUNCTION("""COMPUTED_VALUE"""),44526.828865706)</f>
        <v>44526.82887</v>
      </c>
      <c r="D7458" s="15">
        <f>IFERROR(__xludf.DUMMYFUNCTION("""COMPUTED_VALUE"""),1.044)</f>
        <v>1.044</v>
      </c>
      <c r="E7458" s="16">
        <f>IFERROR(__xludf.DUMMYFUNCTION("""COMPUTED_VALUE"""),65.0)</f>
        <v>65</v>
      </c>
      <c r="F7458" s="19" t="str">
        <f>IFERROR(__xludf.DUMMYFUNCTION("""COMPUTED_VALUE"""),"BLACK")</f>
        <v>BLACK</v>
      </c>
      <c r="G7458" s="20" t="str">
        <f>IFERROR(__xludf.DUMMYFUNCTION("""COMPUTED_VALUE"""),"Uncle Sams Cider (11/12/2021) 02")</f>
        <v>Uncle Sams Cider (11/12/2021) 02</v>
      </c>
      <c r="H7458" s="19"/>
    </row>
    <row r="7459">
      <c r="A7459" s="9"/>
      <c r="B7459" s="15"/>
      <c r="C7459" s="9">
        <f>IFERROR(__xludf.DUMMYFUNCTION("""COMPUTED_VALUE"""),44526.818444375)</f>
        <v>44526.81844</v>
      </c>
      <c r="D7459" s="15">
        <f>IFERROR(__xludf.DUMMYFUNCTION("""COMPUTED_VALUE"""),1.044)</f>
        <v>1.044</v>
      </c>
      <c r="E7459" s="16">
        <f>IFERROR(__xludf.DUMMYFUNCTION("""COMPUTED_VALUE"""),65.0)</f>
        <v>65</v>
      </c>
      <c r="F7459" s="19" t="str">
        <f>IFERROR(__xludf.DUMMYFUNCTION("""COMPUTED_VALUE"""),"BLACK")</f>
        <v>BLACK</v>
      </c>
      <c r="G7459" s="20" t="str">
        <f>IFERROR(__xludf.DUMMYFUNCTION("""COMPUTED_VALUE"""),"Uncle Sams Cider (11/12/2021) 02")</f>
        <v>Uncle Sams Cider (11/12/2021) 02</v>
      </c>
      <c r="H7459" s="19"/>
    </row>
    <row r="7460">
      <c r="A7460" s="9"/>
      <c r="B7460" s="15"/>
      <c r="C7460" s="9">
        <f>IFERROR(__xludf.DUMMYFUNCTION("""COMPUTED_VALUE"""),44526.8079766898)</f>
        <v>44526.80798</v>
      </c>
      <c r="D7460" s="15">
        <f>IFERROR(__xludf.DUMMYFUNCTION("""COMPUTED_VALUE"""),1.044)</f>
        <v>1.044</v>
      </c>
      <c r="E7460" s="16">
        <f>IFERROR(__xludf.DUMMYFUNCTION("""COMPUTED_VALUE"""),65.0)</f>
        <v>65</v>
      </c>
      <c r="F7460" s="19" t="str">
        <f>IFERROR(__xludf.DUMMYFUNCTION("""COMPUTED_VALUE"""),"BLACK")</f>
        <v>BLACK</v>
      </c>
      <c r="G7460" s="20" t="str">
        <f>IFERROR(__xludf.DUMMYFUNCTION("""COMPUTED_VALUE"""),"Uncle Sams Cider (11/12/2021) 02")</f>
        <v>Uncle Sams Cider (11/12/2021) 02</v>
      </c>
      <c r="H7460" s="19"/>
    </row>
    <row r="7461">
      <c r="A7461" s="9"/>
      <c r="B7461" s="15"/>
      <c r="C7461" s="9">
        <f>IFERROR(__xludf.DUMMYFUNCTION("""COMPUTED_VALUE"""),44526.7975446759)</f>
        <v>44526.79754</v>
      </c>
      <c r="D7461" s="15">
        <f>IFERROR(__xludf.DUMMYFUNCTION("""COMPUTED_VALUE"""),1.044)</f>
        <v>1.044</v>
      </c>
      <c r="E7461" s="16">
        <f>IFERROR(__xludf.DUMMYFUNCTION("""COMPUTED_VALUE"""),65.0)</f>
        <v>65</v>
      </c>
      <c r="F7461" s="19" t="str">
        <f>IFERROR(__xludf.DUMMYFUNCTION("""COMPUTED_VALUE"""),"BLACK")</f>
        <v>BLACK</v>
      </c>
      <c r="G7461" s="20" t="str">
        <f>IFERROR(__xludf.DUMMYFUNCTION("""COMPUTED_VALUE"""),"Uncle Sams Cider (11/12/2021) 02")</f>
        <v>Uncle Sams Cider (11/12/2021) 02</v>
      </c>
      <c r="H7461" s="19"/>
    </row>
    <row r="7462">
      <c r="A7462" s="9"/>
      <c r="B7462" s="15"/>
      <c r="C7462" s="9">
        <f>IFERROR(__xludf.DUMMYFUNCTION("""COMPUTED_VALUE"""),44526.7871231018)</f>
        <v>44526.78712</v>
      </c>
      <c r="D7462" s="15">
        <f>IFERROR(__xludf.DUMMYFUNCTION("""COMPUTED_VALUE"""),1.044)</f>
        <v>1.044</v>
      </c>
      <c r="E7462" s="16">
        <f>IFERROR(__xludf.DUMMYFUNCTION("""COMPUTED_VALUE"""),65.0)</f>
        <v>65</v>
      </c>
      <c r="F7462" s="19" t="str">
        <f>IFERROR(__xludf.DUMMYFUNCTION("""COMPUTED_VALUE"""),"BLACK")</f>
        <v>BLACK</v>
      </c>
      <c r="G7462" s="20" t="str">
        <f>IFERROR(__xludf.DUMMYFUNCTION("""COMPUTED_VALUE"""),"Uncle Sams Cider (11/12/2021) 02")</f>
        <v>Uncle Sams Cider (11/12/2021) 02</v>
      </c>
      <c r="H7462" s="19"/>
    </row>
    <row r="7463">
      <c r="A7463" s="9"/>
      <c r="B7463" s="15"/>
      <c r="C7463" s="9">
        <f>IFERROR(__xludf.DUMMYFUNCTION("""COMPUTED_VALUE"""),44526.7767020949)</f>
        <v>44526.7767</v>
      </c>
      <c r="D7463" s="15">
        <f>IFERROR(__xludf.DUMMYFUNCTION("""COMPUTED_VALUE"""),1.045)</f>
        <v>1.045</v>
      </c>
      <c r="E7463" s="16">
        <f>IFERROR(__xludf.DUMMYFUNCTION("""COMPUTED_VALUE"""),65.0)</f>
        <v>65</v>
      </c>
      <c r="F7463" s="19" t="str">
        <f>IFERROR(__xludf.DUMMYFUNCTION("""COMPUTED_VALUE"""),"BLACK")</f>
        <v>BLACK</v>
      </c>
      <c r="G7463" s="20" t="str">
        <f>IFERROR(__xludf.DUMMYFUNCTION("""COMPUTED_VALUE"""),"Uncle Sams Cider (11/12/2021) 02")</f>
        <v>Uncle Sams Cider (11/12/2021) 02</v>
      </c>
      <c r="H7463" s="19"/>
    </row>
    <row r="7464">
      <c r="A7464" s="9"/>
      <c r="B7464" s="15"/>
      <c r="C7464" s="9">
        <f>IFERROR(__xludf.DUMMYFUNCTION("""COMPUTED_VALUE"""),44526.7662701157)</f>
        <v>44526.76627</v>
      </c>
      <c r="D7464" s="15">
        <f>IFERROR(__xludf.DUMMYFUNCTION("""COMPUTED_VALUE"""),1.044)</f>
        <v>1.044</v>
      </c>
      <c r="E7464" s="16">
        <f>IFERROR(__xludf.DUMMYFUNCTION("""COMPUTED_VALUE"""),65.0)</f>
        <v>65</v>
      </c>
      <c r="F7464" s="19" t="str">
        <f>IFERROR(__xludf.DUMMYFUNCTION("""COMPUTED_VALUE"""),"BLACK")</f>
        <v>BLACK</v>
      </c>
      <c r="G7464" s="20" t="str">
        <f>IFERROR(__xludf.DUMMYFUNCTION("""COMPUTED_VALUE"""),"Uncle Sams Cider (11/12/2021) 02")</f>
        <v>Uncle Sams Cider (11/12/2021) 02</v>
      </c>
      <c r="H7464" s="19"/>
    </row>
    <row r="7465">
      <c r="A7465" s="9"/>
      <c r="B7465" s="15"/>
      <c r="C7465" s="9">
        <f>IFERROR(__xludf.DUMMYFUNCTION("""COMPUTED_VALUE"""),44526.7558470833)</f>
        <v>44526.75585</v>
      </c>
      <c r="D7465" s="15">
        <f>IFERROR(__xludf.DUMMYFUNCTION("""COMPUTED_VALUE"""),1.044)</f>
        <v>1.044</v>
      </c>
      <c r="E7465" s="16">
        <f>IFERROR(__xludf.DUMMYFUNCTION("""COMPUTED_VALUE"""),65.0)</f>
        <v>65</v>
      </c>
      <c r="F7465" s="19" t="str">
        <f>IFERROR(__xludf.DUMMYFUNCTION("""COMPUTED_VALUE"""),"BLACK")</f>
        <v>BLACK</v>
      </c>
      <c r="G7465" s="20" t="str">
        <f>IFERROR(__xludf.DUMMYFUNCTION("""COMPUTED_VALUE"""),"Uncle Sams Cider (11/12/2021) 02")</f>
        <v>Uncle Sams Cider (11/12/2021) 02</v>
      </c>
      <c r="H7465" s="19"/>
    </row>
    <row r="7466">
      <c r="A7466" s="9"/>
      <c r="B7466" s="15"/>
      <c r="C7466" s="9">
        <f>IFERROR(__xludf.DUMMYFUNCTION("""COMPUTED_VALUE"""),44526.7454254166)</f>
        <v>44526.74543</v>
      </c>
      <c r="D7466" s="15">
        <f>IFERROR(__xludf.DUMMYFUNCTION("""COMPUTED_VALUE"""),1.044)</f>
        <v>1.044</v>
      </c>
      <c r="E7466" s="16">
        <f>IFERROR(__xludf.DUMMYFUNCTION("""COMPUTED_VALUE"""),65.0)</f>
        <v>65</v>
      </c>
      <c r="F7466" s="19" t="str">
        <f>IFERROR(__xludf.DUMMYFUNCTION("""COMPUTED_VALUE"""),"BLACK")</f>
        <v>BLACK</v>
      </c>
      <c r="G7466" s="20" t="str">
        <f>IFERROR(__xludf.DUMMYFUNCTION("""COMPUTED_VALUE"""),"Uncle Sams Cider (11/12/2021) 02")</f>
        <v>Uncle Sams Cider (11/12/2021) 02</v>
      </c>
      <c r="H7466" s="19"/>
    </row>
    <row r="7467">
      <c r="A7467" s="9"/>
      <c r="B7467" s="15"/>
      <c r="C7467" s="9">
        <f>IFERROR(__xludf.DUMMYFUNCTION("""COMPUTED_VALUE"""),44526.7350037963)</f>
        <v>44526.735</v>
      </c>
      <c r="D7467" s="15">
        <f>IFERROR(__xludf.DUMMYFUNCTION("""COMPUTED_VALUE"""),1.044)</f>
        <v>1.044</v>
      </c>
      <c r="E7467" s="16">
        <f>IFERROR(__xludf.DUMMYFUNCTION("""COMPUTED_VALUE"""),65.0)</f>
        <v>65</v>
      </c>
      <c r="F7467" s="19" t="str">
        <f>IFERROR(__xludf.DUMMYFUNCTION("""COMPUTED_VALUE"""),"BLACK")</f>
        <v>BLACK</v>
      </c>
      <c r="G7467" s="20" t="str">
        <f>IFERROR(__xludf.DUMMYFUNCTION("""COMPUTED_VALUE"""),"Uncle Sams Cider (11/12/2021) 02")</f>
        <v>Uncle Sams Cider (11/12/2021) 02</v>
      </c>
      <c r="H7467" s="19"/>
    </row>
    <row r="7468">
      <c r="A7468" s="9"/>
      <c r="B7468" s="15"/>
      <c r="C7468" s="9">
        <f>IFERROR(__xludf.DUMMYFUNCTION("""COMPUTED_VALUE"""),44526.7245815161)</f>
        <v>44526.72458</v>
      </c>
      <c r="D7468" s="15">
        <f>IFERROR(__xludf.DUMMYFUNCTION("""COMPUTED_VALUE"""),1.045)</f>
        <v>1.045</v>
      </c>
      <c r="E7468" s="16">
        <f>IFERROR(__xludf.DUMMYFUNCTION("""COMPUTED_VALUE"""),65.0)</f>
        <v>65</v>
      </c>
      <c r="F7468" s="19" t="str">
        <f>IFERROR(__xludf.DUMMYFUNCTION("""COMPUTED_VALUE"""),"BLACK")</f>
        <v>BLACK</v>
      </c>
      <c r="G7468" s="20" t="str">
        <f>IFERROR(__xludf.DUMMYFUNCTION("""COMPUTED_VALUE"""),"Uncle Sams Cider (11/12/2021) 02")</f>
        <v>Uncle Sams Cider (11/12/2021) 02</v>
      </c>
      <c r="H7468" s="19"/>
    </row>
    <row r="7469">
      <c r="A7469" s="9"/>
      <c r="B7469" s="15"/>
      <c r="C7469" s="9">
        <f>IFERROR(__xludf.DUMMYFUNCTION("""COMPUTED_VALUE"""),44526.7141371064)</f>
        <v>44526.71414</v>
      </c>
      <c r="D7469" s="15">
        <f>IFERROR(__xludf.DUMMYFUNCTION("""COMPUTED_VALUE"""),1.045)</f>
        <v>1.045</v>
      </c>
      <c r="E7469" s="16">
        <f>IFERROR(__xludf.DUMMYFUNCTION("""COMPUTED_VALUE"""),65.0)</f>
        <v>65</v>
      </c>
      <c r="F7469" s="19" t="str">
        <f>IFERROR(__xludf.DUMMYFUNCTION("""COMPUTED_VALUE"""),"BLACK")</f>
        <v>BLACK</v>
      </c>
      <c r="G7469" s="20" t="str">
        <f>IFERROR(__xludf.DUMMYFUNCTION("""COMPUTED_VALUE"""),"Uncle Sams Cider (11/12/2021) 02")</f>
        <v>Uncle Sams Cider (11/12/2021) 02</v>
      </c>
      <c r="H7469" s="19"/>
    </row>
    <row r="7470">
      <c r="A7470" s="9"/>
      <c r="B7470" s="15"/>
      <c r="C7470" s="9">
        <f>IFERROR(__xludf.DUMMYFUNCTION("""COMPUTED_VALUE"""),44526.7037042476)</f>
        <v>44526.7037</v>
      </c>
      <c r="D7470" s="15">
        <f>IFERROR(__xludf.DUMMYFUNCTION("""COMPUTED_VALUE"""),1.045)</f>
        <v>1.045</v>
      </c>
      <c r="E7470" s="16">
        <f>IFERROR(__xludf.DUMMYFUNCTION("""COMPUTED_VALUE"""),65.0)</f>
        <v>65</v>
      </c>
      <c r="F7470" s="19" t="str">
        <f>IFERROR(__xludf.DUMMYFUNCTION("""COMPUTED_VALUE"""),"BLACK")</f>
        <v>BLACK</v>
      </c>
      <c r="G7470" s="20" t="str">
        <f>IFERROR(__xludf.DUMMYFUNCTION("""COMPUTED_VALUE"""),"Uncle Sams Cider (11/12/2021) 02")</f>
        <v>Uncle Sams Cider (11/12/2021) 02</v>
      </c>
      <c r="H7470" s="19"/>
    </row>
    <row r="7471">
      <c r="A7471" s="9"/>
      <c r="B7471" s="15"/>
      <c r="C7471" s="9">
        <f>IFERROR(__xludf.DUMMYFUNCTION("""COMPUTED_VALUE"""),44526.6932831828)</f>
        <v>44526.69328</v>
      </c>
      <c r="D7471" s="15">
        <f>IFERROR(__xludf.DUMMYFUNCTION("""COMPUTED_VALUE"""),1.045)</f>
        <v>1.045</v>
      </c>
      <c r="E7471" s="16">
        <f>IFERROR(__xludf.DUMMYFUNCTION("""COMPUTED_VALUE"""),65.0)</f>
        <v>65</v>
      </c>
      <c r="F7471" s="19" t="str">
        <f>IFERROR(__xludf.DUMMYFUNCTION("""COMPUTED_VALUE"""),"BLACK")</f>
        <v>BLACK</v>
      </c>
      <c r="G7471" s="20" t="str">
        <f>IFERROR(__xludf.DUMMYFUNCTION("""COMPUTED_VALUE"""),"Uncle Sams Cider (11/12/2021) 02")</f>
        <v>Uncle Sams Cider (11/12/2021) 02</v>
      </c>
      <c r="H7471" s="19"/>
    </row>
    <row r="7472">
      <c r="A7472" s="9"/>
      <c r="B7472" s="15"/>
      <c r="C7472" s="9">
        <f>IFERROR(__xludf.DUMMYFUNCTION("""COMPUTED_VALUE"""),44526.6828629861)</f>
        <v>44526.68286</v>
      </c>
      <c r="D7472" s="15">
        <f>IFERROR(__xludf.DUMMYFUNCTION("""COMPUTED_VALUE"""),1.045)</f>
        <v>1.045</v>
      </c>
      <c r="E7472" s="16">
        <f>IFERROR(__xludf.DUMMYFUNCTION("""COMPUTED_VALUE"""),65.0)</f>
        <v>65</v>
      </c>
      <c r="F7472" s="19" t="str">
        <f>IFERROR(__xludf.DUMMYFUNCTION("""COMPUTED_VALUE"""),"BLACK")</f>
        <v>BLACK</v>
      </c>
      <c r="G7472" s="20" t="str">
        <f>IFERROR(__xludf.DUMMYFUNCTION("""COMPUTED_VALUE"""),"Uncle Sams Cider (11/12/2021) 02")</f>
        <v>Uncle Sams Cider (11/12/2021) 02</v>
      </c>
      <c r="H7472" s="19"/>
    </row>
    <row r="7473">
      <c r="A7473" s="9"/>
      <c r="B7473" s="15"/>
      <c r="C7473" s="9">
        <f>IFERROR(__xludf.DUMMYFUNCTION("""COMPUTED_VALUE"""),44526.6724419675)</f>
        <v>44526.67244</v>
      </c>
      <c r="D7473" s="15">
        <f>IFERROR(__xludf.DUMMYFUNCTION("""COMPUTED_VALUE"""),1.045)</f>
        <v>1.045</v>
      </c>
      <c r="E7473" s="16">
        <f>IFERROR(__xludf.DUMMYFUNCTION("""COMPUTED_VALUE"""),65.0)</f>
        <v>65</v>
      </c>
      <c r="F7473" s="19" t="str">
        <f>IFERROR(__xludf.DUMMYFUNCTION("""COMPUTED_VALUE"""),"BLACK")</f>
        <v>BLACK</v>
      </c>
      <c r="G7473" s="20" t="str">
        <f>IFERROR(__xludf.DUMMYFUNCTION("""COMPUTED_VALUE"""),"Uncle Sams Cider (11/12/2021) 02")</f>
        <v>Uncle Sams Cider (11/12/2021) 02</v>
      </c>
      <c r="H7473" s="19"/>
    </row>
    <row r="7474">
      <c r="A7474" s="9"/>
      <c r="B7474" s="15"/>
      <c r="C7474" s="9">
        <f>IFERROR(__xludf.DUMMYFUNCTION("""COMPUTED_VALUE"""),44526.6620102314)</f>
        <v>44526.66201</v>
      </c>
      <c r="D7474" s="15">
        <f>IFERROR(__xludf.DUMMYFUNCTION("""COMPUTED_VALUE"""),1.045)</f>
        <v>1.045</v>
      </c>
      <c r="E7474" s="16">
        <f>IFERROR(__xludf.DUMMYFUNCTION("""COMPUTED_VALUE"""),65.0)</f>
        <v>65</v>
      </c>
      <c r="F7474" s="19" t="str">
        <f>IFERROR(__xludf.DUMMYFUNCTION("""COMPUTED_VALUE"""),"BLACK")</f>
        <v>BLACK</v>
      </c>
      <c r="G7474" s="20" t="str">
        <f>IFERROR(__xludf.DUMMYFUNCTION("""COMPUTED_VALUE"""),"Uncle Sams Cider (11/12/2021) 02")</f>
        <v>Uncle Sams Cider (11/12/2021) 02</v>
      </c>
      <c r="H7474" s="19"/>
    </row>
    <row r="7475">
      <c r="A7475" s="9"/>
      <c r="B7475" s="15"/>
      <c r="C7475" s="9">
        <f>IFERROR(__xludf.DUMMYFUNCTION("""COMPUTED_VALUE"""),44526.6515887268)</f>
        <v>44526.65159</v>
      </c>
      <c r="D7475" s="15">
        <f>IFERROR(__xludf.DUMMYFUNCTION("""COMPUTED_VALUE"""),1.045)</f>
        <v>1.045</v>
      </c>
      <c r="E7475" s="16">
        <f>IFERROR(__xludf.DUMMYFUNCTION("""COMPUTED_VALUE"""),65.0)</f>
        <v>65</v>
      </c>
      <c r="F7475" s="19" t="str">
        <f>IFERROR(__xludf.DUMMYFUNCTION("""COMPUTED_VALUE"""),"BLACK")</f>
        <v>BLACK</v>
      </c>
      <c r="G7475" s="20" t="str">
        <f>IFERROR(__xludf.DUMMYFUNCTION("""COMPUTED_VALUE"""),"Uncle Sams Cider (11/12/2021) 02")</f>
        <v>Uncle Sams Cider (11/12/2021) 02</v>
      </c>
      <c r="H7475" s="19"/>
    </row>
    <row r="7476">
      <c r="A7476" s="9"/>
      <c r="B7476" s="15"/>
      <c r="C7476" s="9">
        <f>IFERROR(__xludf.DUMMYFUNCTION("""COMPUTED_VALUE"""),44526.6411689236)</f>
        <v>44526.64117</v>
      </c>
      <c r="D7476" s="15">
        <f>IFERROR(__xludf.DUMMYFUNCTION("""COMPUTED_VALUE"""),1.045)</f>
        <v>1.045</v>
      </c>
      <c r="E7476" s="16">
        <f>IFERROR(__xludf.DUMMYFUNCTION("""COMPUTED_VALUE"""),65.0)</f>
        <v>65</v>
      </c>
      <c r="F7476" s="19" t="str">
        <f>IFERROR(__xludf.DUMMYFUNCTION("""COMPUTED_VALUE"""),"BLACK")</f>
        <v>BLACK</v>
      </c>
      <c r="G7476" s="20" t="str">
        <f>IFERROR(__xludf.DUMMYFUNCTION("""COMPUTED_VALUE"""),"Uncle Sams Cider (11/12/2021) 02")</f>
        <v>Uncle Sams Cider (11/12/2021) 02</v>
      </c>
      <c r="H7476" s="19"/>
    </row>
    <row r="7477">
      <c r="A7477" s="9"/>
      <c r="B7477" s="15"/>
      <c r="C7477" s="9">
        <f>IFERROR(__xludf.DUMMYFUNCTION("""COMPUTED_VALUE"""),44526.63074603)</f>
        <v>44526.63075</v>
      </c>
      <c r="D7477" s="15">
        <f>IFERROR(__xludf.DUMMYFUNCTION("""COMPUTED_VALUE"""),1.045)</f>
        <v>1.045</v>
      </c>
      <c r="E7477" s="16">
        <f>IFERROR(__xludf.DUMMYFUNCTION("""COMPUTED_VALUE"""),65.0)</f>
        <v>65</v>
      </c>
      <c r="F7477" s="19" t="str">
        <f>IFERROR(__xludf.DUMMYFUNCTION("""COMPUTED_VALUE"""),"BLACK")</f>
        <v>BLACK</v>
      </c>
      <c r="G7477" s="20" t="str">
        <f>IFERROR(__xludf.DUMMYFUNCTION("""COMPUTED_VALUE"""),"Uncle Sams Cider (11/12/2021) 02")</f>
        <v>Uncle Sams Cider (11/12/2021) 02</v>
      </c>
      <c r="H7477" s="19"/>
    </row>
    <row r="7478">
      <c r="A7478" s="9"/>
      <c r="B7478" s="15"/>
      <c r="C7478" s="9">
        <f>IFERROR(__xludf.DUMMYFUNCTION("""COMPUTED_VALUE"""),44526.6203243402)</f>
        <v>44526.62032</v>
      </c>
      <c r="D7478" s="15">
        <f>IFERROR(__xludf.DUMMYFUNCTION("""COMPUTED_VALUE"""),1.045)</f>
        <v>1.045</v>
      </c>
      <c r="E7478" s="16">
        <f>IFERROR(__xludf.DUMMYFUNCTION("""COMPUTED_VALUE"""),65.0)</f>
        <v>65</v>
      </c>
      <c r="F7478" s="19" t="str">
        <f>IFERROR(__xludf.DUMMYFUNCTION("""COMPUTED_VALUE"""),"BLACK")</f>
        <v>BLACK</v>
      </c>
      <c r="G7478" s="20" t="str">
        <f>IFERROR(__xludf.DUMMYFUNCTION("""COMPUTED_VALUE"""),"Uncle Sams Cider (11/12/2021) 02")</f>
        <v>Uncle Sams Cider (11/12/2021) 02</v>
      </c>
      <c r="H7478" s="19"/>
    </row>
    <row r="7479">
      <c r="A7479" s="9"/>
      <c r="B7479" s="15"/>
      <c r="C7479" s="9">
        <f>IFERROR(__xludf.DUMMYFUNCTION("""COMPUTED_VALUE"""),44526.6099038194)</f>
        <v>44526.6099</v>
      </c>
      <c r="D7479" s="15">
        <f>IFERROR(__xludf.DUMMYFUNCTION("""COMPUTED_VALUE"""),1.045)</f>
        <v>1.045</v>
      </c>
      <c r="E7479" s="16">
        <f>IFERROR(__xludf.DUMMYFUNCTION("""COMPUTED_VALUE"""),65.0)</f>
        <v>65</v>
      </c>
      <c r="F7479" s="19" t="str">
        <f>IFERROR(__xludf.DUMMYFUNCTION("""COMPUTED_VALUE"""),"BLACK")</f>
        <v>BLACK</v>
      </c>
      <c r="G7479" s="20" t="str">
        <f>IFERROR(__xludf.DUMMYFUNCTION("""COMPUTED_VALUE"""),"Uncle Sams Cider (11/12/2021) 02")</f>
        <v>Uncle Sams Cider (11/12/2021) 02</v>
      </c>
      <c r="H7479" s="19"/>
    </row>
    <row r="7480">
      <c r="A7480" s="9"/>
      <c r="B7480" s="15"/>
      <c r="C7480" s="9">
        <f>IFERROR(__xludf.DUMMYFUNCTION("""COMPUTED_VALUE"""),44526.599483287)</f>
        <v>44526.59948</v>
      </c>
      <c r="D7480" s="15">
        <f>IFERROR(__xludf.DUMMYFUNCTION("""COMPUTED_VALUE"""),1.045)</f>
        <v>1.045</v>
      </c>
      <c r="E7480" s="16">
        <f>IFERROR(__xludf.DUMMYFUNCTION("""COMPUTED_VALUE"""),65.0)</f>
        <v>65</v>
      </c>
      <c r="F7480" s="19" t="str">
        <f>IFERROR(__xludf.DUMMYFUNCTION("""COMPUTED_VALUE"""),"BLACK")</f>
        <v>BLACK</v>
      </c>
      <c r="G7480" s="20" t="str">
        <f>IFERROR(__xludf.DUMMYFUNCTION("""COMPUTED_VALUE"""),"Uncle Sams Cider (11/12/2021) 02")</f>
        <v>Uncle Sams Cider (11/12/2021) 02</v>
      </c>
      <c r="H7480" s="19"/>
    </row>
    <row r="7481">
      <c r="A7481" s="9"/>
      <c r="B7481" s="15"/>
      <c r="C7481" s="9">
        <f>IFERROR(__xludf.DUMMYFUNCTION("""COMPUTED_VALUE"""),44526.5890617013)</f>
        <v>44526.58906</v>
      </c>
      <c r="D7481" s="15">
        <f>IFERROR(__xludf.DUMMYFUNCTION("""COMPUTED_VALUE"""),1.045)</f>
        <v>1.045</v>
      </c>
      <c r="E7481" s="16">
        <f>IFERROR(__xludf.DUMMYFUNCTION("""COMPUTED_VALUE"""),65.0)</f>
        <v>65</v>
      </c>
      <c r="F7481" s="19" t="str">
        <f>IFERROR(__xludf.DUMMYFUNCTION("""COMPUTED_VALUE"""),"BLACK")</f>
        <v>BLACK</v>
      </c>
      <c r="G7481" s="20" t="str">
        <f>IFERROR(__xludf.DUMMYFUNCTION("""COMPUTED_VALUE"""),"Uncle Sams Cider (11/12/2021) 02")</f>
        <v>Uncle Sams Cider (11/12/2021) 02</v>
      </c>
      <c r="H7481" s="19"/>
    </row>
    <row r="7482">
      <c r="A7482" s="9"/>
      <c r="B7482" s="15"/>
      <c r="C7482" s="9">
        <f>IFERROR(__xludf.DUMMYFUNCTION("""COMPUTED_VALUE"""),44526.5786414236)</f>
        <v>44526.57864</v>
      </c>
      <c r="D7482" s="15">
        <f>IFERROR(__xludf.DUMMYFUNCTION("""COMPUTED_VALUE"""),1.045)</f>
        <v>1.045</v>
      </c>
      <c r="E7482" s="16">
        <f>IFERROR(__xludf.DUMMYFUNCTION("""COMPUTED_VALUE"""),65.0)</f>
        <v>65</v>
      </c>
      <c r="F7482" s="19" t="str">
        <f>IFERROR(__xludf.DUMMYFUNCTION("""COMPUTED_VALUE"""),"BLACK")</f>
        <v>BLACK</v>
      </c>
      <c r="G7482" s="20" t="str">
        <f>IFERROR(__xludf.DUMMYFUNCTION("""COMPUTED_VALUE"""),"Uncle Sams Cider (11/12/2021) 02")</f>
        <v>Uncle Sams Cider (11/12/2021) 02</v>
      </c>
      <c r="H7482" s="19"/>
    </row>
    <row r="7483">
      <c r="A7483" s="9"/>
      <c r="B7483" s="15"/>
      <c r="C7483" s="9">
        <f>IFERROR(__xludf.DUMMYFUNCTION("""COMPUTED_VALUE"""),44526.5682087731)</f>
        <v>44526.56821</v>
      </c>
      <c r="D7483" s="15">
        <f>IFERROR(__xludf.DUMMYFUNCTION("""COMPUTED_VALUE"""),1.045)</f>
        <v>1.045</v>
      </c>
      <c r="E7483" s="16">
        <f>IFERROR(__xludf.DUMMYFUNCTION("""COMPUTED_VALUE"""),65.0)</f>
        <v>65</v>
      </c>
      <c r="F7483" s="19" t="str">
        <f>IFERROR(__xludf.DUMMYFUNCTION("""COMPUTED_VALUE"""),"BLACK")</f>
        <v>BLACK</v>
      </c>
      <c r="G7483" s="20" t="str">
        <f>IFERROR(__xludf.DUMMYFUNCTION("""COMPUTED_VALUE"""),"Uncle Sams Cider (11/12/2021) 02")</f>
        <v>Uncle Sams Cider (11/12/2021) 02</v>
      </c>
      <c r="H7483" s="19"/>
    </row>
    <row r="7484">
      <c r="A7484" s="9"/>
      <c r="B7484" s="15"/>
      <c r="C7484" s="9">
        <f>IFERROR(__xludf.DUMMYFUNCTION("""COMPUTED_VALUE"""),44526.557764699)</f>
        <v>44526.55776</v>
      </c>
      <c r="D7484" s="15">
        <f>IFERROR(__xludf.DUMMYFUNCTION("""COMPUTED_VALUE"""),1.045)</f>
        <v>1.045</v>
      </c>
      <c r="E7484" s="16">
        <f>IFERROR(__xludf.DUMMYFUNCTION("""COMPUTED_VALUE"""),65.0)</f>
        <v>65</v>
      </c>
      <c r="F7484" s="19" t="str">
        <f>IFERROR(__xludf.DUMMYFUNCTION("""COMPUTED_VALUE"""),"BLACK")</f>
        <v>BLACK</v>
      </c>
      <c r="G7484" s="20" t="str">
        <f>IFERROR(__xludf.DUMMYFUNCTION("""COMPUTED_VALUE"""),"Uncle Sams Cider (11/12/2021) 02")</f>
        <v>Uncle Sams Cider (11/12/2021) 02</v>
      </c>
      <c r="H7484" s="19"/>
    </row>
    <row r="7485">
      <c r="A7485" s="9"/>
      <c r="B7485" s="15"/>
      <c r="C7485" s="9">
        <f>IFERROR(__xludf.DUMMYFUNCTION("""COMPUTED_VALUE"""),44526.5473192824)</f>
        <v>44526.54732</v>
      </c>
      <c r="D7485" s="15">
        <f>IFERROR(__xludf.DUMMYFUNCTION("""COMPUTED_VALUE"""),1.045)</f>
        <v>1.045</v>
      </c>
      <c r="E7485" s="16">
        <f>IFERROR(__xludf.DUMMYFUNCTION("""COMPUTED_VALUE"""),65.0)</f>
        <v>65</v>
      </c>
      <c r="F7485" s="19" t="str">
        <f>IFERROR(__xludf.DUMMYFUNCTION("""COMPUTED_VALUE"""),"BLACK")</f>
        <v>BLACK</v>
      </c>
      <c r="G7485" s="20" t="str">
        <f>IFERROR(__xludf.DUMMYFUNCTION("""COMPUTED_VALUE"""),"Uncle Sams Cider (11/12/2021) 02")</f>
        <v>Uncle Sams Cider (11/12/2021) 02</v>
      </c>
      <c r="H7485" s="19"/>
    </row>
    <row r="7486">
      <c r="A7486" s="9"/>
      <c r="B7486" s="15"/>
      <c r="C7486" s="9">
        <f>IFERROR(__xludf.DUMMYFUNCTION("""COMPUTED_VALUE"""),44526.5368975578)</f>
        <v>44526.5369</v>
      </c>
      <c r="D7486" s="15">
        <f>IFERROR(__xludf.DUMMYFUNCTION("""COMPUTED_VALUE"""),1.045)</f>
        <v>1.045</v>
      </c>
      <c r="E7486" s="16">
        <f>IFERROR(__xludf.DUMMYFUNCTION("""COMPUTED_VALUE"""),65.0)</f>
        <v>65</v>
      </c>
      <c r="F7486" s="19" t="str">
        <f>IFERROR(__xludf.DUMMYFUNCTION("""COMPUTED_VALUE"""),"BLACK")</f>
        <v>BLACK</v>
      </c>
      <c r="G7486" s="20" t="str">
        <f>IFERROR(__xludf.DUMMYFUNCTION("""COMPUTED_VALUE"""),"Uncle Sams Cider (11/12/2021) 02")</f>
        <v>Uncle Sams Cider (11/12/2021) 02</v>
      </c>
      <c r="H7486" s="19"/>
    </row>
    <row r="7487">
      <c r="A7487" s="9"/>
      <c r="B7487" s="15"/>
      <c r="C7487" s="9">
        <f>IFERROR(__xludf.DUMMYFUNCTION("""COMPUTED_VALUE"""),44526.5264770486)</f>
        <v>44526.52648</v>
      </c>
      <c r="D7487" s="15">
        <f>IFERROR(__xludf.DUMMYFUNCTION("""COMPUTED_VALUE"""),1.045)</f>
        <v>1.045</v>
      </c>
      <c r="E7487" s="16">
        <f>IFERROR(__xludf.DUMMYFUNCTION("""COMPUTED_VALUE"""),65.0)</f>
        <v>65</v>
      </c>
      <c r="F7487" s="19" t="str">
        <f>IFERROR(__xludf.DUMMYFUNCTION("""COMPUTED_VALUE"""),"BLACK")</f>
        <v>BLACK</v>
      </c>
      <c r="G7487" s="20" t="str">
        <f>IFERROR(__xludf.DUMMYFUNCTION("""COMPUTED_VALUE"""),"Uncle Sams Cider (11/12/2021) 02")</f>
        <v>Uncle Sams Cider (11/12/2021) 02</v>
      </c>
      <c r="H7487" s="19"/>
    </row>
    <row r="7488">
      <c r="A7488" s="9"/>
      <c r="B7488" s="15"/>
      <c r="C7488" s="9">
        <f>IFERROR(__xludf.DUMMYFUNCTION("""COMPUTED_VALUE"""),44526.5160579629)</f>
        <v>44526.51606</v>
      </c>
      <c r="D7488" s="15">
        <f>IFERROR(__xludf.DUMMYFUNCTION("""COMPUTED_VALUE"""),1.045)</f>
        <v>1.045</v>
      </c>
      <c r="E7488" s="16">
        <f>IFERROR(__xludf.DUMMYFUNCTION("""COMPUTED_VALUE"""),65.0)</f>
        <v>65</v>
      </c>
      <c r="F7488" s="19" t="str">
        <f>IFERROR(__xludf.DUMMYFUNCTION("""COMPUTED_VALUE"""),"BLACK")</f>
        <v>BLACK</v>
      </c>
      <c r="G7488" s="20" t="str">
        <f>IFERROR(__xludf.DUMMYFUNCTION("""COMPUTED_VALUE"""),"Uncle Sams Cider (11/12/2021) 02")</f>
        <v>Uncle Sams Cider (11/12/2021) 02</v>
      </c>
      <c r="H7488" s="19"/>
    </row>
    <row r="7489">
      <c r="A7489" s="9"/>
      <c r="B7489" s="15"/>
      <c r="C7489" s="9">
        <f>IFERROR(__xludf.DUMMYFUNCTION("""COMPUTED_VALUE"""),44526.505636875)</f>
        <v>44526.50564</v>
      </c>
      <c r="D7489" s="15">
        <f>IFERROR(__xludf.DUMMYFUNCTION("""COMPUTED_VALUE"""),1.045)</f>
        <v>1.045</v>
      </c>
      <c r="E7489" s="16">
        <f>IFERROR(__xludf.DUMMYFUNCTION("""COMPUTED_VALUE"""),65.0)</f>
        <v>65</v>
      </c>
      <c r="F7489" s="19" t="str">
        <f>IFERROR(__xludf.DUMMYFUNCTION("""COMPUTED_VALUE"""),"BLACK")</f>
        <v>BLACK</v>
      </c>
      <c r="G7489" s="20" t="str">
        <f>IFERROR(__xludf.DUMMYFUNCTION("""COMPUTED_VALUE"""),"Uncle Sams Cider (11/12/2021) 02")</f>
        <v>Uncle Sams Cider (11/12/2021) 02</v>
      </c>
      <c r="H7489" s="19"/>
    </row>
    <row r="7490">
      <c r="A7490" s="9"/>
      <c r="B7490" s="15"/>
      <c r="C7490" s="9">
        <f>IFERROR(__xludf.DUMMYFUNCTION("""COMPUTED_VALUE"""),44526.4952037268)</f>
        <v>44526.4952</v>
      </c>
      <c r="D7490" s="15">
        <f>IFERROR(__xludf.DUMMYFUNCTION("""COMPUTED_VALUE"""),1.045)</f>
        <v>1.045</v>
      </c>
      <c r="E7490" s="16">
        <f>IFERROR(__xludf.DUMMYFUNCTION("""COMPUTED_VALUE"""),65.0)</f>
        <v>65</v>
      </c>
      <c r="F7490" s="19" t="str">
        <f>IFERROR(__xludf.DUMMYFUNCTION("""COMPUTED_VALUE"""),"BLACK")</f>
        <v>BLACK</v>
      </c>
      <c r="G7490" s="20" t="str">
        <f>IFERROR(__xludf.DUMMYFUNCTION("""COMPUTED_VALUE"""),"Uncle Sams Cider (11/12/2021) 02")</f>
        <v>Uncle Sams Cider (11/12/2021) 02</v>
      </c>
      <c r="H7490" s="19"/>
    </row>
    <row r="7491">
      <c r="A7491" s="9"/>
      <c r="B7491" s="15"/>
      <c r="C7491" s="9">
        <f>IFERROR(__xludf.DUMMYFUNCTION("""COMPUTED_VALUE"""),44526.4847829861)</f>
        <v>44526.48478</v>
      </c>
      <c r="D7491" s="15">
        <f>IFERROR(__xludf.DUMMYFUNCTION("""COMPUTED_VALUE"""),1.045)</f>
        <v>1.045</v>
      </c>
      <c r="E7491" s="16">
        <f>IFERROR(__xludf.DUMMYFUNCTION("""COMPUTED_VALUE"""),65.0)</f>
        <v>65</v>
      </c>
      <c r="F7491" s="19" t="str">
        <f>IFERROR(__xludf.DUMMYFUNCTION("""COMPUTED_VALUE"""),"BLACK")</f>
        <v>BLACK</v>
      </c>
      <c r="G7491" s="20" t="str">
        <f>IFERROR(__xludf.DUMMYFUNCTION("""COMPUTED_VALUE"""),"Uncle Sams Cider (11/12/2021) 02")</f>
        <v>Uncle Sams Cider (11/12/2021) 02</v>
      </c>
      <c r="H7491" s="19"/>
    </row>
    <row r="7492">
      <c r="A7492" s="9"/>
      <c r="B7492" s="15"/>
      <c r="C7492" s="9">
        <f>IFERROR(__xludf.DUMMYFUNCTION("""COMPUTED_VALUE"""),44526.4743640625)</f>
        <v>44526.47436</v>
      </c>
      <c r="D7492" s="15">
        <f>IFERROR(__xludf.DUMMYFUNCTION("""COMPUTED_VALUE"""),1.045)</f>
        <v>1.045</v>
      </c>
      <c r="E7492" s="16">
        <f>IFERROR(__xludf.DUMMYFUNCTION("""COMPUTED_VALUE"""),65.0)</f>
        <v>65</v>
      </c>
      <c r="F7492" s="19" t="str">
        <f>IFERROR(__xludf.DUMMYFUNCTION("""COMPUTED_VALUE"""),"BLACK")</f>
        <v>BLACK</v>
      </c>
      <c r="G7492" s="20" t="str">
        <f>IFERROR(__xludf.DUMMYFUNCTION("""COMPUTED_VALUE"""),"Uncle Sams Cider (11/12/2021) 02")</f>
        <v>Uncle Sams Cider (11/12/2021) 02</v>
      </c>
      <c r="H7492" s="19"/>
    </row>
    <row r="7493">
      <c r="A7493" s="9"/>
      <c r="B7493" s="15"/>
      <c r="C7493" s="9">
        <f>IFERROR(__xludf.DUMMYFUNCTION("""COMPUTED_VALUE"""),44526.4639422337)</f>
        <v>44526.46394</v>
      </c>
      <c r="D7493" s="15">
        <f>IFERROR(__xludf.DUMMYFUNCTION("""COMPUTED_VALUE"""),1.045)</f>
        <v>1.045</v>
      </c>
      <c r="E7493" s="16">
        <f>IFERROR(__xludf.DUMMYFUNCTION("""COMPUTED_VALUE"""),65.0)</f>
        <v>65</v>
      </c>
      <c r="F7493" s="19" t="str">
        <f>IFERROR(__xludf.DUMMYFUNCTION("""COMPUTED_VALUE"""),"BLACK")</f>
        <v>BLACK</v>
      </c>
      <c r="G7493" s="20" t="str">
        <f>IFERROR(__xludf.DUMMYFUNCTION("""COMPUTED_VALUE"""),"Uncle Sams Cider (11/12/2021) 02")</f>
        <v>Uncle Sams Cider (11/12/2021) 02</v>
      </c>
      <c r="H7493" s="19"/>
    </row>
    <row r="7494">
      <c r="A7494" s="9"/>
      <c r="B7494" s="15"/>
      <c r="C7494" s="9">
        <f>IFERROR(__xludf.DUMMYFUNCTION("""COMPUTED_VALUE"""),44526.4535209838)</f>
        <v>44526.45352</v>
      </c>
      <c r="D7494" s="15">
        <f>IFERROR(__xludf.DUMMYFUNCTION("""COMPUTED_VALUE"""),1.045)</f>
        <v>1.045</v>
      </c>
      <c r="E7494" s="16">
        <f>IFERROR(__xludf.DUMMYFUNCTION("""COMPUTED_VALUE"""),65.0)</f>
        <v>65</v>
      </c>
      <c r="F7494" s="19" t="str">
        <f>IFERROR(__xludf.DUMMYFUNCTION("""COMPUTED_VALUE"""),"BLACK")</f>
        <v>BLACK</v>
      </c>
      <c r="G7494" s="20" t="str">
        <f>IFERROR(__xludf.DUMMYFUNCTION("""COMPUTED_VALUE"""),"Uncle Sams Cider (11/12/2021) 02")</f>
        <v>Uncle Sams Cider (11/12/2021) 02</v>
      </c>
      <c r="H7494" s="19"/>
    </row>
    <row r="7495">
      <c r="A7495" s="9"/>
      <c r="B7495" s="15"/>
      <c r="C7495" s="9">
        <f>IFERROR(__xludf.DUMMYFUNCTION("""COMPUTED_VALUE"""),44526.4430996759)</f>
        <v>44526.4431</v>
      </c>
      <c r="D7495" s="15">
        <f>IFERROR(__xludf.DUMMYFUNCTION("""COMPUTED_VALUE"""),1.045)</f>
        <v>1.045</v>
      </c>
      <c r="E7495" s="16">
        <f>IFERROR(__xludf.DUMMYFUNCTION("""COMPUTED_VALUE"""),65.0)</f>
        <v>65</v>
      </c>
      <c r="F7495" s="19" t="str">
        <f>IFERROR(__xludf.DUMMYFUNCTION("""COMPUTED_VALUE"""),"BLACK")</f>
        <v>BLACK</v>
      </c>
      <c r="G7495" s="20" t="str">
        <f>IFERROR(__xludf.DUMMYFUNCTION("""COMPUTED_VALUE"""),"Uncle Sams Cider (11/12/2021) 02")</f>
        <v>Uncle Sams Cider (11/12/2021) 02</v>
      </c>
      <c r="H7495" s="19"/>
    </row>
    <row r="7496">
      <c r="A7496" s="9"/>
      <c r="B7496" s="15"/>
      <c r="C7496" s="9">
        <f>IFERROR(__xludf.DUMMYFUNCTION("""COMPUTED_VALUE"""),44526.4326782523)</f>
        <v>44526.43268</v>
      </c>
      <c r="D7496" s="15">
        <f>IFERROR(__xludf.DUMMYFUNCTION("""COMPUTED_VALUE"""),1.045)</f>
        <v>1.045</v>
      </c>
      <c r="E7496" s="16">
        <f>IFERROR(__xludf.DUMMYFUNCTION("""COMPUTED_VALUE"""),65.0)</f>
        <v>65</v>
      </c>
      <c r="F7496" s="19" t="str">
        <f>IFERROR(__xludf.DUMMYFUNCTION("""COMPUTED_VALUE"""),"BLACK")</f>
        <v>BLACK</v>
      </c>
      <c r="G7496" s="20" t="str">
        <f>IFERROR(__xludf.DUMMYFUNCTION("""COMPUTED_VALUE"""),"Uncle Sams Cider (11/12/2021) 02")</f>
        <v>Uncle Sams Cider (11/12/2021) 02</v>
      </c>
      <c r="H7496" s="19"/>
    </row>
    <row r="7497">
      <c r="A7497" s="9"/>
      <c r="B7497" s="15"/>
      <c r="C7497" s="9">
        <f>IFERROR(__xludf.DUMMYFUNCTION("""COMPUTED_VALUE"""),44526.4222565972)</f>
        <v>44526.42226</v>
      </c>
      <c r="D7497" s="15">
        <f>IFERROR(__xludf.DUMMYFUNCTION("""COMPUTED_VALUE"""),1.045)</f>
        <v>1.045</v>
      </c>
      <c r="E7497" s="16">
        <f>IFERROR(__xludf.DUMMYFUNCTION("""COMPUTED_VALUE"""),65.0)</f>
        <v>65</v>
      </c>
      <c r="F7497" s="19" t="str">
        <f>IFERROR(__xludf.DUMMYFUNCTION("""COMPUTED_VALUE"""),"BLACK")</f>
        <v>BLACK</v>
      </c>
      <c r="G7497" s="20" t="str">
        <f>IFERROR(__xludf.DUMMYFUNCTION("""COMPUTED_VALUE"""),"Uncle Sams Cider (11/12/2021) 02")</f>
        <v>Uncle Sams Cider (11/12/2021) 02</v>
      </c>
      <c r="H7497" s="19"/>
    </row>
    <row r="7498">
      <c r="A7498" s="9"/>
      <c r="B7498" s="15"/>
      <c r="C7498" s="9">
        <f>IFERROR(__xludf.DUMMYFUNCTION("""COMPUTED_VALUE"""),44526.4118358101)</f>
        <v>44526.41184</v>
      </c>
      <c r="D7498" s="15">
        <f>IFERROR(__xludf.DUMMYFUNCTION("""COMPUTED_VALUE"""),1.045)</f>
        <v>1.045</v>
      </c>
      <c r="E7498" s="16">
        <f>IFERROR(__xludf.DUMMYFUNCTION("""COMPUTED_VALUE"""),65.0)</f>
        <v>65</v>
      </c>
      <c r="F7498" s="19" t="str">
        <f>IFERROR(__xludf.DUMMYFUNCTION("""COMPUTED_VALUE"""),"BLACK")</f>
        <v>BLACK</v>
      </c>
      <c r="G7498" s="20" t="str">
        <f>IFERROR(__xludf.DUMMYFUNCTION("""COMPUTED_VALUE"""),"Uncle Sams Cider (11/12/2021) 02")</f>
        <v>Uncle Sams Cider (11/12/2021) 02</v>
      </c>
      <c r="H7498" s="19"/>
    </row>
    <row r="7499">
      <c r="A7499" s="9"/>
      <c r="B7499" s="15"/>
      <c r="C7499" s="9">
        <f>IFERROR(__xludf.DUMMYFUNCTION("""COMPUTED_VALUE"""),44526.4014131944)</f>
        <v>44526.40141</v>
      </c>
      <c r="D7499" s="15">
        <f>IFERROR(__xludf.DUMMYFUNCTION("""COMPUTED_VALUE"""),1.045)</f>
        <v>1.045</v>
      </c>
      <c r="E7499" s="16">
        <f>IFERROR(__xludf.DUMMYFUNCTION("""COMPUTED_VALUE"""),65.0)</f>
        <v>65</v>
      </c>
      <c r="F7499" s="19" t="str">
        <f>IFERROR(__xludf.DUMMYFUNCTION("""COMPUTED_VALUE"""),"BLACK")</f>
        <v>BLACK</v>
      </c>
      <c r="G7499" s="20" t="str">
        <f>IFERROR(__xludf.DUMMYFUNCTION("""COMPUTED_VALUE"""),"Uncle Sams Cider (11/12/2021) 02")</f>
        <v>Uncle Sams Cider (11/12/2021) 02</v>
      </c>
      <c r="H7499" s="19"/>
    </row>
    <row r="7500">
      <c r="A7500" s="9"/>
      <c r="B7500" s="15"/>
      <c r="C7500" s="9">
        <f>IFERROR(__xludf.DUMMYFUNCTION("""COMPUTED_VALUE"""),44526.390992743)</f>
        <v>44526.39099</v>
      </c>
      <c r="D7500" s="15">
        <f>IFERROR(__xludf.DUMMYFUNCTION("""COMPUTED_VALUE"""),1.045)</f>
        <v>1.045</v>
      </c>
      <c r="E7500" s="16">
        <f>IFERROR(__xludf.DUMMYFUNCTION("""COMPUTED_VALUE"""),65.0)</f>
        <v>65</v>
      </c>
      <c r="F7500" s="19" t="str">
        <f>IFERROR(__xludf.DUMMYFUNCTION("""COMPUTED_VALUE"""),"BLACK")</f>
        <v>BLACK</v>
      </c>
      <c r="G7500" s="20" t="str">
        <f>IFERROR(__xludf.DUMMYFUNCTION("""COMPUTED_VALUE"""),"Uncle Sams Cider (11/12/2021) 02")</f>
        <v>Uncle Sams Cider (11/12/2021) 02</v>
      </c>
      <c r="H7500" s="19"/>
    </row>
    <row r="7501">
      <c r="A7501" s="9"/>
      <c r="B7501" s="15"/>
      <c r="C7501" s="9">
        <f>IFERROR(__xludf.DUMMYFUNCTION("""COMPUTED_VALUE"""),44526.3805724768)</f>
        <v>44526.38057</v>
      </c>
      <c r="D7501" s="15">
        <f>IFERROR(__xludf.DUMMYFUNCTION("""COMPUTED_VALUE"""),1.045)</f>
        <v>1.045</v>
      </c>
      <c r="E7501" s="16">
        <f>IFERROR(__xludf.DUMMYFUNCTION("""COMPUTED_VALUE"""),65.0)</f>
        <v>65</v>
      </c>
      <c r="F7501" s="19" t="str">
        <f>IFERROR(__xludf.DUMMYFUNCTION("""COMPUTED_VALUE"""),"BLACK")</f>
        <v>BLACK</v>
      </c>
      <c r="G7501" s="20" t="str">
        <f>IFERROR(__xludf.DUMMYFUNCTION("""COMPUTED_VALUE"""),"Uncle Sams Cider (11/12/2021) 02")</f>
        <v>Uncle Sams Cider (11/12/2021) 02</v>
      </c>
      <c r="H7501" s="19"/>
    </row>
    <row r="7502">
      <c r="A7502" s="9"/>
      <c r="B7502" s="15"/>
      <c r="C7502" s="9">
        <f>IFERROR(__xludf.DUMMYFUNCTION("""COMPUTED_VALUE"""),44526.3701525115)</f>
        <v>44526.37015</v>
      </c>
      <c r="D7502" s="15">
        <f>IFERROR(__xludf.DUMMYFUNCTION("""COMPUTED_VALUE"""),1.045)</f>
        <v>1.045</v>
      </c>
      <c r="E7502" s="16">
        <f>IFERROR(__xludf.DUMMYFUNCTION("""COMPUTED_VALUE"""),65.0)</f>
        <v>65</v>
      </c>
      <c r="F7502" s="19" t="str">
        <f>IFERROR(__xludf.DUMMYFUNCTION("""COMPUTED_VALUE"""),"BLACK")</f>
        <v>BLACK</v>
      </c>
      <c r="G7502" s="20" t="str">
        <f>IFERROR(__xludf.DUMMYFUNCTION("""COMPUTED_VALUE"""),"Uncle Sams Cider (11/12/2021) 02")</f>
        <v>Uncle Sams Cider (11/12/2021) 02</v>
      </c>
      <c r="H7502" s="19"/>
    </row>
    <row r="7503">
      <c r="A7503" s="9"/>
      <c r="B7503" s="15"/>
      <c r="C7503" s="9">
        <f>IFERROR(__xludf.DUMMYFUNCTION("""COMPUTED_VALUE"""),44526.3597343055)</f>
        <v>44526.35973</v>
      </c>
      <c r="D7503" s="15">
        <f>IFERROR(__xludf.DUMMYFUNCTION("""COMPUTED_VALUE"""),1.045)</f>
        <v>1.045</v>
      </c>
      <c r="E7503" s="16">
        <f>IFERROR(__xludf.DUMMYFUNCTION("""COMPUTED_VALUE"""),65.0)</f>
        <v>65</v>
      </c>
      <c r="F7503" s="19" t="str">
        <f>IFERROR(__xludf.DUMMYFUNCTION("""COMPUTED_VALUE"""),"BLACK")</f>
        <v>BLACK</v>
      </c>
      <c r="G7503" s="20" t="str">
        <f>IFERROR(__xludf.DUMMYFUNCTION("""COMPUTED_VALUE"""),"Uncle Sams Cider (11/12/2021) 02")</f>
        <v>Uncle Sams Cider (11/12/2021) 02</v>
      </c>
      <c r="H7503" s="19"/>
    </row>
    <row r="7504">
      <c r="A7504" s="9"/>
      <c r="B7504" s="15"/>
      <c r="C7504" s="9">
        <f>IFERROR(__xludf.DUMMYFUNCTION("""COMPUTED_VALUE"""),44526.3493141898)</f>
        <v>44526.34931</v>
      </c>
      <c r="D7504" s="15">
        <f>IFERROR(__xludf.DUMMYFUNCTION("""COMPUTED_VALUE"""),1.045)</f>
        <v>1.045</v>
      </c>
      <c r="E7504" s="16">
        <f>IFERROR(__xludf.DUMMYFUNCTION("""COMPUTED_VALUE"""),65.0)</f>
        <v>65</v>
      </c>
      <c r="F7504" s="19" t="str">
        <f>IFERROR(__xludf.DUMMYFUNCTION("""COMPUTED_VALUE"""),"BLACK")</f>
        <v>BLACK</v>
      </c>
      <c r="G7504" s="20" t="str">
        <f>IFERROR(__xludf.DUMMYFUNCTION("""COMPUTED_VALUE"""),"Uncle Sams Cider (11/12/2021) 02")</f>
        <v>Uncle Sams Cider (11/12/2021) 02</v>
      </c>
      <c r="H7504" s="19"/>
    </row>
    <row r="7505">
      <c r="A7505" s="9"/>
      <c r="B7505" s="15"/>
      <c r="C7505" s="9">
        <f>IFERROR(__xludf.DUMMYFUNCTION("""COMPUTED_VALUE"""),44526.3388914004)</f>
        <v>44526.33889</v>
      </c>
      <c r="D7505" s="15">
        <f>IFERROR(__xludf.DUMMYFUNCTION("""COMPUTED_VALUE"""),1.045)</f>
        <v>1.045</v>
      </c>
      <c r="E7505" s="16">
        <f>IFERROR(__xludf.DUMMYFUNCTION("""COMPUTED_VALUE"""),65.0)</f>
        <v>65</v>
      </c>
      <c r="F7505" s="19" t="str">
        <f>IFERROR(__xludf.DUMMYFUNCTION("""COMPUTED_VALUE"""),"BLACK")</f>
        <v>BLACK</v>
      </c>
      <c r="G7505" s="20" t="str">
        <f>IFERROR(__xludf.DUMMYFUNCTION("""COMPUTED_VALUE"""),"Uncle Sams Cider (11/12/2021) 02")</f>
        <v>Uncle Sams Cider (11/12/2021) 02</v>
      </c>
      <c r="H7505" s="19"/>
    </row>
    <row r="7506">
      <c r="A7506" s="9"/>
      <c r="B7506" s="15"/>
      <c r="C7506" s="9">
        <f>IFERROR(__xludf.DUMMYFUNCTION("""COMPUTED_VALUE"""),44526.328456956)</f>
        <v>44526.32846</v>
      </c>
      <c r="D7506" s="15">
        <f>IFERROR(__xludf.DUMMYFUNCTION("""COMPUTED_VALUE"""),1.045)</f>
        <v>1.045</v>
      </c>
      <c r="E7506" s="16">
        <f>IFERROR(__xludf.DUMMYFUNCTION("""COMPUTED_VALUE"""),65.0)</f>
        <v>65</v>
      </c>
      <c r="F7506" s="19" t="str">
        <f>IFERROR(__xludf.DUMMYFUNCTION("""COMPUTED_VALUE"""),"BLACK")</f>
        <v>BLACK</v>
      </c>
      <c r="G7506" s="20" t="str">
        <f>IFERROR(__xludf.DUMMYFUNCTION("""COMPUTED_VALUE"""),"Uncle Sams Cider (11/12/2021) 02")</f>
        <v>Uncle Sams Cider (11/12/2021) 02</v>
      </c>
      <c r="H7506" s="19"/>
    </row>
    <row r="7507">
      <c r="A7507" s="9"/>
      <c r="B7507" s="15"/>
      <c r="C7507" s="9">
        <f>IFERROR(__xludf.DUMMYFUNCTION("""COMPUTED_VALUE"""),44526.3180353356)</f>
        <v>44526.31804</v>
      </c>
      <c r="D7507" s="15">
        <f>IFERROR(__xludf.DUMMYFUNCTION("""COMPUTED_VALUE"""),1.045)</f>
        <v>1.045</v>
      </c>
      <c r="E7507" s="16">
        <f>IFERROR(__xludf.DUMMYFUNCTION("""COMPUTED_VALUE"""),65.0)</f>
        <v>65</v>
      </c>
      <c r="F7507" s="19" t="str">
        <f>IFERROR(__xludf.DUMMYFUNCTION("""COMPUTED_VALUE"""),"BLACK")</f>
        <v>BLACK</v>
      </c>
      <c r="G7507" s="20" t="str">
        <f>IFERROR(__xludf.DUMMYFUNCTION("""COMPUTED_VALUE"""),"Uncle Sams Cider (11/12/2021) 02")</f>
        <v>Uncle Sams Cider (11/12/2021) 02</v>
      </c>
      <c r="H7507" s="19"/>
    </row>
    <row r="7508">
      <c r="A7508" s="9"/>
      <c r="B7508" s="15"/>
      <c r="C7508" s="9">
        <f>IFERROR(__xludf.DUMMYFUNCTION("""COMPUTED_VALUE"""),44526.3076139236)</f>
        <v>44526.30761</v>
      </c>
      <c r="D7508" s="15">
        <f>IFERROR(__xludf.DUMMYFUNCTION("""COMPUTED_VALUE"""),1.045)</f>
        <v>1.045</v>
      </c>
      <c r="E7508" s="16">
        <f>IFERROR(__xludf.DUMMYFUNCTION("""COMPUTED_VALUE"""),65.0)</f>
        <v>65</v>
      </c>
      <c r="F7508" s="19" t="str">
        <f>IFERROR(__xludf.DUMMYFUNCTION("""COMPUTED_VALUE"""),"BLACK")</f>
        <v>BLACK</v>
      </c>
      <c r="G7508" s="20" t="str">
        <f>IFERROR(__xludf.DUMMYFUNCTION("""COMPUTED_VALUE"""),"Uncle Sams Cider (11/12/2021) 02")</f>
        <v>Uncle Sams Cider (11/12/2021) 02</v>
      </c>
      <c r="H7508" s="19"/>
    </row>
    <row r="7509">
      <c r="A7509" s="9"/>
      <c r="B7509" s="15"/>
      <c r="C7509" s="9">
        <f>IFERROR(__xludf.DUMMYFUNCTION("""COMPUTED_VALUE"""),44526.2971946296)</f>
        <v>44526.29719</v>
      </c>
      <c r="D7509" s="15">
        <f>IFERROR(__xludf.DUMMYFUNCTION("""COMPUTED_VALUE"""),1.045)</f>
        <v>1.045</v>
      </c>
      <c r="E7509" s="16">
        <f>IFERROR(__xludf.DUMMYFUNCTION("""COMPUTED_VALUE"""),65.0)</f>
        <v>65</v>
      </c>
      <c r="F7509" s="19" t="str">
        <f>IFERROR(__xludf.DUMMYFUNCTION("""COMPUTED_VALUE"""),"BLACK")</f>
        <v>BLACK</v>
      </c>
      <c r="G7509" s="20" t="str">
        <f>IFERROR(__xludf.DUMMYFUNCTION("""COMPUTED_VALUE"""),"Uncle Sams Cider (11/12/2021) 02")</f>
        <v>Uncle Sams Cider (11/12/2021) 02</v>
      </c>
      <c r="H7509" s="19"/>
    </row>
    <row r="7510">
      <c r="A7510" s="9"/>
      <c r="B7510" s="15"/>
      <c r="C7510" s="9">
        <f>IFERROR(__xludf.DUMMYFUNCTION("""COMPUTED_VALUE"""),44526.2867735648)</f>
        <v>44526.28677</v>
      </c>
      <c r="D7510" s="15">
        <f>IFERROR(__xludf.DUMMYFUNCTION("""COMPUTED_VALUE"""),1.046)</f>
        <v>1.046</v>
      </c>
      <c r="E7510" s="16">
        <f>IFERROR(__xludf.DUMMYFUNCTION("""COMPUTED_VALUE"""),65.0)</f>
        <v>65</v>
      </c>
      <c r="F7510" s="19" t="str">
        <f>IFERROR(__xludf.DUMMYFUNCTION("""COMPUTED_VALUE"""),"BLACK")</f>
        <v>BLACK</v>
      </c>
      <c r="G7510" s="20" t="str">
        <f>IFERROR(__xludf.DUMMYFUNCTION("""COMPUTED_VALUE"""),"Uncle Sams Cider (11/12/2021) 02")</f>
        <v>Uncle Sams Cider (11/12/2021) 02</v>
      </c>
      <c r="H7510" s="19"/>
    </row>
    <row r="7511">
      <c r="A7511" s="9"/>
      <c r="B7511" s="15"/>
      <c r="C7511" s="9">
        <f>IFERROR(__xludf.DUMMYFUNCTION("""COMPUTED_VALUE"""),44526.2763526388)</f>
        <v>44526.27635</v>
      </c>
      <c r="D7511" s="15">
        <f>IFERROR(__xludf.DUMMYFUNCTION("""COMPUTED_VALUE"""),1.045)</f>
        <v>1.045</v>
      </c>
      <c r="E7511" s="16">
        <f>IFERROR(__xludf.DUMMYFUNCTION("""COMPUTED_VALUE"""),65.0)</f>
        <v>65</v>
      </c>
      <c r="F7511" s="19" t="str">
        <f>IFERROR(__xludf.DUMMYFUNCTION("""COMPUTED_VALUE"""),"BLACK")</f>
        <v>BLACK</v>
      </c>
      <c r="G7511" s="20" t="str">
        <f>IFERROR(__xludf.DUMMYFUNCTION("""COMPUTED_VALUE"""),"Uncle Sams Cider (11/12/2021) 02")</f>
        <v>Uncle Sams Cider (11/12/2021) 02</v>
      </c>
      <c r="H7511" s="19"/>
    </row>
    <row r="7512">
      <c r="A7512" s="9"/>
      <c r="B7512" s="15"/>
      <c r="C7512" s="9">
        <f>IFERROR(__xludf.DUMMYFUNCTION("""COMPUTED_VALUE"""),44526.2659305671)</f>
        <v>44526.26593</v>
      </c>
      <c r="D7512" s="15">
        <f>IFERROR(__xludf.DUMMYFUNCTION("""COMPUTED_VALUE"""),1.045)</f>
        <v>1.045</v>
      </c>
      <c r="E7512" s="16">
        <f>IFERROR(__xludf.DUMMYFUNCTION("""COMPUTED_VALUE"""),65.0)</f>
        <v>65</v>
      </c>
      <c r="F7512" s="19" t="str">
        <f>IFERROR(__xludf.DUMMYFUNCTION("""COMPUTED_VALUE"""),"BLACK")</f>
        <v>BLACK</v>
      </c>
      <c r="G7512" s="20" t="str">
        <f>IFERROR(__xludf.DUMMYFUNCTION("""COMPUTED_VALUE"""),"Uncle Sams Cider (11/12/2021) 02")</f>
        <v>Uncle Sams Cider (11/12/2021) 02</v>
      </c>
      <c r="H7512" s="19"/>
    </row>
    <row r="7513">
      <c r="A7513" s="9"/>
      <c r="B7513" s="15"/>
      <c r="C7513" s="9">
        <f>IFERROR(__xludf.DUMMYFUNCTION("""COMPUTED_VALUE"""),44526.2554962731)</f>
        <v>44526.2555</v>
      </c>
      <c r="D7513" s="15">
        <f>IFERROR(__xludf.DUMMYFUNCTION("""COMPUTED_VALUE"""),1.045)</f>
        <v>1.045</v>
      </c>
      <c r="E7513" s="16">
        <f>IFERROR(__xludf.DUMMYFUNCTION("""COMPUTED_VALUE"""),65.0)</f>
        <v>65</v>
      </c>
      <c r="F7513" s="19" t="str">
        <f>IFERROR(__xludf.DUMMYFUNCTION("""COMPUTED_VALUE"""),"BLACK")</f>
        <v>BLACK</v>
      </c>
      <c r="G7513" s="20" t="str">
        <f>IFERROR(__xludf.DUMMYFUNCTION("""COMPUTED_VALUE"""),"Uncle Sams Cider (11/12/2021) 02")</f>
        <v>Uncle Sams Cider (11/12/2021) 02</v>
      </c>
      <c r="H7513" s="19"/>
    </row>
    <row r="7514">
      <c r="A7514" s="9"/>
      <c r="B7514" s="15"/>
      <c r="C7514" s="9">
        <f>IFERROR(__xludf.DUMMYFUNCTION("""COMPUTED_VALUE"""),44526.2450757754)</f>
        <v>44526.24508</v>
      </c>
      <c r="D7514" s="15">
        <f>IFERROR(__xludf.DUMMYFUNCTION("""COMPUTED_VALUE"""),1.045)</f>
        <v>1.045</v>
      </c>
      <c r="E7514" s="16">
        <f>IFERROR(__xludf.DUMMYFUNCTION("""COMPUTED_VALUE"""),65.0)</f>
        <v>65</v>
      </c>
      <c r="F7514" s="19" t="str">
        <f>IFERROR(__xludf.DUMMYFUNCTION("""COMPUTED_VALUE"""),"BLACK")</f>
        <v>BLACK</v>
      </c>
      <c r="G7514" s="20" t="str">
        <f>IFERROR(__xludf.DUMMYFUNCTION("""COMPUTED_VALUE"""),"Uncle Sams Cider (11/12/2021) 02")</f>
        <v>Uncle Sams Cider (11/12/2021) 02</v>
      </c>
      <c r="H7514" s="19"/>
    </row>
    <row r="7515">
      <c r="A7515" s="9"/>
      <c r="B7515" s="15"/>
      <c r="C7515" s="9">
        <f>IFERROR(__xludf.DUMMYFUNCTION("""COMPUTED_VALUE"""),44526.2346419907)</f>
        <v>44526.23464</v>
      </c>
      <c r="D7515" s="15">
        <f>IFERROR(__xludf.DUMMYFUNCTION("""COMPUTED_VALUE"""),1.046)</f>
        <v>1.046</v>
      </c>
      <c r="E7515" s="16">
        <f>IFERROR(__xludf.DUMMYFUNCTION("""COMPUTED_VALUE"""),65.0)</f>
        <v>65</v>
      </c>
      <c r="F7515" s="19" t="str">
        <f>IFERROR(__xludf.DUMMYFUNCTION("""COMPUTED_VALUE"""),"BLACK")</f>
        <v>BLACK</v>
      </c>
      <c r="G7515" s="20" t="str">
        <f>IFERROR(__xludf.DUMMYFUNCTION("""COMPUTED_VALUE"""),"Uncle Sams Cider (11/12/2021) 02")</f>
        <v>Uncle Sams Cider (11/12/2021) 02</v>
      </c>
      <c r="H7515" s="19"/>
    </row>
    <row r="7516">
      <c r="A7516" s="9"/>
      <c r="B7516" s="15"/>
      <c r="C7516" s="9">
        <f>IFERROR(__xludf.DUMMYFUNCTION("""COMPUTED_VALUE"""),44526.2242210648)</f>
        <v>44526.22422</v>
      </c>
      <c r="D7516" s="15">
        <f>IFERROR(__xludf.DUMMYFUNCTION("""COMPUTED_VALUE"""),1.046)</f>
        <v>1.046</v>
      </c>
      <c r="E7516" s="16">
        <f>IFERROR(__xludf.DUMMYFUNCTION("""COMPUTED_VALUE"""),65.0)</f>
        <v>65</v>
      </c>
      <c r="F7516" s="19" t="str">
        <f>IFERROR(__xludf.DUMMYFUNCTION("""COMPUTED_VALUE"""),"BLACK")</f>
        <v>BLACK</v>
      </c>
      <c r="G7516" s="20" t="str">
        <f>IFERROR(__xludf.DUMMYFUNCTION("""COMPUTED_VALUE"""),"Uncle Sams Cider (11/12/2021) 02")</f>
        <v>Uncle Sams Cider (11/12/2021) 02</v>
      </c>
      <c r="H7516" s="19"/>
    </row>
    <row r="7517">
      <c r="A7517" s="9"/>
      <c r="B7517" s="15"/>
      <c r="C7517" s="9">
        <f>IFERROR(__xludf.DUMMYFUNCTION("""COMPUTED_VALUE"""),44526.2137985763)</f>
        <v>44526.2138</v>
      </c>
      <c r="D7517" s="15">
        <f>IFERROR(__xludf.DUMMYFUNCTION("""COMPUTED_VALUE"""),1.045)</f>
        <v>1.045</v>
      </c>
      <c r="E7517" s="16">
        <f>IFERROR(__xludf.DUMMYFUNCTION("""COMPUTED_VALUE"""),65.0)</f>
        <v>65</v>
      </c>
      <c r="F7517" s="19" t="str">
        <f>IFERROR(__xludf.DUMMYFUNCTION("""COMPUTED_VALUE"""),"BLACK")</f>
        <v>BLACK</v>
      </c>
      <c r="G7517" s="20" t="str">
        <f>IFERROR(__xludf.DUMMYFUNCTION("""COMPUTED_VALUE"""),"Uncle Sams Cider (11/12/2021) 02")</f>
        <v>Uncle Sams Cider (11/12/2021) 02</v>
      </c>
      <c r="H7517" s="19"/>
    </row>
    <row r="7518">
      <c r="A7518" s="9"/>
      <c r="B7518" s="15"/>
      <c r="C7518" s="9">
        <f>IFERROR(__xludf.DUMMYFUNCTION("""COMPUTED_VALUE"""),44526.2033771874)</f>
        <v>44526.20338</v>
      </c>
      <c r="D7518" s="15">
        <f>IFERROR(__xludf.DUMMYFUNCTION("""COMPUTED_VALUE"""),1.045)</f>
        <v>1.045</v>
      </c>
      <c r="E7518" s="16">
        <f>IFERROR(__xludf.DUMMYFUNCTION("""COMPUTED_VALUE"""),65.0)</f>
        <v>65</v>
      </c>
      <c r="F7518" s="19" t="str">
        <f>IFERROR(__xludf.DUMMYFUNCTION("""COMPUTED_VALUE"""),"BLACK")</f>
        <v>BLACK</v>
      </c>
      <c r="G7518" s="20" t="str">
        <f>IFERROR(__xludf.DUMMYFUNCTION("""COMPUTED_VALUE"""),"Uncle Sams Cider (11/12/2021) 02")</f>
        <v>Uncle Sams Cider (11/12/2021) 02</v>
      </c>
      <c r="H7518" s="19"/>
    </row>
    <row r="7519">
      <c r="A7519" s="9"/>
      <c r="B7519" s="15"/>
      <c r="C7519" s="9">
        <f>IFERROR(__xludf.DUMMYFUNCTION("""COMPUTED_VALUE"""),44526.1929526504)</f>
        <v>44526.19295</v>
      </c>
      <c r="D7519" s="15">
        <f>IFERROR(__xludf.DUMMYFUNCTION("""COMPUTED_VALUE"""),1.046)</f>
        <v>1.046</v>
      </c>
      <c r="E7519" s="16">
        <f>IFERROR(__xludf.DUMMYFUNCTION("""COMPUTED_VALUE"""),65.0)</f>
        <v>65</v>
      </c>
      <c r="F7519" s="19" t="str">
        <f>IFERROR(__xludf.DUMMYFUNCTION("""COMPUTED_VALUE"""),"BLACK")</f>
        <v>BLACK</v>
      </c>
      <c r="G7519" s="20" t="str">
        <f>IFERROR(__xludf.DUMMYFUNCTION("""COMPUTED_VALUE"""),"Uncle Sams Cider (11/12/2021) 02")</f>
        <v>Uncle Sams Cider (11/12/2021) 02</v>
      </c>
      <c r="H7519" s="19"/>
    </row>
    <row r="7520">
      <c r="A7520" s="9"/>
      <c r="B7520" s="15"/>
      <c r="C7520" s="9">
        <f>IFERROR(__xludf.DUMMYFUNCTION("""COMPUTED_VALUE"""),44526.1825326388)</f>
        <v>44526.18253</v>
      </c>
      <c r="D7520" s="15">
        <f>IFERROR(__xludf.DUMMYFUNCTION("""COMPUTED_VALUE"""),1.046)</f>
        <v>1.046</v>
      </c>
      <c r="E7520" s="16">
        <f>IFERROR(__xludf.DUMMYFUNCTION("""COMPUTED_VALUE"""),65.0)</f>
        <v>65</v>
      </c>
      <c r="F7520" s="19" t="str">
        <f>IFERROR(__xludf.DUMMYFUNCTION("""COMPUTED_VALUE"""),"BLACK")</f>
        <v>BLACK</v>
      </c>
      <c r="G7520" s="20" t="str">
        <f>IFERROR(__xludf.DUMMYFUNCTION("""COMPUTED_VALUE"""),"Uncle Sams Cider (11/12/2021) 02")</f>
        <v>Uncle Sams Cider (11/12/2021) 02</v>
      </c>
      <c r="H7520" s="19"/>
    </row>
    <row r="7521">
      <c r="A7521" s="9"/>
      <c r="B7521" s="15"/>
      <c r="C7521" s="9">
        <f>IFERROR(__xludf.DUMMYFUNCTION("""COMPUTED_VALUE"""),44526.1721110416)</f>
        <v>44526.17211</v>
      </c>
      <c r="D7521" s="15">
        <f>IFERROR(__xludf.DUMMYFUNCTION("""COMPUTED_VALUE"""),1.046)</f>
        <v>1.046</v>
      </c>
      <c r="E7521" s="16">
        <f>IFERROR(__xludf.DUMMYFUNCTION("""COMPUTED_VALUE"""),65.0)</f>
        <v>65</v>
      </c>
      <c r="F7521" s="19" t="str">
        <f>IFERROR(__xludf.DUMMYFUNCTION("""COMPUTED_VALUE"""),"BLACK")</f>
        <v>BLACK</v>
      </c>
      <c r="G7521" s="20" t="str">
        <f>IFERROR(__xludf.DUMMYFUNCTION("""COMPUTED_VALUE"""),"Uncle Sams Cider (11/12/2021) 02")</f>
        <v>Uncle Sams Cider (11/12/2021) 02</v>
      </c>
      <c r="H7521" s="19"/>
    </row>
    <row r="7522">
      <c r="A7522" s="9"/>
      <c r="B7522" s="15"/>
      <c r="C7522" s="9">
        <f>IFERROR(__xludf.DUMMYFUNCTION("""COMPUTED_VALUE"""),44526.1616763425)</f>
        <v>44526.16168</v>
      </c>
      <c r="D7522" s="15">
        <f>IFERROR(__xludf.DUMMYFUNCTION("""COMPUTED_VALUE"""),1.045)</f>
        <v>1.045</v>
      </c>
      <c r="E7522" s="16">
        <f>IFERROR(__xludf.DUMMYFUNCTION("""COMPUTED_VALUE"""),65.0)</f>
        <v>65</v>
      </c>
      <c r="F7522" s="19" t="str">
        <f>IFERROR(__xludf.DUMMYFUNCTION("""COMPUTED_VALUE"""),"BLACK")</f>
        <v>BLACK</v>
      </c>
      <c r="G7522" s="20" t="str">
        <f>IFERROR(__xludf.DUMMYFUNCTION("""COMPUTED_VALUE"""),"Uncle Sams Cider (11/12/2021) 02")</f>
        <v>Uncle Sams Cider (11/12/2021) 02</v>
      </c>
      <c r="H7522" s="19"/>
    </row>
    <row r="7523">
      <c r="A7523" s="9"/>
      <c r="B7523" s="15"/>
      <c r="C7523" s="9">
        <f>IFERROR(__xludf.DUMMYFUNCTION("""COMPUTED_VALUE"""),44526.1512547916)</f>
        <v>44526.15125</v>
      </c>
      <c r="D7523" s="15">
        <f>IFERROR(__xludf.DUMMYFUNCTION("""COMPUTED_VALUE"""),1.046)</f>
        <v>1.046</v>
      </c>
      <c r="E7523" s="16">
        <f>IFERROR(__xludf.DUMMYFUNCTION("""COMPUTED_VALUE"""),65.0)</f>
        <v>65</v>
      </c>
      <c r="F7523" s="19" t="str">
        <f>IFERROR(__xludf.DUMMYFUNCTION("""COMPUTED_VALUE"""),"BLACK")</f>
        <v>BLACK</v>
      </c>
      <c r="G7523" s="20" t="str">
        <f>IFERROR(__xludf.DUMMYFUNCTION("""COMPUTED_VALUE"""),"Uncle Sams Cider (11/12/2021) 02")</f>
        <v>Uncle Sams Cider (11/12/2021) 02</v>
      </c>
      <c r="H7523" s="19"/>
    </row>
    <row r="7524">
      <c r="A7524" s="9"/>
      <c r="B7524" s="15"/>
      <c r="C7524" s="9">
        <f>IFERROR(__xludf.DUMMYFUNCTION("""COMPUTED_VALUE"""),44526.1408345486)</f>
        <v>44526.14083</v>
      </c>
      <c r="D7524" s="15">
        <f>IFERROR(__xludf.DUMMYFUNCTION("""COMPUTED_VALUE"""),1.045)</f>
        <v>1.045</v>
      </c>
      <c r="E7524" s="16">
        <f>IFERROR(__xludf.DUMMYFUNCTION("""COMPUTED_VALUE"""),65.0)</f>
        <v>65</v>
      </c>
      <c r="F7524" s="19" t="str">
        <f>IFERROR(__xludf.DUMMYFUNCTION("""COMPUTED_VALUE"""),"BLACK")</f>
        <v>BLACK</v>
      </c>
      <c r="G7524" s="20" t="str">
        <f>IFERROR(__xludf.DUMMYFUNCTION("""COMPUTED_VALUE"""),"Uncle Sams Cider (11/12/2021) 02")</f>
        <v>Uncle Sams Cider (11/12/2021) 02</v>
      </c>
      <c r="H7524" s="19"/>
    </row>
    <row r="7525">
      <c r="A7525" s="9"/>
      <c r="B7525" s="15"/>
      <c r="C7525" s="9">
        <f>IFERROR(__xludf.DUMMYFUNCTION("""COMPUTED_VALUE"""),44526.1304151157)</f>
        <v>44526.13042</v>
      </c>
      <c r="D7525" s="15">
        <f>IFERROR(__xludf.DUMMYFUNCTION("""COMPUTED_VALUE"""),1.046)</f>
        <v>1.046</v>
      </c>
      <c r="E7525" s="16">
        <f>IFERROR(__xludf.DUMMYFUNCTION("""COMPUTED_VALUE"""),65.0)</f>
        <v>65</v>
      </c>
      <c r="F7525" s="19" t="str">
        <f>IFERROR(__xludf.DUMMYFUNCTION("""COMPUTED_VALUE"""),"BLACK")</f>
        <v>BLACK</v>
      </c>
      <c r="G7525" s="20" t="str">
        <f>IFERROR(__xludf.DUMMYFUNCTION("""COMPUTED_VALUE"""),"Uncle Sams Cider (11/12/2021) 02")</f>
        <v>Uncle Sams Cider (11/12/2021) 02</v>
      </c>
      <c r="H7525" s="19"/>
    </row>
    <row r="7526">
      <c r="A7526" s="9"/>
      <c r="B7526" s="15"/>
      <c r="C7526" s="9">
        <f>IFERROR(__xludf.DUMMYFUNCTION("""COMPUTED_VALUE"""),44526.1199937384)</f>
        <v>44526.11999</v>
      </c>
      <c r="D7526" s="15">
        <f>IFERROR(__xludf.DUMMYFUNCTION("""COMPUTED_VALUE"""),1.046)</f>
        <v>1.046</v>
      </c>
      <c r="E7526" s="16">
        <f>IFERROR(__xludf.DUMMYFUNCTION("""COMPUTED_VALUE"""),65.0)</f>
        <v>65</v>
      </c>
      <c r="F7526" s="19" t="str">
        <f>IFERROR(__xludf.DUMMYFUNCTION("""COMPUTED_VALUE"""),"BLACK")</f>
        <v>BLACK</v>
      </c>
      <c r="G7526" s="20" t="str">
        <f>IFERROR(__xludf.DUMMYFUNCTION("""COMPUTED_VALUE"""),"Uncle Sams Cider (11/12/2021) 02")</f>
        <v>Uncle Sams Cider (11/12/2021) 02</v>
      </c>
      <c r="H7526" s="19"/>
    </row>
    <row r="7527">
      <c r="A7527" s="9"/>
      <c r="B7527" s="15"/>
      <c r="C7527" s="9">
        <f>IFERROR(__xludf.DUMMYFUNCTION("""COMPUTED_VALUE"""),44526.1095490046)</f>
        <v>44526.10955</v>
      </c>
      <c r="D7527" s="15">
        <f>IFERROR(__xludf.DUMMYFUNCTION("""COMPUTED_VALUE"""),1.046)</f>
        <v>1.046</v>
      </c>
      <c r="E7527" s="16">
        <f>IFERROR(__xludf.DUMMYFUNCTION("""COMPUTED_VALUE"""),65.0)</f>
        <v>65</v>
      </c>
      <c r="F7527" s="19" t="str">
        <f>IFERROR(__xludf.DUMMYFUNCTION("""COMPUTED_VALUE"""),"BLACK")</f>
        <v>BLACK</v>
      </c>
      <c r="G7527" s="20" t="str">
        <f>IFERROR(__xludf.DUMMYFUNCTION("""COMPUTED_VALUE"""),"Uncle Sams Cider (11/12/2021) 02")</f>
        <v>Uncle Sams Cider (11/12/2021) 02</v>
      </c>
      <c r="H7527" s="19"/>
    </row>
    <row r="7528">
      <c r="A7528" s="9"/>
      <c r="B7528" s="15"/>
      <c r="C7528" s="9">
        <f>IFERROR(__xludf.DUMMYFUNCTION("""COMPUTED_VALUE"""),44526.0991274537)</f>
        <v>44526.09913</v>
      </c>
      <c r="D7528" s="15">
        <f>IFERROR(__xludf.DUMMYFUNCTION("""COMPUTED_VALUE"""),1.046)</f>
        <v>1.046</v>
      </c>
      <c r="E7528" s="16">
        <f>IFERROR(__xludf.DUMMYFUNCTION("""COMPUTED_VALUE"""),65.0)</f>
        <v>65</v>
      </c>
      <c r="F7528" s="19" t="str">
        <f>IFERROR(__xludf.DUMMYFUNCTION("""COMPUTED_VALUE"""),"BLACK")</f>
        <v>BLACK</v>
      </c>
      <c r="G7528" s="20" t="str">
        <f>IFERROR(__xludf.DUMMYFUNCTION("""COMPUTED_VALUE"""),"Uncle Sams Cider (11/12/2021) 02")</f>
        <v>Uncle Sams Cider (11/12/2021) 02</v>
      </c>
      <c r="H7528" s="19"/>
    </row>
    <row r="7529">
      <c r="A7529" s="9"/>
      <c r="B7529" s="15"/>
      <c r="C7529" s="9">
        <f>IFERROR(__xludf.DUMMYFUNCTION("""COMPUTED_VALUE"""),44526.0887061342)</f>
        <v>44526.08871</v>
      </c>
      <c r="D7529" s="15">
        <f>IFERROR(__xludf.DUMMYFUNCTION("""COMPUTED_VALUE"""),1.046)</f>
        <v>1.046</v>
      </c>
      <c r="E7529" s="16">
        <f>IFERROR(__xludf.DUMMYFUNCTION("""COMPUTED_VALUE"""),65.0)</f>
        <v>65</v>
      </c>
      <c r="F7529" s="19" t="str">
        <f>IFERROR(__xludf.DUMMYFUNCTION("""COMPUTED_VALUE"""),"BLACK")</f>
        <v>BLACK</v>
      </c>
      <c r="G7529" s="20" t="str">
        <f>IFERROR(__xludf.DUMMYFUNCTION("""COMPUTED_VALUE"""),"Uncle Sams Cider (11/12/2021) 02")</f>
        <v>Uncle Sams Cider (11/12/2021) 02</v>
      </c>
      <c r="H7529" s="19"/>
    </row>
    <row r="7530">
      <c r="A7530" s="9"/>
      <c r="B7530" s="15"/>
      <c r="C7530" s="9">
        <f>IFERROR(__xludf.DUMMYFUNCTION("""COMPUTED_VALUE"""),44526.0782842708)</f>
        <v>44526.07828</v>
      </c>
      <c r="D7530" s="15">
        <f>IFERROR(__xludf.DUMMYFUNCTION("""COMPUTED_VALUE"""),1.046)</f>
        <v>1.046</v>
      </c>
      <c r="E7530" s="16">
        <f>IFERROR(__xludf.DUMMYFUNCTION("""COMPUTED_VALUE"""),65.0)</f>
        <v>65</v>
      </c>
      <c r="F7530" s="19" t="str">
        <f>IFERROR(__xludf.DUMMYFUNCTION("""COMPUTED_VALUE"""),"BLACK")</f>
        <v>BLACK</v>
      </c>
      <c r="G7530" s="20" t="str">
        <f>IFERROR(__xludf.DUMMYFUNCTION("""COMPUTED_VALUE"""),"Uncle Sams Cider (11/12/2021) 02")</f>
        <v>Uncle Sams Cider (11/12/2021) 02</v>
      </c>
      <c r="H7530" s="19"/>
    </row>
    <row r="7531">
      <c r="A7531" s="9"/>
      <c r="B7531" s="15"/>
      <c r="C7531" s="9">
        <f>IFERROR(__xludf.DUMMYFUNCTION("""COMPUTED_VALUE"""),44526.0678625347)</f>
        <v>44526.06786</v>
      </c>
      <c r="D7531" s="15">
        <f>IFERROR(__xludf.DUMMYFUNCTION("""COMPUTED_VALUE"""),1.046)</f>
        <v>1.046</v>
      </c>
      <c r="E7531" s="16">
        <f>IFERROR(__xludf.DUMMYFUNCTION("""COMPUTED_VALUE"""),65.0)</f>
        <v>65</v>
      </c>
      <c r="F7531" s="19" t="str">
        <f>IFERROR(__xludf.DUMMYFUNCTION("""COMPUTED_VALUE"""),"BLACK")</f>
        <v>BLACK</v>
      </c>
      <c r="G7531" s="20" t="str">
        <f>IFERROR(__xludf.DUMMYFUNCTION("""COMPUTED_VALUE"""),"Uncle Sams Cider (11/12/2021) 02")</f>
        <v>Uncle Sams Cider (11/12/2021) 02</v>
      </c>
      <c r="H7531" s="19"/>
    </row>
    <row r="7532">
      <c r="A7532" s="9"/>
      <c r="B7532" s="15"/>
      <c r="C7532" s="9">
        <f>IFERROR(__xludf.DUMMYFUNCTION("""COMPUTED_VALUE"""),44526.057442905)</f>
        <v>44526.05744</v>
      </c>
      <c r="D7532" s="15">
        <f>IFERROR(__xludf.DUMMYFUNCTION("""COMPUTED_VALUE"""),1.046)</f>
        <v>1.046</v>
      </c>
      <c r="E7532" s="16">
        <f>IFERROR(__xludf.DUMMYFUNCTION("""COMPUTED_VALUE"""),65.0)</f>
        <v>65</v>
      </c>
      <c r="F7532" s="19" t="str">
        <f>IFERROR(__xludf.DUMMYFUNCTION("""COMPUTED_VALUE"""),"BLACK")</f>
        <v>BLACK</v>
      </c>
      <c r="G7532" s="20" t="str">
        <f>IFERROR(__xludf.DUMMYFUNCTION("""COMPUTED_VALUE"""),"Uncle Sams Cider (11/12/2021) 02")</f>
        <v>Uncle Sams Cider (11/12/2021) 02</v>
      </c>
      <c r="H7532" s="19"/>
    </row>
    <row r="7533">
      <c r="A7533" s="9"/>
      <c r="B7533" s="15"/>
      <c r="C7533" s="9">
        <f>IFERROR(__xludf.DUMMYFUNCTION("""COMPUTED_VALUE"""),44526.0470226967)</f>
        <v>44526.04702</v>
      </c>
      <c r="D7533" s="15">
        <f>IFERROR(__xludf.DUMMYFUNCTION("""COMPUTED_VALUE"""),1.046)</f>
        <v>1.046</v>
      </c>
      <c r="E7533" s="16">
        <f>IFERROR(__xludf.DUMMYFUNCTION("""COMPUTED_VALUE"""),65.0)</f>
        <v>65</v>
      </c>
      <c r="F7533" s="19" t="str">
        <f>IFERROR(__xludf.DUMMYFUNCTION("""COMPUTED_VALUE"""),"BLACK")</f>
        <v>BLACK</v>
      </c>
      <c r="G7533" s="20" t="str">
        <f>IFERROR(__xludf.DUMMYFUNCTION("""COMPUTED_VALUE"""),"Uncle Sams Cider (11/12/2021) 02")</f>
        <v>Uncle Sams Cider (11/12/2021) 02</v>
      </c>
      <c r="H7533" s="19"/>
    </row>
    <row r="7534">
      <c r="A7534" s="9"/>
      <c r="B7534" s="15"/>
      <c r="C7534" s="9">
        <f>IFERROR(__xludf.DUMMYFUNCTION("""COMPUTED_VALUE"""),44526.0365879629)</f>
        <v>44526.03659</v>
      </c>
      <c r="D7534" s="15">
        <f>IFERROR(__xludf.DUMMYFUNCTION("""COMPUTED_VALUE"""),1.046)</f>
        <v>1.046</v>
      </c>
      <c r="E7534" s="16">
        <f>IFERROR(__xludf.DUMMYFUNCTION("""COMPUTED_VALUE"""),65.0)</f>
        <v>65</v>
      </c>
      <c r="F7534" s="19" t="str">
        <f>IFERROR(__xludf.DUMMYFUNCTION("""COMPUTED_VALUE"""),"BLACK")</f>
        <v>BLACK</v>
      </c>
      <c r="G7534" s="20" t="str">
        <f>IFERROR(__xludf.DUMMYFUNCTION("""COMPUTED_VALUE"""),"Uncle Sams Cider (11/12/2021) 02")</f>
        <v>Uncle Sams Cider (11/12/2021) 02</v>
      </c>
      <c r="H7534" s="19"/>
    </row>
    <row r="7535">
      <c r="A7535" s="9"/>
      <c r="B7535" s="15"/>
      <c r="C7535" s="9">
        <f>IFERROR(__xludf.DUMMYFUNCTION("""COMPUTED_VALUE"""),44526.0261680555)</f>
        <v>44526.02617</v>
      </c>
      <c r="D7535" s="15">
        <f>IFERROR(__xludf.DUMMYFUNCTION("""COMPUTED_VALUE"""),1.046)</f>
        <v>1.046</v>
      </c>
      <c r="E7535" s="16">
        <f>IFERROR(__xludf.DUMMYFUNCTION("""COMPUTED_VALUE"""),65.0)</f>
        <v>65</v>
      </c>
      <c r="F7535" s="19" t="str">
        <f>IFERROR(__xludf.DUMMYFUNCTION("""COMPUTED_VALUE"""),"BLACK")</f>
        <v>BLACK</v>
      </c>
      <c r="G7535" s="20" t="str">
        <f>IFERROR(__xludf.DUMMYFUNCTION("""COMPUTED_VALUE"""),"Uncle Sams Cider (11/12/2021) 02")</f>
        <v>Uncle Sams Cider (11/12/2021) 02</v>
      </c>
      <c r="H7535" s="19"/>
    </row>
    <row r="7536">
      <c r="A7536" s="9"/>
      <c r="B7536" s="15"/>
      <c r="C7536" s="9">
        <f>IFERROR(__xludf.DUMMYFUNCTION("""COMPUTED_VALUE"""),44526.0157347685)</f>
        <v>44526.01573</v>
      </c>
      <c r="D7536" s="15">
        <f>IFERROR(__xludf.DUMMYFUNCTION("""COMPUTED_VALUE"""),1.046)</f>
        <v>1.046</v>
      </c>
      <c r="E7536" s="16">
        <f>IFERROR(__xludf.DUMMYFUNCTION("""COMPUTED_VALUE"""),65.0)</f>
        <v>65</v>
      </c>
      <c r="F7536" s="19" t="str">
        <f>IFERROR(__xludf.DUMMYFUNCTION("""COMPUTED_VALUE"""),"BLACK")</f>
        <v>BLACK</v>
      </c>
      <c r="G7536" s="20" t="str">
        <f>IFERROR(__xludf.DUMMYFUNCTION("""COMPUTED_VALUE"""),"Uncle Sams Cider (11/12/2021) 02")</f>
        <v>Uncle Sams Cider (11/12/2021) 02</v>
      </c>
      <c r="H7536" s="19"/>
    </row>
    <row r="7537">
      <c r="A7537" s="9"/>
      <c r="B7537" s="15"/>
      <c r="C7537" s="9">
        <f>IFERROR(__xludf.DUMMYFUNCTION("""COMPUTED_VALUE"""),44526.0053115162)</f>
        <v>44526.00531</v>
      </c>
      <c r="D7537" s="15">
        <f>IFERROR(__xludf.DUMMYFUNCTION("""COMPUTED_VALUE"""),1.046)</f>
        <v>1.046</v>
      </c>
      <c r="E7537" s="16">
        <f>IFERROR(__xludf.DUMMYFUNCTION("""COMPUTED_VALUE"""),65.0)</f>
        <v>65</v>
      </c>
      <c r="F7537" s="19" t="str">
        <f>IFERROR(__xludf.DUMMYFUNCTION("""COMPUTED_VALUE"""),"BLACK")</f>
        <v>BLACK</v>
      </c>
      <c r="G7537" s="20" t="str">
        <f>IFERROR(__xludf.DUMMYFUNCTION("""COMPUTED_VALUE"""),"Uncle Sams Cider (11/12/2021) 02")</f>
        <v>Uncle Sams Cider (11/12/2021) 02</v>
      </c>
      <c r="H7537" s="19"/>
    </row>
    <row r="7538">
      <c r="A7538" s="9"/>
      <c r="B7538" s="15"/>
      <c r="C7538" s="9">
        <f>IFERROR(__xludf.DUMMYFUNCTION("""COMPUTED_VALUE"""),44525.9948668749)</f>
        <v>44525.99487</v>
      </c>
      <c r="D7538" s="15">
        <f>IFERROR(__xludf.DUMMYFUNCTION("""COMPUTED_VALUE"""),1.046)</f>
        <v>1.046</v>
      </c>
      <c r="E7538" s="16">
        <f>IFERROR(__xludf.DUMMYFUNCTION("""COMPUTED_VALUE"""),65.0)</f>
        <v>65</v>
      </c>
      <c r="F7538" s="19" t="str">
        <f>IFERROR(__xludf.DUMMYFUNCTION("""COMPUTED_VALUE"""),"BLACK")</f>
        <v>BLACK</v>
      </c>
      <c r="G7538" s="20" t="str">
        <f>IFERROR(__xludf.DUMMYFUNCTION("""COMPUTED_VALUE"""),"Uncle Sams Cider (11/12/2021) 02")</f>
        <v>Uncle Sams Cider (11/12/2021) 02</v>
      </c>
      <c r="H7538" s="19"/>
    </row>
    <row r="7539">
      <c r="A7539" s="9"/>
      <c r="B7539" s="15"/>
      <c r="C7539" s="9">
        <f>IFERROR(__xludf.DUMMYFUNCTION("""COMPUTED_VALUE"""),44525.9844334953)</f>
        <v>44525.98443</v>
      </c>
      <c r="D7539" s="15">
        <f>IFERROR(__xludf.DUMMYFUNCTION("""COMPUTED_VALUE"""),1.046)</f>
        <v>1.046</v>
      </c>
      <c r="E7539" s="16">
        <f>IFERROR(__xludf.DUMMYFUNCTION("""COMPUTED_VALUE"""),65.0)</f>
        <v>65</v>
      </c>
      <c r="F7539" s="19" t="str">
        <f>IFERROR(__xludf.DUMMYFUNCTION("""COMPUTED_VALUE"""),"BLACK")</f>
        <v>BLACK</v>
      </c>
      <c r="G7539" s="20" t="str">
        <f>IFERROR(__xludf.DUMMYFUNCTION("""COMPUTED_VALUE"""),"Uncle Sams Cider (11/12/2021) 02")</f>
        <v>Uncle Sams Cider (11/12/2021) 02</v>
      </c>
      <c r="H7539" s="19"/>
    </row>
    <row r="7540">
      <c r="A7540" s="9"/>
      <c r="B7540" s="15"/>
      <c r="C7540" s="9">
        <f>IFERROR(__xludf.DUMMYFUNCTION("""COMPUTED_VALUE"""),44525.9739889814)</f>
        <v>44525.97399</v>
      </c>
      <c r="D7540" s="15">
        <f>IFERROR(__xludf.DUMMYFUNCTION("""COMPUTED_VALUE"""),1.046)</f>
        <v>1.046</v>
      </c>
      <c r="E7540" s="16">
        <f>IFERROR(__xludf.DUMMYFUNCTION("""COMPUTED_VALUE"""),66.0)</f>
        <v>66</v>
      </c>
      <c r="F7540" s="19" t="str">
        <f>IFERROR(__xludf.DUMMYFUNCTION("""COMPUTED_VALUE"""),"BLACK")</f>
        <v>BLACK</v>
      </c>
      <c r="G7540" s="20" t="str">
        <f>IFERROR(__xludf.DUMMYFUNCTION("""COMPUTED_VALUE"""),"Uncle Sams Cider (11/12/2021) 02")</f>
        <v>Uncle Sams Cider (11/12/2021) 02</v>
      </c>
      <c r="H7540" s="19"/>
    </row>
    <row r="7541">
      <c r="A7541" s="9"/>
      <c r="B7541" s="15"/>
      <c r="C7541" s="9">
        <f>IFERROR(__xludf.DUMMYFUNCTION("""COMPUTED_VALUE"""),44525.9635687384)</f>
        <v>44525.96357</v>
      </c>
      <c r="D7541" s="15">
        <f>IFERROR(__xludf.DUMMYFUNCTION("""COMPUTED_VALUE"""),1.046)</f>
        <v>1.046</v>
      </c>
      <c r="E7541" s="16">
        <f>IFERROR(__xludf.DUMMYFUNCTION("""COMPUTED_VALUE"""),65.0)</f>
        <v>65</v>
      </c>
      <c r="F7541" s="19" t="str">
        <f>IFERROR(__xludf.DUMMYFUNCTION("""COMPUTED_VALUE"""),"BLACK")</f>
        <v>BLACK</v>
      </c>
      <c r="G7541" s="20" t="str">
        <f>IFERROR(__xludf.DUMMYFUNCTION("""COMPUTED_VALUE"""),"Uncle Sams Cider (11/12/2021) 02")</f>
        <v>Uncle Sams Cider (11/12/2021) 02</v>
      </c>
      <c r="H7541" s="19"/>
    </row>
    <row r="7542">
      <c r="A7542" s="9"/>
      <c r="B7542" s="15"/>
      <c r="C7542" s="9">
        <f>IFERROR(__xludf.DUMMYFUNCTION("""COMPUTED_VALUE"""),44525.9531473958)</f>
        <v>44525.95315</v>
      </c>
      <c r="D7542" s="15">
        <f>IFERROR(__xludf.DUMMYFUNCTION("""COMPUTED_VALUE"""),1.046)</f>
        <v>1.046</v>
      </c>
      <c r="E7542" s="16">
        <f>IFERROR(__xludf.DUMMYFUNCTION("""COMPUTED_VALUE"""),65.0)</f>
        <v>65</v>
      </c>
      <c r="F7542" s="19" t="str">
        <f>IFERROR(__xludf.DUMMYFUNCTION("""COMPUTED_VALUE"""),"BLACK")</f>
        <v>BLACK</v>
      </c>
      <c r="G7542" s="20" t="str">
        <f>IFERROR(__xludf.DUMMYFUNCTION("""COMPUTED_VALUE"""),"Uncle Sams Cider (11/12/2021) 02")</f>
        <v>Uncle Sams Cider (11/12/2021) 02</v>
      </c>
      <c r="H7542" s="19"/>
    </row>
    <row r="7543">
      <c r="A7543" s="9"/>
      <c r="B7543" s="15"/>
      <c r="C7543" s="9">
        <f>IFERROR(__xludf.DUMMYFUNCTION("""COMPUTED_VALUE"""),44525.9427259722)</f>
        <v>44525.94273</v>
      </c>
      <c r="D7543" s="15">
        <f>IFERROR(__xludf.DUMMYFUNCTION("""COMPUTED_VALUE"""),1.046)</f>
        <v>1.046</v>
      </c>
      <c r="E7543" s="16">
        <f>IFERROR(__xludf.DUMMYFUNCTION("""COMPUTED_VALUE"""),65.0)</f>
        <v>65</v>
      </c>
      <c r="F7543" s="19" t="str">
        <f>IFERROR(__xludf.DUMMYFUNCTION("""COMPUTED_VALUE"""),"BLACK")</f>
        <v>BLACK</v>
      </c>
      <c r="G7543" s="20" t="str">
        <f>IFERROR(__xludf.DUMMYFUNCTION("""COMPUTED_VALUE"""),"Uncle Sams Cider (11/12/2021) 02")</f>
        <v>Uncle Sams Cider (11/12/2021) 02</v>
      </c>
      <c r="H7543" s="19"/>
    </row>
    <row r="7544">
      <c r="A7544" s="9"/>
      <c r="B7544" s="15"/>
      <c r="C7544" s="9">
        <f>IFERROR(__xludf.DUMMYFUNCTION("""COMPUTED_VALUE"""),44525.9323051157)</f>
        <v>44525.93231</v>
      </c>
      <c r="D7544" s="15">
        <f>IFERROR(__xludf.DUMMYFUNCTION("""COMPUTED_VALUE"""),1.046)</f>
        <v>1.046</v>
      </c>
      <c r="E7544" s="16">
        <f>IFERROR(__xludf.DUMMYFUNCTION("""COMPUTED_VALUE"""),65.0)</f>
        <v>65</v>
      </c>
      <c r="F7544" s="19" t="str">
        <f>IFERROR(__xludf.DUMMYFUNCTION("""COMPUTED_VALUE"""),"BLACK")</f>
        <v>BLACK</v>
      </c>
      <c r="G7544" s="20" t="str">
        <f>IFERROR(__xludf.DUMMYFUNCTION("""COMPUTED_VALUE"""),"Uncle Sams Cider (11/12/2021) 02")</f>
        <v>Uncle Sams Cider (11/12/2021) 02</v>
      </c>
      <c r="H7544" s="19"/>
    </row>
    <row r="7545">
      <c r="A7545" s="9"/>
      <c r="B7545" s="15"/>
      <c r="C7545" s="9">
        <f>IFERROR(__xludf.DUMMYFUNCTION("""COMPUTED_VALUE"""),44525.9218830555)</f>
        <v>44525.92188</v>
      </c>
      <c r="D7545" s="15">
        <f>IFERROR(__xludf.DUMMYFUNCTION("""COMPUTED_VALUE"""),1.046)</f>
        <v>1.046</v>
      </c>
      <c r="E7545" s="16">
        <f>IFERROR(__xludf.DUMMYFUNCTION("""COMPUTED_VALUE"""),65.0)</f>
        <v>65</v>
      </c>
      <c r="F7545" s="19" t="str">
        <f>IFERROR(__xludf.DUMMYFUNCTION("""COMPUTED_VALUE"""),"BLACK")</f>
        <v>BLACK</v>
      </c>
      <c r="G7545" s="20" t="str">
        <f>IFERROR(__xludf.DUMMYFUNCTION("""COMPUTED_VALUE"""),"Uncle Sams Cider (11/12/2021) 02")</f>
        <v>Uncle Sams Cider (11/12/2021) 02</v>
      </c>
      <c r="H7545" s="19"/>
    </row>
    <row r="7546">
      <c r="A7546" s="9"/>
      <c r="B7546" s="15"/>
      <c r="C7546" s="9">
        <f>IFERROR(__xludf.DUMMYFUNCTION("""COMPUTED_VALUE"""),44525.9114638425)</f>
        <v>44525.91146</v>
      </c>
      <c r="D7546" s="15">
        <f>IFERROR(__xludf.DUMMYFUNCTION("""COMPUTED_VALUE"""),1.046)</f>
        <v>1.046</v>
      </c>
      <c r="E7546" s="16">
        <f>IFERROR(__xludf.DUMMYFUNCTION("""COMPUTED_VALUE"""),65.0)</f>
        <v>65</v>
      </c>
      <c r="F7546" s="19" t="str">
        <f>IFERROR(__xludf.DUMMYFUNCTION("""COMPUTED_VALUE"""),"BLACK")</f>
        <v>BLACK</v>
      </c>
      <c r="G7546" s="20" t="str">
        <f>IFERROR(__xludf.DUMMYFUNCTION("""COMPUTED_VALUE"""),"Uncle Sams Cider (11/12/2021) 02")</f>
        <v>Uncle Sams Cider (11/12/2021) 02</v>
      </c>
      <c r="H7546" s="19"/>
    </row>
    <row r="7547">
      <c r="A7547" s="9"/>
      <c r="B7547" s="15"/>
      <c r="C7547" s="9">
        <f>IFERROR(__xludf.DUMMYFUNCTION("""COMPUTED_VALUE"""),44525.9010182523)</f>
        <v>44525.90102</v>
      </c>
      <c r="D7547" s="15">
        <f>IFERROR(__xludf.DUMMYFUNCTION("""COMPUTED_VALUE"""),1.046)</f>
        <v>1.046</v>
      </c>
      <c r="E7547" s="16">
        <f>IFERROR(__xludf.DUMMYFUNCTION("""COMPUTED_VALUE"""),65.0)</f>
        <v>65</v>
      </c>
      <c r="F7547" s="19" t="str">
        <f>IFERROR(__xludf.DUMMYFUNCTION("""COMPUTED_VALUE"""),"BLACK")</f>
        <v>BLACK</v>
      </c>
      <c r="G7547" s="20" t="str">
        <f>IFERROR(__xludf.DUMMYFUNCTION("""COMPUTED_VALUE"""),"Uncle Sams Cider (11/12/2021) 02")</f>
        <v>Uncle Sams Cider (11/12/2021) 02</v>
      </c>
      <c r="H7547" s="19"/>
    </row>
    <row r="7548">
      <c r="A7548" s="9"/>
      <c r="B7548" s="15"/>
      <c r="C7548" s="9">
        <f>IFERROR(__xludf.DUMMYFUNCTION("""COMPUTED_VALUE"""),44525.890597118)</f>
        <v>44525.8906</v>
      </c>
      <c r="D7548" s="15">
        <f>IFERROR(__xludf.DUMMYFUNCTION("""COMPUTED_VALUE"""),1.046)</f>
        <v>1.046</v>
      </c>
      <c r="E7548" s="16">
        <f>IFERROR(__xludf.DUMMYFUNCTION("""COMPUTED_VALUE"""),66.0)</f>
        <v>66</v>
      </c>
      <c r="F7548" s="19" t="str">
        <f>IFERROR(__xludf.DUMMYFUNCTION("""COMPUTED_VALUE"""),"BLACK")</f>
        <v>BLACK</v>
      </c>
      <c r="G7548" s="20" t="str">
        <f>IFERROR(__xludf.DUMMYFUNCTION("""COMPUTED_VALUE"""),"Uncle Sams Cider (11/12/2021) 02")</f>
        <v>Uncle Sams Cider (11/12/2021) 02</v>
      </c>
      <c r="H7548" s="19"/>
    </row>
    <row r="7549">
      <c r="A7549" s="9"/>
      <c r="B7549" s="15"/>
      <c r="C7549" s="9">
        <f>IFERROR(__xludf.DUMMYFUNCTION("""COMPUTED_VALUE"""),44525.8801765277)</f>
        <v>44525.88018</v>
      </c>
      <c r="D7549" s="15">
        <f>IFERROR(__xludf.DUMMYFUNCTION("""COMPUTED_VALUE"""),1.046)</f>
        <v>1.046</v>
      </c>
      <c r="E7549" s="16">
        <f>IFERROR(__xludf.DUMMYFUNCTION("""COMPUTED_VALUE"""),65.0)</f>
        <v>65</v>
      </c>
      <c r="F7549" s="19" t="str">
        <f>IFERROR(__xludf.DUMMYFUNCTION("""COMPUTED_VALUE"""),"BLACK")</f>
        <v>BLACK</v>
      </c>
      <c r="G7549" s="20" t="str">
        <f>IFERROR(__xludf.DUMMYFUNCTION("""COMPUTED_VALUE"""),"Uncle Sams Cider (11/12/2021) 02")</f>
        <v>Uncle Sams Cider (11/12/2021) 02</v>
      </c>
      <c r="H7549" s="19"/>
    </row>
    <row r="7550">
      <c r="A7550" s="9"/>
      <c r="B7550" s="15"/>
      <c r="C7550" s="9">
        <f>IFERROR(__xludf.DUMMYFUNCTION("""COMPUTED_VALUE"""),44525.8697549768)</f>
        <v>44525.86975</v>
      </c>
      <c r="D7550" s="15">
        <f>IFERROR(__xludf.DUMMYFUNCTION("""COMPUTED_VALUE"""),1.046)</f>
        <v>1.046</v>
      </c>
      <c r="E7550" s="16">
        <f>IFERROR(__xludf.DUMMYFUNCTION("""COMPUTED_VALUE"""),66.0)</f>
        <v>66</v>
      </c>
      <c r="F7550" s="19" t="str">
        <f>IFERROR(__xludf.DUMMYFUNCTION("""COMPUTED_VALUE"""),"BLACK")</f>
        <v>BLACK</v>
      </c>
      <c r="G7550" s="20" t="str">
        <f>IFERROR(__xludf.DUMMYFUNCTION("""COMPUTED_VALUE"""),"Uncle Sams Cider (11/12/2021) 02")</f>
        <v>Uncle Sams Cider (11/12/2021) 02</v>
      </c>
      <c r="H7550" s="19"/>
    </row>
    <row r="7551">
      <c r="A7551" s="9"/>
      <c r="B7551" s="15"/>
      <c r="C7551" s="9">
        <f>IFERROR(__xludf.DUMMYFUNCTION("""COMPUTED_VALUE"""),44525.8593219791)</f>
        <v>44525.85932</v>
      </c>
      <c r="D7551" s="15">
        <f>IFERROR(__xludf.DUMMYFUNCTION("""COMPUTED_VALUE"""),1.046)</f>
        <v>1.046</v>
      </c>
      <c r="E7551" s="16">
        <f>IFERROR(__xludf.DUMMYFUNCTION("""COMPUTED_VALUE"""),65.0)</f>
        <v>65</v>
      </c>
      <c r="F7551" s="19" t="str">
        <f>IFERROR(__xludf.DUMMYFUNCTION("""COMPUTED_VALUE"""),"BLACK")</f>
        <v>BLACK</v>
      </c>
      <c r="G7551" s="20" t="str">
        <f>IFERROR(__xludf.DUMMYFUNCTION("""COMPUTED_VALUE"""),"Uncle Sams Cider (11/12/2021) 02")</f>
        <v>Uncle Sams Cider (11/12/2021) 02</v>
      </c>
      <c r="H7551" s="19"/>
    </row>
    <row r="7552">
      <c r="A7552" s="9"/>
      <c r="B7552" s="15"/>
      <c r="C7552" s="9">
        <f>IFERROR(__xludf.DUMMYFUNCTION("""COMPUTED_VALUE"""),44525.848900243)</f>
        <v>44525.8489</v>
      </c>
      <c r="D7552" s="15">
        <f>IFERROR(__xludf.DUMMYFUNCTION("""COMPUTED_VALUE"""),1.046)</f>
        <v>1.046</v>
      </c>
      <c r="E7552" s="16">
        <f>IFERROR(__xludf.DUMMYFUNCTION("""COMPUTED_VALUE"""),65.0)</f>
        <v>65</v>
      </c>
      <c r="F7552" s="19" t="str">
        <f>IFERROR(__xludf.DUMMYFUNCTION("""COMPUTED_VALUE"""),"BLACK")</f>
        <v>BLACK</v>
      </c>
      <c r="G7552" s="20" t="str">
        <f>IFERROR(__xludf.DUMMYFUNCTION("""COMPUTED_VALUE"""),"Uncle Sams Cider (11/12/2021) 02")</f>
        <v>Uncle Sams Cider (11/12/2021) 02</v>
      </c>
      <c r="H7552" s="19"/>
    </row>
    <row r="7553">
      <c r="A7553" s="9"/>
      <c r="B7553" s="15"/>
      <c r="C7553" s="9">
        <f>IFERROR(__xludf.DUMMYFUNCTION("""COMPUTED_VALUE"""),44525.83848)</f>
        <v>44525.83848</v>
      </c>
      <c r="D7553" s="15">
        <f>IFERROR(__xludf.DUMMYFUNCTION("""COMPUTED_VALUE"""),1.046)</f>
        <v>1.046</v>
      </c>
      <c r="E7553" s="16">
        <f>IFERROR(__xludf.DUMMYFUNCTION("""COMPUTED_VALUE"""),66.0)</f>
        <v>66</v>
      </c>
      <c r="F7553" s="19" t="str">
        <f>IFERROR(__xludf.DUMMYFUNCTION("""COMPUTED_VALUE"""),"BLACK")</f>
        <v>BLACK</v>
      </c>
      <c r="G7553" s="20" t="str">
        <f>IFERROR(__xludf.DUMMYFUNCTION("""COMPUTED_VALUE"""),"Uncle Sams Cider (11/12/2021) 02")</f>
        <v>Uncle Sams Cider (11/12/2021) 02</v>
      </c>
      <c r="H7553" s="19"/>
    </row>
    <row r="7554">
      <c r="A7554" s="9"/>
      <c r="B7554" s="15"/>
      <c r="C7554" s="9">
        <f>IFERROR(__xludf.DUMMYFUNCTION("""COMPUTED_VALUE"""),44525.8280612847)</f>
        <v>44525.82806</v>
      </c>
      <c r="D7554" s="15">
        <f>IFERROR(__xludf.DUMMYFUNCTION("""COMPUTED_VALUE"""),1.046)</f>
        <v>1.046</v>
      </c>
      <c r="E7554" s="16">
        <f>IFERROR(__xludf.DUMMYFUNCTION("""COMPUTED_VALUE"""),65.0)</f>
        <v>65</v>
      </c>
      <c r="F7554" s="19" t="str">
        <f>IFERROR(__xludf.DUMMYFUNCTION("""COMPUTED_VALUE"""),"BLACK")</f>
        <v>BLACK</v>
      </c>
      <c r="G7554" s="20" t="str">
        <f>IFERROR(__xludf.DUMMYFUNCTION("""COMPUTED_VALUE"""),"Uncle Sams Cider (11/12/2021) 02")</f>
        <v>Uncle Sams Cider (11/12/2021) 02</v>
      </c>
      <c r="H7554" s="19"/>
    </row>
    <row r="7555">
      <c r="A7555" s="9"/>
      <c r="B7555" s="15"/>
      <c r="C7555" s="9">
        <f>IFERROR(__xludf.DUMMYFUNCTION("""COMPUTED_VALUE"""),44525.8176403819)</f>
        <v>44525.81764</v>
      </c>
      <c r="D7555" s="15">
        <f>IFERROR(__xludf.DUMMYFUNCTION("""COMPUTED_VALUE"""),1.047)</f>
        <v>1.047</v>
      </c>
      <c r="E7555" s="16">
        <f>IFERROR(__xludf.DUMMYFUNCTION("""COMPUTED_VALUE"""),66.0)</f>
        <v>66</v>
      </c>
      <c r="F7555" s="19" t="str">
        <f>IFERROR(__xludf.DUMMYFUNCTION("""COMPUTED_VALUE"""),"BLACK")</f>
        <v>BLACK</v>
      </c>
      <c r="G7555" s="20" t="str">
        <f>IFERROR(__xludf.DUMMYFUNCTION("""COMPUTED_VALUE"""),"Uncle Sams Cider (11/12/2021) 02")</f>
        <v>Uncle Sams Cider (11/12/2021) 02</v>
      </c>
      <c r="H7555" s="19"/>
    </row>
    <row r="7556">
      <c r="A7556" s="9"/>
      <c r="B7556" s="15"/>
      <c r="C7556" s="9">
        <f>IFERROR(__xludf.DUMMYFUNCTION("""COMPUTED_VALUE"""),44525.807220625)</f>
        <v>44525.80722</v>
      </c>
      <c r="D7556" s="15">
        <f>IFERROR(__xludf.DUMMYFUNCTION("""COMPUTED_VALUE"""),1.046)</f>
        <v>1.046</v>
      </c>
      <c r="E7556" s="16">
        <f>IFERROR(__xludf.DUMMYFUNCTION("""COMPUTED_VALUE"""),66.0)</f>
        <v>66</v>
      </c>
      <c r="F7556" s="19" t="str">
        <f>IFERROR(__xludf.DUMMYFUNCTION("""COMPUTED_VALUE"""),"BLACK")</f>
        <v>BLACK</v>
      </c>
      <c r="G7556" s="20" t="str">
        <f>IFERROR(__xludf.DUMMYFUNCTION("""COMPUTED_VALUE"""),"Uncle Sams Cider (11/12/2021) 02")</f>
        <v>Uncle Sams Cider (11/12/2021) 02</v>
      </c>
      <c r="H7556" s="19"/>
    </row>
    <row r="7557">
      <c r="A7557" s="9"/>
      <c r="B7557" s="15"/>
      <c r="C7557" s="9">
        <f>IFERROR(__xludf.DUMMYFUNCTION("""COMPUTED_VALUE"""),44525.7967998148)</f>
        <v>44525.7968</v>
      </c>
      <c r="D7557" s="15">
        <f>IFERROR(__xludf.DUMMYFUNCTION("""COMPUTED_VALUE"""),1.046)</f>
        <v>1.046</v>
      </c>
      <c r="E7557" s="16">
        <f>IFERROR(__xludf.DUMMYFUNCTION("""COMPUTED_VALUE"""),65.0)</f>
        <v>65</v>
      </c>
      <c r="F7557" s="19" t="str">
        <f>IFERROR(__xludf.DUMMYFUNCTION("""COMPUTED_VALUE"""),"BLACK")</f>
        <v>BLACK</v>
      </c>
      <c r="G7557" s="20" t="str">
        <f>IFERROR(__xludf.DUMMYFUNCTION("""COMPUTED_VALUE"""),"Uncle Sams Cider (11/12/2021) 02")</f>
        <v>Uncle Sams Cider (11/12/2021) 02</v>
      </c>
      <c r="H7557" s="19"/>
    </row>
    <row r="7558">
      <c r="A7558" s="9"/>
      <c r="B7558" s="15"/>
      <c r="C7558" s="9">
        <f>IFERROR(__xludf.DUMMYFUNCTION("""COMPUTED_VALUE"""),44525.7863793749)</f>
        <v>44525.78638</v>
      </c>
      <c r="D7558" s="15">
        <f>IFERROR(__xludf.DUMMYFUNCTION("""COMPUTED_VALUE"""),1.046)</f>
        <v>1.046</v>
      </c>
      <c r="E7558" s="16">
        <f>IFERROR(__xludf.DUMMYFUNCTION("""COMPUTED_VALUE"""),66.0)</f>
        <v>66</v>
      </c>
      <c r="F7558" s="19" t="str">
        <f>IFERROR(__xludf.DUMMYFUNCTION("""COMPUTED_VALUE"""),"BLACK")</f>
        <v>BLACK</v>
      </c>
      <c r="G7558" s="20" t="str">
        <f>IFERROR(__xludf.DUMMYFUNCTION("""COMPUTED_VALUE"""),"Uncle Sams Cider (11/12/2021) 02")</f>
        <v>Uncle Sams Cider (11/12/2021) 02</v>
      </c>
      <c r="H7558" s="19"/>
    </row>
    <row r="7559">
      <c r="A7559" s="9"/>
      <c r="B7559" s="15"/>
      <c r="C7559" s="9">
        <f>IFERROR(__xludf.DUMMYFUNCTION("""COMPUTED_VALUE"""),44525.7759572337)</f>
        <v>44525.77596</v>
      </c>
      <c r="D7559" s="15">
        <f>IFERROR(__xludf.DUMMYFUNCTION("""COMPUTED_VALUE"""),1.046)</f>
        <v>1.046</v>
      </c>
      <c r="E7559" s="16">
        <f>IFERROR(__xludf.DUMMYFUNCTION("""COMPUTED_VALUE"""),65.0)</f>
        <v>65</v>
      </c>
      <c r="F7559" s="19" t="str">
        <f>IFERROR(__xludf.DUMMYFUNCTION("""COMPUTED_VALUE"""),"BLACK")</f>
        <v>BLACK</v>
      </c>
      <c r="G7559" s="20" t="str">
        <f>IFERROR(__xludf.DUMMYFUNCTION("""COMPUTED_VALUE"""),"Uncle Sams Cider (11/12/2021) 02")</f>
        <v>Uncle Sams Cider (11/12/2021) 02</v>
      </c>
      <c r="H7559" s="19"/>
    </row>
    <row r="7560">
      <c r="A7560" s="9"/>
      <c r="B7560" s="15"/>
      <c r="C7560" s="9">
        <f>IFERROR(__xludf.DUMMYFUNCTION("""COMPUTED_VALUE"""),44525.76552603)</f>
        <v>44525.76553</v>
      </c>
      <c r="D7560" s="15">
        <f>IFERROR(__xludf.DUMMYFUNCTION("""COMPUTED_VALUE"""),1.046)</f>
        <v>1.046</v>
      </c>
      <c r="E7560" s="16">
        <f>IFERROR(__xludf.DUMMYFUNCTION("""COMPUTED_VALUE"""),66.0)</f>
        <v>66</v>
      </c>
      <c r="F7560" s="19" t="str">
        <f>IFERROR(__xludf.DUMMYFUNCTION("""COMPUTED_VALUE"""),"BLACK")</f>
        <v>BLACK</v>
      </c>
      <c r="G7560" s="20" t="str">
        <f>IFERROR(__xludf.DUMMYFUNCTION("""COMPUTED_VALUE"""),"Uncle Sams Cider (11/12/2021) 02")</f>
        <v>Uncle Sams Cider (11/12/2021) 02</v>
      </c>
      <c r="H7560" s="19"/>
    </row>
    <row r="7561">
      <c r="A7561" s="9"/>
      <c r="B7561" s="15"/>
      <c r="C7561" s="9">
        <f>IFERROR(__xludf.DUMMYFUNCTION("""COMPUTED_VALUE"""),44525.7550953356)</f>
        <v>44525.7551</v>
      </c>
      <c r="D7561" s="15">
        <f>IFERROR(__xludf.DUMMYFUNCTION("""COMPUTED_VALUE"""),1.046)</f>
        <v>1.046</v>
      </c>
      <c r="E7561" s="16">
        <f>IFERROR(__xludf.DUMMYFUNCTION("""COMPUTED_VALUE"""),66.0)</f>
        <v>66</v>
      </c>
      <c r="F7561" s="19" t="str">
        <f>IFERROR(__xludf.DUMMYFUNCTION("""COMPUTED_VALUE"""),"BLACK")</f>
        <v>BLACK</v>
      </c>
      <c r="G7561" s="20" t="str">
        <f>IFERROR(__xludf.DUMMYFUNCTION("""COMPUTED_VALUE"""),"Uncle Sams Cider (11/12/2021) 02")</f>
        <v>Uncle Sams Cider (11/12/2021) 02</v>
      </c>
      <c r="H7561" s="19"/>
    </row>
    <row r="7562">
      <c r="A7562" s="9"/>
      <c r="B7562" s="15"/>
      <c r="C7562" s="9">
        <f>IFERROR(__xludf.DUMMYFUNCTION("""COMPUTED_VALUE"""),44525.744673449)</f>
        <v>44525.74467</v>
      </c>
      <c r="D7562" s="15">
        <f>IFERROR(__xludf.DUMMYFUNCTION("""COMPUTED_VALUE"""),1.047)</f>
        <v>1.047</v>
      </c>
      <c r="E7562" s="16">
        <f>IFERROR(__xludf.DUMMYFUNCTION("""COMPUTED_VALUE"""),66.0)</f>
        <v>66</v>
      </c>
      <c r="F7562" s="19" t="str">
        <f>IFERROR(__xludf.DUMMYFUNCTION("""COMPUTED_VALUE"""),"BLACK")</f>
        <v>BLACK</v>
      </c>
      <c r="G7562" s="20" t="str">
        <f>IFERROR(__xludf.DUMMYFUNCTION("""COMPUTED_VALUE"""),"Uncle Sams Cider (11/12/2021) 02")</f>
        <v>Uncle Sams Cider (11/12/2021) 02</v>
      </c>
      <c r="H7562" s="19"/>
    </row>
    <row r="7563">
      <c r="A7563" s="9"/>
      <c r="B7563" s="15"/>
      <c r="C7563" s="9">
        <f>IFERROR(__xludf.DUMMYFUNCTION("""COMPUTED_VALUE"""),44525.7342493634)</f>
        <v>44525.73425</v>
      </c>
      <c r="D7563" s="15">
        <f>IFERROR(__xludf.DUMMYFUNCTION("""COMPUTED_VALUE"""),1.046)</f>
        <v>1.046</v>
      </c>
      <c r="E7563" s="16">
        <f>IFERROR(__xludf.DUMMYFUNCTION("""COMPUTED_VALUE"""),65.0)</f>
        <v>65</v>
      </c>
      <c r="F7563" s="19" t="str">
        <f>IFERROR(__xludf.DUMMYFUNCTION("""COMPUTED_VALUE"""),"BLACK")</f>
        <v>BLACK</v>
      </c>
      <c r="G7563" s="20" t="str">
        <f>IFERROR(__xludf.DUMMYFUNCTION("""COMPUTED_VALUE"""),"Uncle Sams Cider (11/12/2021) 02")</f>
        <v>Uncle Sams Cider (11/12/2021) 02</v>
      </c>
      <c r="H7563" s="19"/>
    </row>
    <row r="7564">
      <c r="A7564" s="9"/>
      <c r="B7564" s="15"/>
      <c r="C7564" s="9">
        <f>IFERROR(__xludf.DUMMYFUNCTION("""COMPUTED_VALUE"""),44525.7238169328)</f>
        <v>44525.72382</v>
      </c>
      <c r="D7564" s="15">
        <f>IFERROR(__xludf.DUMMYFUNCTION("""COMPUTED_VALUE"""),1.046)</f>
        <v>1.046</v>
      </c>
      <c r="E7564" s="16">
        <f>IFERROR(__xludf.DUMMYFUNCTION("""COMPUTED_VALUE"""),65.0)</f>
        <v>65</v>
      </c>
      <c r="F7564" s="19" t="str">
        <f>IFERROR(__xludf.DUMMYFUNCTION("""COMPUTED_VALUE"""),"BLACK")</f>
        <v>BLACK</v>
      </c>
      <c r="G7564" s="20" t="str">
        <f>IFERROR(__xludf.DUMMYFUNCTION("""COMPUTED_VALUE"""),"Uncle Sams Cider (11/12/2021) 02")</f>
        <v>Uncle Sams Cider (11/12/2021) 02</v>
      </c>
      <c r="H7564" s="19"/>
    </row>
    <row r="7565">
      <c r="A7565" s="9"/>
      <c r="B7565" s="15"/>
      <c r="C7565" s="9">
        <f>IFERROR(__xludf.DUMMYFUNCTION("""COMPUTED_VALUE"""),44525.713395405)</f>
        <v>44525.7134</v>
      </c>
      <c r="D7565" s="15">
        <f>IFERROR(__xludf.DUMMYFUNCTION("""COMPUTED_VALUE"""),1.047)</f>
        <v>1.047</v>
      </c>
      <c r="E7565" s="16">
        <f>IFERROR(__xludf.DUMMYFUNCTION("""COMPUTED_VALUE"""),66.0)</f>
        <v>66</v>
      </c>
      <c r="F7565" s="19" t="str">
        <f>IFERROR(__xludf.DUMMYFUNCTION("""COMPUTED_VALUE"""),"BLACK")</f>
        <v>BLACK</v>
      </c>
      <c r="G7565" s="20" t="str">
        <f>IFERROR(__xludf.DUMMYFUNCTION("""COMPUTED_VALUE"""),"Uncle Sams Cider (11/12/2021) 02")</f>
        <v>Uncle Sams Cider (11/12/2021) 02</v>
      </c>
      <c r="H7565" s="19"/>
    </row>
    <row r="7566">
      <c r="A7566" s="9"/>
      <c r="B7566" s="15"/>
      <c r="C7566" s="9">
        <f>IFERROR(__xludf.DUMMYFUNCTION("""COMPUTED_VALUE"""),44525.702974618)</f>
        <v>44525.70297</v>
      </c>
      <c r="D7566" s="15">
        <f>IFERROR(__xludf.DUMMYFUNCTION("""COMPUTED_VALUE"""),1.047)</f>
        <v>1.047</v>
      </c>
      <c r="E7566" s="16">
        <f>IFERROR(__xludf.DUMMYFUNCTION("""COMPUTED_VALUE"""),66.0)</f>
        <v>66</v>
      </c>
      <c r="F7566" s="19" t="str">
        <f>IFERROR(__xludf.DUMMYFUNCTION("""COMPUTED_VALUE"""),"BLACK")</f>
        <v>BLACK</v>
      </c>
      <c r="G7566" s="20" t="str">
        <f>IFERROR(__xludf.DUMMYFUNCTION("""COMPUTED_VALUE"""),"Uncle Sams Cider (11/12/2021) 02")</f>
        <v>Uncle Sams Cider (11/12/2021) 02</v>
      </c>
      <c r="H7566" s="19"/>
    </row>
    <row r="7567">
      <c r="A7567" s="9"/>
      <c r="B7567" s="15"/>
      <c r="C7567" s="9">
        <f>IFERROR(__xludf.DUMMYFUNCTION("""COMPUTED_VALUE"""),44525.6925424884)</f>
        <v>44525.69254</v>
      </c>
      <c r="D7567" s="15">
        <f>IFERROR(__xludf.DUMMYFUNCTION("""COMPUTED_VALUE"""),1.046)</f>
        <v>1.046</v>
      </c>
      <c r="E7567" s="16">
        <f>IFERROR(__xludf.DUMMYFUNCTION("""COMPUTED_VALUE"""),66.0)</f>
        <v>66</v>
      </c>
      <c r="F7567" s="19" t="str">
        <f>IFERROR(__xludf.DUMMYFUNCTION("""COMPUTED_VALUE"""),"BLACK")</f>
        <v>BLACK</v>
      </c>
      <c r="G7567" s="20" t="str">
        <f>IFERROR(__xludf.DUMMYFUNCTION("""COMPUTED_VALUE"""),"Uncle Sams Cider (11/12/2021) 02")</f>
        <v>Uncle Sams Cider (11/12/2021) 02</v>
      </c>
      <c r="H7567" s="19"/>
    </row>
    <row r="7568">
      <c r="A7568" s="9"/>
      <c r="B7568" s="15"/>
      <c r="C7568" s="9">
        <f>IFERROR(__xludf.DUMMYFUNCTION("""COMPUTED_VALUE"""),44525.6821215509)</f>
        <v>44525.68212</v>
      </c>
      <c r="D7568" s="15">
        <f>IFERROR(__xludf.DUMMYFUNCTION("""COMPUTED_VALUE"""),1.047)</f>
        <v>1.047</v>
      </c>
      <c r="E7568" s="16">
        <f>IFERROR(__xludf.DUMMYFUNCTION("""COMPUTED_VALUE"""),66.0)</f>
        <v>66</v>
      </c>
      <c r="F7568" s="19" t="str">
        <f>IFERROR(__xludf.DUMMYFUNCTION("""COMPUTED_VALUE"""),"BLACK")</f>
        <v>BLACK</v>
      </c>
      <c r="G7568" s="20" t="str">
        <f>IFERROR(__xludf.DUMMYFUNCTION("""COMPUTED_VALUE"""),"Uncle Sams Cider (11/12/2021) 02")</f>
        <v>Uncle Sams Cider (11/12/2021) 02</v>
      </c>
      <c r="H7568" s="19"/>
    </row>
    <row r="7569">
      <c r="A7569" s="9"/>
      <c r="B7569" s="15"/>
      <c r="C7569" s="9">
        <f>IFERROR(__xludf.DUMMYFUNCTION("""COMPUTED_VALUE"""),44525.6716779398)</f>
        <v>44525.67168</v>
      </c>
      <c r="D7569" s="15">
        <f>IFERROR(__xludf.DUMMYFUNCTION("""COMPUTED_VALUE"""),1.047)</f>
        <v>1.047</v>
      </c>
      <c r="E7569" s="16">
        <f>IFERROR(__xludf.DUMMYFUNCTION("""COMPUTED_VALUE"""),66.0)</f>
        <v>66</v>
      </c>
      <c r="F7569" s="19" t="str">
        <f>IFERROR(__xludf.DUMMYFUNCTION("""COMPUTED_VALUE"""),"BLACK")</f>
        <v>BLACK</v>
      </c>
      <c r="G7569" s="20" t="str">
        <f>IFERROR(__xludf.DUMMYFUNCTION("""COMPUTED_VALUE"""),"Uncle Sams Cider (11/12/2021) 02")</f>
        <v>Uncle Sams Cider (11/12/2021) 02</v>
      </c>
      <c r="H7569" s="19"/>
    </row>
    <row r="7570">
      <c r="A7570" s="9"/>
      <c r="B7570" s="15"/>
      <c r="C7570" s="9">
        <f>IFERROR(__xludf.DUMMYFUNCTION("""COMPUTED_VALUE"""),44525.6612582407)</f>
        <v>44525.66126</v>
      </c>
      <c r="D7570" s="15">
        <f>IFERROR(__xludf.DUMMYFUNCTION("""COMPUTED_VALUE"""),1.047)</f>
        <v>1.047</v>
      </c>
      <c r="E7570" s="16">
        <f>IFERROR(__xludf.DUMMYFUNCTION("""COMPUTED_VALUE"""),66.0)</f>
        <v>66</v>
      </c>
      <c r="F7570" s="19" t="str">
        <f>IFERROR(__xludf.DUMMYFUNCTION("""COMPUTED_VALUE"""),"BLACK")</f>
        <v>BLACK</v>
      </c>
      <c r="G7570" s="20" t="str">
        <f>IFERROR(__xludf.DUMMYFUNCTION("""COMPUTED_VALUE"""),"Uncle Sams Cider (11/12/2021) 02")</f>
        <v>Uncle Sams Cider (11/12/2021) 02</v>
      </c>
      <c r="H7570" s="19"/>
    </row>
    <row r="7571">
      <c r="A7571" s="9"/>
      <c r="B7571" s="15"/>
      <c r="C7571" s="9">
        <f>IFERROR(__xludf.DUMMYFUNCTION("""COMPUTED_VALUE"""),44525.6508374189)</f>
        <v>44525.65084</v>
      </c>
      <c r="D7571" s="15">
        <f>IFERROR(__xludf.DUMMYFUNCTION("""COMPUTED_VALUE"""),1.047)</f>
        <v>1.047</v>
      </c>
      <c r="E7571" s="16">
        <f>IFERROR(__xludf.DUMMYFUNCTION("""COMPUTED_VALUE"""),66.0)</f>
        <v>66</v>
      </c>
      <c r="F7571" s="19" t="str">
        <f>IFERROR(__xludf.DUMMYFUNCTION("""COMPUTED_VALUE"""),"BLACK")</f>
        <v>BLACK</v>
      </c>
      <c r="G7571" s="20" t="str">
        <f>IFERROR(__xludf.DUMMYFUNCTION("""COMPUTED_VALUE"""),"Uncle Sams Cider (11/12/2021) 02")</f>
        <v>Uncle Sams Cider (11/12/2021) 02</v>
      </c>
      <c r="H7571" s="19"/>
    </row>
    <row r="7572">
      <c r="A7572" s="9"/>
      <c r="B7572" s="15"/>
      <c r="C7572" s="9">
        <f>IFERROR(__xludf.DUMMYFUNCTION("""COMPUTED_VALUE"""),44525.6404049652)</f>
        <v>44525.6404</v>
      </c>
      <c r="D7572" s="15">
        <f>IFERROR(__xludf.DUMMYFUNCTION("""COMPUTED_VALUE"""),1.047)</f>
        <v>1.047</v>
      </c>
      <c r="E7572" s="16">
        <f>IFERROR(__xludf.DUMMYFUNCTION("""COMPUTED_VALUE"""),66.0)</f>
        <v>66</v>
      </c>
      <c r="F7572" s="19" t="str">
        <f>IFERROR(__xludf.DUMMYFUNCTION("""COMPUTED_VALUE"""),"BLACK")</f>
        <v>BLACK</v>
      </c>
      <c r="G7572" s="20" t="str">
        <f>IFERROR(__xludf.DUMMYFUNCTION("""COMPUTED_VALUE"""),"Uncle Sams Cider (11/12/2021) 02")</f>
        <v>Uncle Sams Cider (11/12/2021) 02</v>
      </c>
      <c r="H7572" s="19"/>
    </row>
    <row r="7573">
      <c r="A7573" s="9"/>
      <c r="B7573" s="15"/>
      <c r="C7573" s="9">
        <f>IFERROR(__xludf.DUMMYFUNCTION("""COMPUTED_VALUE"""),44525.6299840162)</f>
        <v>44525.62998</v>
      </c>
      <c r="D7573" s="15">
        <f>IFERROR(__xludf.DUMMYFUNCTION("""COMPUTED_VALUE"""),1.047)</f>
        <v>1.047</v>
      </c>
      <c r="E7573" s="16">
        <f>IFERROR(__xludf.DUMMYFUNCTION("""COMPUTED_VALUE"""),66.0)</f>
        <v>66</v>
      </c>
      <c r="F7573" s="19" t="str">
        <f>IFERROR(__xludf.DUMMYFUNCTION("""COMPUTED_VALUE"""),"BLACK")</f>
        <v>BLACK</v>
      </c>
      <c r="G7573" s="20" t="str">
        <f>IFERROR(__xludf.DUMMYFUNCTION("""COMPUTED_VALUE"""),"Uncle Sams Cider (11/12/2021) 02")</f>
        <v>Uncle Sams Cider (11/12/2021) 02</v>
      </c>
      <c r="H7573" s="19"/>
    </row>
    <row r="7574">
      <c r="A7574" s="9"/>
      <c r="B7574" s="15"/>
      <c r="C7574" s="9">
        <f>IFERROR(__xludf.DUMMYFUNCTION("""COMPUTED_VALUE"""),44525.6195624768)</f>
        <v>44525.61956</v>
      </c>
      <c r="D7574" s="15">
        <f>IFERROR(__xludf.DUMMYFUNCTION("""COMPUTED_VALUE"""),1.047)</f>
        <v>1.047</v>
      </c>
      <c r="E7574" s="16">
        <f>IFERROR(__xludf.DUMMYFUNCTION("""COMPUTED_VALUE"""),66.0)</f>
        <v>66</v>
      </c>
      <c r="F7574" s="19" t="str">
        <f>IFERROR(__xludf.DUMMYFUNCTION("""COMPUTED_VALUE"""),"BLACK")</f>
        <v>BLACK</v>
      </c>
      <c r="G7574" s="20" t="str">
        <f>IFERROR(__xludf.DUMMYFUNCTION("""COMPUTED_VALUE"""),"Uncle Sams Cider (11/12/2021) 02")</f>
        <v>Uncle Sams Cider (11/12/2021) 02</v>
      </c>
      <c r="H7574" s="19"/>
    </row>
    <row r="7575">
      <c r="A7575" s="9"/>
      <c r="B7575" s="15"/>
      <c r="C7575" s="9">
        <f>IFERROR(__xludf.DUMMYFUNCTION("""COMPUTED_VALUE"""),44525.6091435879)</f>
        <v>44525.60914</v>
      </c>
      <c r="D7575" s="15">
        <f>IFERROR(__xludf.DUMMYFUNCTION("""COMPUTED_VALUE"""),1.047)</f>
        <v>1.047</v>
      </c>
      <c r="E7575" s="16">
        <f>IFERROR(__xludf.DUMMYFUNCTION("""COMPUTED_VALUE"""),66.0)</f>
        <v>66</v>
      </c>
      <c r="F7575" s="19" t="str">
        <f>IFERROR(__xludf.DUMMYFUNCTION("""COMPUTED_VALUE"""),"BLACK")</f>
        <v>BLACK</v>
      </c>
      <c r="G7575" s="20" t="str">
        <f>IFERROR(__xludf.DUMMYFUNCTION("""COMPUTED_VALUE"""),"Uncle Sams Cider (11/12/2021) 02")</f>
        <v>Uncle Sams Cider (11/12/2021) 02</v>
      </c>
      <c r="H7575" s="19"/>
    </row>
    <row r="7576">
      <c r="A7576" s="9"/>
      <c r="B7576" s="15"/>
      <c r="C7576" s="9">
        <f>IFERROR(__xludf.DUMMYFUNCTION("""COMPUTED_VALUE"""),44525.5987224537)</f>
        <v>44525.59872</v>
      </c>
      <c r="D7576" s="15">
        <f>IFERROR(__xludf.DUMMYFUNCTION("""COMPUTED_VALUE"""),1.047)</f>
        <v>1.047</v>
      </c>
      <c r="E7576" s="16">
        <f>IFERROR(__xludf.DUMMYFUNCTION("""COMPUTED_VALUE"""),66.0)</f>
        <v>66</v>
      </c>
      <c r="F7576" s="19" t="str">
        <f>IFERROR(__xludf.DUMMYFUNCTION("""COMPUTED_VALUE"""),"BLACK")</f>
        <v>BLACK</v>
      </c>
      <c r="G7576" s="20" t="str">
        <f>IFERROR(__xludf.DUMMYFUNCTION("""COMPUTED_VALUE"""),"Uncle Sams Cider (11/12/2021) 02")</f>
        <v>Uncle Sams Cider (11/12/2021) 02</v>
      </c>
      <c r="H7576" s="19"/>
    </row>
    <row r="7577">
      <c r="A7577" s="9"/>
      <c r="B7577" s="15"/>
      <c r="C7577" s="9">
        <f>IFERROR(__xludf.DUMMYFUNCTION("""COMPUTED_VALUE"""),44525.5883013657)</f>
        <v>44525.5883</v>
      </c>
      <c r="D7577" s="15">
        <f>IFERROR(__xludf.DUMMYFUNCTION("""COMPUTED_VALUE"""),1.047)</f>
        <v>1.047</v>
      </c>
      <c r="E7577" s="16">
        <f>IFERROR(__xludf.DUMMYFUNCTION("""COMPUTED_VALUE"""),66.0)</f>
        <v>66</v>
      </c>
      <c r="F7577" s="19" t="str">
        <f>IFERROR(__xludf.DUMMYFUNCTION("""COMPUTED_VALUE"""),"BLACK")</f>
        <v>BLACK</v>
      </c>
      <c r="G7577" s="20" t="str">
        <f>IFERROR(__xludf.DUMMYFUNCTION("""COMPUTED_VALUE"""),"Uncle Sams Cider (11/12/2021) 02")</f>
        <v>Uncle Sams Cider (11/12/2021) 02</v>
      </c>
      <c r="H7577" s="19"/>
    </row>
    <row r="7578">
      <c r="A7578" s="9"/>
      <c r="B7578" s="15"/>
      <c r="C7578" s="9">
        <f>IFERROR(__xludf.DUMMYFUNCTION("""COMPUTED_VALUE"""),44525.577879456)</f>
        <v>44525.57788</v>
      </c>
      <c r="D7578" s="15">
        <f>IFERROR(__xludf.DUMMYFUNCTION("""COMPUTED_VALUE"""),1.047)</f>
        <v>1.047</v>
      </c>
      <c r="E7578" s="16">
        <f>IFERROR(__xludf.DUMMYFUNCTION("""COMPUTED_VALUE"""),66.0)</f>
        <v>66</v>
      </c>
      <c r="F7578" s="19" t="str">
        <f>IFERROR(__xludf.DUMMYFUNCTION("""COMPUTED_VALUE"""),"BLACK")</f>
        <v>BLACK</v>
      </c>
      <c r="G7578" s="20" t="str">
        <f>IFERROR(__xludf.DUMMYFUNCTION("""COMPUTED_VALUE"""),"Uncle Sams Cider (11/12/2021) 02")</f>
        <v>Uncle Sams Cider (11/12/2021) 02</v>
      </c>
      <c r="H7578" s="19"/>
    </row>
    <row r="7579">
      <c r="A7579" s="9"/>
      <c r="B7579" s="15"/>
      <c r="C7579" s="9">
        <f>IFERROR(__xludf.DUMMYFUNCTION("""COMPUTED_VALUE"""),44525.5674471527)</f>
        <v>44525.56745</v>
      </c>
      <c r="D7579" s="15">
        <f>IFERROR(__xludf.DUMMYFUNCTION("""COMPUTED_VALUE"""),1.047)</f>
        <v>1.047</v>
      </c>
      <c r="E7579" s="16">
        <f>IFERROR(__xludf.DUMMYFUNCTION("""COMPUTED_VALUE"""),66.0)</f>
        <v>66</v>
      </c>
      <c r="F7579" s="19" t="str">
        <f>IFERROR(__xludf.DUMMYFUNCTION("""COMPUTED_VALUE"""),"BLACK")</f>
        <v>BLACK</v>
      </c>
      <c r="G7579" s="20" t="str">
        <f>IFERROR(__xludf.DUMMYFUNCTION("""COMPUTED_VALUE"""),"Uncle Sams Cider (11/12/2021) 02")</f>
        <v>Uncle Sams Cider (11/12/2021) 02</v>
      </c>
      <c r="H7579" s="19"/>
    </row>
    <row r="7580">
      <c r="A7580" s="9"/>
      <c r="B7580" s="15"/>
      <c r="C7580" s="9">
        <f>IFERROR(__xludf.DUMMYFUNCTION("""COMPUTED_VALUE"""),44525.5570266898)</f>
        <v>44525.55703</v>
      </c>
      <c r="D7580" s="15">
        <f>IFERROR(__xludf.DUMMYFUNCTION("""COMPUTED_VALUE"""),1.047)</f>
        <v>1.047</v>
      </c>
      <c r="E7580" s="16">
        <f>IFERROR(__xludf.DUMMYFUNCTION("""COMPUTED_VALUE"""),66.0)</f>
        <v>66</v>
      </c>
      <c r="F7580" s="19" t="str">
        <f>IFERROR(__xludf.DUMMYFUNCTION("""COMPUTED_VALUE"""),"BLACK")</f>
        <v>BLACK</v>
      </c>
      <c r="G7580" s="20" t="str">
        <f>IFERROR(__xludf.DUMMYFUNCTION("""COMPUTED_VALUE"""),"Uncle Sams Cider (11/12/2021) 02")</f>
        <v>Uncle Sams Cider (11/12/2021) 02</v>
      </c>
      <c r="H7580" s="19"/>
    </row>
    <row r="7581">
      <c r="A7581" s="9"/>
      <c r="B7581" s="15"/>
      <c r="C7581" s="9">
        <f>IFERROR(__xludf.DUMMYFUNCTION("""COMPUTED_VALUE"""),44525.5466069097)</f>
        <v>44525.54661</v>
      </c>
      <c r="D7581" s="15">
        <f>IFERROR(__xludf.DUMMYFUNCTION("""COMPUTED_VALUE"""),1.047)</f>
        <v>1.047</v>
      </c>
      <c r="E7581" s="16">
        <f>IFERROR(__xludf.DUMMYFUNCTION("""COMPUTED_VALUE"""),66.0)</f>
        <v>66</v>
      </c>
      <c r="F7581" s="19" t="str">
        <f>IFERROR(__xludf.DUMMYFUNCTION("""COMPUTED_VALUE"""),"BLACK")</f>
        <v>BLACK</v>
      </c>
      <c r="G7581" s="20" t="str">
        <f>IFERROR(__xludf.DUMMYFUNCTION("""COMPUTED_VALUE"""),"Uncle Sams Cider (11/12/2021) 02")</f>
        <v>Uncle Sams Cider (11/12/2021) 02</v>
      </c>
      <c r="H7581" s="19"/>
    </row>
    <row r="7582">
      <c r="A7582" s="9"/>
      <c r="B7582" s="15"/>
      <c r="C7582" s="9">
        <f>IFERROR(__xludf.DUMMYFUNCTION("""COMPUTED_VALUE"""),44525.5361743402)</f>
        <v>44525.53617</v>
      </c>
      <c r="D7582" s="15">
        <f>IFERROR(__xludf.DUMMYFUNCTION("""COMPUTED_VALUE"""),1.047)</f>
        <v>1.047</v>
      </c>
      <c r="E7582" s="16">
        <f>IFERROR(__xludf.DUMMYFUNCTION("""COMPUTED_VALUE"""),66.0)</f>
        <v>66</v>
      </c>
      <c r="F7582" s="19" t="str">
        <f>IFERROR(__xludf.DUMMYFUNCTION("""COMPUTED_VALUE"""),"BLACK")</f>
        <v>BLACK</v>
      </c>
      <c r="G7582" s="20" t="str">
        <f>IFERROR(__xludf.DUMMYFUNCTION("""COMPUTED_VALUE"""),"Uncle Sams Cider (11/12/2021) 02")</f>
        <v>Uncle Sams Cider (11/12/2021) 02</v>
      </c>
      <c r="H7582" s="19"/>
    </row>
    <row r="7583">
      <c r="A7583" s="9"/>
      <c r="B7583" s="15"/>
      <c r="C7583" s="9">
        <f>IFERROR(__xludf.DUMMYFUNCTION("""COMPUTED_VALUE"""),44525.5257416203)</f>
        <v>44525.52574</v>
      </c>
      <c r="D7583" s="15">
        <f>IFERROR(__xludf.DUMMYFUNCTION("""COMPUTED_VALUE"""),1.047)</f>
        <v>1.047</v>
      </c>
      <c r="E7583" s="16">
        <f>IFERROR(__xludf.DUMMYFUNCTION("""COMPUTED_VALUE"""),66.0)</f>
        <v>66</v>
      </c>
      <c r="F7583" s="19" t="str">
        <f>IFERROR(__xludf.DUMMYFUNCTION("""COMPUTED_VALUE"""),"BLACK")</f>
        <v>BLACK</v>
      </c>
      <c r="G7583" s="20" t="str">
        <f>IFERROR(__xludf.DUMMYFUNCTION("""COMPUTED_VALUE"""),"Uncle Sams Cider (11/12/2021) 02")</f>
        <v>Uncle Sams Cider (11/12/2021) 02</v>
      </c>
      <c r="H7583" s="19"/>
    </row>
    <row r="7584">
      <c r="A7584" s="9"/>
      <c r="B7584" s="15"/>
      <c r="C7584" s="9">
        <f>IFERROR(__xludf.DUMMYFUNCTION("""COMPUTED_VALUE"""),44525.5153204745)</f>
        <v>44525.51532</v>
      </c>
      <c r="D7584" s="15">
        <f>IFERROR(__xludf.DUMMYFUNCTION("""COMPUTED_VALUE"""),1.047)</f>
        <v>1.047</v>
      </c>
      <c r="E7584" s="16">
        <f>IFERROR(__xludf.DUMMYFUNCTION("""COMPUTED_VALUE"""),66.0)</f>
        <v>66</v>
      </c>
      <c r="F7584" s="19" t="str">
        <f>IFERROR(__xludf.DUMMYFUNCTION("""COMPUTED_VALUE"""),"BLACK")</f>
        <v>BLACK</v>
      </c>
      <c r="G7584" s="20" t="str">
        <f>IFERROR(__xludf.DUMMYFUNCTION("""COMPUTED_VALUE"""),"Uncle Sams Cider (11/12/2021) 02")</f>
        <v>Uncle Sams Cider (11/12/2021) 02</v>
      </c>
      <c r="H7584" s="19"/>
    </row>
    <row r="7585">
      <c r="A7585" s="9"/>
      <c r="B7585" s="15"/>
      <c r="C7585" s="9">
        <f>IFERROR(__xludf.DUMMYFUNCTION("""COMPUTED_VALUE"""),44525.5048882523)</f>
        <v>44525.50489</v>
      </c>
      <c r="D7585" s="15">
        <f>IFERROR(__xludf.DUMMYFUNCTION("""COMPUTED_VALUE"""),1.047)</f>
        <v>1.047</v>
      </c>
      <c r="E7585" s="16">
        <f>IFERROR(__xludf.DUMMYFUNCTION("""COMPUTED_VALUE"""),66.0)</f>
        <v>66</v>
      </c>
      <c r="F7585" s="19" t="str">
        <f>IFERROR(__xludf.DUMMYFUNCTION("""COMPUTED_VALUE"""),"BLACK")</f>
        <v>BLACK</v>
      </c>
      <c r="G7585" s="20" t="str">
        <f>IFERROR(__xludf.DUMMYFUNCTION("""COMPUTED_VALUE"""),"Uncle Sams Cider (11/12/2021) 02")</f>
        <v>Uncle Sams Cider (11/12/2021) 02</v>
      </c>
      <c r="H7585" s="19"/>
    </row>
    <row r="7586">
      <c r="A7586" s="9"/>
      <c r="B7586" s="15"/>
      <c r="C7586" s="9">
        <f>IFERROR(__xludf.DUMMYFUNCTION("""COMPUTED_VALUE"""),44525.4944663078)</f>
        <v>44525.49447</v>
      </c>
      <c r="D7586" s="15">
        <f>IFERROR(__xludf.DUMMYFUNCTION("""COMPUTED_VALUE"""),1.047)</f>
        <v>1.047</v>
      </c>
      <c r="E7586" s="16">
        <f>IFERROR(__xludf.DUMMYFUNCTION("""COMPUTED_VALUE"""),66.0)</f>
        <v>66</v>
      </c>
      <c r="F7586" s="19" t="str">
        <f>IFERROR(__xludf.DUMMYFUNCTION("""COMPUTED_VALUE"""),"BLACK")</f>
        <v>BLACK</v>
      </c>
      <c r="G7586" s="20" t="str">
        <f>IFERROR(__xludf.DUMMYFUNCTION("""COMPUTED_VALUE"""),"Uncle Sams Cider (11/12/2021) 02")</f>
        <v>Uncle Sams Cider (11/12/2021) 02</v>
      </c>
      <c r="H7586" s="19"/>
    </row>
    <row r="7587">
      <c r="A7587" s="9"/>
      <c r="B7587" s="15"/>
      <c r="C7587" s="9">
        <f>IFERROR(__xludf.DUMMYFUNCTION("""COMPUTED_VALUE"""),44525.4840451967)</f>
        <v>44525.48405</v>
      </c>
      <c r="D7587" s="15">
        <f>IFERROR(__xludf.DUMMYFUNCTION("""COMPUTED_VALUE"""),1.047)</f>
        <v>1.047</v>
      </c>
      <c r="E7587" s="16">
        <f>IFERROR(__xludf.DUMMYFUNCTION("""COMPUTED_VALUE"""),66.0)</f>
        <v>66</v>
      </c>
      <c r="F7587" s="19" t="str">
        <f>IFERROR(__xludf.DUMMYFUNCTION("""COMPUTED_VALUE"""),"BLACK")</f>
        <v>BLACK</v>
      </c>
      <c r="G7587" s="20" t="str">
        <f>IFERROR(__xludf.DUMMYFUNCTION("""COMPUTED_VALUE"""),"Uncle Sams Cider (11/12/2021) 02")</f>
        <v>Uncle Sams Cider (11/12/2021) 02</v>
      </c>
      <c r="H7587" s="19"/>
    </row>
    <row r="7588">
      <c r="A7588" s="9"/>
      <c r="B7588" s="15"/>
      <c r="C7588" s="9">
        <f>IFERROR(__xludf.DUMMYFUNCTION("""COMPUTED_VALUE"""),44525.4736107407)</f>
        <v>44525.47361</v>
      </c>
      <c r="D7588" s="15">
        <f>IFERROR(__xludf.DUMMYFUNCTION("""COMPUTED_VALUE"""),1.047)</f>
        <v>1.047</v>
      </c>
      <c r="E7588" s="16">
        <f>IFERROR(__xludf.DUMMYFUNCTION("""COMPUTED_VALUE"""),66.0)</f>
        <v>66</v>
      </c>
      <c r="F7588" s="19" t="str">
        <f>IFERROR(__xludf.DUMMYFUNCTION("""COMPUTED_VALUE"""),"BLACK")</f>
        <v>BLACK</v>
      </c>
      <c r="G7588" s="20" t="str">
        <f>IFERROR(__xludf.DUMMYFUNCTION("""COMPUTED_VALUE"""),"Uncle Sams Cider (11/12/2021) 02")</f>
        <v>Uncle Sams Cider (11/12/2021) 02</v>
      </c>
      <c r="H7588" s="19"/>
    </row>
    <row r="7589">
      <c r="A7589" s="9"/>
      <c r="B7589" s="15"/>
      <c r="C7589" s="9">
        <f>IFERROR(__xludf.DUMMYFUNCTION("""COMPUTED_VALUE"""),44525.463189375)</f>
        <v>44525.46319</v>
      </c>
      <c r="D7589" s="15">
        <f>IFERROR(__xludf.DUMMYFUNCTION("""COMPUTED_VALUE"""),1.047)</f>
        <v>1.047</v>
      </c>
      <c r="E7589" s="16">
        <f>IFERROR(__xludf.DUMMYFUNCTION("""COMPUTED_VALUE"""),66.0)</f>
        <v>66</v>
      </c>
      <c r="F7589" s="19" t="str">
        <f>IFERROR(__xludf.DUMMYFUNCTION("""COMPUTED_VALUE"""),"BLACK")</f>
        <v>BLACK</v>
      </c>
      <c r="G7589" s="20" t="str">
        <f>IFERROR(__xludf.DUMMYFUNCTION("""COMPUTED_VALUE"""),"Uncle Sams Cider (11/12/2021) 02")</f>
        <v>Uncle Sams Cider (11/12/2021) 02</v>
      </c>
      <c r="H7589" s="19"/>
    </row>
    <row r="7590">
      <c r="A7590" s="9"/>
      <c r="B7590" s="15"/>
      <c r="C7590" s="9">
        <f>IFERROR(__xludf.DUMMYFUNCTION("""COMPUTED_VALUE"""),44525.4527677546)</f>
        <v>44525.45277</v>
      </c>
      <c r="D7590" s="15">
        <f>IFERROR(__xludf.DUMMYFUNCTION("""COMPUTED_VALUE"""),1.047)</f>
        <v>1.047</v>
      </c>
      <c r="E7590" s="16">
        <f>IFERROR(__xludf.DUMMYFUNCTION("""COMPUTED_VALUE"""),66.0)</f>
        <v>66</v>
      </c>
      <c r="F7590" s="19" t="str">
        <f>IFERROR(__xludf.DUMMYFUNCTION("""COMPUTED_VALUE"""),"BLACK")</f>
        <v>BLACK</v>
      </c>
      <c r="G7590" s="20" t="str">
        <f>IFERROR(__xludf.DUMMYFUNCTION("""COMPUTED_VALUE"""),"Uncle Sams Cider (11/12/2021) 02")</f>
        <v>Uncle Sams Cider (11/12/2021) 02</v>
      </c>
      <c r="H7590" s="19"/>
    </row>
    <row r="7591">
      <c r="A7591" s="9"/>
      <c r="B7591" s="15"/>
      <c r="C7591" s="9">
        <f>IFERROR(__xludf.DUMMYFUNCTION("""COMPUTED_VALUE"""),44525.4423466435)</f>
        <v>44525.44235</v>
      </c>
      <c r="D7591" s="15">
        <f>IFERROR(__xludf.DUMMYFUNCTION("""COMPUTED_VALUE"""),1.047)</f>
        <v>1.047</v>
      </c>
      <c r="E7591" s="16">
        <f>IFERROR(__xludf.DUMMYFUNCTION("""COMPUTED_VALUE"""),66.0)</f>
        <v>66</v>
      </c>
      <c r="F7591" s="19" t="str">
        <f>IFERROR(__xludf.DUMMYFUNCTION("""COMPUTED_VALUE"""),"BLACK")</f>
        <v>BLACK</v>
      </c>
      <c r="G7591" s="20" t="str">
        <f>IFERROR(__xludf.DUMMYFUNCTION("""COMPUTED_VALUE"""),"Uncle Sams Cider (11/12/2021) 02")</f>
        <v>Uncle Sams Cider (11/12/2021) 02</v>
      </c>
      <c r="H7591" s="19"/>
    </row>
    <row r="7592">
      <c r="A7592" s="9"/>
      <c r="B7592" s="15"/>
      <c r="C7592" s="9">
        <f>IFERROR(__xludf.DUMMYFUNCTION("""COMPUTED_VALUE"""),44525.4319250925)</f>
        <v>44525.43193</v>
      </c>
      <c r="D7592" s="15">
        <f>IFERROR(__xludf.DUMMYFUNCTION("""COMPUTED_VALUE"""),1.047)</f>
        <v>1.047</v>
      </c>
      <c r="E7592" s="16">
        <f>IFERROR(__xludf.DUMMYFUNCTION("""COMPUTED_VALUE"""),66.0)</f>
        <v>66</v>
      </c>
      <c r="F7592" s="19" t="str">
        <f>IFERROR(__xludf.DUMMYFUNCTION("""COMPUTED_VALUE"""),"BLACK")</f>
        <v>BLACK</v>
      </c>
      <c r="G7592" s="20" t="str">
        <f>IFERROR(__xludf.DUMMYFUNCTION("""COMPUTED_VALUE"""),"Uncle Sams Cider (11/12/2021) 02")</f>
        <v>Uncle Sams Cider (11/12/2021) 02</v>
      </c>
      <c r="H7592" s="19"/>
    </row>
    <row r="7593">
      <c r="A7593" s="9"/>
      <c r="B7593" s="15"/>
      <c r="C7593" s="9">
        <f>IFERROR(__xludf.DUMMYFUNCTION("""COMPUTED_VALUE"""),44525.4215042129)</f>
        <v>44525.4215</v>
      </c>
      <c r="D7593" s="15">
        <f>IFERROR(__xludf.DUMMYFUNCTION("""COMPUTED_VALUE"""),1.047)</f>
        <v>1.047</v>
      </c>
      <c r="E7593" s="16">
        <f>IFERROR(__xludf.DUMMYFUNCTION("""COMPUTED_VALUE"""),66.0)</f>
        <v>66</v>
      </c>
      <c r="F7593" s="19" t="str">
        <f>IFERROR(__xludf.DUMMYFUNCTION("""COMPUTED_VALUE"""),"BLACK")</f>
        <v>BLACK</v>
      </c>
      <c r="G7593" s="20" t="str">
        <f>IFERROR(__xludf.DUMMYFUNCTION("""COMPUTED_VALUE"""),"Uncle Sams Cider (11/12/2021) 02")</f>
        <v>Uncle Sams Cider (11/12/2021) 02</v>
      </c>
      <c r="H7593" s="19"/>
    </row>
    <row r="7594">
      <c r="A7594" s="9"/>
      <c r="B7594" s="15"/>
      <c r="C7594" s="9">
        <f>IFERROR(__xludf.DUMMYFUNCTION("""COMPUTED_VALUE"""),44525.4110821064)</f>
        <v>44525.41108</v>
      </c>
      <c r="D7594" s="15">
        <f>IFERROR(__xludf.DUMMYFUNCTION("""COMPUTED_VALUE"""),1.047)</f>
        <v>1.047</v>
      </c>
      <c r="E7594" s="16">
        <f>IFERROR(__xludf.DUMMYFUNCTION("""COMPUTED_VALUE"""),66.0)</f>
        <v>66</v>
      </c>
      <c r="F7594" s="19" t="str">
        <f>IFERROR(__xludf.DUMMYFUNCTION("""COMPUTED_VALUE"""),"BLACK")</f>
        <v>BLACK</v>
      </c>
      <c r="G7594" s="20" t="str">
        <f>IFERROR(__xludf.DUMMYFUNCTION("""COMPUTED_VALUE"""),"Uncle Sams Cider (11/12/2021) 02")</f>
        <v>Uncle Sams Cider (11/12/2021) 02</v>
      </c>
      <c r="H7594" s="19"/>
    </row>
    <row r="7595">
      <c r="A7595" s="9"/>
      <c r="B7595" s="15"/>
      <c r="C7595" s="9">
        <f>IFERROR(__xludf.DUMMYFUNCTION("""COMPUTED_VALUE"""),44525.4006612037)</f>
        <v>44525.40066</v>
      </c>
      <c r="D7595" s="15">
        <f>IFERROR(__xludf.DUMMYFUNCTION("""COMPUTED_VALUE"""),1.047)</f>
        <v>1.047</v>
      </c>
      <c r="E7595" s="16">
        <f>IFERROR(__xludf.DUMMYFUNCTION("""COMPUTED_VALUE"""),66.0)</f>
        <v>66</v>
      </c>
      <c r="F7595" s="19" t="str">
        <f>IFERROR(__xludf.DUMMYFUNCTION("""COMPUTED_VALUE"""),"BLACK")</f>
        <v>BLACK</v>
      </c>
      <c r="G7595" s="20" t="str">
        <f>IFERROR(__xludf.DUMMYFUNCTION("""COMPUTED_VALUE"""),"Uncle Sams Cider (11/12/2021) 02")</f>
        <v>Uncle Sams Cider (11/12/2021) 02</v>
      </c>
      <c r="H7595" s="19"/>
    </row>
    <row r="7596">
      <c r="A7596" s="9"/>
      <c r="B7596" s="15"/>
      <c r="C7596" s="9">
        <f>IFERROR(__xludf.DUMMYFUNCTION("""COMPUTED_VALUE"""),44525.3902407291)</f>
        <v>44525.39024</v>
      </c>
      <c r="D7596" s="15">
        <f>IFERROR(__xludf.DUMMYFUNCTION("""COMPUTED_VALUE"""),1.047)</f>
        <v>1.047</v>
      </c>
      <c r="E7596" s="16">
        <f>IFERROR(__xludf.DUMMYFUNCTION("""COMPUTED_VALUE"""),66.0)</f>
        <v>66</v>
      </c>
      <c r="F7596" s="19" t="str">
        <f>IFERROR(__xludf.DUMMYFUNCTION("""COMPUTED_VALUE"""),"BLACK")</f>
        <v>BLACK</v>
      </c>
      <c r="G7596" s="20" t="str">
        <f>IFERROR(__xludf.DUMMYFUNCTION("""COMPUTED_VALUE"""),"Uncle Sams Cider (11/12/2021) 02")</f>
        <v>Uncle Sams Cider (11/12/2021) 02</v>
      </c>
      <c r="H7596" s="19"/>
    </row>
    <row r="7597">
      <c r="A7597" s="9"/>
      <c r="B7597" s="15"/>
      <c r="C7597" s="9">
        <f>IFERROR(__xludf.DUMMYFUNCTION("""COMPUTED_VALUE"""),44525.3798206597)</f>
        <v>44525.37982</v>
      </c>
      <c r="D7597" s="15">
        <f>IFERROR(__xludf.DUMMYFUNCTION("""COMPUTED_VALUE"""),1.047)</f>
        <v>1.047</v>
      </c>
      <c r="E7597" s="16">
        <f>IFERROR(__xludf.DUMMYFUNCTION("""COMPUTED_VALUE"""),66.0)</f>
        <v>66</v>
      </c>
      <c r="F7597" s="19" t="str">
        <f>IFERROR(__xludf.DUMMYFUNCTION("""COMPUTED_VALUE"""),"BLACK")</f>
        <v>BLACK</v>
      </c>
      <c r="G7597" s="20" t="str">
        <f>IFERROR(__xludf.DUMMYFUNCTION("""COMPUTED_VALUE"""),"Uncle Sams Cider (11/12/2021) 02")</f>
        <v>Uncle Sams Cider (11/12/2021) 02</v>
      </c>
      <c r="H7597" s="19"/>
    </row>
    <row r="7598">
      <c r="A7598" s="9"/>
      <c r="B7598" s="15"/>
      <c r="C7598" s="9">
        <f>IFERROR(__xludf.DUMMYFUNCTION("""COMPUTED_VALUE"""),44525.369386956)</f>
        <v>44525.36939</v>
      </c>
      <c r="D7598" s="15">
        <f>IFERROR(__xludf.DUMMYFUNCTION("""COMPUTED_VALUE"""),1.047)</f>
        <v>1.047</v>
      </c>
      <c r="E7598" s="16">
        <f>IFERROR(__xludf.DUMMYFUNCTION("""COMPUTED_VALUE"""),66.0)</f>
        <v>66</v>
      </c>
      <c r="F7598" s="19" t="str">
        <f>IFERROR(__xludf.DUMMYFUNCTION("""COMPUTED_VALUE"""),"BLACK")</f>
        <v>BLACK</v>
      </c>
      <c r="G7598" s="20" t="str">
        <f>IFERROR(__xludf.DUMMYFUNCTION("""COMPUTED_VALUE"""),"Uncle Sams Cider (11/12/2021) 02")</f>
        <v>Uncle Sams Cider (11/12/2021) 02</v>
      </c>
      <c r="H7598" s="19"/>
    </row>
    <row r="7599">
      <c r="A7599" s="9"/>
      <c r="B7599" s="15"/>
      <c r="C7599" s="9">
        <f>IFERROR(__xludf.DUMMYFUNCTION("""COMPUTED_VALUE"""),44525.3589682291)</f>
        <v>44525.35897</v>
      </c>
      <c r="D7599" s="15">
        <f>IFERROR(__xludf.DUMMYFUNCTION("""COMPUTED_VALUE"""),1.047)</f>
        <v>1.047</v>
      </c>
      <c r="E7599" s="16">
        <f>IFERROR(__xludf.DUMMYFUNCTION("""COMPUTED_VALUE"""),66.0)</f>
        <v>66</v>
      </c>
      <c r="F7599" s="19" t="str">
        <f>IFERROR(__xludf.DUMMYFUNCTION("""COMPUTED_VALUE"""),"BLACK")</f>
        <v>BLACK</v>
      </c>
      <c r="G7599" s="20" t="str">
        <f>IFERROR(__xludf.DUMMYFUNCTION("""COMPUTED_VALUE"""),"Uncle Sams Cider (11/12/2021) 02")</f>
        <v>Uncle Sams Cider (11/12/2021) 02</v>
      </c>
      <c r="H7599" s="19"/>
    </row>
    <row r="7600">
      <c r="A7600" s="9"/>
      <c r="B7600" s="15"/>
      <c r="C7600" s="9">
        <f>IFERROR(__xludf.DUMMYFUNCTION("""COMPUTED_VALUE"""),44525.3485351388)</f>
        <v>44525.34854</v>
      </c>
      <c r="D7600" s="15">
        <f>IFERROR(__xludf.DUMMYFUNCTION("""COMPUTED_VALUE"""),1.047)</f>
        <v>1.047</v>
      </c>
      <c r="E7600" s="16">
        <f>IFERROR(__xludf.DUMMYFUNCTION("""COMPUTED_VALUE"""),66.0)</f>
        <v>66</v>
      </c>
      <c r="F7600" s="19" t="str">
        <f>IFERROR(__xludf.DUMMYFUNCTION("""COMPUTED_VALUE"""),"BLACK")</f>
        <v>BLACK</v>
      </c>
      <c r="G7600" s="20" t="str">
        <f>IFERROR(__xludf.DUMMYFUNCTION("""COMPUTED_VALUE"""),"Uncle Sams Cider (11/12/2021) 02")</f>
        <v>Uncle Sams Cider (11/12/2021) 02</v>
      </c>
      <c r="H7600" s="19"/>
    </row>
    <row r="7601">
      <c r="A7601" s="9"/>
      <c r="B7601" s="15"/>
      <c r="C7601" s="9">
        <f>IFERROR(__xludf.DUMMYFUNCTION("""COMPUTED_VALUE"""),44525.3381136574)</f>
        <v>44525.33811</v>
      </c>
      <c r="D7601" s="15">
        <f>IFERROR(__xludf.DUMMYFUNCTION("""COMPUTED_VALUE"""),1.047)</f>
        <v>1.047</v>
      </c>
      <c r="E7601" s="16">
        <f>IFERROR(__xludf.DUMMYFUNCTION("""COMPUTED_VALUE"""),66.0)</f>
        <v>66</v>
      </c>
      <c r="F7601" s="19" t="str">
        <f>IFERROR(__xludf.DUMMYFUNCTION("""COMPUTED_VALUE"""),"BLACK")</f>
        <v>BLACK</v>
      </c>
      <c r="G7601" s="20" t="str">
        <f>IFERROR(__xludf.DUMMYFUNCTION("""COMPUTED_VALUE"""),"Uncle Sams Cider (11/12/2021) 02")</f>
        <v>Uncle Sams Cider (11/12/2021) 02</v>
      </c>
      <c r="H7601" s="19"/>
    </row>
    <row r="7602">
      <c r="A7602" s="9"/>
      <c r="B7602" s="15"/>
      <c r="C7602" s="9">
        <f>IFERROR(__xludf.DUMMYFUNCTION("""COMPUTED_VALUE"""),44525.3276919328)</f>
        <v>44525.32769</v>
      </c>
      <c r="D7602" s="15">
        <f>IFERROR(__xludf.DUMMYFUNCTION("""COMPUTED_VALUE"""),1.047)</f>
        <v>1.047</v>
      </c>
      <c r="E7602" s="16">
        <f>IFERROR(__xludf.DUMMYFUNCTION("""COMPUTED_VALUE"""),66.0)</f>
        <v>66</v>
      </c>
      <c r="F7602" s="19" t="str">
        <f>IFERROR(__xludf.DUMMYFUNCTION("""COMPUTED_VALUE"""),"BLACK")</f>
        <v>BLACK</v>
      </c>
      <c r="G7602" s="20" t="str">
        <f>IFERROR(__xludf.DUMMYFUNCTION("""COMPUTED_VALUE"""),"Uncle Sams Cider (11/12/2021) 02")</f>
        <v>Uncle Sams Cider (11/12/2021) 02</v>
      </c>
      <c r="H7602" s="19"/>
    </row>
    <row r="7603">
      <c r="A7603" s="9"/>
      <c r="B7603" s="15"/>
      <c r="C7603" s="9">
        <f>IFERROR(__xludf.DUMMYFUNCTION("""COMPUTED_VALUE"""),44525.3172696527)</f>
        <v>44525.31727</v>
      </c>
      <c r="D7603" s="15">
        <f>IFERROR(__xludf.DUMMYFUNCTION("""COMPUTED_VALUE"""),1.047)</f>
        <v>1.047</v>
      </c>
      <c r="E7603" s="16">
        <f>IFERROR(__xludf.DUMMYFUNCTION("""COMPUTED_VALUE"""),66.0)</f>
        <v>66</v>
      </c>
      <c r="F7603" s="19" t="str">
        <f>IFERROR(__xludf.DUMMYFUNCTION("""COMPUTED_VALUE"""),"BLACK")</f>
        <v>BLACK</v>
      </c>
      <c r="G7603" s="20" t="str">
        <f>IFERROR(__xludf.DUMMYFUNCTION("""COMPUTED_VALUE"""),"Uncle Sams Cider (11/12/2021) 02")</f>
        <v>Uncle Sams Cider (11/12/2021) 02</v>
      </c>
      <c r="H7603" s="19"/>
    </row>
    <row r="7604">
      <c r="A7604" s="9"/>
      <c r="B7604" s="15"/>
      <c r="C7604" s="9">
        <f>IFERROR(__xludf.DUMMYFUNCTION("""COMPUTED_VALUE"""),44525.3068496412)</f>
        <v>44525.30685</v>
      </c>
      <c r="D7604" s="15">
        <f>IFERROR(__xludf.DUMMYFUNCTION("""COMPUTED_VALUE"""),1.047)</f>
        <v>1.047</v>
      </c>
      <c r="E7604" s="16">
        <f>IFERROR(__xludf.DUMMYFUNCTION("""COMPUTED_VALUE"""),66.0)</f>
        <v>66</v>
      </c>
      <c r="F7604" s="19" t="str">
        <f>IFERROR(__xludf.DUMMYFUNCTION("""COMPUTED_VALUE"""),"BLACK")</f>
        <v>BLACK</v>
      </c>
      <c r="G7604" s="20" t="str">
        <f>IFERROR(__xludf.DUMMYFUNCTION("""COMPUTED_VALUE"""),"Uncle Sams Cider (11/12/2021) 02")</f>
        <v>Uncle Sams Cider (11/12/2021) 02</v>
      </c>
      <c r="H7604" s="19"/>
    </row>
    <row r="7605">
      <c r="A7605" s="9"/>
      <c r="B7605" s="15"/>
      <c r="C7605" s="9">
        <f>IFERROR(__xludf.DUMMYFUNCTION("""COMPUTED_VALUE"""),44525.2964300462)</f>
        <v>44525.29643</v>
      </c>
      <c r="D7605" s="15">
        <f>IFERROR(__xludf.DUMMYFUNCTION("""COMPUTED_VALUE"""),1.047)</f>
        <v>1.047</v>
      </c>
      <c r="E7605" s="16">
        <f>IFERROR(__xludf.DUMMYFUNCTION("""COMPUTED_VALUE"""),66.0)</f>
        <v>66</v>
      </c>
      <c r="F7605" s="19" t="str">
        <f>IFERROR(__xludf.DUMMYFUNCTION("""COMPUTED_VALUE"""),"BLACK")</f>
        <v>BLACK</v>
      </c>
      <c r="G7605" s="20" t="str">
        <f>IFERROR(__xludf.DUMMYFUNCTION("""COMPUTED_VALUE"""),"Uncle Sams Cider (11/12/2021) 02")</f>
        <v>Uncle Sams Cider (11/12/2021) 02</v>
      </c>
      <c r="H7605" s="19"/>
    </row>
    <row r="7606">
      <c r="A7606" s="9"/>
      <c r="B7606" s="15"/>
      <c r="C7606" s="9">
        <f>IFERROR(__xludf.DUMMYFUNCTION("""COMPUTED_VALUE"""),44525.2860083217)</f>
        <v>44525.28601</v>
      </c>
      <c r="D7606" s="15">
        <f>IFERROR(__xludf.DUMMYFUNCTION("""COMPUTED_VALUE"""),1.047)</f>
        <v>1.047</v>
      </c>
      <c r="E7606" s="16">
        <f>IFERROR(__xludf.DUMMYFUNCTION("""COMPUTED_VALUE"""),66.0)</f>
        <v>66</v>
      </c>
      <c r="F7606" s="19" t="str">
        <f>IFERROR(__xludf.DUMMYFUNCTION("""COMPUTED_VALUE"""),"BLACK")</f>
        <v>BLACK</v>
      </c>
      <c r="G7606" s="20" t="str">
        <f>IFERROR(__xludf.DUMMYFUNCTION("""COMPUTED_VALUE"""),"Uncle Sams Cider (11/12/2021) 02")</f>
        <v>Uncle Sams Cider (11/12/2021) 02</v>
      </c>
      <c r="H7606" s="19"/>
    </row>
    <row r="7607">
      <c r="A7607" s="9"/>
      <c r="B7607" s="15"/>
      <c r="C7607" s="9">
        <f>IFERROR(__xludf.DUMMYFUNCTION("""COMPUTED_VALUE"""),44525.2755783912)</f>
        <v>44525.27558</v>
      </c>
      <c r="D7607" s="15">
        <f>IFERROR(__xludf.DUMMYFUNCTION("""COMPUTED_VALUE"""),1.048)</f>
        <v>1.048</v>
      </c>
      <c r="E7607" s="16">
        <f>IFERROR(__xludf.DUMMYFUNCTION("""COMPUTED_VALUE"""),66.0)</f>
        <v>66</v>
      </c>
      <c r="F7607" s="19" t="str">
        <f>IFERROR(__xludf.DUMMYFUNCTION("""COMPUTED_VALUE"""),"BLACK")</f>
        <v>BLACK</v>
      </c>
      <c r="G7607" s="20" t="str">
        <f>IFERROR(__xludf.DUMMYFUNCTION("""COMPUTED_VALUE"""),"Uncle Sams Cider (11/12/2021) 02")</f>
        <v>Uncle Sams Cider (11/12/2021) 02</v>
      </c>
      <c r="H7607" s="19"/>
    </row>
    <row r="7608">
      <c r="A7608" s="9"/>
      <c r="B7608" s="15"/>
      <c r="C7608" s="9">
        <f>IFERROR(__xludf.DUMMYFUNCTION("""COMPUTED_VALUE"""),44525.2651459953)</f>
        <v>44525.26515</v>
      </c>
      <c r="D7608" s="15">
        <f>IFERROR(__xludf.DUMMYFUNCTION("""COMPUTED_VALUE"""),1.047)</f>
        <v>1.047</v>
      </c>
      <c r="E7608" s="16">
        <f>IFERROR(__xludf.DUMMYFUNCTION("""COMPUTED_VALUE"""),66.0)</f>
        <v>66</v>
      </c>
      <c r="F7608" s="19" t="str">
        <f>IFERROR(__xludf.DUMMYFUNCTION("""COMPUTED_VALUE"""),"BLACK")</f>
        <v>BLACK</v>
      </c>
      <c r="G7608" s="20" t="str">
        <f>IFERROR(__xludf.DUMMYFUNCTION("""COMPUTED_VALUE"""),"Uncle Sams Cider (11/12/2021) 02")</f>
        <v>Uncle Sams Cider (11/12/2021) 02</v>
      </c>
      <c r="H7608" s="19"/>
    </row>
    <row r="7609">
      <c r="A7609" s="9"/>
      <c r="B7609" s="15"/>
      <c r="C7609" s="9">
        <f>IFERROR(__xludf.DUMMYFUNCTION("""COMPUTED_VALUE"""),44525.2547126041)</f>
        <v>44525.25471</v>
      </c>
      <c r="D7609" s="15">
        <f>IFERROR(__xludf.DUMMYFUNCTION("""COMPUTED_VALUE"""),1.047)</f>
        <v>1.047</v>
      </c>
      <c r="E7609" s="16">
        <f>IFERROR(__xludf.DUMMYFUNCTION("""COMPUTED_VALUE"""),66.0)</f>
        <v>66</v>
      </c>
      <c r="F7609" s="19" t="str">
        <f>IFERROR(__xludf.DUMMYFUNCTION("""COMPUTED_VALUE"""),"BLACK")</f>
        <v>BLACK</v>
      </c>
      <c r="G7609" s="20" t="str">
        <f>IFERROR(__xludf.DUMMYFUNCTION("""COMPUTED_VALUE"""),"Uncle Sams Cider (11/12/2021) 02")</f>
        <v>Uncle Sams Cider (11/12/2021) 02</v>
      </c>
      <c r="H7609" s="19"/>
    </row>
    <row r="7610">
      <c r="A7610" s="9"/>
      <c r="B7610" s="15"/>
      <c r="C7610" s="9">
        <f>IFERROR(__xludf.DUMMYFUNCTION("""COMPUTED_VALUE"""),44525.2442912731)</f>
        <v>44525.24429</v>
      </c>
      <c r="D7610" s="15">
        <f>IFERROR(__xludf.DUMMYFUNCTION("""COMPUTED_VALUE"""),1.047)</f>
        <v>1.047</v>
      </c>
      <c r="E7610" s="16">
        <f>IFERROR(__xludf.DUMMYFUNCTION("""COMPUTED_VALUE"""),66.0)</f>
        <v>66</v>
      </c>
      <c r="F7610" s="19" t="str">
        <f>IFERROR(__xludf.DUMMYFUNCTION("""COMPUTED_VALUE"""),"BLACK")</f>
        <v>BLACK</v>
      </c>
      <c r="G7610" s="20" t="str">
        <f>IFERROR(__xludf.DUMMYFUNCTION("""COMPUTED_VALUE"""),"Uncle Sams Cider (11/12/2021) 02")</f>
        <v>Uncle Sams Cider (11/12/2021) 02</v>
      </c>
      <c r="H7610" s="19"/>
    </row>
    <row r="7611">
      <c r="A7611" s="9"/>
      <c r="B7611" s="15"/>
      <c r="C7611" s="9">
        <f>IFERROR(__xludf.DUMMYFUNCTION("""COMPUTED_VALUE"""),44525.2338711689)</f>
        <v>44525.23387</v>
      </c>
      <c r="D7611" s="15">
        <f>IFERROR(__xludf.DUMMYFUNCTION("""COMPUTED_VALUE"""),1.048)</f>
        <v>1.048</v>
      </c>
      <c r="E7611" s="16">
        <f>IFERROR(__xludf.DUMMYFUNCTION("""COMPUTED_VALUE"""),66.0)</f>
        <v>66</v>
      </c>
      <c r="F7611" s="19" t="str">
        <f>IFERROR(__xludf.DUMMYFUNCTION("""COMPUTED_VALUE"""),"BLACK")</f>
        <v>BLACK</v>
      </c>
      <c r="G7611" s="20" t="str">
        <f>IFERROR(__xludf.DUMMYFUNCTION("""COMPUTED_VALUE"""),"Uncle Sams Cider (11/12/2021) 02")</f>
        <v>Uncle Sams Cider (11/12/2021) 02</v>
      </c>
      <c r="H7611" s="19"/>
    </row>
    <row r="7612">
      <c r="A7612" s="9"/>
      <c r="B7612" s="15"/>
      <c r="C7612" s="9">
        <f>IFERROR(__xludf.DUMMYFUNCTION("""COMPUTED_VALUE"""),44525.2234508449)</f>
        <v>44525.22345</v>
      </c>
      <c r="D7612" s="15">
        <f>IFERROR(__xludf.DUMMYFUNCTION("""COMPUTED_VALUE"""),1.047)</f>
        <v>1.047</v>
      </c>
      <c r="E7612" s="16">
        <f>IFERROR(__xludf.DUMMYFUNCTION("""COMPUTED_VALUE"""),66.0)</f>
        <v>66</v>
      </c>
      <c r="F7612" s="19" t="str">
        <f>IFERROR(__xludf.DUMMYFUNCTION("""COMPUTED_VALUE"""),"BLACK")</f>
        <v>BLACK</v>
      </c>
      <c r="G7612" s="20" t="str">
        <f>IFERROR(__xludf.DUMMYFUNCTION("""COMPUTED_VALUE"""),"Uncle Sams Cider (11/12/2021) 02")</f>
        <v>Uncle Sams Cider (11/12/2021) 02</v>
      </c>
      <c r="H7612" s="19"/>
    </row>
    <row r="7613">
      <c r="A7613" s="9"/>
      <c r="B7613" s="15"/>
      <c r="C7613" s="9">
        <f>IFERROR(__xludf.DUMMYFUNCTION("""COMPUTED_VALUE"""),44525.213030706)</f>
        <v>44525.21303</v>
      </c>
      <c r="D7613" s="15">
        <f>IFERROR(__xludf.DUMMYFUNCTION("""COMPUTED_VALUE"""),1.048)</f>
        <v>1.048</v>
      </c>
      <c r="E7613" s="16">
        <f>IFERROR(__xludf.DUMMYFUNCTION("""COMPUTED_VALUE"""),66.0)</f>
        <v>66</v>
      </c>
      <c r="F7613" s="19" t="str">
        <f>IFERROR(__xludf.DUMMYFUNCTION("""COMPUTED_VALUE"""),"BLACK")</f>
        <v>BLACK</v>
      </c>
      <c r="G7613" s="20" t="str">
        <f>IFERROR(__xludf.DUMMYFUNCTION("""COMPUTED_VALUE"""),"Uncle Sams Cider (11/12/2021) 02")</f>
        <v>Uncle Sams Cider (11/12/2021) 02</v>
      </c>
      <c r="H7613" s="19"/>
    </row>
    <row r="7614">
      <c r="A7614" s="9"/>
      <c r="B7614" s="15"/>
      <c r="C7614" s="9">
        <f>IFERROR(__xludf.DUMMYFUNCTION("""COMPUTED_VALUE"""),44525.2026080439)</f>
        <v>44525.20261</v>
      </c>
      <c r="D7614" s="15">
        <f>IFERROR(__xludf.DUMMYFUNCTION("""COMPUTED_VALUE"""),1.048)</f>
        <v>1.048</v>
      </c>
      <c r="E7614" s="16">
        <f>IFERROR(__xludf.DUMMYFUNCTION("""COMPUTED_VALUE"""),66.0)</f>
        <v>66</v>
      </c>
      <c r="F7614" s="19" t="str">
        <f>IFERROR(__xludf.DUMMYFUNCTION("""COMPUTED_VALUE"""),"BLACK")</f>
        <v>BLACK</v>
      </c>
      <c r="G7614" s="20" t="str">
        <f>IFERROR(__xludf.DUMMYFUNCTION("""COMPUTED_VALUE"""),"Uncle Sams Cider (11/12/2021) 02")</f>
        <v>Uncle Sams Cider (11/12/2021) 02</v>
      </c>
      <c r="H7614" s="19"/>
    </row>
    <row r="7615">
      <c r="A7615" s="9"/>
      <c r="B7615" s="15"/>
      <c r="C7615" s="9">
        <f>IFERROR(__xludf.DUMMYFUNCTION("""COMPUTED_VALUE"""),44525.1921751157)</f>
        <v>44525.19218</v>
      </c>
      <c r="D7615" s="15">
        <f>IFERROR(__xludf.DUMMYFUNCTION("""COMPUTED_VALUE"""),1.048)</f>
        <v>1.048</v>
      </c>
      <c r="E7615" s="16">
        <f>IFERROR(__xludf.DUMMYFUNCTION("""COMPUTED_VALUE"""),66.0)</f>
        <v>66</v>
      </c>
      <c r="F7615" s="19" t="str">
        <f>IFERROR(__xludf.DUMMYFUNCTION("""COMPUTED_VALUE"""),"BLACK")</f>
        <v>BLACK</v>
      </c>
      <c r="G7615" s="20" t="str">
        <f>IFERROR(__xludf.DUMMYFUNCTION("""COMPUTED_VALUE"""),"Uncle Sams Cider (11/12/2021) 02")</f>
        <v>Uncle Sams Cider (11/12/2021) 02</v>
      </c>
      <c r="H7615" s="19"/>
    </row>
    <row r="7616">
      <c r="A7616" s="9"/>
      <c r="B7616" s="15"/>
      <c r="C7616" s="9">
        <f>IFERROR(__xludf.DUMMYFUNCTION("""COMPUTED_VALUE"""),44525.1817528703)</f>
        <v>44525.18175</v>
      </c>
      <c r="D7616" s="15">
        <f>IFERROR(__xludf.DUMMYFUNCTION("""COMPUTED_VALUE"""),1.048)</f>
        <v>1.048</v>
      </c>
      <c r="E7616" s="16">
        <f>IFERROR(__xludf.DUMMYFUNCTION("""COMPUTED_VALUE"""),66.0)</f>
        <v>66</v>
      </c>
      <c r="F7616" s="19" t="str">
        <f>IFERROR(__xludf.DUMMYFUNCTION("""COMPUTED_VALUE"""),"BLACK")</f>
        <v>BLACK</v>
      </c>
      <c r="G7616" s="20" t="str">
        <f>IFERROR(__xludf.DUMMYFUNCTION("""COMPUTED_VALUE"""),"Uncle Sams Cider (11/12/2021) 02")</f>
        <v>Uncle Sams Cider (11/12/2021) 02</v>
      </c>
      <c r="H7616" s="19"/>
    </row>
    <row r="7617">
      <c r="A7617" s="9"/>
      <c r="B7617" s="15"/>
      <c r="C7617" s="9">
        <f>IFERROR(__xludf.DUMMYFUNCTION("""COMPUTED_VALUE"""),44525.1713317708)</f>
        <v>44525.17133</v>
      </c>
      <c r="D7617" s="15">
        <f>IFERROR(__xludf.DUMMYFUNCTION("""COMPUTED_VALUE"""),1.048)</f>
        <v>1.048</v>
      </c>
      <c r="E7617" s="16">
        <f>IFERROR(__xludf.DUMMYFUNCTION("""COMPUTED_VALUE"""),66.0)</f>
        <v>66</v>
      </c>
      <c r="F7617" s="19" t="str">
        <f>IFERROR(__xludf.DUMMYFUNCTION("""COMPUTED_VALUE"""),"BLACK")</f>
        <v>BLACK</v>
      </c>
      <c r="G7617" s="20" t="str">
        <f>IFERROR(__xludf.DUMMYFUNCTION("""COMPUTED_VALUE"""),"Uncle Sams Cider (11/12/2021) 02")</f>
        <v>Uncle Sams Cider (11/12/2021) 02</v>
      </c>
      <c r="H7617" s="19"/>
    </row>
    <row r="7618">
      <c r="A7618" s="9"/>
      <c r="B7618" s="15"/>
      <c r="C7618" s="9">
        <f>IFERROR(__xludf.DUMMYFUNCTION("""COMPUTED_VALUE"""),44525.1608877662)</f>
        <v>44525.16089</v>
      </c>
      <c r="D7618" s="15">
        <f>IFERROR(__xludf.DUMMYFUNCTION("""COMPUTED_VALUE"""),1.048)</f>
        <v>1.048</v>
      </c>
      <c r="E7618" s="16">
        <f>IFERROR(__xludf.DUMMYFUNCTION("""COMPUTED_VALUE"""),66.0)</f>
        <v>66</v>
      </c>
      <c r="F7618" s="19" t="str">
        <f>IFERROR(__xludf.DUMMYFUNCTION("""COMPUTED_VALUE"""),"BLACK")</f>
        <v>BLACK</v>
      </c>
      <c r="G7618" s="20" t="str">
        <f>IFERROR(__xludf.DUMMYFUNCTION("""COMPUTED_VALUE"""),"Uncle Sams Cider (11/12/2021) 02")</f>
        <v>Uncle Sams Cider (11/12/2021) 02</v>
      </c>
      <c r="H7618" s="19"/>
    </row>
    <row r="7619">
      <c r="A7619" s="9"/>
      <c r="B7619" s="15"/>
      <c r="C7619" s="9">
        <f>IFERROR(__xludf.DUMMYFUNCTION("""COMPUTED_VALUE"""),44525.1504665856)</f>
        <v>44525.15047</v>
      </c>
      <c r="D7619" s="15">
        <f>IFERROR(__xludf.DUMMYFUNCTION("""COMPUTED_VALUE"""),1.048)</f>
        <v>1.048</v>
      </c>
      <c r="E7619" s="16">
        <f>IFERROR(__xludf.DUMMYFUNCTION("""COMPUTED_VALUE"""),66.0)</f>
        <v>66</v>
      </c>
      <c r="F7619" s="19" t="str">
        <f>IFERROR(__xludf.DUMMYFUNCTION("""COMPUTED_VALUE"""),"BLACK")</f>
        <v>BLACK</v>
      </c>
      <c r="G7619" s="20" t="str">
        <f>IFERROR(__xludf.DUMMYFUNCTION("""COMPUTED_VALUE"""),"Uncle Sams Cider (11/12/2021) 02")</f>
        <v>Uncle Sams Cider (11/12/2021) 02</v>
      </c>
      <c r="H7619" s="19"/>
    </row>
    <row r="7620">
      <c r="A7620" s="9"/>
      <c r="B7620" s="15"/>
      <c r="C7620" s="9">
        <f>IFERROR(__xludf.DUMMYFUNCTION("""COMPUTED_VALUE"""),44525.1400233564)</f>
        <v>44525.14002</v>
      </c>
      <c r="D7620" s="15">
        <f>IFERROR(__xludf.DUMMYFUNCTION("""COMPUTED_VALUE"""),1.048)</f>
        <v>1.048</v>
      </c>
      <c r="E7620" s="16">
        <f>IFERROR(__xludf.DUMMYFUNCTION("""COMPUTED_VALUE"""),66.0)</f>
        <v>66</v>
      </c>
      <c r="F7620" s="19" t="str">
        <f>IFERROR(__xludf.DUMMYFUNCTION("""COMPUTED_VALUE"""),"BLACK")</f>
        <v>BLACK</v>
      </c>
      <c r="G7620" s="20" t="str">
        <f>IFERROR(__xludf.DUMMYFUNCTION("""COMPUTED_VALUE"""),"Uncle Sams Cider (11/12/2021) 02")</f>
        <v>Uncle Sams Cider (11/12/2021) 02</v>
      </c>
      <c r="H7620" s="19"/>
    </row>
    <row r="7621">
      <c r="A7621" s="9"/>
      <c r="B7621" s="15"/>
      <c r="C7621" s="9">
        <f>IFERROR(__xludf.DUMMYFUNCTION("""COMPUTED_VALUE"""),44525.1296015277)</f>
        <v>44525.1296</v>
      </c>
      <c r="D7621" s="15">
        <f>IFERROR(__xludf.DUMMYFUNCTION("""COMPUTED_VALUE"""),1.048)</f>
        <v>1.048</v>
      </c>
      <c r="E7621" s="16">
        <f>IFERROR(__xludf.DUMMYFUNCTION("""COMPUTED_VALUE"""),66.0)</f>
        <v>66</v>
      </c>
      <c r="F7621" s="19" t="str">
        <f>IFERROR(__xludf.DUMMYFUNCTION("""COMPUTED_VALUE"""),"BLACK")</f>
        <v>BLACK</v>
      </c>
      <c r="G7621" s="20" t="str">
        <f>IFERROR(__xludf.DUMMYFUNCTION("""COMPUTED_VALUE"""),"Uncle Sams Cider (11/12/2021) 02")</f>
        <v>Uncle Sams Cider (11/12/2021) 02</v>
      </c>
      <c r="H7621" s="19"/>
    </row>
    <row r="7622">
      <c r="A7622" s="9"/>
      <c r="B7622" s="15"/>
      <c r="C7622" s="9">
        <f>IFERROR(__xludf.DUMMYFUNCTION("""COMPUTED_VALUE"""),44525.119179537)</f>
        <v>44525.11918</v>
      </c>
      <c r="D7622" s="15">
        <f>IFERROR(__xludf.DUMMYFUNCTION("""COMPUTED_VALUE"""),1.048)</f>
        <v>1.048</v>
      </c>
      <c r="E7622" s="16">
        <f>IFERROR(__xludf.DUMMYFUNCTION("""COMPUTED_VALUE"""),66.0)</f>
        <v>66</v>
      </c>
      <c r="F7622" s="19" t="str">
        <f>IFERROR(__xludf.DUMMYFUNCTION("""COMPUTED_VALUE"""),"BLACK")</f>
        <v>BLACK</v>
      </c>
      <c r="G7622" s="20" t="str">
        <f>IFERROR(__xludf.DUMMYFUNCTION("""COMPUTED_VALUE"""),"Uncle Sams Cider (11/12/2021) 02")</f>
        <v>Uncle Sams Cider (11/12/2021) 02</v>
      </c>
      <c r="H7622" s="19"/>
    </row>
    <row r="7623">
      <c r="A7623" s="9"/>
      <c r="B7623" s="15"/>
      <c r="C7623" s="9">
        <f>IFERROR(__xludf.DUMMYFUNCTION("""COMPUTED_VALUE"""),44525.1087588657)</f>
        <v>44525.10876</v>
      </c>
      <c r="D7623" s="15">
        <f>IFERROR(__xludf.DUMMYFUNCTION("""COMPUTED_VALUE"""),1.048)</f>
        <v>1.048</v>
      </c>
      <c r="E7623" s="16">
        <f>IFERROR(__xludf.DUMMYFUNCTION("""COMPUTED_VALUE"""),66.0)</f>
        <v>66</v>
      </c>
      <c r="F7623" s="19" t="str">
        <f>IFERROR(__xludf.DUMMYFUNCTION("""COMPUTED_VALUE"""),"BLACK")</f>
        <v>BLACK</v>
      </c>
      <c r="G7623" s="20" t="str">
        <f>IFERROR(__xludf.DUMMYFUNCTION("""COMPUTED_VALUE"""),"Uncle Sams Cider (11/12/2021) 02")</f>
        <v>Uncle Sams Cider (11/12/2021) 02</v>
      </c>
      <c r="H7623" s="19"/>
    </row>
    <row r="7624">
      <c r="A7624" s="9"/>
      <c r="B7624" s="15"/>
      <c r="C7624" s="9">
        <f>IFERROR(__xludf.DUMMYFUNCTION("""COMPUTED_VALUE"""),44525.0983368518)</f>
        <v>44525.09834</v>
      </c>
      <c r="D7624" s="15">
        <f>IFERROR(__xludf.DUMMYFUNCTION("""COMPUTED_VALUE"""),1.048)</f>
        <v>1.048</v>
      </c>
      <c r="E7624" s="16">
        <f>IFERROR(__xludf.DUMMYFUNCTION("""COMPUTED_VALUE"""),66.0)</f>
        <v>66</v>
      </c>
      <c r="F7624" s="19" t="str">
        <f>IFERROR(__xludf.DUMMYFUNCTION("""COMPUTED_VALUE"""),"BLACK")</f>
        <v>BLACK</v>
      </c>
      <c r="G7624" s="20" t="str">
        <f>IFERROR(__xludf.DUMMYFUNCTION("""COMPUTED_VALUE"""),"Uncle Sams Cider (11/12/2021) 02")</f>
        <v>Uncle Sams Cider (11/12/2021) 02</v>
      </c>
      <c r="H7624" s="19"/>
    </row>
    <row r="7625">
      <c r="A7625" s="9"/>
      <c r="B7625" s="15"/>
      <c r="C7625" s="9">
        <f>IFERROR(__xludf.DUMMYFUNCTION("""COMPUTED_VALUE"""),44525.0879165856)</f>
        <v>44525.08792</v>
      </c>
      <c r="D7625" s="15">
        <f>IFERROR(__xludf.DUMMYFUNCTION("""COMPUTED_VALUE"""),1.048)</f>
        <v>1.048</v>
      </c>
      <c r="E7625" s="16">
        <f>IFERROR(__xludf.DUMMYFUNCTION("""COMPUTED_VALUE"""),66.0)</f>
        <v>66</v>
      </c>
      <c r="F7625" s="19" t="str">
        <f>IFERROR(__xludf.DUMMYFUNCTION("""COMPUTED_VALUE"""),"BLACK")</f>
        <v>BLACK</v>
      </c>
      <c r="G7625" s="20" t="str">
        <f>IFERROR(__xludf.DUMMYFUNCTION("""COMPUTED_VALUE"""),"Uncle Sams Cider (11/12/2021) 02")</f>
        <v>Uncle Sams Cider (11/12/2021) 02</v>
      </c>
      <c r="H7625" s="19"/>
    </row>
    <row r="7626">
      <c r="A7626" s="9"/>
      <c r="B7626" s="15"/>
      <c r="C7626" s="9">
        <f>IFERROR(__xludf.DUMMYFUNCTION("""COMPUTED_VALUE"""),44525.0774949189)</f>
        <v>44525.07749</v>
      </c>
      <c r="D7626" s="15">
        <f>IFERROR(__xludf.DUMMYFUNCTION("""COMPUTED_VALUE"""),1.048)</f>
        <v>1.048</v>
      </c>
      <c r="E7626" s="16">
        <f>IFERROR(__xludf.DUMMYFUNCTION("""COMPUTED_VALUE"""),66.0)</f>
        <v>66</v>
      </c>
      <c r="F7626" s="19" t="str">
        <f>IFERROR(__xludf.DUMMYFUNCTION("""COMPUTED_VALUE"""),"BLACK")</f>
        <v>BLACK</v>
      </c>
      <c r="G7626" s="20" t="str">
        <f>IFERROR(__xludf.DUMMYFUNCTION("""COMPUTED_VALUE"""),"Uncle Sams Cider (11/12/2021) 02")</f>
        <v>Uncle Sams Cider (11/12/2021) 02</v>
      </c>
      <c r="H7626" s="19"/>
    </row>
    <row r="7627">
      <c r="A7627" s="9"/>
      <c r="B7627" s="15"/>
      <c r="C7627" s="9">
        <f>IFERROR(__xludf.DUMMYFUNCTION("""COMPUTED_VALUE"""),44525.0670742476)</f>
        <v>44525.06707</v>
      </c>
      <c r="D7627" s="15">
        <f>IFERROR(__xludf.DUMMYFUNCTION("""COMPUTED_VALUE"""),1.048)</f>
        <v>1.048</v>
      </c>
      <c r="E7627" s="16">
        <f>IFERROR(__xludf.DUMMYFUNCTION("""COMPUTED_VALUE"""),66.0)</f>
        <v>66</v>
      </c>
      <c r="F7627" s="19" t="str">
        <f>IFERROR(__xludf.DUMMYFUNCTION("""COMPUTED_VALUE"""),"BLACK")</f>
        <v>BLACK</v>
      </c>
      <c r="G7627" s="20" t="str">
        <f>IFERROR(__xludf.DUMMYFUNCTION("""COMPUTED_VALUE"""),"Uncle Sams Cider (11/12/2021) 02")</f>
        <v>Uncle Sams Cider (11/12/2021) 02</v>
      </c>
      <c r="H7627" s="19"/>
    </row>
    <row r="7628">
      <c r="A7628" s="9"/>
      <c r="B7628" s="15"/>
      <c r="C7628" s="9">
        <f>IFERROR(__xludf.DUMMYFUNCTION("""COMPUTED_VALUE"""),44525.056654537)</f>
        <v>44525.05665</v>
      </c>
      <c r="D7628" s="15">
        <f>IFERROR(__xludf.DUMMYFUNCTION("""COMPUTED_VALUE"""),1.048)</f>
        <v>1.048</v>
      </c>
      <c r="E7628" s="16">
        <f>IFERROR(__xludf.DUMMYFUNCTION("""COMPUTED_VALUE"""),66.0)</f>
        <v>66</v>
      </c>
      <c r="F7628" s="19" t="str">
        <f>IFERROR(__xludf.DUMMYFUNCTION("""COMPUTED_VALUE"""),"BLACK")</f>
        <v>BLACK</v>
      </c>
      <c r="G7628" s="20" t="str">
        <f>IFERROR(__xludf.DUMMYFUNCTION("""COMPUTED_VALUE"""),"Uncle Sams Cider (11/12/2021) 02")</f>
        <v>Uncle Sams Cider (11/12/2021) 02</v>
      </c>
      <c r="H7628" s="19"/>
    </row>
    <row r="7629">
      <c r="A7629" s="9"/>
      <c r="B7629" s="15"/>
      <c r="C7629" s="9">
        <f>IFERROR(__xludf.DUMMYFUNCTION("""COMPUTED_VALUE"""),44525.0462323148)</f>
        <v>44525.04623</v>
      </c>
      <c r="D7629" s="15">
        <f>IFERROR(__xludf.DUMMYFUNCTION("""COMPUTED_VALUE"""),1.048)</f>
        <v>1.048</v>
      </c>
      <c r="E7629" s="16">
        <f>IFERROR(__xludf.DUMMYFUNCTION("""COMPUTED_VALUE"""),66.0)</f>
        <v>66</v>
      </c>
      <c r="F7629" s="19" t="str">
        <f>IFERROR(__xludf.DUMMYFUNCTION("""COMPUTED_VALUE"""),"BLACK")</f>
        <v>BLACK</v>
      </c>
      <c r="G7629" s="20" t="str">
        <f>IFERROR(__xludf.DUMMYFUNCTION("""COMPUTED_VALUE"""),"Uncle Sams Cider (11/12/2021) 02")</f>
        <v>Uncle Sams Cider (11/12/2021) 02</v>
      </c>
      <c r="H7629" s="19"/>
    </row>
    <row r="7630">
      <c r="A7630" s="9"/>
      <c r="B7630" s="15"/>
      <c r="C7630" s="9">
        <f>IFERROR(__xludf.DUMMYFUNCTION("""COMPUTED_VALUE"""),44525.0357879166)</f>
        <v>44525.03579</v>
      </c>
      <c r="D7630" s="15">
        <f>IFERROR(__xludf.DUMMYFUNCTION("""COMPUTED_VALUE"""),1.048)</f>
        <v>1.048</v>
      </c>
      <c r="E7630" s="16">
        <f>IFERROR(__xludf.DUMMYFUNCTION("""COMPUTED_VALUE"""),66.0)</f>
        <v>66</v>
      </c>
      <c r="F7630" s="19" t="str">
        <f>IFERROR(__xludf.DUMMYFUNCTION("""COMPUTED_VALUE"""),"BLACK")</f>
        <v>BLACK</v>
      </c>
      <c r="G7630" s="20" t="str">
        <f>IFERROR(__xludf.DUMMYFUNCTION("""COMPUTED_VALUE"""),"Uncle Sams Cider (11/12/2021) 02")</f>
        <v>Uncle Sams Cider (11/12/2021) 02</v>
      </c>
      <c r="H7630" s="19"/>
    </row>
    <row r="7631">
      <c r="A7631" s="9"/>
      <c r="B7631" s="15"/>
      <c r="C7631" s="9">
        <f>IFERROR(__xludf.DUMMYFUNCTION("""COMPUTED_VALUE"""),44525.0253678819)</f>
        <v>44525.02537</v>
      </c>
      <c r="D7631" s="15">
        <f>IFERROR(__xludf.DUMMYFUNCTION("""COMPUTED_VALUE"""),1.048)</f>
        <v>1.048</v>
      </c>
      <c r="E7631" s="16">
        <f>IFERROR(__xludf.DUMMYFUNCTION("""COMPUTED_VALUE"""),66.0)</f>
        <v>66</v>
      </c>
      <c r="F7631" s="19" t="str">
        <f>IFERROR(__xludf.DUMMYFUNCTION("""COMPUTED_VALUE"""),"BLACK")</f>
        <v>BLACK</v>
      </c>
      <c r="G7631" s="20" t="str">
        <f>IFERROR(__xludf.DUMMYFUNCTION("""COMPUTED_VALUE"""),"Uncle Sams Cider (11/12/2021) 02")</f>
        <v>Uncle Sams Cider (11/12/2021) 02</v>
      </c>
      <c r="H7631" s="19"/>
    </row>
    <row r="7632">
      <c r="A7632" s="9"/>
      <c r="B7632" s="15"/>
      <c r="C7632" s="9">
        <f>IFERROR(__xludf.DUMMYFUNCTION("""COMPUTED_VALUE"""),44525.0149454976)</f>
        <v>44525.01495</v>
      </c>
      <c r="D7632" s="15">
        <f>IFERROR(__xludf.DUMMYFUNCTION("""COMPUTED_VALUE"""),1.048)</f>
        <v>1.048</v>
      </c>
      <c r="E7632" s="16">
        <f>IFERROR(__xludf.DUMMYFUNCTION("""COMPUTED_VALUE"""),66.0)</f>
        <v>66</v>
      </c>
      <c r="F7632" s="19" t="str">
        <f>IFERROR(__xludf.DUMMYFUNCTION("""COMPUTED_VALUE"""),"BLACK")</f>
        <v>BLACK</v>
      </c>
      <c r="G7632" s="20" t="str">
        <f>IFERROR(__xludf.DUMMYFUNCTION("""COMPUTED_VALUE"""),"Uncle Sams Cider (11/12/2021) 02")</f>
        <v>Uncle Sams Cider (11/12/2021) 02</v>
      </c>
      <c r="H7632" s="19"/>
    </row>
    <row r="7633">
      <c r="A7633" s="9"/>
      <c r="B7633" s="15"/>
      <c r="C7633" s="9">
        <f>IFERROR(__xludf.DUMMYFUNCTION("""COMPUTED_VALUE"""),44525.0045124768)</f>
        <v>44525.00451</v>
      </c>
      <c r="D7633" s="15">
        <f>IFERROR(__xludf.DUMMYFUNCTION("""COMPUTED_VALUE"""),1.048)</f>
        <v>1.048</v>
      </c>
      <c r="E7633" s="16">
        <f>IFERROR(__xludf.DUMMYFUNCTION("""COMPUTED_VALUE"""),66.0)</f>
        <v>66</v>
      </c>
      <c r="F7633" s="19" t="str">
        <f>IFERROR(__xludf.DUMMYFUNCTION("""COMPUTED_VALUE"""),"BLACK")</f>
        <v>BLACK</v>
      </c>
      <c r="G7633" s="20" t="str">
        <f>IFERROR(__xludf.DUMMYFUNCTION("""COMPUTED_VALUE"""),"Uncle Sams Cider (11/12/2021) 02")</f>
        <v>Uncle Sams Cider (11/12/2021) 02</v>
      </c>
      <c r="H7633" s="19"/>
    </row>
    <row r="7634">
      <c r="A7634" s="9"/>
      <c r="B7634" s="15"/>
      <c r="C7634" s="9">
        <f>IFERROR(__xludf.DUMMYFUNCTION("""COMPUTED_VALUE"""),44524.9940930902)</f>
        <v>44524.99409</v>
      </c>
      <c r="D7634" s="15">
        <f>IFERROR(__xludf.DUMMYFUNCTION("""COMPUTED_VALUE"""),1.048)</f>
        <v>1.048</v>
      </c>
      <c r="E7634" s="16">
        <f>IFERROR(__xludf.DUMMYFUNCTION("""COMPUTED_VALUE"""),66.0)</f>
        <v>66</v>
      </c>
      <c r="F7634" s="19" t="str">
        <f>IFERROR(__xludf.DUMMYFUNCTION("""COMPUTED_VALUE"""),"BLACK")</f>
        <v>BLACK</v>
      </c>
      <c r="G7634" s="20" t="str">
        <f>IFERROR(__xludf.DUMMYFUNCTION("""COMPUTED_VALUE"""),"Uncle Sams Cider (11/12/2021) 02")</f>
        <v>Uncle Sams Cider (11/12/2021) 02</v>
      </c>
      <c r="H7634" s="19"/>
    </row>
    <row r="7635">
      <c r="A7635" s="9"/>
      <c r="B7635" s="15"/>
      <c r="C7635" s="9">
        <f>IFERROR(__xludf.DUMMYFUNCTION("""COMPUTED_VALUE"""),44524.9836705208)</f>
        <v>44524.98367</v>
      </c>
      <c r="D7635" s="15">
        <f>IFERROR(__xludf.DUMMYFUNCTION("""COMPUTED_VALUE"""),1.048)</f>
        <v>1.048</v>
      </c>
      <c r="E7635" s="16">
        <f>IFERROR(__xludf.DUMMYFUNCTION("""COMPUTED_VALUE"""),66.0)</f>
        <v>66</v>
      </c>
      <c r="F7635" s="19" t="str">
        <f>IFERROR(__xludf.DUMMYFUNCTION("""COMPUTED_VALUE"""),"BLACK")</f>
        <v>BLACK</v>
      </c>
      <c r="G7635" s="20" t="str">
        <f>IFERROR(__xludf.DUMMYFUNCTION("""COMPUTED_VALUE"""),"Uncle Sams Cider (11/12/2021) 02")</f>
        <v>Uncle Sams Cider (11/12/2021) 02</v>
      </c>
      <c r="H7635" s="19"/>
    </row>
    <row r="7636">
      <c r="A7636" s="9"/>
      <c r="B7636" s="15"/>
      <c r="C7636" s="9">
        <f>IFERROR(__xludf.DUMMYFUNCTION("""COMPUTED_VALUE"""),44524.9732478935)</f>
        <v>44524.97325</v>
      </c>
      <c r="D7636" s="15">
        <f>IFERROR(__xludf.DUMMYFUNCTION("""COMPUTED_VALUE"""),1.048)</f>
        <v>1.048</v>
      </c>
      <c r="E7636" s="16">
        <f>IFERROR(__xludf.DUMMYFUNCTION("""COMPUTED_VALUE"""),66.0)</f>
        <v>66</v>
      </c>
      <c r="F7636" s="19" t="str">
        <f>IFERROR(__xludf.DUMMYFUNCTION("""COMPUTED_VALUE"""),"BLACK")</f>
        <v>BLACK</v>
      </c>
      <c r="G7636" s="20" t="str">
        <f>IFERROR(__xludf.DUMMYFUNCTION("""COMPUTED_VALUE"""),"Uncle Sams Cider (11/12/2021) 02")</f>
        <v>Uncle Sams Cider (11/12/2021) 02</v>
      </c>
      <c r="H7636" s="19"/>
    </row>
    <row r="7637">
      <c r="A7637" s="9"/>
      <c r="B7637" s="15"/>
      <c r="C7637" s="9">
        <f>IFERROR(__xludf.DUMMYFUNCTION("""COMPUTED_VALUE"""),44524.9628155324)</f>
        <v>44524.96282</v>
      </c>
      <c r="D7637" s="15">
        <f>IFERROR(__xludf.DUMMYFUNCTION("""COMPUTED_VALUE"""),1.048)</f>
        <v>1.048</v>
      </c>
      <c r="E7637" s="16">
        <f>IFERROR(__xludf.DUMMYFUNCTION("""COMPUTED_VALUE"""),66.0)</f>
        <v>66</v>
      </c>
      <c r="F7637" s="19" t="str">
        <f>IFERROR(__xludf.DUMMYFUNCTION("""COMPUTED_VALUE"""),"BLACK")</f>
        <v>BLACK</v>
      </c>
      <c r="G7637" s="20" t="str">
        <f>IFERROR(__xludf.DUMMYFUNCTION("""COMPUTED_VALUE"""),"Uncle Sams Cider (11/12/2021) 02")</f>
        <v>Uncle Sams Cider (11/12/2021) 02</v>
      </c>
      <c r="H7637" s="19"/>
    </row>
    <row r="7638">
      <c r="A7638" s="9"/>
      <c r="B7638" s="15"/>
      <c r="C7638" s="9">
        <f>IFERROR(__xludf.DUMMYFUNCTION("""COMPUTED_VALUE"""),44524.9523958796)</f>
        <v>44524.9524</v>
      </c>
      <c r="D7638" s="15">
        <f>IFERROR(__xludf.DUMMYFUNCTION("""COMPUTED_VALUE"""),1.048)</f>
        <v>1.048</v>
      </c>
      <c r="E7638" s="16">
        <f>IFERROR(__xludf.DUMMYFUNCTION("""COMPUTED_VALUE"""),66.0)</f>
        <v>66</v>
      </c>
      <c r="F7638" s="19" t="str">
        <f>IFERROR(__xludf.DUMMYFUNCTION("""COMPUTED_VALUE"""),"BLACK")</f>
        <v>BLACK</v>
      </c>
      <c r="G7638" s="20" t="str">
        <f>IFERROR(__xludf.DUMMYFUNCTION("""COMPUTED_VALUE"""),"Uncle Sams Cider (11/12/2021) 02")</f>
        <v>Uncle Sams Cider (11/12/2021) 02</v>
      </c>
      <c r="H7638" s="19"/>
    </row>
    <row r="7639">
      <c r="A7639" s="9"/>
      <c r="B7639" s="15"/>
      <c r="C7639" s="9">
        <f>IFERROR(__xludf.DUMMYFUNCTION("""COMPUTED_VALUE"""),44524.9419744212)</f>
        <v>44524.94197</v>
      </c>
      <c r="D7639" s="15">
        <f>IFERROR(__xludf.DUMMYFUNCTION("""COMPUTED_VALUE"""),1.048)</f>
        <v>1.048</v>
      </c>
      <c r="E7639" s="16">
        <f>IFERROR(__xludf.DUMMYFUNCTION("""COMPUTED_VALUE"""),66.0)</f>
        <v>66</v>
      </c>
      <c r="F7639" s="19" t="str">
        <f>IFERROR(__xludf.DUMMYFUNCTION("""COMPUTED_VALUE"""),"BLACK")</f>
        <v>BLACK</v>
      </c>
      <c r="G7639" s="20" t="str">
        <f>IFERROR(__xludf.DUMMYFUNCTION("""COMPUTED_VALUE"""),"Uncle Sams Cider (11/12/2021) 02")</f>
        <v>Uncle Sams Cider (11/12/2021) 02</v>
      </c>
      <c r="H7639" s="19"/>
    </row>
    <row r="7640">
      <c r="A7640" s="9"/>
      <c r="B7640" s="15"/>
      <c r="C7640" s="9">
        <f>IFERROR(__xludf.DUMMYFUNCTION("""COMPUTED_VALUE"""),44524.9315542013)</f>
        <v>44524.93155</v>
      </c>
      <c r="D7640" s="15">
        <f>IFERROR(__xludf.DUMMYFUNCTION("""COMPUTED_VALUE"""),1.048)</f>
        <v>1.048</v>
      </c>
      <c r="E7640" s="16">
        <f>IFERROR(__xludf.DUMMYFUNCTION("""COMPUTED_VALUE"""),66.0)</f>
        <v>66</v>
      </c>
      <c r="F7640" s="19" t="str">
        <f>IFERROR(__xludf.DUMMYFUNCTION("""COMPUTED_VALUE"""),"BLACK")</f>
        <v>BLACK</v>
      </c>
      <c r="G7640" s="20" t="str">
        <f>IFERROR(__xludf.DUMMYFUNCTION("""COMPUTED_VALUE"""),"Uncle Sams Cider (11/12/2021) 02")</f>
        <v>Uncle Sams Cider (11/12/2021) 02</v>
      </c>
      <c r="H7640" s="19"/>
    </row>
    <row r="7641">
      <c r="A7641" s="9"/>
      <c r="B7641" s="15"/>
      <c r="C7641" s="9">
        <f>IFERROR(__xludf.DUMMYFUNCTION("""COMPUTED_VALUE"""),44524.9211340856)</f>
        <v>44524.92113</v>
      </c>
      <c r="D7641" s="15">
        <f>IFERROR(__xludf.DUMMYFUNCTION("""COMPUTED_VALUE"""),1.048)</f>
        <v>1.048</v>
      </c>
      <c r="E7641" s="16">
        <f>IFERROR(__xludf.DUMMYFUNCTION("""COMPUTED_VALUE"""),66.0)</f>
        <v>66</v>
      </c>
      <c r="F7641" s="19" t="str">
        <f>IFERROR(__xludf.DUMMYFUNCTION("""COMPUTED_VALUE"""),"BLACK")</f>
        <v>BLACK</v>
      </c>
      <c r="G7641" s="20" t="str">
        <f>IFERROR(__xludf.DUMMYFUNCTION("""COMPUTED_VALUE"""),"Uncle Sams Cider (11/12/2021) 02")</f>
        <v>Uncle Sams Cider (11/12/2021) 02</v>
      </c>
      <c r="H7641" s="19"/>
    </row>
    <row r="7642">
      <c r="A7642" s="9"/>
      <c r="B7642" s="15"/>
      <c r="C7642" s="9">
        <f>IFERROR(__xludf.DUMMYFUNCTION("""COMPUTED_VALUE"""),44524.9106998726)</f>
        <v>44524.9107</v>
      </c>
      <c r="D7642" s="15">
        <f>IFERROR(__xludf.DUMMYFUNCTION("""COMPUTED_VALUE"""),1.048)</f>
        <v>1.048</v>
      </c>
      <c r="E7642" s="16">
        <f>IFERROR(__xludf.DUMMYFUNCTION("""COMPUTED_VALUE"""),66.0)</f>
        <v>66</v>
      </c>
      <c r="F7642" s="19" t="str">
        <f>IFERROR(__xludf.DUMMYFUNCTION("""COMPUTED_VALUE"""),"BLACK")</f>
        <v>BLACK</v>
      </c>
      <c r="G7642" s="20" t="str">
        <f>IFERROR(__xludf.DUMMYFUNCTION("""COMPUTED_VALUE"""),"Uncle Sams Cider (11/12/2021) 02")</f>
        <v>Uncle Sams Cider (11/12/2021) 02</v>
      </c>
      <c r="H7642" s="19"/>
    </row>
    <row r="7643">
      <c r="A7643" s="9"/>
      <c r="B7643" s="15"/>
      <c r="C7643" s="9">
        <f>IFERROR(__xludf.DUMMYFUNCTION("""COMPUTED_VALUE"""),44524.9002670138)</f>
        <v>44524.90027</v>
      </c>
      <c r="D7643" s="15">
        <f>IFERROR(__xludf.DUMMYFUNCTION("""COMPUTED_VALUE"""),1.048)</f>
        <v>1.048</v>
      </c>
      <c r="E7643" s="16">
        <f>IFERROR(__xludf.DUMMYFUNCTION("""COMPUTED_VALUE"""),66.0)</f>
        <v>66</v>
      </c>
      <c r="F7643" s="19" t="str">
        <f>IFERROR(__xludf.DUMMYFUNCTION("""COMPUTED_VALUE"""),"BLACK")</f>
        <v>BLACK</v>
      </c>
      <c r="G7643" s="20" t="str">
        <f>IFERROR(__xludf.DUMMYFUNCTION("""COMPUTED_VALUE"""),"Uncle Sams Cider (11/12/2021) 02")</f>
        <v>Uncle Sams Cider (11/12/2021) 02</v>
      </c>
      <c r="H7643" s="19"/>
    </row>
    <row r="7644">
      <c r="A7644" s="9"/>
      <c r="B7644" s="15"/>
      <c r="C7644" s="9">
        <f>IFERROR(__xludf.DUMMYFUNCTION("""COMPUTED_VALUE"""),44524.8898470949)</f>
        <v>44524.88985</v>
      </c>
      <c r="D7644" s="15">
        <f>IFERROR(__xludf.DUMMYFUNCTION("""COMPUTED_VALUE"""),1.048)</f>
        <v>1.048</v>
      </c>
      <c r="E7644" s="16">
        <f>IFERROR(__xludf.DUMMYFUNCTION("""COMPUTED_VALUE"""),66.0)</f>
        <v>66</v>
      </c>
      <c r="F7644" s="19" t="str">
        <f>IFERROR(__xludf.DUMMYFUNCTION("""COMPUTED_VALUE"""),"BLACK")</f>
        <v>BLACK</v>
      </c>
      <c r="G7644" s="20" t="str">
        <f>IFERROR(__xludf.DUMMYFUNCTION("""COMPUTED_VALUE"""),"Uncle Sams Cider (11/12/2021) 02")</f>
        <v>Uncle Sams Cider (11/12/2021) 02</v>
      </c>
      <c r="H7644" s="19"/>
    </row>
    <row r="7645">
      <c r="A7645" s="9"/>
      <c r="B7645" s="15"/>
      <c r="C7645" s="9">
        <f>IFERROR(__xludf.DUMMYFUNCTION("""COMPUTED_VALUE"""),44524.8794268865)</f>
        <v>44524.87943</v>
      </c>
      <c r="D7645" s="15">
        <f>IFERROR(__xludf.DUMMYFUNCTION("""COMPUTED_VALUE"""),1.048)</f>
        <v>1.048</v>
      </c>
      <c r="E7645" s="16">
        <f>IFERROR(__xludf.DUMMYFUNCTION("""COMPUTED_VALUE"""),66.0)</f>
        <v>66</v>
      </c>
      <c r="F7645" s="19" t="str">
        <f>IFERROR(__xludf.DUMMYFUNCTION("""COMPUTED_VALUE"""),"BLACK")</f>
        <v>BLACK</v>
      </c>
      <c r="G7645" s="20" t="str">
        <f>IFERROR(__xludf.DUMMYFUNCTION("""COMPUTED_VALUE"""),"Uncle Sams Cider (11/12/2021) 02")</f>
        <v>Uncle Sams Cider (11/12/2021) 02</v>
      </c>
      <c r="H7645" s="19"/>
    </row>
    <row r="7646">
      <c r="A7646" s="9"/>
      <c r="B7646" s="15"/>
      <c r="C7646" s="9">
        <f>IFERROR(__xludf.DUMMYFUNCTION("""COMPUTED_VALUE"""),44524.8690060069)</f>
        <v>44524.86901</v>
      </c>
      <c r="D7646" s="15">
        <f>IFERROR(__xludf.DUMMYFUNCTION("""COMPUTED_VALUE"""),1.048)</f>
        <v>1.048</v>
      </c>
      <c r="E7646" s="16">
        <f>IFERROR(__xludf.DUMMYFUNCTION("""COMPUTED_VALUE"""),66.0)</f>
        <v>66</v>
      </c>
      <c r="F7646" s="19" t="str">
        <f>IFERROR(__xludf.DUMMYFUNCTION("""COMPUTED_VALUE"""),"BLACK")</f>
        <v>BLACK</v>
      </c>
      <c r="G7646" s="20" t="str">
        <f>IFERROR(__xludf.DUMMYFUNCTION("""COMPUTED_VALUE"""),"Uncle Sams Cider (11/12/2021) 02")</f>
        <v>Uncle Sams Cider (11/12/2021) 02</v>
      </c>
      <c r="H7646" s="19"/>
    </row>
    <row r="7647">
      <c r="A7647" s="9"/>
      <c r="B7647" s="15"/>
      <c r="C7647" s="9">
        <f>IFERROR(__xludf.DUMMYFUNCTION("""COMPUTED_VALUE"""),44524.8585747685)</f>
        <v>44524.85857</v>
      </c>
      <c r="D7647" s="15">
        <f>IFERROR(__xludf.DUMMYFUNCTION("""COMPUTED_VALUE"""),1.048)</f>
        <v>1.048</v>
      </c>
      <c r="E7647" s="16">
        <f>IFERROR(__xludf.DUMMYFUNCTION("""COMPUTED_VALUE"""),66.0)</f>
        <v>66</v>
      </c>
      <c r="F7647" s="19" t="str">
        <f>IFERROR(__xludf.DUMMYFUNCTION("""COMPUTED_VALUE"""),"BLACK")</f>
        <v>BLACK</v>
      </c>
      <c r="G7647" s="20" t="str">
        <f>IFERROR(__xludf.DUMMYFUNCTION("""COMPUTED_VALUE"""),"Uncle Sams Cider (11/12/2021) 02")</f>
        <v>Uncle Sams Cider (11/12/2021) 02</v>
      </c>
      <c r="H7647" s="19"/>
    </row>
    <row r="7648">
      <c r="A7648" s="9"/>
      <c r="B7648" s="15"/>
      <c r="C7648" s="9">
        <f>IFERROR(__xludf.DUMMYFUNCTION("""COMPUTED_VALUE"""),44524.8481545486)</f>
        <v>44524.84815</v>
      </c>
      <c r="D7648" s="15">
        <f>IFERROR(__xludf.DUMMYFUNCTION("""COMPUTED_VALUE"""),1.048)</f>
        <v>1.048</v>
      </c>
      <c r="E7648" s="16">
        <f>IFERROR(__xludf.DUMMYFUNCTION("""COMPUTED_VALUE"""),66.0)</f>
        <v>66</v>
      </c>
      <c r="F7648" s="19" t="str">
        <f>IFERROR(__xludf.DUMMYFUNCTION("""COMPUTED_VALUE"""),"BLACK")</f>
        <v>BLACK</v>
      </c>
      <c r="G7648" s="20" t="str">
        <f>IFERROR(__xludf.DUMMYFUNCTION("""COMPUTED_VALUE"""),"Uncle Sams Cider (11/12/2021) 02")</f>
        <v>Uncle Sams Cider (11/12/2021) 02</v>
      </c>
      <c r="H7648" s="19"/>
    </row>
    <row r="7649">
      <c r="A7649" s="9"/>
      <c r="B7649" s="15"/>
      <c r="C7649" s="9">
        <f>IFERROR(__xludf.DUMMYFUNCTION("""COMPUTED_VALUE"""),44524.8377341898)</f>
        <v>44524.83773</v>
      </c>
      <c r="D7649" s="15">
        <f>IFERROR(__xludf.DUMMYFUNCTION("""COMPUTED_VALUE"""),1.048)</f>
        <v>1.048</v>
      </c>
      <c r="E7649" s="16">
        <f>IFERROR(__xludf.DUMMYFUNCTION("""COMPUTED_VALUE"""),66.0)</f>
        <v>66</v>
      </c>
      <c r="F7649" s="19" t="str">
        <f>IFERROR(__xludf.DUMMYFUNCTION("""COMPUTED_VALUE"""),"BLACK")</f>
        <v>BLACK</v>
      </c>
      <c r="G7649" s="20" t="str">
        <f>IFERROR(__xludf.DUMMYFUNCTION("""COMPUTED_VALUE"""),"Uncle Sams Cider (11/12/2021) 02")</f>
        <v>Uncle Sams Cider (11/12/2021) 02</v>
      </c>
      <c r="H7649" s="19"/>
    </row>
    <row r="7650">
      <c r="A7650" s="9"/>
      <c r="B7650" s="15"/>
      <c r="C7650" s="9">
        <f>IFERROR(__xludf.DUMMYFUNCTION("""COMPUTED_VALUE"""),44524.8273126851)</f>
        <v>44524.82731</v>
      </c>
      <c r="D7650" s="15">
        <f>IFERROR(__xludf.DUMMYFUNCTION("""COMPUTED_VALUE"""),1.048)</f>
        <v>1.048</v>
      </c>
      <c r="E7650" s="16">
        <f>IFERROR(__xludf.DUMMYFUNCTION("""COMPUTED_VALUE"""),66.0)</f>
        <v>66</v>
      </c>
      <c r="F7650" s="19" t="str">
        <f>IFERROR(__xludf.DUMMYFUNCTION("""COMPUTED_VALUE"""),"BLACK")</f>
        <v>BLACK</v>
      </c>
      <c r="G7650" s="20" t="str">
        <f>IFERROR(__xludf.DUMMYFUNCTION("""COMPUTED_VALUE"""),"Uncle Sams Cider (11/12/2021) 02")</f>
        <v>Uncle Sams Cider (11/12/2021) 02</v>
      </c>
      <c r="H7650" s="19"/>
    </row>
    <row r="7651">
      <c r="A7651" s="9"/>
      <c r="B7651" s="15"/>
      <c r="C7651" s="9">
        <f>IFERROR(__xludf.DUMMYFUNCTION("""COMPUTED_VALUE"""),44524.81689125)</f>
        <v>44524.81689</v>
      </c>
      <c r="D7651" s="15">
        <f>IFERROR(__xludf.DUMMYFUNCTION("""COMPUTED_VALUE"""),1.048)</f>
        <v>1.048</v>
      </c>
      <c r="E7651" s="16">
        <f>IFERROR(__xludf.DUMMYFUNCTION("""COMPUTED_VALUE"""),66.0)</f>
        <v>66</v>
      </c>
      <c r="F7651" s="19" t="str">
        <f>IFERROR(__xludf.DUMMYFUNCTION("""COMPUTED_VALUE"""),"BLACK")</f>
        <v>BLACK</v>
      </c>
      <c r="G7651" s="20" t="str">
        <f>IFERROR(__xludf.DUMMYFUNCTION("""COMPUTED_VALUE"""),"Uncle Sams Cider (11/12/2021) 02")</f>
        <v>Uncle Sams Cider (11/12/2021) 02</v>
      </c>
      <c r="H7651" s="19"/>
    </row>
    <row r="7652">
      <c r="A7652" s="9"/>
      <c r="B7652" s="15"/>
      <c r="C7652" s="9">
        <f>IFERROR(__xludf.DUMMYFUNCTION("""COMPUTED_VALUE"""),44524.8064687268)</f>
        <v>44524.80647</v>
      </c>
      <c r="D7652" s="15">
        <f>IFERROR(__xludf.DUMMYFUNCTION("""COMPUTED_VALUE"""),1.049)</f>
        <v>1.049</v>
      </c>
      <c r="E7652" s="16">
        <f>IFERROR(__xludf.DUMMYFUNCTION("""COMPUTED_VALUE"""),66.0)</f>
        <v>66</v>
      </c>
      <c r="F7652" s="19" t="str">
        <f>IFERROR(__xludf.DUMMYFUNCTION("""COMPUTED_VALUE"""),"BLACK")</f>
        <v>BLACK</v>
      </c>
      <c r="G7652" s="20" t="str">
        <f>IFERROR(__xludf.DUMMYFUNCTION("""COMPUTED_VALUE"""),"Uncle Sams Cider (11/12/2021) 02")</f>
        <v>Uncle Sams Cider (11/12/2021) 02</v>
      </c>
      <c r="H7652" s="19"/>
    </row>
    <row r="7653">
      <c r="A7653" s="9"/>
      <c r="B7653" s="15"/>
      <c r="C7653" s="9">
        <f>IFERROR(__xludf.DUMMYFUNCTION("""COMPUTED_VALUE"""),44524.796047824)</f>
        <v>44524.79605</v>
      </c>
      <c r="D7653" s="15">
        <f>IFERROR(__xludf.DUMMYFUNCTION("""COMPUTED_VALUE"""),1.048)</f>
        <v>1.048</v>
      </c>
      <c r="E7653" s="16">
        <f>IFERROR(__xludf.DUMMYFUNCTION("""COMPUTED_VALUE"""),66.0)</f>
        <v>66</v>
      </c>
      <c r="F7653" s="19" t="str">
        <f>IFERROR(__xludf.DUMMYFUNCTION("""COMPUTED_VALUE"""),"BLACK")</f>
        <v>BLACK</v>
      </c>
      <c r="G7653" s="20" t="str">
        <f>IFERROR(__xludf.DUMMYFUNCTION("""COMPUTED_VALUE"""),"Uncle Sams Cider (11/12/2021) 02")</f>
        <v>Uncle Sams Cider (11/12/2021) 02</v>
      </c>
      <c r="H7653" s="19"/>
    </row>
    <row r="7654">
      <c r="A7654" s="9"/>
      <c r="B7654" s="15"/>
      <c r="C7654" s="9">
        <f>IFERROR(__xludf.DUMMYFUNCTION("""COMPUTED_VALUE"""),44524.7856255208)</f>
        <v>44524.78563</v>
      </c>
      <c r="D7654" s="15">
        <f>IFERROR(__xludf.DUMMYFUNCTION("""COMPUTED_VALUE"""),1.048)</f>
        <v>1.048</v>
      </c>
      <c r="E7654" s="16">
        <f>IFERROR(__xludf.DUMMYFUNCTION("""COMPUTED_VALUE"""),66.0)</f>
        <v>66</v>
      </c>
      <c r="F7654" s="19" t="str">
        <f>IFERROR(__xludf.DUMMYFUNCTION("""COMPUTED_VALUE"""),"BLACK")</f>
        <v>BLACK</v>
      </c>
      <c r="G7654" s="20" t="str">
        <f>IFERROR(__xludf.DUMMYFUNCTION("""COMPUTED_VALUE"""),"Uncle Sams Cider (11/12/2021) 02")</f>
        <v>Uncle Sams Cider (11/12/2021) 02</v>
      </c>
      <c r="H7654" s="19"/>
    </row>
    <row r="7655">
      <c r="A7655" s="9"/>
      <c r="B7655" s="15"/>
      <c r="C7655" s="9">
        <f>IFERROR(__xludf.DUMMYFUNCTION("""COMPUTED_VALUE"""),44524.7752019213)</f>
        <v>44524.7752</v>
      </c>
      <c r="D7655" s="15">
        <f>IFERROR(__xludf.DUMMYFUNCTION("""COMPUTED_VALUE"""),1.049)</f>
        <v>1.049</v>
      </c>
      <c r="E7655" s="16">
        <f>IFERROR(__xludf.DUMMYFUNCTION("""COMPUTED_VALUE"""),66.0)</f>
        <v>66</v>
      </c>
      <c r="F7655" s="19" t="str">
        <f>IFERROR(__xludf.DUMMYFUNCTION("""COMPUTED_VALUE"""),"BLACK")</f>
        <v>BLACK</v>
      </c>
      <c r="G7655" s="20" t="str">
        <f>IFERROR(__xludf.DUMMYFUNCTION("""COMPUTED_VALUE"""),"Uncle Sams Cider (11/12/2021) 02")</f>
        <v>Uncle Sams Cider (11/12/2021) 02</v>
      </c>
      <c r="H7655" s="19"/>
    </row>
    <row r="7656">
      <c r="A7656" s="9"/>
      <c r="B7656" s="15"/>
      <c r="C7656" s="9">
        <f>IFERROR(__xludf.DUMMYFUNCTION("""COMPUTED_VALUE"""),44524.7647669328)</f>
        <v>44524.76477</v>
      </c>
      <c r="D7656" s="15">
        <f>IFERROR(__xludf.DUMMYFUNCTION("""COMPUTED_VALUE"""),1.049)</f>
        <v>1.049</v>
      </c>
      <c r="E7656" s="16">
        <f>IFERROR(__xludf.DUMMYFUNCTION("""COMPUTED_VALUE"""),66.0)</f>
        <v>66</v>
      </c>
      <c r="F7656" s="19" t="str">
        <f>IFERROR(__xludf.DUMMYFUNCTION("""COMPUTED_VALUE"""),"BLACK")</f>
        <v>BLACK</v>
      </c>
      <c r="G7656" s="20" t="str">
        <f>IFERROR(__xludf.DUMMYFUNCTION("""COMPUTED_VALUE"""),"Uncle Sams Cider (11/12/2021) 02")</f>
        <v>Uncle Sams Cider (11/12/2021) 02</v>
      </c>
      <c r="H7656" s="19"/>
    </row>
    <row r="7657">
      <c r="A7657" s="9"/>
      <c r="B7657" s="15"/>
      <c r="C7657" s="9">
        <f>IFERROR(__xludf.DUMMYFUNCTION("""COMPUTED_VALUE"""),44524.7543452893)</f>
        <v>44524.75435</v>
      </c>
      <c r="D7657" s="15">
        <f>IFERROR(__xludf.DUMMYFUNCTION("""COMPUTED_VALUE"""),1.049)</f>
        <v>1.049</v>
      </c>
      <c r="E7657" s="16">
        <f>IFERROR(__xludf.DUMMYFUNCTION("""COMPUTED_VALUE"""),66.0)</f>
        <v>66</v>
      </c>
      <c r="F7657" s="19" t="str">
        <f>IFERROR(__xludf.DUMMYFUNCTION("""COMPUTED_VALUE"""),"BLACK")</f>
        <v>BLACK</v>
      </c>
      <c r="G7657" s="20" t="str">
        <f>IFERROR(__xludf.DUMMYFUNCTION("""COMPUTED_VALUE"""),"Uncle Sams Cider (11/12/2021) 02")</f>
        <v>Uncle Sams Cider (11/12/2021) 02</v>
      </c>
      <c r="H7657" s="19"/>
    </row>
    <row r="7658">
      <c r="A7658" s="9"/>
      <c r="B7658" s="15"/>
      <c r="C7658" s="9">
        <f>IFERROR(__xludf.DUMMYFUNCTION("""COMPUTED_VALUE"""),44524.7439231597)</f>
        <v>44524.74392</v>
      </c>
      <c r="D7658" s="15">
        <f>IFERROR(__xludf.DUMMYFUNCTION("""COMPUTED_VALUE"""),1.048)</f>
        <v>1.048</v>
      </c>
      <c r="E7658" s="16">
        <f>IFERROR(__xludf.DUMMYFUNCTION("""COMPUTED_VALUE"""),66.0)</f>
        <v>66</v>
      </c>
      <c r="F7658" s="19" t="str">
        <f>IFERROR(__xludf.DUMMYFUNCTION("""COMPUTED_VALUE"""),"BLACK")</f>
        <v>BLACK</v>
      </c>
      <c r="G7658" s="20" t="str">
        <f>IFERROR(__xludf.DUMMYFUNCTION("""COMPUTED_VALUE"""),"Uncle Sams Cider (11/12/2021) 02")</f>
        <v>Uncle Sams Cider (11/12/2021) 02</v>
      </c>
      <c r="H7658" s="19"/>
    </row>
    <row r="7659">
      <c r="A7659" s="9"/>
      <c r="B7659" s="15"/>
      <c r="C7659" s="9">
        <f>IFERROR(__xludf.DUMMYFUNCTION("""COMPUTED_VALUE"""),44524.7334899189)</f>
        <v>44524.73349</v>
      </c>
      <c r="D7659" s="15">
        <f>IFERROR(__xludf.DUMMYFUNCTION("""COMPUTED_VALUE"""),1.049)</f>
        <v>1.049</v>
      </c>
      <c r="E7659" s="16">
        <f>IFERROR(__xludf.DUMMYFUNCTION("""COMPUTED_VALUE"""),66.0)</f>
        <v>66</v>
      </c>
      <c r="F7659" s="19" t="str">
        <f>IFERROR(__xludf.DUMMYFUNCTION("""COMPUTED_VALUE"""),"BLACK")</f>
        <v>BLACK</v>
      </c>
      <c r="G7659" s="20" t="str">
        <f>IFERROR(__xludf.DUMMYFUNCTION("""COMPUTED_VALUE"""),"Uncle Sams Cider (11/12/2021) 02")</f>
        <v>Uncle Sams Cider (11/12/2021) 02</v>
      </c>
      <c r="H7659" s="19"/>
    </row>
    <row r="7660">
      <c r="A7660" s="9"/>
      <c r="B7660" s="15"/>
      <c r="C7660" s="9">
        <f>IFERROR(__xludf.DUMMYFUNCTION("""COMPUTED_VALUE"""),44524.7230701967)</f>
        <v>44524.72307</v>
      </c>
      <c r="D7660" s="15">
        <f>IFERROR(__xludf.DUMMYFUNCTION("""COMPUTED_VALUE"""),1.049)</f>
        <v>1.049</v>
      </c>
      <c r="E7660" s="16">
        <f>IFERROR(__xludf.DUMMYFUNCTION("""COMPUTED_VALUE"""),66.0)</f>
        <v>66</v>
      </c>
      <c r="F7660" s="19" t="str">
        <f>IFERROR(__xludf.DUMMYFUNCTION("""COMPUTED_VALUE"""),"BLACK")</f>
        <v>BLACK</v>
      </c>
      <c r="G7660" s="20" t="str">
        <f>IFERROR(__xludf.DUMMYFUNCTION("""COMPUTED_VALUE"""),"Uncle Sams Cider (11/12/2021) 02")</f>
        <v>Uncle Sams Cider (11/12/2021) 02</v>
      </c>
      <c r="H7660" s="19"/>
    </row>
    <row r="7661">
      <c r="A7661" s="9"/>
      <c r="B7661" s="15"/>
      <c r="C7661" s="9">
        <f>IFERROR(__xludf.DUMMYFUNCTION("""COMPUTED_VALUE"""),44524.7126479629)</f>
        <v>44524.71265</v>
      </c>
      <c r="D7661" s="15">
        <f>IFERROR(__xludf.DUMMYFUNCTION("""COMPUTED_VALUE"""),1.048)</f>
        <v>1.048</v>
      </c>
      <c r="E7661" s="16">
        <f>IFERROR(__xludf.DUMMYFUNCTION("""COMPUTED_VALUE"""),66.0)</f>
        <v>66</v>
      </c>
      <c r="F7661" s="19" t="str">
        <f>IFERROR(__xludf.DUMMYFUNCTION("""COMPUTED_VALUE"""),"BLACK")</f>
        <v>BLACK</v>
      </c>
      <c r="G7661" s="20" t="str">
        <f>IFERROR(__xludf.DUMMYFUNCTION("""COMPUTED_VALUE"""),"Uncle Sams Cider (11/12/2021) 02")</f>
        <v>Uncle Sams Cider (11/12/2021) 02</v>
      </c>
      <c r="H7661" s="19"/>
    </row>
    <row r="7662">
      <c r="A7662" s="9"/>
      <c r="B7662" s="15"/>
      <c r="C7662" s="9">
        <f>IFERROR(__xludf.DUMMYFUNCTION("""COMPUTED_VALUE"""),44524.70222853)</f>
        <v>44524.70223</v>
      </c>
      <c r="D7662" s="15">
        <f>IFERROR(__xludf.DUMMYFUNCTION("""COMPUTED_VALUE"""),1.049)</f>
        <v>1.049</v>
      </c>
      <c r="E7662" s="16">
        <f>IFERROR(__xludf.DUMMYFUNCTION("""COMPUTED_VALUE"""),66.0)</f>
        <v>66</v>
      </c>
      <c r="F7662" s="19" t="str">
        <f>IFERROR(__xludf.DUMMYFUNCTION("""COMPUTED_VALUE"""),"BLACK")</f>
        <v>BLACK</v>
      </c>
      <c r="G7662" s="20" t="str">
        <f>IFERROR(__xludf.DUMMYFUNCTION("""COMPUTED_VALUE"""),"Uncle Sams Cider (11/12/2021) 02")</f>
        <v>Uncle Sams Cider (11/12/2021) 02</v>
      </c>
      <c r="H7662" s="19"/>
    </row>
    <row r="7663">
      <c r="A7663" s="9"/>
      <c r="B7663" s="15"/>
      <c r="C7663" s="9">
        <f>IFERROR(__xludf.DUMMYFUNCTION("""COMPUTED_VALUE"""),44524.6918076388)</f>
        <v>44524.69181</v>
      </c>
      <c r="D7663" s="15">
        <f>IFERROR(__xludf.DUMMYFUNCTION("""COMPUTED_VALUE"""),1.049)</f>
        <v>1.049</v>
      </c>
      <c r="E7663" s="16">
        <f>IFERROR(__xludf.DUMMYFUNCTION("""COMPUTED_VALUE"""),66.0)</f>
        <v>66</v>
      </c>
      <c r="F7663" s="19" t="str">
        <f>IFERROR(__xludf.DUMMYFUNCTION("""COMPUTED_VALUE"""),"BLACK")</f>
        <v>BLACK</v>
      </c>
      <c r="G7663" s="20" t="str">
        <f>IFERROR(__xludf.DUMMYFUNCTION("""COMPUTED_VALUE"""),"Uncle Sams Cider (11/12/2021) 02")</f>
        <v>Uncle Sams Cider (11/12/2021) 02</v>
      </c>
      <c r="H7663" s="19"/>
    </row>
    <row r="7664">
      <c r="A7664" s="9"/>
      <c r="B7664" s="15"/>
      <c r="C7664" s="9">
        <f>IFERROR(__xludf.DUMMYFUNCTION("""COMPUTED_VALUE"""),44524.6813853935)</f>
        <v>44524.68139</v>
      </c>
      <c r="D7664" s="15">
        <f>IFERROR(__xludf.DUMMYFUNCTION("""COMPUTED_VALUE"""),1.049)</f>
        <v>1.049</v>
      </c>
      <c r="E7664" s="16">
        <f>IFERROR(__xludf.DUMMYFUNCTION("""COMPUTED_VALUE"""),66.0)</f>
        <v>66</v>
      </c>
      <c r="F7664" s="19" t="str">
        <f>IFERROR(__xludf.DUMMYFUNCTION("""COMPUTED_VALUE"""),"BLACK")</f>
        <v>BLACK</v>
      </c>
      <c r="G7664" s="20" t="str">
        <f>IFERROR(__xludf.DUMMYFUNCTION("""COMPUTED_VALUE"""),"Uncle Sams Cider (11/12/2021) 02")</f>
        <v>Uncle Sams Cider (11/12/2021) 02</v>
      </c>
      <c r="H7664" s="19"/>
    </row>
    <row r="7665">
      <c r="A7665" s="9"/>
      <c r="B7665" s="15"/>
      <c r="C7665" s="9">
        <f>IFERROR(__xludf.DUMMYFUNCTION("""COMPUTED_VALUE"""),44524.6709646874)</f>
        <v>44524.67096</v>
      </c>
      <c r="D7665" s="15">
        <f>IFERROR(__xludf.DUMMYFUNCTION("""COMPUTED_VALUE"""),1.049)</f>
        <v>1.049</v>
      </c>
      <c r="E7665" s="16">
        <f>IFERROR(__xludf.DUMMYFUNCTION("""COMPUTED_VALUE"""),66.0)</f>
        <v>66</v>
      </c>
      <c r="F7665" s="19" t="str">
        <f>IFERROR(__xludf.DUMMYFUNCTION("""COMPUTED_VALUE"""),"BLACK")</f>
        <v>BLACK</v>
      </c>
      <c r="G7665" s="20" t="str">
        <f>IFERROR(__xludf.DUMMYFUNCTION("""COMPUTED_VALUE"""),"Uncle Sams Cider (11/12/2021) 02")</f>
        <v>Uncle Sams Cider (11/12/2021) 02</v>
      </c>
      <c r="H7665" s="19"/>
    </row>
    <row r="7666">
      <c r="A7666" s="9"/>
      <c r="B7666" s="15"/>
      <c r="C7666" s="9">
        <f>IFERROR(__xludf.DUMMYFUNCTION("""COMPUTED_VALUE"""),44524.6605430324)</f>
        <v>44524.66054</v>
      </c>
      <c r="D7666" s="15">
        <f>IFERROR(__xludf.DUMMYFUNCTION("""COMPUTED_VALUE"""),1.049)</f>
        <v>1.049</v>
      </c>
      <c r="E7666" s="16">
        <f>IFERROR(__xludf.DUMMYFUNCTION("""COMPUTED_VALUE"""),66.0)</f>
        <v>66</v>
      </c>
      <c r="F7666" s="19" t="str">
        <f>IFERROR(__xludf.DUMMYFUNCTION("""COMPUTED_VALUE"""),"BLACK")</f>
        <v>BLACK</v>
      </c>
      <c r="G7666" s="20" t="str">
        <f>IFERROR(__xludf.DUMMYFUNCTION("""COMPUTED_VALUE"""),"Uncle Sams Cider (11/12/2021) 02")</f>
        <v>Uncle Sams Cider (11/12/2021) 02</v>
      </c>
      <c r="H7666" s="19"/>
    </row>
    <row r="7667">
      <c r="A7667" s="9"/>
      <c r="B7667" s="15"/>
      <c r="C7667" s="9">
        <f>IFERROR(__xludf.DUMMYFUNCTION("""COMPUTED_VALUE"""),44524.6501096759)</f>
        <v>44524.65011</v>
      </c>
      <c r="D7667" s="15">
        <f>IFERROR(__xludf.DUMMYFUNCTION("""COMPUTED_VALUE"""),1.049)</f>
        <v>1.049</v>
      </c>
      <c r="E7667" s="16">
        <f>IFERROR(__xludf.DUMMYFUNCTION("""COMPUTED_VALUE"""),66.0)</f>
        <v>66</v>
      </c>
      <c r="F7667" s="19" t="str">
        <f>IFERROR(__xludf.DUMMYFUNCTION("""COMPUTED_VALUE"""),"BLACK")</f>
        <v>BLACK</v>
      </c>
      <c r="G7667" s="20" t="str">
        <f>IFERROR(__xludf.DUMMYFUNCTION("""COMPUTED_VALUE"""),"Uncle Sams Cider (11/12/2021) 02")</f>
        <v>Uncle Sams Cider (11/12/2021) 02</v>
      </c>
      <c r="H7667" s="19"/>
    </row>
    <row r="7668">
      <c r="A7668" s="9"/>
      <c r="B7668" s="15"/>
      <c r="C7668" s="9">
        <f>IFERROR(__xludf.DUMMYFUNCTION("""COMPUTED_VALUE"""),44524.639689074)</f>
        <v>44524.63969</v>
      </c>
      <c r="D7668" s="15">
        <f>IFERROR(__xludf.DUMMYFUNCTION("""COMPUTED_VALUE"""),1.049)</f>
        <v>1.049</v>
      </c>
      <c r="E7668" s="16">
        <f>IFERROR(__xludf.DUMMYFUNCTION("""COMPUTED_VALUE"""),66.0)</f>
        <v>66</v>
      </c>
      <c r="F7668" s="19" t="str">
        <f>IFERROR(__xludf.DUMMYFUNCTION("""COMPUTED_VALUE"""),"BLACK")</f>
        <v>BLACK</v>
      </c>
      <c r="G7668" s="20" t="str">
        <f>IFERROR(__xludf.DUMMYFUNCTION("""COMPUTED_VALUE"""),"Uncle Sams Cider (11/12/2021) 02")</f>
        <v>Uncle Sams Cider (11/12/2021) 02</v>
      </c>
      <c r="H7668" s="19"/>
    </row>
    <row r="7669">
      <c r="A7669" s="9"/>
      <c r="B7669" s="15"/>
      <c r="C7669" s="9">
        <f>IFERROR(__xludf.DUMMYFUNCTION("""COMPUTED_VALUE"""),44524.6292675347)</f>
        <v>44524.62927</v>
      </c>
      <c r="D7669" s="15">
        <f>IFERROR(__xludf.DUMMYFUNCTION("""COMPUTED_VALUE"""),1.049)</f>
        <v>1.049</v>
      </c>
      <c r="E7669" s="16">
        <f>IFERROR(__xludf.DUMMYFUNCTION("""COMPUTED_VALUE"""),66.0)</f>
        <v>66</v>
      </c>
      <c r="F7669" s="19" t="str">
        <f>IFERROR(__xludf.DUMMYFUNCTION("""COMPUTED_VALUE"""),"BLACK")</f>
        <v>BLACK</v>
      </c>
      <c r="G7669" s="20" t="str">
        <f>IFERROR(__xludf.DUMMYFUNCTION("""COMPUTED_VALUE"""),"Uncle Sams Cider (11/12/2021) 02")</f>
        <v>Uncle Sams Cider (11/12/2021) 02</v>
      </c>
      <c r="H7669" s="19"/>
    </row>
    <row r="7670">
      <c r="A7670" s="9"/>
      <c r="B7670" s="15"/>
      <c r="C7670" s="9">
        <f>IFERROR(__xludf.DUMMYFUNCTION("""COMPUTED_VALUE"""),44524.6188484027)</f>
        <v>44524.61885</v>
      </c>
      <c r="D7670" s="15">
        <f>IFERROR(__xludf.DUMMYFUNCTION("""COMPUTED_VALUE"""),1.049)</f>
        <v>1.049</v>
      </c>
      <c r="E7670" s="16">
        <f>IFERROR(__xludf.DUMMYFUNCTION("""COMPUTED_VALUE"""),66.0)</f>
        <v>66</v>
      </c>
      <c r="F7670" s="19" t="str">
        <f>IFERROR(__xludf.DUMMYFUNCTION("""COMPUTED_VALUE"""),"BLACK")</f>
        <v>BLACK</v>
      </c>
      <c r="G7670" s="20" t="str">
        <f>IFERROR(__xludf.DUMMYFUNCTION("""COMPUTED_VALUE"""),"Uncle Sams Cider (11/12/2021) 02")</f>
        <v>Uncle Sams Cider (11/12/2021) 02</v>
      </c>
      <c r="H7670" s="19"/>
    </row>
    <row r="7671">
      <c r="A7671" s="9"/>
      <c r="B7671" s="15"/>
      <c r="C7671" s="9">
        <f>IFERROR(__xludf.DUMMYFUNCTION("""COMPUTED_VALUE"""),44524.608426655)</f>
        <v>44524.60843</v>
      </c>
      <c r="D7671" s="15">
        <f>IFERROR(__xludf.DUMMYFUNCTION("""COMPUTED_VALUE"""),1.049)</f>
        <v>1.049</v>
      </c>
      <c r="E7671" s="16">
        <f>IFERROR(__xludf.DUMMYFUNCTION("""COMPUTED_VALUE"""),66.0)</f>
        <v>66</v>
      </c>
      <c r="F7671" s="19" t="str">
        <f>IFERROR(__xludf.DUMMYFUNCTION("""COMPUTED_VALUE"""),"BLACK")</f>
        <v>BLACK</v>
      </c>
      <c r="G7671" s="20" t="str">
        <f>IFERROR(__xludf.DUMMYFUNCTION("""COMPUTED_VALUE"""),"Uncle Sams Cider (11/12/2021) 02")</f>
        <v>Uncle Sams Cider (11/12/2021) 02</v>
      </c>
      <c r="H7671" s="19"/>
    </row>
    <row r="7672">
      <c r="A7672" s="9"/>
      <c r="B7672" s="15"/>
      <c r="C7672" s="9">
        <f>IFERROR(__xludf.DUMMYFUNCTION("""COMPUTED_VALUE"""),44524.5980070601)</f>
        <v>44524.59801</v>
      </c>
      <c r="D7672" s="15">
        <f>IFERROR(__xludf.DUMMYFUNCTION("""COMPUTED_VALUE"""),1.049)</f>
        <v>1.049</v>
      </c>
      <c r="E7672" s="16">
        <f>IFERROR(__xludf.DUMMYFUNCTION("""COMPUTED_VALUE"""),66.0)</f>
        <v>66</v>
      </c>
      <c r="F7672" s="19" t="str">
        <f>IFERROR(__xludf.DUMMYFUNCTION("""COMPUTED_VALUE"""),"BLACK")</f>
        <v>BLACK</v>
      </c>
      <c r="G7672" s="20" t="str">
        <f>IFERROR(__xludf.DUMMYFUNCTION("""COMPUTED_VALUE"""),"Uncle Sams Cider (11/12/2021) 02")</f>
        <v>Uncle Sams Cider (11/12/2021) 02</v>
      </c>
      <c r="H7672" s="19"/>
    </row>
    <row r="7673">
      <c r="A7673" s="9"/>
      <c r="B7673" s="15"/>
      <c r="C7673" s="9">
        <f>IFERROR(__xludf.DUMMYFUNCTION("""COMPUTED_VALUE"""),44524.5875868171)</f>
        <v>44524.58759</v>
      </c>
      <c r="D7673" s="15">
        <f>IFERROR(__xludf.DUMMYFUNCTION("""COMPUTED_VALUE"""),1.049)</f>
        <v>1.049</v>
      </c>
      <c r="E7673" s="16">
        <f>IFERROR(__xludf.DUMMYFUNCTION("""COMPUTED_VALUE"""),67.0)</f>
        <v>67</v>
      </c>
      <c r="F7673" s="19" t="str">
        <f>IFERROR(__xludf.DUMMYFUNCTION("""COMPUTED_VALUE"""),"BLACK")</f>
        <v>BLACK</v>
      </c>
      <c r="G7673" s="20" t="str">
        <f>IFERROR(__xludf.DUMMYFUNCTION("""COMPUTED_VALUE"""),"Uncle Sams Cider (11/12/2021) 02")</f>
        <v>Uncle Sams Cider (11/12/2021) 02</v>
      </c>
      <c r="H7673" s="19"/>
    </row>
    <row r="7674">
      <c r="A7674" s="9"/>
      <c r="B7674" s="15"/>
      <c r="C7674" s="9">
        <f>IFERROR(__xludf.DUMMYFUNCTION("""COMPUTED_VALUE"""),44524.5771651504)</f>
        <v>44524.57717</v>
      </c>
      <c r="D7674" s="15">
        <f>IFERROR(__xludf.DUMMYFUNCTION("""COMPUTED_VALUE"""),1.049)</f>
        <v>1.049</v>
      </c>
      <c r="E7674" s="16">
        <f>IFERROR(__xludf.DUMMYFUNCTION("""COMPUTED_VALUE"""),67.0)</f>
        <v>67</v>
      </c>
      <c r="F7674" s="19" t="str">
        <f>IFERROR(__xludf.DUMMYFUNCTION("""COMPUTED_VALUE"""),"BLACK")</f>
        <v>BLACK</v>
      </c>
      <c r="G7674" s="20" t="str">
        <f>IFERROR(__xludf.DUMMYFUNCTION("""COMPUTED_VALUE"""),"Uncle Sams Cider (11/12/2021) 02")</f>
        <v>Uncle Sams Cider (11/12/2021) 02</v>
      </c>
      <c r="H7674" s="19"/>
    </row>
    <row r="7675">
      <c r="A7675" s="9"/>
      <c r="B7675" s="15"/>
      <c r="C7675" s="9">
        <f>IFERROR(__xludf.DUMMYFUNCTION("""COMPUTED_VALUE"""),44524.5667445023)</f>
        <v>44524.56674</v>
      </c>
      <c r="D7675" s="15">
        <f>IFERROR(__xludf.DUMMYFUNCTION("""COMPUTED_VALUE"""),1.049)</f>
        <v>1.049</v>
      </c>
      <c r="E7675" s="16">
        <f>IFERROR(__xludf.DUMMYFUNCTION("""COMPUTED_VALUE"""),67.0)</f>
        <v>67</v>
      </c>
      <c r="F7675" s="19" t="str">
        <f>IFERROR(__xludf.DUMMYFUNCTION("""COMPUTED_VALUE"""),"BLACK")</f>
        <v>BLACK</v>
      </c>
      <c r="G7675" s="20" t="str">
        <f>IFERROR(__xludf.DUMMYFUNCTION("""COMPUTED_VALUE"""),"Uncle Sams Cider (11/12/2021) 02")</f>
        <v>Uncle Sams Cider (11/12/2021) 02</v>
      </c>
      <c r="H7675" s="19"/>
    </row>
    <row r="7676">
      <c r="A7676" s="9"/>
      <c r="B7676" s="15"/>
      <c r="C7676" s="9">
        <f>IFERROR(__xludf.DUMMYFUNCTION("""COMPUTED_VALUE"""),44524.5563224074)</f>
        <v>44524.55632</v>
      </c>
      <c r="D7676" s="15">
        <f>IFERROR(__xludf.DUMMYFUNCTION("""COMPUTED_VALUE"""),1.049)</f>
        <v>1.049</v>
      </c>
      <c r="E7676" s="16">
        <f>IFERROR(__xludf.DUMMYFUNCTION("""COMPUTED_VALUE"""),67.0)</f>
        <v>67</v>
      </c>
      <c r="F7676" s="19" t="str">
        <f>IFERROR(__xludf.DUMMYFUNCTION("""COMPUTED_VALUE"""),"BLACK")</f>
        <v>BLACK</v>
      </c>
      <c r="G7676" s="20" t="str">
        <f>IFERROR(__xludf.DUMMYFUNCTION("""COMPUTED_VALUE"""),"Uncle Sams Cider (11/12/2021) 02")</f>
        <v>Uncle Sams Cider (11/12/2021) 02</v>
      </c>
      <c r="H7676" s="19"/>
    </row>
    <row r="7677">
      <c r="A7677" s="9"/>
      <c r="B7677" s="15"/>
      <c r="C7677" s="9">
        <f>IFERROR(__xludf.DUMMYFUNCTION("""COMPUTED_VALUE"""),44524.545902199)</f>
        <v>44524.5459</v>
      </c>
      <c r="D7677" s="15">
        <f>IFERROR(__xludf.DUMMYFUNCTION("""COMPUTED_VALUE"""),1.049)</f>
        <v>1.049</v>
      </c>
      <c r="E7677" s="16">
        <f>IFERROR(__xludf.DUMMYFUNCTION("""COMPUTED_VALUE"""),67.0)</f>
        <v>67</v>
      </c>
      <c r="F7677" s="19" t="str">
        <f>IFERROR(__xludf.DUMMYFUNCTION("""COMPUTED_VALUE"""),"BLACK")</f>
        <v>BLACK</v>
      </c>
      <c r="G7677" s="20" t="str">
        <f>IFERROR(__xludf.DUMMYFUNCTION("""COMPUTED_VALUE"""),"Uncle Sams Cider (11/12/2021) 02")</f>
        <v>Uncle Sams Cider (11/12/2021) 02</v>
      </c>
      <c r="H7677" s="19"/>
    </row>
    <row r="7678">
      <c r="A7678" s="9"/>
      <c r="B7678" s="15"/>
      <c r="C7678" s="9">
        <f>IFERROR(__xludf.DUMMYFUNCTION("""COMPUTED_VALUE"""),44524.5354808564)</f>
        <v>44524.53548</v>
      </c>
      <c r="D7678" s="15">
        <f>IFERROR(__xludf.DUMMYFUNCTION("""COMPUTED_VALUE"""),1.049)</f>
        <v>1.049</v>
      </c>
      <c r="E7678" s="16">
        <f>IFERROR(__xludf.DUMMYFUNCTION("""COMPUTED_VALUE"""),66.0)</f>
        <v>66</v>
      </c>
      <c r="F7678" s="19" t="str">
        <f>IFERROR(__xludf.DUMMYFUNCTION("""COMPUTED_VALUE"""),"BLACK")</f>
        <v>BLACK</v>
      </c>
      <c r="G7678" s="20" t="str">
        <f>IFERROR(__xludf.DUMMYFUNCTION("""COMPUTED_VALUE"""),"Uncle Sams Cider (11/12/2021) 02")</f>
        <v>Uncle Sams Cider (11/12/2021) 02</v>
      </c>
      <c r="H7678" s="19"/>
    </row>
    <row r="7679">
      <c r="A7679" s="9"/>
      <c r="B7679" s="15"/>
      <c r="C7679" s="9">
        <f>IFERROR(__xludf.DUMMYFUNCTION("""COMPUTED_VALUE"""),44524.5250586689)</f>
        <v>44524.52506</v>
      </c>
      <c r="D7679" s="15">
        <f>IFERROR(__xludf.DUMMYFUNCTION("""COMPUTED_VALUE"""),1.049)</f>
        <v>1.049</v>
      </c>
      <c r="E7679" s="16">
        <f>IFERROR(__xludf.DUMMYFUNCTION("""COMPUTED_VALUE"""),67.0)</f>
        <v>67</v>
      </c>
      <c r="F7679" s="19" t="str">
        <f>IFERROR(__xludf.DUMMYFUNCTION("""COMPUTED_VALUE"""),"BLACK")</f>
        <v>BLACK</v>
      </c>
      <c r="G7679" s="20" t="str">
        <f>IFERROR(__xludf.DUMMYFUNCTION("""COMPUTED_VALUE"""),"Uncle Sams Cider (11/12/2021) 02")</f>
        <v>Uncle Sams Cider (11/12/2021) 02</v>
      </c>
      <c r="H7679" s="19"/>
    </row>
    <row r="7680">
      <c r="A7680" s="9"/>
      <c r="B7680" s="15"/>
      <c r="C7680" s="9">
        <f>IFERROR(__xludf.DUMMYFUNCTION("""COMPUTED_VALUE"""),44524.5146373726)</f>
        <v>44524.51464</v>
      </c>
      <c r="D7680" s="15">
        <f>IFERROR(__xludf.DUMMYFUNCTION("""COMPUTED_VALUE"""),1.049)</f>
        <v>1.049</v>
      </c>
      <c r="E7680" s="16">
        <f>IFERROR(__xludf.DUMMYFUNCTION("""COMPUTED_VALUE"""),67.0)</f>
        <v>67</v>
      </c>
      <c r="F7680" s="19" t="str">
        <f>IFERROR(__xludf.DUMMYFUNCTION("""COMPUTED_VALUE"""),"BLACK")</f>
        <v>BLACK</v>
      </c>
      <c r="G7680" s="20" t="str">
        <f>IFERROR(__xludf.DUMMYFUNCTION("""COMPUTED_VALUE"""),"Uncle Sams Cider (11/12/2021) 02")</f>
        <v>Uncle Sams Cider (11/12/2021) 02</v>
      </c>
      <c r="H7680" s="19"/>
    </row>
    <row r="7681">
      <c r="A7681" s="9"/>
      <c r="B7681" s="15"/>
      <c r="C7681" s="9">
        <f>IFERROR(__xludf.DUMMYFUNCTION("""COMPUTED_VALUE"""),44524.5042173495)</f>
        <v>44524.50422</v>
      </c>
      <c r="D7681" s="15">
        <f>IFERROR(__xludf.DUMMYFUNCTION("""COMPUTED_VALUE"""),1.049)</f>
        <v>1.049</v>
      </c>
      <c r="E7681" s="16">
        <f>IFERROR(__xludf.DUMMYFUNCTION("""COMPUTED_VALUE"""),67.0)</f>
        <v>67</v>
      </c>
      <c r="F7681" s="19" t="str">
        <f>IFERROR(__xludf.DUMMYFUNCTION("""COMPUTED_VALUE"""),"BLACK")</f>
        <v>BLACK</v>
      </c>
      <c r="G7681" s="20" t="str">
        <f>IFERROR(__xludf.DUMMYFUNCTION("""COMPUTED_VALUE"""),"Uncle Sams Cider (11/12/2021) 02")</f>
        <v>Uncle Sams Cider (11/12/2021) 02</v>
      </c>
      <c r="H7681" s="19"/>
    </row>
    <row r="7682">
      <c r="A7682" s="9"/>
      <c r="B7682" s="15"/>
      <c r="C7682" s="9">
        <f>IFERROR(__xludf.DUMMYFUNCTION("""COMPUTED_VALUE"""),44524.4937953587)</f>
        <v>44524.4938</v>
      </c>
      <c r="D7682" s="15">
        <f>IFERROR(__xludf.DUMMYFUNCTION("""COMPUTED_VALUE"""),1.049)</f>
        <v>1.049</v>
      </c>
      <c r="E7682" s="16">
        <f>IFERROR(__xludf.DUMMYFUNCTION("""COMPUTED_VALUE"""),66.0)</f>
        <v>66</v>
      </c>
      <c r="F7682" s="19" t="str">
        <f>IFERROR(__xludf.DUMMYFUNCTION("""COMPUTED_VALUE"""),"BLACK")</f>
        <v>BLACK</v>
      </c>
      <c r="G7682" s="20" t="str">
        <f>IFERROR(__xludf.DUMMYFUNCTION("""COMPUTED_VALUE"""),"Uncle Sams Cider (11/12/2021) 02")</f>
        <v>Uncle Sams Cider (11/12/2021) 02</v>
      </c>
      <c r="H7682" s="19"/>
    </row>
    <row r="7683">
      <c r="A7683" s="9"/>
      <c r="B7683" s="15"/>
      <c r="C7683" s="9">
        <f>IFERROR(__xludf.DUMMYFUNCTION("""COMPUTED_VALUE"""),44524.483374537)</f>
        <v>44524.48337</v>
      </c>
      <c r="D7683" s="15">
        <f>IFERROR(__xludf.DUMMYFUNCTION("""COMPUTED_VALUE"""),1.049)</f>
        <v>1.049</v>
      </c>
      <c r="E7683" s="16">
        <f>IFERROR(__xludf.DUMMYFUNCTION("""COMPUTED_VALUE"""),67.0)</f>
        <v>67</v>
      </c>
      <c r="F7683" s="19" t="str">
        <f>IFERROR(__xludf.DUMMYFUNCTION("""COMPUTED_VALUE"""),"BLACK")</f>
        <v>BLACK</v>
      </c>
      <c r="G7683" s="20" t="str">
        <f>IFERROR(__xludf.DUMMYFUNCTION("""COMPUTED_VALUE"""),"Uncle Sams Cider (11/12/2021) 02")</f>
        <v>Uncle Sams Cider (11/12/2021) 02</v>
      </c>
      <c r="H7683" s="19"/>
    </row>
    <row r="7684">
      <c r="A7684" s="9"/>
      <c r="B7684" s="15"/>
      <c r="C7684" s="9">
        <f>IFERROR(__xludf.DUMMYFUNCTION("""COMPUTED_VALUE"""),44524.4729307175)</f>
        <v>44524.47293</v>
      </c>
      <c r="D7684" s="15">
        <f>IFERROR(__xludf.DUMMYFUNCTION("""COMPUTED_VALUE"""),1.049)</f>
        <v>1.049</v>
      </c>
      <c r="E7684" s="16">
        <f>IFERROR(__xludf.DUMMYFUNCTION("""COMPUTED_VALUE"""),67.0)</f>
        <v>67</v>
      </c>
      <c r="F7684" s="19" t="str">
        <f>IFERROR(__xludf.DUMMYFUNCTION("""COMPUTED_VALUE"""),"BLACK")</f>
        <v>BLACK</v>
      </c>
      <c r="G7684" s="20" t="str">
        <f>IFERROR(__xludf.DUMMYFUNCTION("""COMPUTED_VALUE"""),"Uncle Sams Cider (11/12/2021) 02")</f>
        <v>Uncle Sams Cider (11/12/2021) 02</v>
      </c>
      <c r="H7684" s="19"/>
    </row>
    <row r="7685">
      <c r="A7685" s="9"/>
      <c r="B7685" s="15"/>
      <c r="C7685" s="9">
        <f>IFERROR(__xludf.DUMMYFUNCTION("""COMPUTED_VALUE"""),44524.4625087268)</f>
        <v>44524.46251</v>
      </c>
      <c r="D7685" s="15">
        <f>IFERROR(__xludf.DUMMYFUNCTION("""COMPUTED_VALUE"""),1.049)</f>
        <v>1.049</v>
      </c>
      <c r="E7685" s="16">
        <f>IFERROR(__xludf.DUMMYFUNCTION("""COMPUTED_VALUE"""),67.0)</f>
        <v>67</v>
      </c>
      <c r="F7685" s="19" t="str">
        <f>IFERROR(__xludf.DUMMYFUNCTION("""COMPUTED_VALUE"""),"BLACK")</f>
        <v>BLACK</v>
      </c>
      <c r="G7685" s="20" t="str">
        <f>IFERROR(__xludf.DUMMYFUNCTION("""COMPUTED_VALUE"""),"Uncle Sams Cider (11/12/2021) 02")</f>
        <v>Uncle Sams Cider (11/12/2021) 02</v>
      </c>
      <c r="H7685" s="19"/>
    </row>
    <row r="7686">
      <c r="A7686" s="9"/>
      <c r="B7686" s="15"/>
      <c r="C7686" s="9">
        <f>IFERROR(__xludf.DUMMYFUNCTION("""COMPUTED_VALUE"""),44524.4520855208)</f>
        <v>44524.45209</v>
      </c>
      <c r="D7686" s="15">
        <f>IFERROR(__xludf.DUMMYFUNCTION("""COMPUTED_VALUE"""),1.049)</f>
        <v>1.049</v>
      </c>
      <c r="E7686" s="16">
        <f>IFERROR(__xludf.DUMMYFUNCTION("""COMPUTED_VALUE"""),67.0)</f>
        <v>67</v>
      </c>
      <c r="F7686" s="19" t="str">
        <f>IFERROR(__xludf.DUMMYFUNCTION("""COMPUTED_VALUE"""),"BLACK")</f>
        <v>BLACK</v>
      </c>
      <c r="G7686" s="20" t="str">
        <f>IFERROR(__xludf.DUMMYFUNCTION("""COMPUTED_VALUE"""),"Uncle Sams Cider (11/12/2021) 02")</f>
        <v>Uncle Sams Cider (11/12/2021) 02</v>
      </c>
      <c r="H7686" s="19"/>
    </row>
    <row r="7687">
      <c r="A7687" s="9"/>
      <c r="B7687" s="15"/>
      <c r="C7687" s="9">
        <f>IFERROR(__xludf.DUMMYFUNCTION("""COMPUTED_VALUE"""),44524.4416523032)</f>
        <v>44524.44165</v>
      </c>
      <c r="D7687" s="15">
        <f>IFERROR(__xludf.DUMMYFUNCTION("""COMPUTED_VALUE"""),1.049)</f>
        <v>1.049</v>
      </c>
      <c r="E7687" s="16">
        <f>IFERROR(__xludf.DUMMYFUNCTION("""COMPUTED_VALUE"""),67.0)</f>
        <v>67</v>
      </c>
      <c r="F7687" s="19" t="str">
        <f>IFERROR(__xludf.DUMMYFUNCTION("""COMPUTED_VALUE"""),"BLACK")</f>
        <v>BLACK</v>
      </c>
      <c r="G7687" s="20" t="str">
        <f>IFERROR(__xludf.DUMMYFUNCTION("""COMPUTED_VALUE"""),"Uncle Sams Cider (11/12/2021) 02")</f>
        <v>Uncle Sams Cider (11/12/2021) 02</v>
      </c>
      <c r="H7687" s="19"/>
    </row>
    <row r="7688">
      <c r="A7688" s="9"/>
      <c r="B7688" s="15"/>
      <c r="C7688" s="9">
        <f>IFERROR(__xludf.DUMMYFUNCTION("""COMPUTED_VALUE"""),44524.4312294675)</f>
        <v>44524.43123</v>
      </c>
      <c r="D7688" s="15">
        <f>IFERROR(__xludf.DUMMYFUNCTION("""COMPUTED_VALUE"""),1.049)</f>
        <v>1.049</v>
      </c>
      <c r="E7688" s="16">
        <f>IFERROR(__xludf.DUMMYFUNCTION("""COMPUTED_VALUE"""),67.0)</f>
        <v>67</v>
      </c>
      <c r="F7688" s="19" t="str">
        <f>IFERROR(__xludf.DUMMYFUNCTION("""COMPUTED_VALUE"""),"BLACK")</f>
        <v>BLACK</v>
      </c>
      <c r="G7688" s="20" t="str">
        <f>IFERROR(__xludf.DUMMYFUNCTION("""COMPUTED_VALUE"""),"Uncle Sams Cider (11/12/2021) 02")</f>
        <v>Uncle Sams Cider (11/12/2021) 02</v>
      </c>
      <c r="H7688" s="19"/>
    </row>
    <row r="7689">
      <c r="A7689" s="9"/>
      <c r="B7689" s="15"/>
      <c r="C7689" s="9">
        <f>IFERROR(__xludf.DUMMYFUNCTION("""COMPUTED_VALUE"""),44524.4207960185)</f>
        <v>44524.4208</v>
      </c>
      <c r="D7689" s="15">
        <f>IFERROR(__xludf.DUMMYFUNCTION("""COMPUTED_VALUE"""),1.049)</f>
        <v>1.049</v>
      </c>
      <c r="E7689" s="16">
        <f>IFERROR(__xludf.DUMMYFUNCTION("""COMPUTED_VALUE"""),67.0)</f>
        <v>67</v>
      </c>
      <c r="F7689" s="19" t="str">
        <f>IFERROR(__xludf.DUMMYFUNCTION("""COMPUTED_VALUE"""),"BLACK")</f>
        <v>BLACK</v>
      </c>
      <c r="G7689" s="20" t="str">
        <f>IFERROR(__xludf.DUMMYFUNCTION("""COMPUTED_VALUE"""),"Uncle Sams Cider (11/12/2021) 02")</f>
        <v>Uncle Sams Cider (11/12/2021) 02</v>
      </c>
      <c r="H7689" s="19"/>
    </row>
    <row r="7690">
      <c r="A7690" s="9"/>
      <c r="B7690" s="15"/>
      <c r="C7690" s="9">
        <f>IFERROR(__xludf.DUMMYFUNCTION("""COMPUTED_VALUE"""),44524.4103740856)</f>
        <v>44524.41037</v>
      </c>
      <c r="D7690" s="15">
        <f>IFERROR(__xludf.DUMMYFUNCTION("""COMPUTED_VALUE"""),1.049)</f>
        <v>1.049</v>
      </c>
      <c r="E7690" s="16">
        <f>IFERROR(__xludf.DUMMYFUNCTION("""COMPUTED_VALUE"""),67.0)</f>
        <v>67</v>
      </c>
      <c r="F7690" s="19" t="str">
        <f>IFERROR(__xludf.DUMMYFUNCTION("""COMPUTED_VALUE"""),"BLACK")</f>
        <v>BLACK</v>
      </c>
      <c r="G7690" s="20" t="str">
        <f>IFERROR(__xludf.DUMMYFUNCTION("""COMPUTED_VALUE"""),"Uncle Sams Cider (11/12/2021) 02")</f>
        <v>Uncle Sams Cider (11/12/2021) 02</v>
      </c>
      <c r="H7690" s="19"/>
    </row>
    <row r="7691">
      <c r="A7691" s="9"/>
      <c r="B7691" s="15"/>
      <c r="C7691" s="9">
        <f>IFERROR(__xludf.DUMMYFUNCTION("""COMPUTED_VALUE"""),44524.399952743)</f>
        <v>44524.39995</v>
      </c>
      <c r="D7691" s="15">
        <f>IFERROR(__xludf.DUMMYFUNCTION("""COMPUTED_VALUE"""),1.049)</f>
        <v>1.049</v>
      </c>
      <c r="E7691" s="16">
        <f>IFERROR(__xludf.DUMMYFUNCTION("""COMPUTED_VALUE"""),67.0)</f>
        <v>67</v>
      </c>
      <c r="F7691" s="19" t="str">
        <f>IFERROR(__xludf.DUMMYFUNCTION("""COMPUTED_VALUE"""),"BLACK")</f>
        <v>BLACK</v>
      </c>
      <c r="G7691" s="20" t="str">
        <f>IFERROR(__xludf.DUMMYFUNCTION("""COMPUTED_VALUE"""),"Uncle Sams Cider (11/12/2021) 02")</f>
        <v>Uncle Sams Cider (11/12/2021) 02</v>
      </c>
      <c r="H7691" s="19"/>
    </row>
    <row r="7692">
      <c r="A7692" s="9"/>
      <c r="B7692" s="15"/>
      <c r="C7692" s="9">
        <f>IFERROR(__xludf.DUMMYFUNCTION("""COMPUTED_VALUE"""),44524.3895321412)</f>
        <v>44524.38953</v>
      </c>
      <c r="D7692" s="15">
        <f>IFERROR(__xludf.DUMMYFUNCTION("""COMPUTED_VALUE"""),1.049)</f>
        <v>1.049</v>
      </c>
      <c r="E7692" s="16">
        <f>IFERROR(__xludf.DUMMYFUNCTION("""COMPUTED_VALUE"""),67.0)</f>
        <v>67</v>
      </c>
      <c r="F7692" s="19" t="str">
        <f>IFERROR(__xludf.DUMMYFUNCTION("""COMPUTED_VALUE"""),"BLACK")</f>
        <v>BLACK</v>
      </c>
      <c r="G7692" s="20" t="str">
        <f>IFERROR(__xludf.DUMMYFUNCTION("""COMPUTED_VALUE"""),"Uncle Sams Cider (11/12/2021) 02")</f>
        <v>Uncle Sams Cider (11/12/2021) 02</v>
      </c>
      <c r="H7692" s="19"/>
    </row>
    <row r="7693">
      <c r="A7693" s="9"/>
      <c r="B7693" s="15"/>
      <c r="C7693" s="9">
        <f>IFERROR(__xludf.DUMMYFUNCTION("""COMPUTED_VALUE"""),44524.3791111689)</f>
        <v>44524.37911</v>
      </c>
      <c r="D7693" s="15">
        <f>IFERROR(__xludf.DUMMYFUNCTION("""COMPUTED_VALUE"""),1.049)</f>
        <v>1.049</v>
      </c>
      <c r="E7693" s="16">
        <f>IFERROR(__xludf.DUMMYFUNCTION("""COMPUTED_VALUE"""),67.0)</f>
        <v>67</v>
      </c>
      <c r="F7693" s="19" t="str">
        <f>IFERROR(__xludf.DUMMYFUNCTION("""COMPUTED_VALUE"""),"BLACK")</f>
        <v>BLACK</v>
      </c>
      <c r="G7693" s="20" t="str">
        <f>IFERROR(__xludf.DUMMYFUNCTION("""COMPUTED_VALUE"""),"Uncle Sams Cider (11/12/2021) 02")</f>
        <v>Uncle Sams Cider (11/12/2021) 02</v>
      </c>
      <c r="H7693" s="19"/>
    </row>
    <row r="7694">
      <c r="A7694" s="9"/>
      <c r="B7694" s="15"/>
      <c r="C7694" s="9">
        <f>IFERROR(__xludf.DUMMYFUNCTION("""COMPUTED_VALUE"""),44524.368690706)</f>
        <v>44524.36869</v>
      </c>
      <c r="D7694" s="15">
        <f>IFERROR(__xludf.DUMMYFUNCTION("""COMPUTED_VALUE"""),1.049)</f>
        <v>1.049</v>
      </c>
      <c r="E7694" s="16">
        <f>IFERROR(__xludf.DUMMYFUNCTION("""COMPUTED_VALUE"""),67.0)</f>
        <v>67</v>
      </c>
      <c r="F7694" s="19" t="str">
        <f>IFERROR(__xludf.DUMMYFUNCTION("""COMPUTED_VALUE"""),"BLACK")</f>
        <v>BLACK</v>
      </c>
      <c r="G7694" s="20" t="str">
        <f>IFERROR(__xludf.DUMMYFUNCTION("""COMPUTED_VALUE"""),"Uncle Sams Cider (11/12/2021) 02")</f>
        <v>Uncle Sams Cider (11/12/2021) 02</v>
      </c>
      <c r="H7694" s="19"/>
    </row>
    <row r="7695">
      <c r="A7695" s="9"/>
      <c r="B7695" s="15"/>
      <c r="C7695" s="9">
        <f>IFERROR(__xludf.DUMMYFUNCTION("""COMPUTED_VALUE"""),44524.3582698611)</f>
        <v>44524.35827</v>
      </c>
      <c r="D7695" s="15">
        <f>IFERROR(__xludf.DUMMYFUNCTION("""COMPUTED_VALUE"""),1.049)</f>
        <v>1.049</v>
      </c>
      <c r="E7695" s="16">
        <f>IFERROR(__xludf.DUMMYFUNCTION("""COMPUTED_VALUE"""),67.0)</f>
        <v>67</v>
      </c>
      <c r="F7695" s="19" t="str">
        <f>IFERROR(__xludf.DUMMYFUNCTION("""COMPUTED_VALUE"""),"BLACK")</f>
        <v>BLACK</v>
      </c>
      <c r="G7695" s="20" t="str">
        <f>IFERROR(__xludf.DUMMYFUNCTION("""COMPUTED_VALUE"""),"Uncle Sams Cider (11/12/2021) 02")</f>
        <v>Uncle Sams Cider (11/12/2021) 02</v>
      </c>
      <c r="H7695" s="19"/>
    </row>
    <row r="7696">
      <c r="A7696" s="9"/>
      <c r="B7696" s="15"/>
      <c r="C7696" s="9">
        <f>IFERROR(__xludf.DUMMYFUNCTION("""COMPUTED_VALUE"""),44524.3478498379)</f>
        <v>44524.34785</v>
      </c>
      <c r="D7696" s="15">
        <f>IFERROR(__xludf.DUMMYFUNCTION("""COMPUTED_VALUE"""),1.049)</f>
        <v>1.049</v>
      </c>
      <c r="E7696" s="16">
        <f>IFERROR(__xludf.DUMMYFUNCTION("""COMPUTED_VALUE"""),67.0)</f>
        <v>67</v>
      </c>
      <c r="F7696" s="19" t="str">
        <f>IFERROR(__xludf.DUMMYFUNCTION("""COMPUTED_VALUE"""),"BLACK")</f>
        <v>BLACK</v>
      </c>
      <c r="G7696" s="20" t="str">
        <f>IFERROR(__xludf.DUMMYFUNCTION("""COMPUTED_VALUE"""),"Uncle Sams Cider (11/12/2021) 02")</f>
        <v>Uncle Sams Cider (11/12/2021) 02</v>
      </c>
      <c r="H7696" s="19"/>
    </row>
    <row r="7697">
      <c r="A7697" s="9"/>
      <c r="B7697" s="15"/>
      <c r="C7697" s="9">
        <f>IFERROR(__xludf.DUMMYFUNCTION("""COMPUTED_VALUE"""),44524.3374281249)</f>
        <v>44524.33743</v>
      </c>
      <c r="D7697" s="15">
        <f>IFERROR(__xludf.DUMMYFUNCTION("""COMPUTED_VALUE"""),1.05)</f>
        <v>1.05</v>
      </c>
      <c r="E7697" s="16">
        <f>IFERROR(__xludf.DUMMYFUNCTION("""COMPUTED_VALUE"""),67.0)</f>
        <v>67</v>
      </c>
      <c r="F7697" s="19" t="str">
        <f>IFERROR(__xludf.DUMMYFUNCTION("""COMPUTED_VALUE"""),"BLACK")</f>
        <v>BLACK</v>
      </c>
      <c r="G7697" s="20" t="str">
        <f>IFERROR(__xludf.DUMMYFUNCTION("""COMPUTED_VALUE"""),"Uncle Sams Cider (11/12/2021) 02")</f>
        <v>Uncle Sams Cider (11/12/2021) 02</v>
      </c>
      <c r="H7697" s="19"/>
    </row>
    <row r="7698">
      <c r="A7698" s="9"/>
      <c r="B7698" s="15"/>
      <c r="C7698" s="9">
        <f>IFERROR(__xludf.DUMMYFUNCTION("""COMPUTED_VALUE"""),44524.3270076504)</f>
        <v>44524.32701</v>
      </c>
      <c r="D7698" s="15">
        <f>IFERROR(__xludf.DUMMYFUNCTION("""COMPUTED_VALUE"""),1.049)</f>
        <v>1.049</v>
      </c>
      <c r="E7698" s="16">
        <f>IFERROR(__xludf.DUMMYFUNCTION("""COMPUTED_VALUE"""),67.0)</f>
        <v>67</v>
      </c>
      <c r="F7698" s="19" t="str">
        <f>IFERROR(__xludf.DUMMYFUNCTION("""COMPUTED_VALUE"""),"BLACK")</f>
        <v>BLACK</v>
      </c>
      <c r="G7698" s="20" t="str">
        <f>IFERROR(__xludf.DUMMYFUNCTION("""COMPUTED_VALUE"""),"Uncle Sams Cider (11/12/2021) 02")</f>
        <v>Uncle Sams Cider (11/12/2021) 02</v>
      </c>
      <c r="H7698" s="19"/>
    </row>
    <row r="7699">
      <c r="A7699" s="9"/>
      <c r="B7699" s="15"/>
      <c r="C7699" s="9">
        <f>IFERROR(__xludf.DUMMYFUNCTION("""COMPUTED_VALUE"""),44524.3165865277)</f>
        <v>44524.31659</v>
      </c>
      <c r="D7699" s="15">
        <f>IFERROR(__xludf.DUMMYFUNCTION("""COMPUTED_VALUE"""),1.049)</f>
        <v>1.049</v>
      </c>
      <c r="E7699" s="16">
        <f>IFERROR(__xludf.DUMMYFUNCTION("""COMPUTED_VALUE"""),67.0)</f>
        <v>67</v>
      </c>
      <c r="F7699" s="19" t="str">
        <f>IFERROR(__xludf.DUMMYFUNCTION("""COMPUTED_VALUE"""),"BLACK")</f>
        <v>BLACK</v>
      </c>
      <c r="G7699" s="20" t="str">
        <f>IFERROR(__xludf.DUMMYFUNCTION("""COMPUTED_VALUE"""),"Uncle Sams Cider (11/12/2021) 02")</f>
        <v>Uncle Sams Cider (11/12/2021) 02</v>
      </c>
      <c r="H7699" s="19"/>
    </row>
    <row r="7700">
      <c r="A7700" s="9"/>
      <c r="B7700" s="15"/>
      <c r="C7700" s="9">
        <f>IFERROR(__xludf.DUMMYFUNCTION("""COMPUTED_VALUE"""),44524.3061678587)</f>
        <v>44524.30617</v>
      </c>
      <c r="D7700" s="15">
        <f>IFERROR(__xludf.DUMMYFUNCTION("""COMPUTED_VALUE"""),1.05)</f>
        <v>1.05</v>
      </c>
      <c r="E7700" s="16">
        <f>IFERROR(__xludf.DUMMYFUNCTION("""COMPUTED_VALUE"""),67.0)</f>
        <v>67</v>
      </c>
      <c r="F7700" s="19" t="str">
        <f>IFERROR(__xludf.DUMMYFUNCTION("""COMPUTED_VALUE"""),"BLACK")</f>
        <v>BLACK</v>
      </c>
      <c r="G7700" s="20" t="str">
        <f>IFERROR(__xludf.DUMMYFUNCTION("""COMPUTED_VALUE"""),"Uncle Sams Cider (11/12/2021) 02")</f>
        <v>Uncle Sams Cider (11/12/2021) 02</v>
      </c>
      <c r="H7700" s="19"/>
    </row>
    <row r="7701">
      <c r="A7701" s="9"/>
      <c r="B7701" s="15"/>
      <c r="C7701" s="9">
        <f>IFERROR(__xludf.DUMMYFUNCTION("""COMPUTED_VALUE"""),44524.2957469328)</f>
        <v>44524.29575</v>
      </c>
      <c r="D7701" s="15">
        <f>IFERROR(__xludf.DUMMYFUNCTION("""COMPUTED_VALUE"""),1.05)</f>
        <v>1.05</v>
      </c>
      <c r="E7701" s="16">
        <f>IFERROR(__xludf.DUMMYFUNCTION("""COMPUTED_VALUE"""),67.0)</f>
        <v>67</v>
      </c>
      <c r="F7701" s="19" t="str">
        <f>IFERROR(__xludf.DUMMYFUNCTION("""COMPUTED_VALUE"""),"BLACK")</f>
        <v>BLACK</v>
      </c>
      <c r="G7701" s="20" t="str">
        <f>IFERROR(__xludf.DUMMYFUNCTION("""COMPUTED_VALUE"""),"Uncle Sams Cider (11/12/2021) 02")</f>
        <v>Uncle Sams Cider (11/12/2021) 02</v>
      </c>
      <c r="H7701" s="19"/>
    </row>
    <row r="7702">
      <c r="A7702" s="9"/>
      <c r="B7702" s="15"/>
      <c r="C7702" s="9">
        <f>IFERROR(__xludf.DUMMYFUNCTION("""COMPUTED_VALUE"""),44524.285314537)</f>
        <v>44524.28531</v>
      </c>
      <c r="D7702" s="15">
        <f>IFERROR(__xludf.DUMMYFUNCTION("""COMPUTED_VALUE"""),1.05)</f>
        <v>1.05</v>
      </c>
      <c r="E7702" s="16">
        <f>IFERROR(__xludf.DUMMYFUNCTION("""COMPUTED_VALUE"""),67.0)</f>
        <v>67</v>
      </c>
      <c r="F7702" s="19" t="str">
        <f>IFERROR(__xludf.DUMMYFUNCTION("""COMPUTED_VALUE"""),"BLACK")</f>
        <v>BLACK</v>
      </c>
      <c r="G7702" s="20" t="str">
        <f>IFERROR(__xludf.DUMMYFUNCTION("""COMPUTED_VALUE"""),"Uncle Sams Cider (11/12/2021) 02")</f>
        <v>Uncle Sams Cider (11/12/2021) 02</v>
      </c>
      <c r="H7702" s="19"/>
    </row>
    <row r="7703">
      <c r="A7703" s="9"/>
      <c r="B7703" s="15"/>
      <c r="C7703" s="9">
        <f>IFERROR(__xludf.DUMMYFUNCTION("""COMPUTED_VALUE"""),44524.2748914351)</f>
        <v>44524.27489</v>
      </c>
      <c r="D7703" s="15">
        <f>IFERROR(__xludf.DUMMYFUNCTION("""COMPUTED_VALUE"""),1.05)</f>
        <v>1.05</v>
      </c>
      <c r="E7703" s="16">
        <f>IFERROR(__xludf.DUMMYFUNCTION("""COMPUTED_VALUE"""),67.0)</f>
        <v>67</v>
      </c>
      <c r="F7703" s="19" t="str">
        <f>IFERROR(__xludf.DUMMYFUNCTION("""COMPUTED_VALUE"""),"BLACK")</f>
        <v>BLACK</v>
      </c>
      <c r="G7703" s="20" t="str">
        <f>IFERROR(__xludf.DUMMYFUNCTION("""COMPUTED_VALUE"""),"Uncle Sams Cider (11/12/2021) 02")</f>
        <v>Uncle Sams Cider (11/12/2021) 02</v>
      </c>
      <c r="H7703" s="19"/>
    </row>
    <row r="7704">
      <c r="A7704" s="9"/>
      <c r="B7704" s="15"/>
      <c r="C7704" s="9">
        <f>IFERROR(__xludf.DUMMYFUNCTION("""COMPUTED_VALUE"""),44524.2644592708)</f>
        <v>44524.26446</v>
      </c>
      <c r="D7704" s="15">
        <f>IFERROR(__xludf.DUMMYFUNCTION("""COMPUTED_VALUE"""),1.05)</f>
        <v>1.05</v>
      </c>
      <c r="E7704" s="16">
        <f>IFERROR(__xludf.DUMMYFUNCTION("""COMPUTED_VALUE"""),67.0)</f>
        <v>67</v>
      </c>
      <c r="F7704" s="19" t="str">
        <f>IFERROR(__xludf.DUMMYFUNCTION("""COMPUTED_VALUE"""),"BLACK")</f>
        <v>BLACK</v>
      </c>
      <c r="G7704" s="20" t="str">
        <f>IFERROR(__xludf.DUMMYFUNCTION("""COMPUTED_VALUE"""),"Uncle Sams Cider (11/12/2021) 02")</f>
        <v>Uncle Sams Cider (11/12/2021) 02</v>
      </c>
      <c r="H7704" s="19"/>
    </row>
    <row r="7705">
      <c r="A7705" s="9"/>
      <c r="B7705" s="15"/>
      <c r="C7705" s="9">
        <f>IFERROR(__xludf.DUMMYFUNCTION("""COMPUTED_VALUE"""),44524.2540378009)</f>
        <v>44524.25404</v>
      </c>
      <c r="D7705" s="15">
        <f>IFERROR(__xludf.DUMMYFUNCTION("""COMPUTED_VALUE"""),1.05)</f>
        <v>1.05</v>
      </c>
      <c r="E7705" s="16">
        <f>IFERROR(__xludf.DUMMYFUNCTION("""COMPUTED_VALUE"""),67.0)</f>
        <v>67</v>
      </c>
      <c r="F7705" s="19" t="str">
        <f>IFERROR(__xludf.DUMMYFUNCTION("""COMPUTED_VALUE"""),"BLACK")</f>
        <v>BLACK</v>
      </c>
      <c r="G7705" s="20" t="str">
        <f>IFERROR(__xludf.DUMMYFUNCTION("""COMPUTED_VALUE"""),"Uncle Sams Cider (11/12/2021) 02")</f>
        <v>Uncle Sams Cider (11/12/2021) 02</v>
      </c>
      <c r="H7705" s="19"/>
    </row>
    <row r="7706">
      <c r="A7706" s="9"/>
      <c r="B7706" s="15"/>
      <c r="C7706" s="9">
        <f>IFERROR(__xludf.DUMMYFUNCTION("""COMPUTED_VALUE"""),44524.2436044212)</f>
        <v>44524.2436</v>
      </c>
      <c r="D7706" s="15">
        <f>IFERROR(__xludf.DUMMYFUNCTION("""COMPUTED_VALUE"""),1.05)</f>
        <v>1.05</v>
      </c>
      <c r="E7706" s="16">
        <f>IFERROR(__xludf.DUMMYFUNCTION("""COMPUTED_VALUE"""),67.0)</f>
        <v>67</v>
      </c>
      <c r="F7706" s="19" t="str">
        <f>IFERROR(__xludf.DUMMYFUNCTION("""COMPUTED_VALUE"""),"BLACK")</f>
        <v>BLACK</v>
      </c>
      <c r="G7706" s="20" t="str">
        <f>IFERROR(__xludf.DUMMYFUNCTION("""COMPUTED_VALUE"""),"Uncle Sams Cider (11/12/2021) 02")</f>
        <v>Uncle Sams Cider (11/12/2021) 02</v>
      </c>
      <c r="H7706" s="19"/>
    </row>
    <row r="7707">
      <c r="A7707" s="9"/>
      <c r="B7707" s="15"/>
      <c r="C7707" s="9">
        <f>IFERROR(__xludf.DUMMYFUNCTION("""COMPUTED_VALUE"""),44524.2331834027)</f>
        <v>44524.23318</v>
      </c>
      <c r="D7707" s="15">
        <f>IFERROR(__xludf.DUMMYFUNCTION("""COMPUTED_VALUE"""),1.05)</f>
        <v>1.05</v>
      </c>
      <c r="E7707" s="16">
        <f>IFERROR(__xludf.DUMMYFUNCTION("""COMPUTED_VALUE"""),67.0)</f>
        <v>67</v>
      </c>
      <c r="F7707" s="19" t="str">
        <f>IFERROR(__xludf.DUMMYFUNCTION("""COMPUTED_VALUE"""),"BLACK")</f>
        <v>BLACK</v>
      </c>
      <c r="G7707" s="20" t="str">
        <f>IFERROR(__xludf.DUMMYFUNCTION("""COMPUTED_VALUE"""),"Uncle Sams Cider (11/12/2021) 02")</f>
        <v>Uncle Sams Cider (11/12/2021) 02</v>
      </c>
      <c r="H7707" s="19"/>
    </row>
    <row r="7708">
      <c r="A7708" s="9"/>
      <c r="B7708" s="15"/>
      <c r="C7708" s="9">
        <f>IFERROR(__xludf.DUMMYFUNCTION("""COMPUTED_VALUE"""),44524.2227629398)</f>
        <v>44524.22276</v>
      </c>
      <c r="D7708" s="15">
        <f>IFERROR(__xludf.DUMMYFUNCTION("""COMPUTED_VALUE"""),1.05)</f>
        <v>1.05</v>
      </c>
      <c r="E7708" s="16">
        <f>IFERROR(__xludf.DUMMYFUNCTION("""COMPUTED_VALUE"""),67.0)</f>
        <v>67</v>
      </c>
      <c r="F7708" s="19" t="str">
        <f>IFERROR(__xludf.DUMMYFUNCTION("""COMPUTED_VALUE"""),"BLACK")</f>
        <v>BLACK</v>
      </c>
      <c r="G7708" s="20" t="str">
        <f>IFERROR(__xludf.DUMMYFUNCTION("""COMPUTED_VALUE"""),"Uncle Sams Cider (11/12/2021) 02")</f>
        <v>Uncle Sams Cider (11/12/2021) 02</v>
      </c>
      <c r="H7708" s="19"/>
    </row>
    <row r="7709">
      <c r="A7709" s="9"/>
      <c r="B7709" s="15"/>
      <c r="C7709" s="9">
        <f>IFERROR(__xludf.DUMMYFUNCTION("""COMPUTED_VALUE"""),44524.2123305671)</f>
        <v>44524.21233</v>
      </c>
      <c r="D7709" s="15">
        <f>IFERROR(__xludf.DUMMYFUNCTION("""COMPUTED_VALUE"""),1.05)</f>
        <v>1.05</v>
      </c>
      <c r="E7709" s="16">
        <f>IFERROR(__xludf.DUMMYFUNCTION("""COMPUTED_VALUE"""),67.0)</f>
        <v>67</v>
      </c>
      <c r="F7709" s="19" t="str">
        <f>IFERROR(__xludf.DUMMYFUNCTION("""COMPUTED_VALUE"""),"BLACK")</f>
        <v>BLACK</v>
      </c>
      <c r="G7709" s="20" t="str">
        <f>IFERROR(__xludf.DUMMYFUNCTION("""COMPUTED_VALUE"""),"Uncle Sams Cider (11/12/2021) 02")</f>
        <v>Uncle Sams Cider (11/12/2021) 02</v>
      </c>
      <c r="H7709" s="19"/>
    </row>
    <row r="7710">
      <c r="A7710" s="9"/>
      <c r="B7710" s="15"/>
      <c r="C7710" s="9">
        <f>IFERROR(__xludf.DUMMYFUNCTION("""COMPUTED_VALUE"""),44524.2019093287)</f>
        <v>44524.20191</v>
      </c>
      <c r="D7710" s="15">
        <f>IFERROR(__xludf.DUMMYFUNCTION("""COMPUTED_VALUE"""),1.05)</f>
        <v>1.05</v>
      </c>
      <c r="E7710" s="16">
        <f>IFERROR(__xludf.DUMMYFUNCTION("""COMPUTED_VALUE"""),67.0)</f>
        <v>67</v>
      </c>
      <c r="F7710" s="19" t="str">
        <f>IFERROR(__xludf.DUMMYFUNCTION("""COMPUTED_VALUE"""),"BLACK")</f>
        <v>BLACK</v>
      </c>
      <c r="G7710" s="20" t="str">
        <f>IFERROR(__xludf.DUMMYFUNCTION("""COMPUTED_VALUE"""),"Uncle Sams Cider (11/12/2021) 02")</f>
        <v>Uncle Sams Cider (11/12/2021) 02</v>
      </c>
      <c r="H7710" s="19"/>
    </row>
    <row r="7711">
      <c r="A7711" s="9"/>
      <c r="B7711" s="15"/>
      <c r="C7711" s="9">
        <f>IFERROR(__xludf.DUMMYFUNCTION("""COMPUTED_VALUE"""),44524.191488449)</f>
        <v>44524.19149</v>
      </c>
      <c r="D7711" s="15">
        <f>IFERROR(__xludf.DUMMYFUNCTION("""COMPUTED_VALUE"""),1.05)</f>
        <v>1.05</v>
      </c>
      <c r="E7711" s="16">
        <f>IFERROR(__xludf.DUMMYFUNCTION("""COMPUTED_VALUE"""),67.0)</f>
        <v>67</v>
      </c>
      <c r="F7711" s="19" t="str">
        <f>IFERROR(__xludf.DUMMYFUNCTION("""COMPUTED_VALUE"""),"BLACK")</f>
        <v>BLACK</v>
      </c>
      <c r="G7711" s="20" t="str">
        <f>IFERROR(__xludf.DUMMYFUNCTION("""COMPUTED_VALUE"""),"Uncle Sams Cider (11/12/2021) 02")</f>
        <v>Uncle Sams Cider (11/12/2021) 02</v>
      </c>
      <c r="H7711" s="19"/>
    </row>
    <row r="7712">
      <c r="A7712" s="9"/>
      <c r="B7712" s="15"/>
      <c r="C7712" s="9">
        <f>IFERROR(__xludf.DUMMYFUNCTION("""COMPUTED_VALUE"""),44524.1810668865)</f>
        <v>44524.18107</v>
      </c>
      <c r="D7712" s="15">
        <f>IFERROR(__xludf.DUMMYFUNCTION("""COMPUTED_VALUE"""),1.05)</f>
        <v>1.05</v>
      </c>
      <c r="E7712" s="16">
        <f>IFERROR(__xludf.DUMMYFUNCTION("""COMPUTED_VALUE"""),67.0)</f>
        <v>67</v>
      </c>
      <c r="F7712" s="19" t="str">
        <f>IFERROR(__xludf.DUMMYFUNCTION("""COMPUTED_VALUE"""),"BLACK")</f>
        <v>BLACK</v>
      </c>
      <c r="G7712" s="20" t="str">
        <f>IFERROR(__xludf.DUMMYFUNCTION("""COMPUTED_VALUE"""),"Uncle Sams Cider (11/12/2021) 02")</f>
        <v>Uncle Sams Cider (11/12/2021) 02</v>
      </c>
      <c r="H7712" s="19"/>
    </row>
    <row r="7713">
      <c r="A7713" s="9"/>
      <c r="B7713" s="15"/>
      <c r="C7713" s="9">
        <f>IFERROR(__xludf.DUMMYFUNCTION("""COMPUTED_VALUE"""),44524.1706468518)</f>
        <v>44524.17065</v>
      </c>
      <c r="D7713" s="15">
        <f>IFERROR(__xludf.DUMMYFUNCTION("""COMPUTED_VALUE"""),1.05)</f>
        <v>1.05</v>
      </c>
      <c r="E7713" s="16">
        <f>IFERROR(__xludf.DUMMYFUNCTION("""COMPUTED_VALUE"""),67.0)</f>
        <v>67</v>
      </c>
      <c r="F7713" s="19" t="str">
        <f>IFERROR(__xludf.DUMMYFUNCTION("""COMPUTED_VALUE"""),"BLACK")</f>
        <v>BLACK</v>
      </c>
      <c r="G7713" s="20" t="str">
        <f>IFERROR(__xludf.DUMMYFUNCTION("""COMPUTED_VALUE"""),"Uncle Sams Cider (11/12/2021) 02")</f>
        <v>Uncle Sams Cider (11/12/2021) 02</v>
      </c>
      <c r="H7713" s="19"/>
    </row>
    <row r="7714">
      <c r="A7714" s="9"/>
      <c r="B7714" s="15"/>
      <c r="C7714" s="9">
        <f>IFERROR(__xludf.DUMMYFUNCTION("""COMPUTED_VALUE"""),44524.1602264004)</f>
        <v>44524.16023</v>
      </c>
      <c r="D7714" s="15">
        <f>IFERROR(__xludf.DUMMYFUNCTION("""COMPUTED_VALUE"""),1.05)</f>
        <v>1.05</v>
      </c>
      <c r="E7714" s="16">
        <f>IFERROR(__xludf.DUMMYFUNCTION("""COMPUTED_VALUE"""),67.0)</f>
        <v>67</v>
      </c>
      <c r="F7714" s="19" t="str">
        <f>IFERROR(__xludf.DUMMYFUNCTION("""COMPUTED_VALUE"""),"BLACK")</f>
        <v>BLACK</v>
      </c>
      <c r="G7714" s="20" t="str">
        <f>IFERROR(__xludf.DUMMYFUNCTION("""COMPUTED_VALUE"""),"Uncle Sams Cider (11/12/2021) 02")</f>
        <v>Uncle Sams Cider (11/12/2021) 02</v>
      </c>
      <c r="H7714" s="19"/>
    </row>
    <row r="7715">
      <c r="A7715" s="9"/>
      <c r="B7715" s="15"/>
      <c r="C7715" s="9">
        <f>IFERROR(__xludf.DUMMYFUNCTION("""COMPUTED_VALUE"""),44524.149805324)</f>
        <v>44524.14981</v>
      </c>
      <c r="D7715" s="15">
        <f>IFERROR(__xludf.DUMMYFUNCTION("""COMPUTED_VALUE"""),1.05)</f>
        <v>1.05</v>
      </c>
      <c r="E7715" s="16">
        <f>IFERROR(__xludf.DUMMYFUNCTION("""COMPUTED_VALUE"""),67.0)</f>
        <v>67</v>
      </c>
      <c r="F7715" s="19" t="str">
        <f>IFERROR(__xludf.DUMMYFUNCTION("""COMPUTED_VALUE"""),"BLACK")</f>
        <v>BLACK</v>
      </c>
      <c r="G7715" s="20" t="str">
        <f>IFERROR(__xludf.DUMMYFUNCTION("""COMPUTED_VALUE"""),"Uncle Sams Cider (11/12/2021) 02")</f>
        <v>Uncle Sams Cider (11/12/2021) 02</v>
      </c>
      <c r="H7715" s="19"/>
    </row>
    <row r="7716">
      <c r="A7716" s="9"/>
      <c r="B7716" s="15"/>
      <c r="C7716" s="9">
        <f>IFERROR(__xludf.DUMMYFUNCTION("""COMPUTED_VALUE"""),44524.1393831249)</f>
        <v>44524.13938</v>
      </c>
      <c r="D7716" s="15">
        <f>IFERROR(__xludf.DUMMYFUNCTION("""COMPUTED_VALUE"""),1.05)</f>
        <v>1.05</v>
      </c>
      <c r="E7716" s="16">
        <f>IFERROR(__xludf.DUMMYFUNCTION("""COMPUTED_VALUE"""),67.0)</f>
        <v>67</v>
      </c>
      <c r="F7716" s="19" t="str">
        <f>IFERROR(__xludf.DUMMYFUNCTION("""COMPUTED_VALUE"""),"BLACK")</f>
        <v>BLACK</v>
      </c>
      <c r="G7716" s="20" t="str">
        <f>IFERROR(__xludf.DUMMYFUNCTION("""COMPUTED_VALUE"""),"Uncle Sams Cider (11/12/2021) 02")</f>
        <v>Uncle Sams Cider (11/12/2021) 02</v>
      </c>
      <c r="H7716" s="19"/>
    </row>
    <row r="7717">
      <c r="A7717" s="9"/>
      <c r="B7717" s="15"/>
      <c r="C7717" s="9">
        <f>IFERROR(__xludf.DUMMYFUNCTION("""COMPUTED_VALUE"""),44524.1289508796)</f>
        <v>44524.12895</v>
      </c>
      <c r="D7717" s="15">
        <f>IFERROR(__xludf.DUMMYFUNCTION("""COMPUTED_VALUE"""),1.05)</f>
        <v>1.05</v>
      </c>
      <c r="E7717" s="16">
        <f>IFERROR(__xludf.DUMMYFUNCTION("""COMPUTED_VALUE"""),67.0)</f>
        <v>67</v>
      </c>
      <c r="F7717" s="19" t="str">
        <f>IFERROR(__xludf.DUMMYFUNCTION("""COMPUTED_VALUE"""),"BLACK")</f>
        <v>BLACK</v>
      </c>
      <c r="G7717" s="20" t="str">
        <f>IFERROR(__xludf.DUMMYFUNCTION("""COMPUTED_VALUE"""),"Uncle Sams Cider (11/12/2021) 02")</f>
        <v>Uncle Sams Cider (11/12/2021) 02</v>
      </c>
      <c r="H7717" s="19"/>
    </row>
    <row r="7718">
      <c r="A7718" s="9"/>
      <c r="B7718" s="15"/>
      <c r="C7718" s="9">
        <f>IFERROR(__xludf.DUMMYFUNCTION("""COMPUTED_VALUE"""),44524.1185307523)</f>
        <v>44524.11853</v>
      </c>
      <c r="D7718" s="15">
        <f>IFERROR(__xludf.DUMMYFUNCTION("""COMPUTED_VALUE"""),1.05)</f>
        <v>1.05</v>
      </c>
      <c r="E7718" s="16">
        <f>IFERROR(__xludf.DUMMYFUNCTION("""COMPUTED_VALUE"""),67.0)</f>
        <v>67</v>
      </c>
      <c r="F7718" s="19" t="str">
        <f>IFERROR(__xludf.DUMMYFUNCTION("""COMPUTED_VALUE"""),"BLACK")</f>
        <v>BLACK</v>
      </c>
      <c r="G7718" s="20" t="str">
        <f>IFERROR(__xludf.DUMMYFUNCTION("""COMPUTED_VALUE"""),"Uncle Sams Cider (11/12/2021) 02")</f>
        <v>Uncle Sams Cider (11/12/2021) 02</v>
      </c>
      <c r="H7718" s="19"/>
    </row>
    <row r="7719">
      <c r="A7719" s="9"/>
      <c r="B7719" s="15"/>
      <c r="C7719" s="9">
        <f>IFERROR(__xludf.DUMMYFUNCTION("""COMPUTED_VALUE"""),44524.108111655)</f>
        <v>44524.10811</v>
      </c>
      <c r="D7719" s="15">
        <f>IFERROR(__xludf.DUMMYFUNCTION("""COMPUTED_VALUE"""),1.05)</f>
        <v>1.05</v>
      </c>
      <c r="E7719" s="16">
        <f>IFERROR(__xludf.DUMMYFUNCTION("""COMPUTED_VALUE"""),67.0)</f>
        <v>67</v>
      </c>
      <c r="F7719" s="19" t="str">
        <f>IFERROR(__xludf.DUMMYFUNCTION("""COMPUTED_VALUE"""),"BLACK")</f>
        <v>BLACK</v>
      </c>
      <c r="G7719" s="20" t="str">
        <f>IFERROR(__xludf.DUMMYFUNCTION("""COMPUTED_VALUE"""),"Uncle Sams Cider (11/12/2021) 02")</f>
        <v>Uncle Sams Cider (11/12/2021) 02</v>
      </c>
      <c r="H7719" s="19"/>
    </row>
    <row r="7720">
      <c r="A7720" s="9"/>
      <c r="B7720" s="15"/>
      <c r="C7720" s="9">
        <f>IFERROR(__xludf.DUMMYFUNCTION("""COMPUTED_VALUE"""),44524.0976915972)</f>
        <v>44524.09769</v>
      </c>
      <c r="D7720" s="15">
        <f>IFERROR(__xludf.DUMMYFUNCTION("""COMPUTED_VALUE"""),1.05)</f>
        <v>1.05</v>
      </c>
      <c r="E7720" s="16">
        <f>IFERROR(__xludf.DUMMYFUNCTION("""COMPUTED_VALUE"""),67.0)</f>
        <v>67</v>
      </c>
      <c r="F7720" s="19" t="str">
        <f>IFERROR(__xludf.DUMMYFUNCTION("""COMPUTED_VALUE"""),"BLACK")</f>
        <v>BLACK</v>
      </c>
      <c r="G7720" s="20" t="str">
        <f>IFERROR(__xludf.DUMMYFUNCTION("""COMPUTED_VALUE"""),"Uncle Sams Cider (11/12/2021) 02")</f>
        <v>Uncle Sams Cider (11/12/2021) 02</v>
      </c>
      <c r="H7720" s="19"/>
    </row>
    <row r="7721">
      <c r="A7721" s="9"/>
      <c r="B7721" s="15"/>
      <c r="C7721" s="9">
        <f>IFERROR(__xludf.DUMMYFUNCTION("""COMPUTED_VALUE"""),44524.0872711689)</f>
        <v>44524.08727</v>
      </c>
      <c r="D7721" s="15">
        <f>IFERROR(__xludf.DUMMYFUNCTION("""COMPUTED_VALUE"""),1.05)</f>
        <v>1.05</v>
      </c>
      <c r="E7721" s="16">
        <f>IFERROR(__xludf.DUMMYFUNCTION("""COMPUTED_VALUE"""),67.0)</f>
        <v>67</v>
      </c>
      <c r="F7721" s="19" t="str">
        <f>IFERROR(__xludf.DUMMYFUNCTION("""COMPUTED_VALUE"""),"BLACK")</f>
        <v>BLACK</v>
      </c>
      <c r="G7721" s="20" t="str">
        <f>IFERROR(__xludf.DUMMYFUNCTION("""COMPUTED_VALUE"""),"Uncle Sams Cider (11/12/2021) 02")</f>
        <v>Uncle Sams Cider (11/12/2021) 02</v>
      </c>
      <c r="H7721" s="19"/>
    </row>
    <row r="7722">
      <c r="A7722" s="9"/>
      <c r="B7722" s="15"/>
      <c r="C7722" s="9">
        <f>IFERROR(__xludf.DUMMYFUNCTION("""COMPUTED_VALUE"""),44524.076849375)</f>
        <v>44524.07685</v>
      </c>
      <c r="D7722" s="15">
        <f>IFERROR(__xludf.DUMMYFUNCTION("""COMPUTED_VALUE"""),1.05)</f>
        <v>1.05</v>
      </c>
      <c r="E7722" s="16">
        <f>IFERROR(__xludf.DUMMYFUNCTION("""COMPUTED_VALUE"""),67.0)</f>
        <v>67</v>
      </c>
      <c r="F7722" s="19" t="str">
        <f>IFERROR(__xludf.DUMMYFUNCTION("""COMPUTED_VALUE"""),"BLACK")</f>
        <v>BLACK</v>
      </c>
      <c r="G7722" s="20" t="str">
        <f>IFERROR(__xludf.DUMMYFUNCTION("""COMPUTED_VALUE"""),"Uncle Sams Cider (11/12/2021) 02")</f>
        <v>Uncle Sams Cider (11/12/2021) 02</v>
      </c>
      <c r="H7722" s="19"/>
    </row>
    <row r="7723">
      <c r="A7723" s="9"/>
      <c r="B7723" s="15"/>
      <c r="C7723" s="9">
        <f>IFERROR(__xludf.DUMMYFUNCTION("""COMPUTED_VALUE"""),44524.0664161574)</f>
        <v>44524.06642</v>
      </c>
      <c r="D7723" s="15">
        <f>IFERROR(__xludf.DUMMYFUNCTION("""COMPUTED_VALUE"""),1.05)</f>
        <v>1.05</v>
      </c>
      <c r="E7723" s="16">
        <f>IFERROR(__xludf.DUMMYFUNCTION("""COMPUTED_VALUE"""),67.0)</f>
        <v>67</v>
      </c>
      <c r="F7723" s="19" t="str">
        <f>IFERROR(__xludf.DUMMYFUNCTION("""COMPUTED_VALUE"""),"BLACK")</f>
        <v>BLACK</v>
      </c>
      <c r="G7723" s="20" t="str">
        <f>IFERROR(__xludf.DUMMYFUNCTION("""COMPUTED_VALUE"""),"Uncle Sams Cider (11/12/2021) 02")</f>
        <v>Uncle Sams Cider (11/12/2021) 02</v>
      </c>
      <c r="H7723" s="19"/>
    </row>
    <row r="7724">
      <c r="A7724" s="9"/>
      <c r="B7724" s="15"/>
      <c r="C7724" s="9">
        <f>IFERROR(__xludf.DUMMYFUNCTION("""COMPUTED_VALUE"""),44524.0559952199)</f>
        <v>44524.056</v>
      </c>
      <c r="D7724" s="15">
        <f>IFERROR(__xludf.DUMMYFUNCTION("""COMPUTED_VALUE"""),1.05)</f>
        <v>1.05</v>
      </c>
      <c r="E7724" s="16">
        <f>IFERROR(__xludf.DUMMYFUNCTION("""COMPUTED_VALUE"""),67.0)</f>
        <v>67</v>
      </c>
      <c r="F7724" s="19" t="str">
        <f>IFERROR(__xludf.DUMMYFUNCTION("""COMPUTED_VALUE"""),"BLACK")</f>
        <v>BLACK</v>
      </c>
      <c r="G7724" s="20" t="str">
        <f>IFERROR(__xludf.DUMMYFUNCTION("""COMPUTED_VALUE"""),"Uncle Sams Cider (11/12/2021) 02")</f>
        <v>Uncle Sams Cider (11/12/2021) 02</v>
      </c>
      <c r="H7724" s="19"/>
    </row>
    <row r="7725">
      <c r="A7725" s="9"/>
      <c r="B7725" s="15"/>
      <c r="C7725" s="9">
        <f>IFERROR(__xludf.DUMMYFUNCTION("""COMPUTED_VALUE"""),44524.0455736689)</f>
        <v>44524.04557</v>
      </c>
      <c r="D7725" s="15">
        <f>IFERROR(__xludf.DUMMYFUNCTION("""COMPUTED_VALUE"""),1.05)</f>
        <v>1.05</v>
      </c>
      <c r="E7725" s="16">
        <f>IFERROR(__xludf.DUMMYFUNCTION("""COMPUTED_VALUE"""),67.0)</f>
        <v>67</v>
      </c>
      <c r="F7725" s="19" t="str">
        <f>IFERROR(__xludf.DUMMYFUNCTION("""COMPUTED_VALUE"""),"BLACK")</f>
        <v>BLACK</v>
      </c>
      <c r="G7725" s="20" t="str">
        <f>IFERROR(__xludf.DUMMYFUNCTION("""COMPUTED_VALUE"""),"Uncle Sams Cider (11/12/2021) 02")</f>
        <v>Uncle Sams Cider (11/12/2021) 02</v>
      </c>
      <c r="H7725" s="19"/>
    </row>
    <row r="7726">
      <c r="A7726" s="9"/>
      <c r="B7726" s="15"/>
      <c r="C7726" s="9">
        <f>IFERROR(__xludf.DUMMYFUNCTION("""COMPUTED_VALUE"""),44524.0351540162)</f>
        <v>44524.03515</v>
      </c>
      <c r="D7726" s="15">
        <f>IFERROR(__xludf.DUMMYFUNCTION("""COMPUTED_VALUE"""),1.05)</f>
        <v>1.05</v>
      </c>
      <c r="E7726" s="16">
        <f>IFERROR(__xludf.DUMMYFUNCTION("""COMPUTED_VALUE"""),67.0)</f>
        <v>67</v>
      </c>
      <c r="F7726" s="19" t="str">
        <f>IFERROR(__xludf.DUMMYFUNCTION("""COMPUTED_VALUE"""),"BLACK")</f>
        <v>BLACK</v>
      </c>
      <c r="G7726" s="20" t="str">
        <f>IFERROR(__xludf.DUMMYFUNCTION("""COMPUTED_VALUE"""),"Uncle Sams Cider (11/12/2021) 02")</f>
        <v>Uncle Sams Cider (11/12/2021) 02</v>
      </c>
      <c r="H7726" s="19"/>
    </row>
    <row r="7727">
      <c r="A7727" s="9"/>
      <c r="B7727" s="15"/>
      <c r="C7727" s="9">
        <f>IFERROR(__xludf.DUMMYFUNCTION("""COMPUTED_VALUE"""),44524.0247332754)</f>
        <v>44524.02473</v>
      </c>
      <c r="D7727" s="15">
        <f>IFERROR(__xludf.DUMMYFUNCTION("""COMPUTED_VALUE"""),1.051)</f>
        <v>1.051</v>
      </c>
      <c r="E7727" s="16">
        <f>IFERROR(__xludf.DUMMYFUNCTION("""COMPUTED_VALUE"""),67.0)</f>
        <v>67</v>
      </c>
      <c r="F7727" s="19" t="str">
        <f>IFERROR(__xludf.DUMMYFUNCTION("""COMPUTED_VALUE"""),"BLACK")</f>
        <v>BLACK</v>
      </c>
      <c r="G7727" s="20" t="str">
        <f>IFERROR(__xludf.DUMMYFUNCTION("""COMPUTED_VALUE"""),"Uncle Sams Cider (11/12/2021) 02")</f>
        <v>Uncle Sams Cider (11/12/2021) 02</v>
      </c>
      <c r="H7727" s="19"/>
    </row>
    <row r="7728">
      <c r="A7728" s="9"/>
      <c r="B7728" s="15"/>
      <c r="C7728" s="9">
        <f>IFERROR(__xludf.DUMMYFUNCTION("""COMPUTED_VALUE"""),44524.0143121643)</f>
        <v>44524.01431</v>
      </c>
      <c r="D7728" s="15">
        <f>IFERROR(__xludf.DUMMYFUNCTION("""COMPUTED_VALUE"""),1.05)</f>
        <v>1.05</v>
      </c>
      <c r="E7728" s="16">
        <f>IFERROR(__xludf.DUMMYFUNCTION("""COMPUTED_VALUE"""),67.0)</f>
        <v>67</v>
      </c>
      <c r="F7728" s="19" t="str">
        <f>IFERROR(__xludf.DUMMYFUNCTION("""COMPUTED_VALUE"""),"BLACK")</f>
        <v>BLACK</v>
      </c>
      <c r="G7728" s="20" t="str">
        <f>IFERROR(__xludf.DUMMYFUNCTION("""COMPUTED_VALUE"""),"Uncle Sams Cider (11/12/2021) 02")</f>
        <v>Uncle Sams Cider (11/12/2021) 02</v>
      </c>
      <c r="H7728" s="19"/>
    </row>
    <row r="7729">
      <c r="A7729" s="9"/>
      <c r="B7729" s="15"/>
      <c r="C7729" s="9">
        <f>IFERROR(__xludf.DUMMYFUNCTION("""COMPUTED_VALUE"""),44524.0038921527)</f>
        <v>44524.00389</v>
      </c>
      <c r="D7729" s="15">
        <f>IFERROR(__xludf.DUMMYFUNCTION("""COMPUTED_VALUE"""),1.05)</f>
        <v>1.05</v>
      </c>
      <c r="E7729" s="16">
        <f>IFERROR(__xludf.DUMMYFUNCTION("""COMPUTED_VALUE"""),67.0)</f>
        <v>67</v>
      </c>
      <c r="F7729" s="19" t="str">
        <f>IFERROR(__xludf.DUMMYFUNCTION("""COMPUTED_VALUE"""),"BLACK")</f>
        <v>BLACK</v>
      </c>
      <c r="G7729" s="20" t="str">
        <f>IFERROR(__xludf.DUMMYFUNCTION("""COMPUTED_VALUE"""),"Uncle Sams Cider (11/12/2021) 02")</f>
        <v>Uncle Sams Cider (11/12/2021) 02</v>
      </c>
      <c r="H7729" s="19"/>
    </row>
    <row r="7730">
      <c r="A7730" s="9"/>
      <c r="B7730" s="15"/>
      <c r="C7730" s="9">
        <f>IFERROR(__xludf.DUMMYFUNCTION("""COMPUTED_VALUE"""),44523.9934592013)</f>
        <v>44523.99346</v>
      </c>
      <c r="D7730" s="15">
        <f>IFERROR(__xludf.DUMMYFUNCTION("""COMPUTED_VALUE"""),1.051)</f>
        <v>1.051</v>
      </c>
      <c r="E7730" s="16">
        <f>IFERROR(__xludf.DUMMYFUNCTION("""COMPUTED_VALUE"""),67.0)</f>
        <v>67</v>
      </c>
      <c r="F7730" s="19" t="str">
        <f>IFERROR(__xludf.DUMMYFUNCTION("""COMPUTED_VALUE"""),"BLACK")</f>
        <v>BLACK</v>
      </c>
      <c r="G7730" s="20" t="str">
        <f>IFERROR(__xludf.DUMMYFUNCTION("""COMPUTED_VALUE"""),"Uncle Sams Cider (11/12/2021) 02")</f>
        <v>Uncle Sams Cider (11/12/2021) 02</v>
      </c>
      <c r="H7730" s="19"/>
    </row>
    <row r="7731">
      <c r="A7731" s="9"/>
      <c r="B7731" s="15"/>
      <c r="C7731" s="9">
        <f>IFERROR(__xludf.DUMMYFUNCTION("""COMPUTED_VALUE"""),44523.9830382523)</f>
        <v>44523.98304</v>
      </c>
      <c r="D7731" s="15">
        <f>IFERROR(__xludf.DUMMYFUNCTION("""COMPUTED_VALUE"""),1.051)</f>
        <v>1.051</v>
      </c>
      <c r="E7731" s="16">
        <f>IFERROR(__xludf.DUMMYFUNCTION("""COMPUTED_VALUE"""),67.0)</f>
        <v>67</v>
      </c>
      <c r="F7731" s="19" t="str">
        <f>IFERROR(__xludf.DUMMYFUNCTION("""COMPUTED_VALUE"""),"BLACK")</f>
        <v>BLACK</v>
      </c>
      <c r="G7731" s="20" t="str">
        <f>IFERROR(__xludf.DUMMYFUNCTION("""COMPUTED_VALUE"""),"Uncle Sams Cider (11/12/2021) 02")</f>
        <v>Uncle Sams Cider (11/12/2021) 02</v>
      </c>
      <c r="H7731" s="19"/>
    </row>
    <row r="7732">
      <c r="A7732" s="9"/>
      <c r="B7732" s="15"/>
      <c r="C7732" s="9">
        <f>IFERROR(__xludf.DUMMYFUNCTION("""COMPUTED_VALUE"""),44523.9726184722)</f>
        <v>44523.97262</v>
      </c>
      <c r="D7732" s="15">
        <f>IFERROR(__xludf.DUMMYFUNCTION("""COMPUTED_VALUE"""),1.051)</f>
        <v>1.051</v>
      </c>
      <c r="E7732" s="16">
        <f>IFERROR(__xludf.DUMMYFUNCTION("""COMPUTED_VALUE"""),67.0)</f>
        <v>67</v>
      </c>
      <c r="F7732" s="19" t="str">
        <f>IFERROR(__xludf.DUMMYFUNCTION("""COMPUTED_VALUE"""),"BLACK")</f>
        <v>BLACK</v>
      </c>
      <c r="G7732" s="20" t="str">
        <f>IFERROR(__xludf.DUMMYFUNCTION("""COMPUTED_VALUE"""),"Uncle Sams Cider (11/12/2021) 02")</f>
        <v>Uncle Sams Cider (11/12/2021) 02</v>
      </c>
      <c r="H7732" s="19"/>
    </row>
    <row r="7733">
      <c r="A7733" s="9"/>
      <c r="B7733" s="15"/>
      <c r="C7733" s="9">
        <f>IFERROR(__xludf.DUMMYFUNCTION("""COMPUTED_VALUE"""),44523.9621981481)</f>
        <v>44523.9622</v>
      </c>
      <c r="D7733" s="15">
        <f>IFERROR(__xludf.DUMMYFUNCTION("""COMPUTED_VALUE"""),1.051)</f>
        <v>1.051</v>
      </c>
      <c r="E7733" s="16">
        <f>IFERROR(__xludf.DUMMYFUNCTION("""COMPUTED_VALUE"""),67.0)</f>
        <v>67</v>
      </c>
      <c r="F7733" s="19" t="str">
        <f>IFERROR(__xludf.DUMMYFUNCTION("""COMPUTED_VALUE"""),"BLACK")</f>
        <v>BLACK</v>
      </c>
      <c r="G7733" s="20" t="str">
        <f>IFERROR(__xludf.DUMMYFUNCTION("""COMPUTED_VALUE"""),"Uncle Sams Cider (11/12/2021) 02")</f>
        <v>Uncle Sams Cider (11/12/2021) 02</v>
      </c>
      <c r="H7733" s="19"/>
    </row>
    <row r="7734">
      <c r="A7734" s="9"/>
      <c r="B7734" s="15"/>
      <c r="C7734" s="9">
        <f>IFERROR(__xludf.DUMMYFUNCTION("""COMPUTED_VALUE"""),44523.951777743)</f>
        <v>44523.95178</v>
      </c>
      <c r="D7734" s="15">
        <f>IFERROR(__xludf.DUMMYFUNCTION("""COMPUTED_VALUE"""),1.051)</f>
        <v>1.051</v>
      </c>
      <c r="E7734" s="16">
        <f>IFERROR(__xludf.DUMMYFUNCTION("""COMPUTED_VALUE"""),67.0)</f>
        <v>67</v>
      </c>
      <c r="F7734" s="19" t="str">
        <f>IFERROR(__xludf.DUMMYFUNCTION("""COMPUTED_VALUE"""),"BLACK")</f>
        <v>BLACK</v>
      </c>
      <c r="G7734" s="20" t="str">
        <f>IFERROR(__xludf.DUMMYFUNCTION("""COMPUTED_VALUE"""),"Uncle Sams Cider (11/12/2021) 02")</f>
        <v>Uncle Sams Cider (11/12/2021) 02</v>
      </c>
      <c r="H7734" s="19"/>
    </row>
    <row r="7735">
      <c r="A7735" s="9"/>
      <c r="B7735" s="15"/>
      <c r="C7735" s="9">
        <f>IFERROR(__xludf.DUMMYFUNCTION("""COMPUTED_VALUE"""),44523.9413432986)</f>
        <v>44523.94134</v>
      </c>
      <c r="D7735" s="15">
        <f>IFERROR(__xludf.DUMMYFUNCTION("""COMPUTED_VALUE"""),1.051)</f>
        <v>1.051</v>
      </c>
      <c r="E7735" s="16">
        <f>IFERROR(__xludf.DUMMYFUNCTION("""COMPUTED_VALUE"""),67.0)</f>
        <v>67</v>
      </c>
      <c r="F7735" s="19" t="str">
        <f>IFERROR(__xludf.DUMMYFUNCTION("""COMPUTED_VALUE"""),"BLACK")</f>
        <v>BLACK</v>
      </c>
      <c r="G7735" s="20" t="str">
        <f>IFERROR(__xludf.DUMMYFUNCTION("""COMPUTED_VALUE"""),"Uncle Sams Cider (11/12/2021) 02")</f>
        <v>Uncle Sams Cider (11/12/2021) 02</v>
      </c>
      <c r="H7735" s="19"/>
    </row>
    <row r="7736">
      <c r="A7736" s="9"/>
      <c r="B7736" s="15"/>
      <c r="C7736" s="9">
        <f>IFERROR(__xludf.DUMMYFUNCTION("""COMPUTED_VALUE"""),44523.9309237037)</f>
        <v>44523.93092</v>
      </c>
      <c r="D7736" s="15">
        <f>IFERROR(__xludf.DUMMYFUNCTION("""COMPUTED_VALUE"""),1.051)</f>
        <v>1.051</v>
      </c>
      <c r="E7736" s="16">
        <f>IFERROR(__xludf.DUMMYFUNCTION("""COMPUTED_VALUE"""),67.0)</f>
        <v>67</v>
      </c>
      <c r="F7736" s="19" t="str">
        <f>IFERROR(__xludf.DUMMYFUNCTION("""COMPUTED_VALUE"""),"BLACK")</f>
        <v>BLACK</v>
      </c>
      <c r="G7736" s="20" t="str">
        <f>IFERROR(__xludf.DUMMYFUNCTION("""COMPUTED_VALUE"""),"Uncle Sams Cider (11/12/2021) 02")</f>
        <v>Uncle Sams Cider (11/12/2021) 02</v>
      </c>
      <c r="H7736" s="19"/>
    </row>
    <row r="7737">
      <c r="A7737" s="9"/>
      <c r="B7737" s="15"/>
      <c r="C7737" s="9">
        <f>IFERROR(__xludf.DUMMYFUNCTION("""COMPUTED_VALUE"""),44523.9204915393)</f>
        <v>44523.92049</v>
      </c>
      <c r="D7737" s="15">
        <f>IFERROR(__xludf.DUMMYFUNCTION("""COMPUTED_VALUE"""),1.051)</f>
        <v>1.051</v>
      </c>
      <c r="E7737" s="16">
        <f>IFERROR(__xludf.DUMMYFUNCTION("""COMPUTED_VALUE"""),67.0)</f>
        <v>67</v>
      </c>
      <c r="F7737" s="19" t="str">
        <f>IFERROR(__xludf.DUMMYFUNCTION("""COMPUTED_VALUE"""),"BLACK")</f>
        <v>BLACK</v>
      </c>
      <c r="G7737" s="20" t="str">
        <f>IFERROR(__xludf.DUMMYFUNCTION("""COMPUTED_VALUE"""),"Uncle Sams Cider (11/12/2021) 02")</f>
        <v>Uncle Sams Cider (11/12/2021) 02</v>
      </c>
      <c r="H7737" s="19"/>
    </row>
    <row r="7738">
      <c r="A7738" s="9"/>
      <c r="B7738" s="15"/>
      <c r="C7738" s="9">
        <f>IFERROR(__xludf.DUMMYFUNCTION("""COMPUTED_VALUE"""),44523.9100699189)</f>
        <v>44523.91007</v>
      </c>
      <c r="D7738" s="15">
        <f>IFERROR(__xludf.DUMMYFUNCTION("""COMPUTED_VALUE"""),1.051)</f>
        <v>1.051</v>
      </c>
      <c r="E7738" s="16">
        <f>IFERROR(__xludf.DUMMYFUNCTION("""COMPUTED_VALUE"""),67.0)</f>
        <v>67</v>
      </c>
      <c r="F7738" s="19" t="str">
        <f>IFERROR(__xludf.DUMMYFUNCTION("""COMPUTED_VALUE"""),"BLACK")</f>
        <v>BLACK</v>
      </c>
      <c r="G7738" s="20" t="str">
        <f>IFERROR(__xludf.DUMMYFUNCTION("""COMPUTED_VALUE"""),"Uncle Sams Cider (11/12/2021) 02")</f>
        <v>Uncle Sams Cider (11/12/2021) 02</v>
      </c>
      <c r="H7738" s="19"/>
    </row>
    <row r="7739">
      <c r="A7739" s="9"/>
      <c r="B7739" s="15"/>
      <c r="C7739" s="9">
        <f>IFERROR(__xludf.DUMMYFUNCTION("""COMPUTED_VALUE"""),44523.899638287)</f>
        <v>44523.89964</v>
      </c>
      <c r="D7739" s="15">
        <f>IFERROR(__xludf.DUMMYFUNCTION("""COMPUTED_VALUE"""),1.051)</f>
        <v>1.051</v>
      </c>
      <c r="E7739" s="16">
        <f>IFERROR(__xludf.DUMMYFUNCTION("""COMPUTED_VALUE"""),67.0)</f>
        <v>67</v>
      </c>
      <c r="F7739" s="19" t="str">
        <f>IFERROR(__xludf.DUMMYFUNCTION("""COMPUTED_VALUE"""),"BLACK")</f>
        <v>BLACK</v>
      </c>
      <c r="G7739" s="20" t="str">
        <f>IFERROR(__xludf.DUMMYFUNCTION("""COMPUTED_VALUE"""),"Uncle Sams Cider (11/12/2021) 02")</f>
        <v>Uncle Sams Cider (11/12/2021) 02</v>
      </c>
      <c r="H7739" s="19"/>
    </row>
    <row r="7740">
      <c r="A7740" s="9"/>
      <c r="B7740" s="15"/>
      <c r="C7740" s="9">
        <f>IFERROR(__xludf.DUMMYFUNCTION("""COMPUTED_VALUE"""),44523.8891933564)</f>
        <v>44523.88919</v>
      </c>
      <c r="D7740" s="15">
        <f>IFERROR(__xludf.DUMMYFUNCTION("""COMPUTED_VALUE"""),1.051)</f>
        <v>1.051</v>
      </c>
      <c r="E7740" s="16">
        <f>IFERROR(__xludf.DUMMYFUNCTION("""COMPUTED_VALUE"""),67.0)</f>
        <v>67</v>
      </c>
      <c r="F7740" s="19" t="str">
        <f>IFERROR(__xludf.DUMMYFUNCTION("""COMPUTED_VALUE"""),"BLACK")</f>
        <v>BLACK</v>
      </c>
      <c r="G7740" s="20" t="str">
        <f>IFERROR(__xludf.DUMMYFUNCTION("""COMPUTED_VALUE"""),"Uncle Sams Cider (11/12/2021) 02")</f>
        <v>Uncle Sams Cider (11/12/2021) 02</v>
      </c>
      <c r="H7740" s="19"/>
    </row>
    <row r="7741">
      <c r="A7741" s="9"/>
      <c r="B7741" s="15"/>
      <c r="C7741" s="9">
        <f>IFERROR(__xludf.DUMMYFUNCTION("""COMPUTED_VALUE"""),44523.8787720833)</f>
        <v>44523.87877</v>
      </c>
      <c r="D7741" s="15">
        <f>IFERROR(__xludf.DUMMYFUNCTION("""COMPUTED_VALUE"""),1.051)</f>
        <v>1.051</v>
      </c>
      <c r="E7741" s="16">
        <f>IFERROR(__xludf.DUMMYFUNCTION("""COMPUTED_VALUE"""),67.0)</f>
        <v>67</v>
      </c>
      <c r="F7741" s="19" t="str">
        <f>IFERROR(__xludf.DUMMYFUNCTION("""COMPUTED_VALUE"""),"BLACK")</f>
        <v>BLACK</v>
      </c>
      <c r="G7741" s="20" t="str">
        <f>IFERROR(__xludf.DUMMYFUNCTION("""COMPUTED_VALUE"""),"Uncle Sams Cider (11/12/2021) 02")</f>
        <v>Uncle Sams Cider (11/12/2021) 02</v>
      </c>
      <c r="H7741" s="19"/>
    </row>
    <row r="7742">
      <c r="A7742" s="9"/>
      <c r="B7742" s="15"/>
      <c r="C7742" s="9">
        <f>IFERROR(__xludf.DUMMYFUNCTION("""COMPUTED_VALUE"""),44523.868352199)</f>
        <v>44523.86835</v>
      </c>
      <c r="D7742" s="15">
        <f>IFERROR(__xludf.DUMMYFUNCTION("""COMPUTED_VALUE"""),1.051)</f>
        <v>1.051</v>
      </c>
      <c r="E7742" s="16">
        <f>IFERROR(__xludf.DUMMYFUNCTION("""COMPUTED_VALUE"""),67.0)</f>
        <v>67</v>
      </c>
      <c r="F7742" s="19" t="str">
        <f>IFERROR(__xludf.DUMMYFUNCTION("""COMPUTED_VALUE"""),"BLACK")</f>
        <v>BLACK</v>
      </c>
      <c r="G7742" s="20" t="str">
        <f>IFERROR(__xludf.DUMMYFUNCTION("""COMPUTED_VALUE"""),"Uncle Sams Cider (11/12/2021) 02")</f>
        <v>Uncle Sams Cider (11/12/2021) 02</v>
      </c>
      <c r="H7742" s="19"/>
    </row>
    <row r="7743">
      <c r="A7743" s="9"/>
      <c r="B7743" s="15"/>
      <c r="C7743" s="9">
        <f>IFERROR(__xludf.DUMMYFUNCTION("""COMPUTED_VALUE"""),44523.8579301388)</f>
        <v>44523.85793</v>
      </c>
      <c r="D7743" s="15">
        <f>IFERROR(__xludf.DUMMYFUNCTION("""COMPUTED_VALUE"""),1.051)</f>
        <v>1.051</v>
      </c>
      <c r="E7743" s="16">
        <f>IFERROR(__xludf.DUMMYFUNCTION("""COMPUTED_VALUE"""),67.0)</f>
        <v>67</v>
      </c>
      <c r="F7743" s="19" t="str">
        <f>IFERROR(__xludf.DUMMYFUNCTION("""COMPUTED_VALUE"""),"BLACK")</f>
        <v>BLACK</v>
      </c>
      <c r="G7743" s="20" t="str">
        <f>IFERROR(__xludf.DUMMYFUNCTION("""COMPUTED_VALUE"""),"Uncle Sams Cider (11/12/2021) 02")</f>
        <v>Uncle Sams Cider (11/12/2021) 02</v>
      </c>
      <c r="H7743" s="19"/>
    </row>
    <row r="7744">
      <c r="A7744" s="9"/>
      <c r="B7744" s="15"/>
      <c r="C7744" s="9">
        <f>IFERROR(__xludf.DUMMYFUNCTION("""COMPUTED_VALUE"""),44523.8474987615)</f>
        <v>44523.8475</v>
      </c>
      <c r="D7744" s="15">
        <f>IFERROR(__xludf.DUMMYFUNCTION("""COMPUTED_VALUE"""),1.051)</f>
        <v>1.051</v>
      </c>
      <c r="E7744" s="16">
        <f>IFERROR(__xludf.DUMMYFUNCTION("""COMPUTED_VALUE"""),67.0)</f>
        <v>67</v>
      </c>
      <c r="F7744" s="19" t="str">
        <f>IFERROR(__xludf.DUMMYFUNCTION("""COMPUTED_VALUE"""),"BLACK")</f>
        <v>BLACK</v>
      </c>
      <c r="G7744" s="20" t="str">
        <f>IFERROR(__xludf.DUMMYFUNCTION("""COMPUTED_VALUE"""),"Uncle Sams Cider (11/12/2021) 02")</f>
        <v>Uncle Sams Cider (11/12/2021) 02</v>
      </c>
      <c r="H7744" s="19"/>
    </row>
    <row r="7745">
      <c r="A7745" s="9"/>
      <c r="B7745" s="15"/>
      <c r="C7745" s="9">
        <f>IFERROR(__xludf.DUMMYFUNCTION("""COMPUTED_VALUE"""),44523.8370776736)</f>
        <v>44523.83708</v>
      </c>
      <c r="D7745" s="15">
        <f>IFERROR(__xludf.DUMMYFUNCTION("""COMPUTED_VALUE"""),1.051)</f>
        <v>1.051</v>
      </c>
      <c r="E7745" s="16">
        <f>IFERROR(__xludf.DUMMYFUNCTION("""COMPUTED_VALUE"""),67.0)</f>
        <v>67</v>
      </c>
      <c r="F7745" s="19" t="str">
        <f>IFERROR(__xludf.DUMMYFUNCTION("""COMPUTED_VALUE"""),"BLACK")</f>
        <v>BLACK</v>
      </c>
      <c r="G7745" s="20" t="str">
        <f>IFERROR(__xludf.DUMMYFUNCTION("""COMPUTED_VALUE"""),"Uncle Sams Cider (11/12/2021) 02")</f>
        <v>Uncle Sams Cider (11/12/2021) 02</v>
      </c>
      <c r="H7745" s="19"/>
    </row>
    <row r="7746">
      <c r="A7746" s="9"/>
      <c r="B7746" s="15"/>
      <c r="C7746" s="9">
        <f>IFERROR(__xludf.DUMMYFUNCTION("""COMPUTED_VALUE"""),44523.8266567129)</f>
        <v>44523.82666</v>
      </c>
      <c r="D7746" s="15">
        <f>IFERROR(__xludf.DUMMYFUNCTION("""COMPUTED_VALUE"""),1.051)</f>
        <v>1.051</v>
      </c>
      <c r="E7746" s="16">
        <f>IFERROR(__xludf.DUMMYFUNCTION("""COMPUTED_VALUE"""),67.0)</f>
        <v>67</v>
      </c>
      <c r="F7746" s="19" t="str">
        <f>IFERROR(__xludf.DUMMYFUNCTION("""COMPUTED_VALUE"""),"BLACK")</f>
        <v>BLACK</v>
      </c>
      <c r="G7746" s="20" t="str">
        <f>IFERROR(__xludf.DUMMYFUNCTION("""COMPUTED_VALUE"""),"Uncle Sams Cider (11/12/2021) 02")</f>
        <v>Uncle Sams Cider (11/12/2021) 02</v>
      </c>
      <c r="H7746" s="19"/>
    </row>
    <row r="7747">
      <c r="A7747" s="9"/>
      <c r="B7747" s="15"/>
      <c r="C7747" s="9">
        <f>IFERROR(__xludf.DUMMYFUNCTION("""COMPUTED_VALUE"""),44523.8162372685)</f>
        <v>44523.81624</v>
      </c>
      <c r="D7747" s="15">
        <f>IFERROR(__xludf.DUMMYFUNCTION("""COMPUTED_VALUE"""),1.051)</f>
        <v>1.051</v>
      </c>
      <c r="E7747" s="16">
        <f>IFERROR(__xludf.DUMMYFUNCTION("""COMPUTED_VALUE"""),67.0)</f>
        <v>67</v>
      </c>
      <c r="F7747" s="19" t="str">
        <f>IFERROR(__xludf.DUMMYFUNCTION("""COMPUTED_VALUE"""),"BLACK")</f>
        <v>BLACK</v>
      </c>
      <c r="G7747" s="20" t="str">
        <f>IFERROR(__xludf.DUMMYFUNCTION("""COMPUTED_VALUE"""),"Uncle Sams Cider (11/12/2021) 02")</f>
        <v>Uncle Sams Cider (11/12/2021) 02</v>
      </c>
      <c r="H7747" s="19"/>
    </row>
    <row r="7748">
      <c r="A7748" s="9"/>
      <c r="B7748" s="15"/>
      <c r="C7748" s="9">
        <f>IFERROR(__xludf.DUMMYFUNCTION("""COMPUTED_VALUE"""),44523.8058160879)</f>
        <v>44523.80582</v>
      </c>
      <c r="D7748" s="15">
        <f>IFERROR(__xludf.DUMMYFUNCTION("""COMPUTED_VALUE"""),1.051)</f>
        <v>1.051</v>
      </c>
      <c r="E7748" s="16">
        <f>IFERROR(__xludf.DUMMYFUNCTION("""COMPUTED_VALUE"""),67.0)</f>
        <v>67</v>
      </c>
      <c r="F7748" s="19" t="str">
        <f>IFERROR(__xludf.DUMMYFUNCTION("""COMPUTED_VALUE"""),"BLACK")</f>
        <v>BLACK</v>
      </c>
      <c r="G7748" s="20" t="str">
        <f>IFERROR(__xludf.DUMMYFUNCTION("""COMPUTED_VALUE"""),"Uncle Sams Cider (11/12/2021) 02")</f>
        <v>Uncle Sams Cider (11/12/2021) 02</v>
      </c>
      <c r="H7748" s="19"/>
    </row>
    <row r="7749">
      <c r="A7749" s="9"/>
      <c r="B7749" s="15"/>
      <c r="C7749" s="9">
        <f>IFERROR(__xludf.DUMMYFUNCTION("""COMPUTED_VALUE"""),44523.7953949768)</f>
        <v>44523.79539</v>
      </c>
      <c r="D7749" s="15">
        <f>IFERROR(__xludf.DUMMYFUNCTION("""COMPUTED_VALUE"""),1.051)</f>
        <v>1.051</v>
      </c>
      <c r="E7749" s="16">
        <f>IFERROR(__xludf.DUMMYFUNCTION("""COMPUTED_VALUE"""),67.0)</f>
        <v>67</v>
      </c>
      <c r="F7749" s="19" t="str">
        <f>IFERROR(__xludf.DUMMYFUNCTION("""COMPUTED_VALUE"""),"BLACK")</f>
        <v>BLACK</v>
      </c>
      <c r="G7749" s="20" t="str">
        <f>IFERROR(__xludf.DUMMYFUNCTION("""COMPUTED_VALUE"""),"Uncle Sams Cider (11/12/2021) 02")</f>
        <v>Uncle Sams Cider (11/12/2021) 02</v>
      </c>
      <c r="H7749" s="19"/>
    </row>
    <row r="7750">
      <c r="A7750" s="9"/>
      <c r="B7750" s="15"/>
      <c r="C7750" s="9">
        <f>IFERROR(__xludf.DUMMYFUNCTION("""COMPUTED_VALUE"""),44523.7849730439)</f>
        <v>44523.78497</v>
      </c>
      <c r="D7750" s="15">
        <f>IFERROR(__xludf.DUMMYFUNCTION("""COMPUTED_VALUE"""),1.051)</f>
        <v>1.051</v>
      </c>
      <c r="E7750" s="16">
        <f>IFERROR(__xludf.DUMMYFUNCTION("""COMPUTED_VALUE"""),67.0)</f>
        <v>67</v>
      </c>
      <c r="F7750" s="19" t="str">
        <f>IFERROR(__xludf.DUMMYFUNCTION("""COMPUTED_VALUE"""),"BLACK")</f>
        <v>BLACK</v>
      </c>
      <c r="G7750" s="20" t="str">
        <f>IFERROR(__xludf.DUMMYFUNCTION("""COMPUTED_VALUE"""),"Uncle Sams Cider (11/12/2021) 02")</f>
        <v>Uncle Sams Cider (11/12/2021) 02</v>
      </c>
      <c r="H7750" s="19"/>
    </row>
    <row r="7751">
      <c r="A7751" s="9"/>
      <c r="B7751" s="15"/>
      <c r="C7751" s="9">
        <f>IFERROR(__xludf.DUMMYFUNCTION("""COMPUTED_VALUE"""),44523.7745504513)</f>
        <v>44523.77455</v>
      </c>
      <c r="D7751" s="15">
        <f>IFERROR(__xludf.DUMMYFUNCTION("""COMPUTED_VALUE"""),1.051)</f>
        <v>1.051</v>
      </c>
      <c r="E7751" s="16">
        <f>IFERROR(__xludf.DUMMYFUNCTION("""COMPUTED_VALUE"""),67.0)</f>
        <v>67</v>
      </c>
      <c r="F7751" s="19" t="str">
        <f>IFERROR(__xludf.DUMMYFUNCTION("""COMPUTED_VALUE"""),"BLACK")</f>
        <v>BLACK</v>
      </c>
      <c r="G7751" s="20" t="str">
        <f>IFERROR(__xludf.DUMMYFUNCTION("""COMPUTED_VALUE"""),"Uncle Sams Cider (11/12/2021) 02")</f>
        <v>Uncle Sams Cider (11/12/2021) 02</v>
      </c>
      <c r="H7751" s="19"/>
    </row>
    <row r="7752">
      <c r="A7752" s="9"/>
      <c r="B7752" s="15"/>
      <c r="C7752" s="9">
        <f>IFERROR(__xludf.DUMMYFUNCTION("""COMPUTED_VALUE"""),44523.7641284837)</f>
        <v>44523.76413</v>
      </c>
      <c r="D7752" s="15">
        <f>IFERROR(__xludf.DUMMYFUNCTION("""COMPUTED_VALUE"""),1.051)</f>
        <v>1.051</v>
      </c>
      <c r="E7752" s="16">
        <f>IFERROR(__xludf.DUMMYFUNCTION("""COMPUTED_VALUE"""),67.0)</f>
        <v>67</v>
      </c>
      <c r="F7752" s="19" t="str">
        <f>IFERROR(__xludf.DUMMYFUNCTION("""COMPUTED_VALUE"""),"BLACK")</f>
        <v>BLACK</v>
      </c>
      <c r="G7752" s="20" t="str">
        <f>IFERROR(__xludf.DUMMYFUNCTION("""COMPUTED_VALUE"""),"Uncle Sams Cider (11/12/2021) 02")</f>
        <v>Uncle Sams Cider (11/12/2021) 02</v>
      </c>
      <c r="H7752" s="19"/>
    </row>
    <row r="7753">
      <c r="A7753" s="9"/>
      <c r="B7753" s="15"/>
      <c r="C7753" s="9">
        <f>IFERROR(__xludf.DUMMYFUNCTION("""COMPUTED_VALUE"""),44523.7537077199)</f>
        <v>44523.75371</v>
      </c>
      <c r="D7753" s="15">
        <f>IFERROR(__xludf.DUMMYFUNCTION("""COMPUTED_VALUE"""),1.051)</f>
        <v>1.051</v>
      </c>
      <c r="E7753" s="16">
        <f>IFERROR(__xludf.DUMMYFUNCTION("""COMPUTED_VALUE"""),67.0)</f>
        <v>67</v>
      </c>
      <c r="F7753" s="19" t="str">
        <f>IFERROR(__xludf.DUMMYFUNCTION("""COMPUTED_VALUE"""),"BLACK")</f>
        <v>BLACK</v>
      </c>
      <c r="G7753" s="20" t="str">
        <f>IFERROR(__xludf.DUMMYFUNCTION("""COMPUTED_VALUE"""),"Uncle Sams Cider (11/12/2021) 02")</f>
        <v>Uncle Sams Cider (11/12/2021) 02</v>
      </c>
      <c r="H7753" s="19"/>
    </row>
    <row r="7754">
      <c r="A7754" s="9"/>
      <c r="B7754" s="15"/>
      <c r="C7754" s="9">
        <f>IFERROR(__xludf.DUMMYFUNCTION("""COMPUTED_VALUE"""),44523.7432878009)</f>
        <v>44523.74329</v>
      </c>
      <c r="D7754" s="15">
        <f>IFERROR(__xludf.DUMMYFUNCTION("""COMPUTED_VALUE"""),1.052)</f>
        <v>1.052</v>
      </c>
      <c r="E7754" s="16">
        <f>IFERROR(__xludf.DUMMYFUNCTION("""COMPUTED_VALUE"""),67.0)</f>
        <v>67</v>
      </c>
      <c r="F7754" s="19" t="str">
        <f>IFERROR(__xludf.DUMMYFUNCTION("""COMPUTED_VALUE"""),"BLACK")</f>
        <v>BLACK</v>
      </c>
      <c r="G7754" s="20" t="str">
        <f>IFERROR(__xludf.DUMMYFUNCTION("""COMPUTED_VALUE"""),"Uncle Sams Cider (11/12/2021) 02")</f>
        <v>Uncle Sams Cider (11/12/2021) 02</v>
      </c>
      <c r="H7754" s="19"/>
    </row>
    <row r="7755">
      <c r="A7755" s="9"/>
      <c r="B7755" s="15"/>
      <c r="C7755" s="9">
        <f>IFERROR(__xludf.DUMMYFUNCTION("""COMPUTED_VALUE"""),44523.7328664814)</f>
        <v>44523.73287</v>
      </c>
      <c r="D7755" s="15">
        <f>IFERROR(__xludf.DUMMYFUNCTION("""COMPUTED_VALUE"""),1.052)</f>
        <v>1.052</v>
      </c>
      <c r="E7755" s="16">
        <f>IFERROR(__xludf.DUMMYFUNCTION("""COMPUTED_VALUE"""),67.0)</f>
        <v>67</v>
      </c>
      <c r="F7755" s="19" t="str">
        <f>IFERROR(__xludf.DUMMYFUNCTION("""COMPUTED_VALUE"""),"BLACK")</f>
        <v>BLACK</v>
      </c>
      <c r="G7755" s="20" t="str">
        <f>IFERROR(__xludf.DUMMYFUNCTION("""COMPUTED_VALUE"""),"Uncle Sams Cider (11/12/2021) 02")</f>
        <v>Uncle Sams Cider (11/12/2021) 02</v>
      </c>
      <c r="H7755" s="19"/>
    </row>
    <row r="7756">
      <c r="A7756" s="9"/>
      <c r="B7756" s="15"/>
      <c r="C7756" s="9">
        <f>IFERROR(__xludf.DUMMYFUNCTION("""COMPUTED_VALUE"""),44523.7224447685)</f>
        <v>44523.72244</v>
      </c>
      <c r="D7756" s="15">
        <f>IFERROR(__xludf.DUMMYFUNCTION("""COMPUTED_VALUE"""),1.051)</f>
        <v>1.051</v>
      </c>
      <c r="E7756" s="16">
        <f>IFERROR(__xludf.DUMMYFUNCTION("""COMPUTED_VALUE"""),67.0)</f>
        <v>67</v>
      </c>
      <c r="F7756" s="19" t="str">
        <f>IFERROR(__xludf.DUMMYFUNCTION("""COMPUTED_VALUE"""),"BLACK")</f>
        <v>BLACK</v>
      </c>
      <c r="G7756" s="20" t="str">
        <f>IFERROR(__xludf.DUMMYFUNCTION("""COMPUTED_VALUE"""),"Uncle Sams Cider (11/12/2021) 02")</f>
        <v>Uncle Sams Cider (11/12/2021) 02</v>
      </c>
      <c r="H7756" s="19"/>
    </row>
    <row r="7757">
      <c r="A7757" s="9"/>
      <c r="B7757" s="15"/>
      <c r="C7757" s="9">
        <f>IFERROR(__xludf.DUMMYFUNCTION("""COMPUTED_VALUE"""),44523.7120255671)</f>
        <v>44523.71203</v>
      </c>
      <c r="D7757" s="15">
        <f>IFERROR(__xludf.DUMMYFUNCTION("""COMPUTED_VALUE"""),1.052)</f>
        <v>1.052</v>
      </c>
      <c r="E7757" s="16">
        <f>IFERROR(__xludf.DUMMYFUNCTION("""COMPUTED_VALUE"""),67.0)</f>
        <v>67</v>
      </c>
      <c r="F7757" s="19" t="str">
        <f>IFERROR(__xludf.DUMMYFUNCTION("""COMPUTED_VALUE"""),"BLACK")</f>
        <v>BLACK</v>
      </c>
      <c r="G7757" s="20" t="str">
        <f>IFERROR(__xludf.DUMMYFUNCTION("""COMPUTED_VALUE"""),"Uncle Sams Cider (11/12/2021) 02")</f>
        <v>Uncle Sams Cider (11/12/2021) 02</v>
      </c>
      <c r="H7757" s="19"/>
    </row>
    <row r="7758">
      <c r="A7758" s="9"/>
      <c r="B7758" s="15"/>
      <c r="C7758" s="9">
        <f>IFERROR(__xludf.DUMMYFUNCTION("""COMPUTED_VALUE"""),44523.7016051736)</f>
        <v>44523.70161</v>
      </c>
      <c r="D7758" s="15">
        <f>IFERROR(__xludf.DUMMYFUNCTION("""COMPUTED_VALUE"""),1.052)</f>
        <v>1.052</v>
      </c>
      <c r="E7758" s="16">
        <f>IFERROR(__xludf.DUMMYFUNCTION("""COMPUTED_VALUE"""),67.0)</f>
        <v>67</v>
      </c>
      <c r="F7758" s="19" t="str">
        <f>IFERROR(__xludf.DUMMYFUNCTION("""COMPUTED_VALUE"""),"BLACK")</f>
        <v>BLACK</v>
      </c>
      <c r="G7758" s="20" t="str">
        <f>IFERROR(__xludf.DUMMYFUNCTION("""COMPUTED_VALUE"""),"Uncle Sams Cider (11/12/2021) 02")</f>
        <v>Uncle Sams Cider (11/12/2021) 02</v>
      </c>
      <c r="H7758" s="19"/>
    </row>
    <row r="7759">
      <c r="A7759" s="9"/>
      <c r="B7759" s="15"/>
      <c r="C7759" s="9">
        <f>IFERROR(__xludf.DUMMYFUNCTION("""COMPUTED_VALUE"""),44523.6911853935)</f>
        <v>44523.69119</v>
      </c>
      <c r="D7759" s="15">
        <f>IFERROR(__xludf.DUMMYFUNCTION("""COMPUTED_VALUE"""),1.052)</f>
        <v>1.052</v>
      </c>
      <c r="E7759" s="16">
        <f>IFERROR(__xludf.DUMMYFUNCTION("""COMPUTED_VALUE"""),67.0)</f>
        <v>67</v>
      </c>
      <c r="F7759" s="19" t="str">
        <f>IFERROR(__xludf.DUMMYFUNCTION("""COMPUTED_VALUE"""),"BLACK")</f>
        <v>BLACK</v>
      </c>
      <c r="G7759" s="20" t="str">
        <f>IFERROR(__xludf.DUMMYFUNCTION("""COMPUTED_VALUE"""),"Uncle Sams Cider (11/12/2021) 02")</f>
        <v>Uncle Sams Cider (11/12/2021) 02</v>
      </c>
      <c r="H7759" s="19"/>
    </row>
    <row r="7760">
      <c r="A7760" s="9"/>
      <c r="B7760" s="15"/>
      <c r="C7760" s="9">
        <f>IFERROR(__xludf.DUMMYFUNCTION("""COMPUTED_VALUE"""),44523.6807652314)</f>
        <v>44523.68077</v>
      </c>
      <c r="D7760" s="15">
        <f>IFERROR(__xludf.DUMMYFUNCTION("""COMPUTED_VALUE"""),1.052)</f>
        <v>1.052</v>
      </c>
      <c r="E7760" s="16">
        <f>IFERROR(__xludf.DUMMYFUNCTION("""COMPUTED_VALUE"""),67.0)</f>
        <v>67</v>
      </c>
      <c r="F7760" s="19" t="str">
        <f>IFERROR(__xludf.DUMMYFUNCTION("""COMPUTED_VALUE"""),"BLACK")</f>
        <v>BLACK</v>
      </c>
      <c r="G7760" s="20" t="str">
        <f>IFERROR(__xludf.DUMMYFUNCTION("""COMPUTED_VALUE"""),"Uncle Sams Cider (11/12/2021) 02")</f>
        <v>Uncle Sams Cider (11/12/2021) 02</v>
      </c>
      <c r="H7760" s="19"/>
    </row>
    <row r="7761">
      <c r="A7761" s="9"/>
      <c r="B7761" s="15"/>
      <c r="C7761" s="9">
        <f>IFERROR(__xludf.DUMMYFUNCTION("""COMPUTED_VALUE"""),44523.6703444675)</f>
        <v>44523.67034</v>
      </c>
      <c r="D7761" s="15">
        <f>IFERROR(__xludf.DUMMYFUNCTION("""COMPUTED_VALUE"""),1.052)</f>
        <v>1.052</v>
      </c>
      <c r="E7761" s="16">
        <f>IFERROR(__xludf.DUMMYFUNCTION("""COMPUTED_VALUE"""),67.0)</f>
        <v>67</v>
      </c>
      <c r="F7761" s="19" t="str">
        <f>IFERROR(__xludf.DUMMYFUNCTION("""COMPUTED_VALUE"""),"BLACK")</f>
        <v>BLACK</v>
      </c>
      <c r="G7761" s="20" t="str">
        <f>IFERROR(__xludf.DUMMYFUNCTION("""COMPUTED_VALUE"""),"Uncle Sams Cider (11/12/2021) 02")</f>
        <v>Uncle Sams Cider (11/12/2021) 02</v>
      </c>
      <c r="H7761" s="19"/>
    </row>
    <row r="7762">
      <c r="A7762" s="9"/>
      <c r="B7762" s="15"/>
      <c r="C7762" s="9">
        <f>IFERROR(__xludf.DUMMYFUNCTION("""COMPUTED_VALUE"""),44523.6599225694)</f>
        <v>44523.65992</v>
      </c>
      <c r="D7762" s="15">
        <f>IFERROR(__xludf.DUMMYFUNCTION("""COMPUTED_VALUE"""),1.052)</f>
        <v>1.052</v>
      </c>
      <c r="E7762" s="16">
        <f>IFERROR(__xludf.DUMMYFUNCTION("""COMPUTED_VALUE"""),67.0)</f>
        <v>67</v>
      </c>
      <c r="F7762" s="19" t="str">
        <f>IFERROR(__xludf.DUMMYFUNCTION("""COMPUTED_VALUE"""),"BLACK")</f>
        <v>BLACK</v>
      </c>
      <c r="G7762" s="20" t="str">
        <f>IFERROR(__xludf.DUMMYFUNCTION("""COMPUTED_VALUE"""),"Uncle Sams Cider (11/12/2021) 02")</f>
        <v>Uncle Sams Cider (11/12/2021) 02</v>
      </c>
      <c r="H7762" s="19"/>
    </row>
    <row r="7763">
      <c r="A7763" s="9"/>
      <c r="B7763" s="15"/>
      <c r="C7763" s="9">
        <f>IFERROR(__xludf.DUMMYFUNCTION("""COMPUTED_VALUE"""),44523.6495010648)</f>
        <v>44523.6495</v>
      </c>
      <c r="D7763" s="15">
        <f>IFERROR(__xludf.DUMMYFUNCTION("""COMPUTED_VALUE"""),1.052)</f>
        <v>1.052</v>
      </c>
      <c r="E7763" s="16">
        <f>IFERROR(__xludf.DUMMYFUNCTION("""COMPUTED_VALUE"""),67.0)</f>
        <v>67</v>
      </c>
      <c r="F7763" s="19" t="str">
        <f>IFERROR(__xludf.DUMMYFUNCTION("""COMPUTED_VALUE"""),"BLACK")</f>
        <v>BLACK</v>
      </c>
      <c r="G7763" s="20" t="str">
        <f>IFERROR(__xludf.DUMMYFUNCTION("""COMPUTED_VALUE"""),"Uncle Sams Cider (11/12/2021) 02")</f>
        <v>Uncle Sams Cider (11/12/2021) 02</v>
      </c>
      <c r="H7763" s="19"/>
    </row>
    <row r="7764">
      <c r="A7764" s="9"/>
      <c r="B7764" s="15"/>
      <c r="C7764" s="9">
        <f>IFERROR(__xludf.DUMMYFUNCTION("""COMPUTED_VALUE"""),44523.6390817361)</f>
        <v>44523.63908</v>
      </c>
      <c r="D7764" s="15">
        <f>IFERROR(__xludf.DUMMYFUNCTION("""COMPUTED_VALUE"""),1.052)</f>
        <v>1.052</v>
      </c>
      <c r="E7764" s="16">
        <f>IFERROR(__xludf.DUMMYFUNCTION("""COMPUTED_VALUE"""),67.0)</f>
        <v>67</v>
      </c>
      <c r="F7764" s="19" t="str">
        <f>IFERROR(__xludf.DUMMYFUNCTION("""COMPUTED_VALUE"""),"BLACK")</f>
        <v>BLACK</v>
      </c>
      <c r="G7764" s="20" t="str">
        <f>IFERROR(__xludf.DUMMYFUNCTION("""COMPUTED_VALUE"""),"Uncle Sams Cider (11/12/2021) 02")</f>
        <v>Uncle Sams Cider (11/12/2021) 02</v>
      </c>
      <c r="H7764" s="19"/>
    </row>
    <row r="7765">
      <c r="A7765" s="9"/>
      <c r="B7765" s="15"/>
      <c r="C7765" s="9">
        <f>IFERROR(__xludf.DUMMYFUNCTION("""COMPUTED_VALUE"""),44523.6286603356)</f>
        <v>44523.62866</v>
      </c>
      <c r="D7765" s="15">
        <f>IFERROR(__xludf.DUMMYFUNCTION("""COMPUTED_VALUE"""),1.052)</f>
        <v>1.052</v>
      </c>
      <c r="E7765" s="16">
        <f>IFERROR(__xludf.DUMMYFUNCTION("""COMPUTED_VALUE"""),67.0)</f>
        <v>67</v>
      </c>
      <c r="F7765" s="19" t="str">
        <f>IFERROR(__xludf.DUMMYFUNCTION("""COMPUTED_VALUE"""),"BLACK")</f>
        <v>BLACK</v>
      </c>
      <c r="G7765" s="20" t="str">
        <f>IFERROR(__xludf.DUMMYFUNCTION("""COMPUTED_VALUE"""),"Uncle Sams Cider (11/12/2021) 02")</f>
        <v>Uncle Sams Cider (11/12/2021) 02</v>
      </c>
      <c r="H7765" s="19"/>
    </row>
    <row r="7766">
      <c r="A7766" s="9"/>
      <c r="B7766" s="15"/>
      <c r="C7766" s="9">
        <f>IFERROR(__xludf.DUMMYFUNCTION("""COMPUTED_VALUE"""),44523.6182391203)</f>
        <v>44523.61824</v>
      </c>
      <c r="D7766" s="15">
        <f>IFERROR(__xludf.DUMMYFUNCTION("""COMPUTED_VALUE"""),1.052)</f>
        <v>1.052</v>
      </c>
      <c r="E7766" s="16">
        <f>IFERROR(__xludf.DUMMYFUNCTION("""COMPUTED_VALUE"""),67.0)</f>
        <v>67</v>
      </c>
      <c r="F7766" s="19" t="str">
        <f>IFERROR(__xludf.DUMMYFUNCTION("""COMPUTED_VALUE"""),"BLACK")</f>
        <v>BLACK</v>
      </c>
      <c r="G7766" s="20" t="str">
        <f>IFERROR(__xludf.DUMMYFUNCTION("""COMPUTED_VALUE"""),"Uncle Sams Cider (11/12/2021) 02")</f>
        <v>Uncle Sams Cider (11/12/2021) 02</v>
      </c>
      <c r="H7766" s="19"/>
    </row>
    <row r="7767">
      <c r="A7767" s="9"/>
      <c r="B7767" s="15"/>
      <c r="C7767" s="9">
        <f>IFERROR(__xludf.DUMMYFUNCTION("""COMPUTED_VALUE"""),44523.6078073726)</f>
        <v>44523.60781</v>
      </c>
      <c r="D7767" s="15">
        <f>IFERROR(__xludf.DUMMYFUNCTION("""COMPUTED_VALUE"""),1.052)</f>
        <v>1.052</v>
      </c>
      <c r="E7767" s="16">
        <f>IFERROR(__xludf.DUMMYFUNCTION("""COMPUTED_VALUE"""),67.0)</f>
        <v>67</v>
      </c>
      <c r="F7767" s="19" t="str">
        <f>IFERROR(__xludf.DUMMYFUNCTION("""COMPUTED_VALUE"""),"BLACK")</f>
        <v>BLACK</v>
      </c>
      <c r="G7767" s="20" t="str">
        <f>IFERROR(__xludf.DUMMYFUNCTION("""COMPUTED_VALUE"""),"Uncle Sams Cider (11/12/2021) 02")</f>
        <v>Uncle Sams Cider (11/12/2021) 02</v>
      </c>
      <c r="H7767" s="19"/>
    </row>
    <row r="7768">
      <c r="A7768" s="9"/>
      <c r="B7768" s="15"/>
      <c r="C7768" s="9">
        <f>IFERROR(__xludf.DUMMYFUNCTION("""COMPUTED_VALUE"""),44523.5973872916)</f>
        <v>44523.59739</v>
      </c>
      <c r="D7768" s="15">
        <f>IFERROR(__xludf.DUMMYFUNCTION("""COMPUTED_VALUE"""),1.052)</f>
        <v>1.052</v>
      </c>
      <c r="E7768" s="16">
        <f>IFERROR(__xludf.DUMMYFUNCTION("""COMPUTED_VALUE"""),67.0)</f>
        <v>67</v>
      </c>
      <c r="F7768" s="19" t="str">
        <f>IFERROR(__xludf.DUMMYFUNCTION("""COMPUTED_VALUE"""),"BLACK")</f>
        <v>BLACK</v>
      </c>
      <c r="G7768" s="20" t="str">
        <f>IFERROR(__xludf.DUMMYFUNCTION("""COMPUTED_VALUE"""),"Uncle Sams Cider (11/12/2021) 02")</f>
        <v>Uncle Sams Cider (11/12/2021) 02</v>
      </c>
      <c r="H7768" s="19"/>
    </row>
    <row r="7769">
      <c r="A7769" s="9"/>
      <c r="B7769" s="15"/>
      <c r="C7769" s="9">
        <f>IFERROR(__xludf.DUMMYFUNCTION("""COMPUTED_VALUE"""),44523.586966875)</f>
        <v>44523.58697</v>
      </c>
      <c r="D7769" s="15">
        <f>IFERROR(__xludf.DUMMYFUNCTION("""COMPUTED_VALUE"""),1.052)</f>
        <v>1.052</v>
      </c>
      <c r="E7769" s="16">
        <f>IFERROR(__xludf.DUMMYFUNCTION("""COMPUTED_VALUE"""),67.0)</f>
        <v>67</v>
      </c>
      <c r="F7769" s="19" t="str">
        <f>IFERROR(__xludf.DUMMYFUNCTION("""COMPUTED_VALUE"""),"BLACK")</f>
        <v>BLACK</v>
      </c>
      <c r="G7769" s="20" t="str">
        <f>IFERROR(__xludf.DUMMYFUNCTION("""COMPUTED_VALUE"""),"Uncle Sams Cider (11/12/2021) 02")</f>
        <v>Uncle Sams Cider (11/12/2021) 02</v>
      </c>
      <c r="H7769" s="19"/>
    </row>
    <row r="7770">
      <c r="A7770" s="9"/>
      <c r="B7770" s="15"/>
      <c r="C7770" s="9">
        <f>IFERROR(__xludf.DUMMYFUNCTION("""COMPUTED_VALUE"""),44523.5765458912)</f>
        <v>44523.57655</v>
      </c>
      <c r="D7770" s="15">
        <f>IFERROR(__xludf.DUMMYFUNCTION("""COMPUTED_VALUE"""),1.052)</f>
        <v>1.052</v>
      </c>
      <c r="E7770" s="16">
        <f>IFERROR(__xludf.DUMMYFUNCTION("""COMPUTED_VALUE"""),67.0)</f>
        <v>67</v>
      </c>
      <c r="F7770" s="19" t="str">
        <f>IFERROR(__xludf.DUMMYFUNCTION("""COMPUTED_VALUE"""),"BLACK")</f>
        <v>BLACK</v>
      </c>
      <c r="G7770" s="20" t="str">
        <f>IFERROR(__xludf.DUMMYFUNCTION("""COMPUTED_VALUE"""),"Uncle Sams Cider (11/12/2021) 02")</f>
        <v>Uncle Sams Cider (11/12/2021) 02</v>
      </c>
      <c r="H7770" s="19"/>
    </row>
    <row r="7771">
      <c r="A7771" s="9"/>
      <c r="B7771" s="15"/>
      <c r="C7771" s="9">
        <f>IFERROR(__xludf.DUMMYFUNCTION("""COMPUTED_VALUE"""),44523.5661254282)</f>
        <v>44523.56613</v>
      </c>
      <c r="D7771" s="15">
        <f>IFERROR(__xludf.DUMMYFUNCTION("""COMPUTED_VALUE"""),1.052)</f>
        <v>1.052</v>
      </c>
      <c r="E7771" s="16">
        <f>IFERROR(__xludf.DUMMYFUNCTION("""COMPUTED_VALUE"""),67.0)</f>
        <v>67</v>
      </c>
      <c r="F7771" s="19" t="str">
        <f>IFERROR(__xludf.DUMMYFUNCTION("""COMPUTED_VALUE"""),"BLACK")</f>
        <v>BLACK</v>
      </c>
      <c r="G7771" s="20" t="str">
        <f>IFERROR(__xludf.DUMMYFUNCTION("""COMPUTED_VALUE"""),"Uncle Sams Cider (11/12/2021) 02")</f>
        <v>Uncle Sams Cider (11/12/2021) 02</v>
      </c>
      <c r="H7771" s="19"/>
    </row>
    <row r="7772">
      <c r="A7772" s="9"/>
      <c r="B7772" s="15"/>
      <c r="C7772" s="9">
        <f>IFERROR(__xludf.DUMMYFUNCTION("""COMPUTED_VALUE"""),44523.5557050578)</f>
        <v>44523.55571</v>
      </c>
      <c r="D7772" s="15">
        <f>IFERROR(__xludf.DUMMYFUNCTION("""COMPUTED_VALUE"""),1.052)</f>
        <v>1.052</v>
      </c>
      <c r="E7772" s="16">
        <f>IFERROR(__xludf.DUMMYFUNCTION("""COMPUTED_VALUE"""),67.0)</f>
        <v>67</v>
      </c>
      <c r="F7772" s="19" t="str">
        <f>IFERROR(__xludf.DUMMYFUNCTION("""COMPUTED_VALUE"""),"BLACK")</f>
        <v>BLACK</v>
      </c>
      <c r="G7772" s="20" t="str">
        <f>IFERROR(__xludf.DUMMYFUNCTION("""COMPUTED_VALUE"""),"Uncle Sams Cider (11/12/2021) 02")</f>
        <v>Uncle Sams Cider (11/12/2021) 02</v>
      </c>
      <c r="H7772" s="19"/>
    </row>
    <row r="7773">
      <c r="A7773" s="9"/>
      <c r="B7773" s="15"/>
      <c r="C7773" s="9">
        <f>IFERROR(__xludf.DUMMYFUNCTION("""COMPUTED_VALUE"""),44523.5452603935)</f>
        <v>44523.54526</v>
      </c>
      <c r="D7773" s="15">
        <f>IFERROR(__xludf.DUMMYFUNCTION("""COMPUTED_VALUE"""),1.052)</f>
        <v>1.052</v>
      </c>
      <c r="E7773" s="16">
        <f>IFERROR(__xludf.DUMMYFUNCTION("""COMPUTED_VALUE"""),67.0)</f>
        <v>67</v>
      </c>
      <c r="F7773" s="19" t="str">
        <f>IFERROR(__xludf.DUMMYFUNCTION("""COMPUTED_VALUE"""),"BLACK")</f>
        <v>BLACK</v>
      </c>
      <c r="G7773" s="20" t="str">
        <f>IFERROR(__xludf.DUMMYFUNCTION("""COMPUTED_VALUE"""),"Uncle Sams Cider (11/12/2021) 02")</f>
        <v>Uncle Sams Cider (11/12/2021) 02</v>
      </c>
      <c r="H7773" s="19"/>
    </row>
    <row r="7774">
      <c r="A7774" s="9"/>
      <c r="B7774" s="15"/>
      <c r="C7774" s="9">
        <f>IFERROR(__xludf.DUMMYFUNCTION("""COMPUTED_VALUE"""),44523.5348382754)</f>
        <v>44523.53484</v>
      </c>
      <c r="D7774" s="15">
        <f>IFERROR(__xludf.DUMMYFUNCTION("""COMPUTED_VALUE"""),1.052)</f>
        <v>1.052</v>
      </c>
      <c r="E7774" s="16">
        <f>IFERROR(__xludf.DUMMYFUNCTION("""COMPUTED_VALUE"""),67.0)</f>
        <v>67</v>
      </c>
      <c r="F7774" s="19" t="str">
        <f>IFERROR(__xludf.DUMMYFUNCTION("""COMPUTED_VALUE"""),"BLACK")</f>
        <v>BLACK</v>
      </c>
      <c r="G7774" s="20" t="str">
        <f>IFERROR(__xludf.DUMMYFUNCTION("""COMPUTED_VALUE"""),"Uncle Sams Cider (11/12/2021) 02")</f>
        <v>Uncle Sams Cider (11/12/2021) 02</v>
      </c>
      <c r="H7774" s="19"/>
    </row>
    <row r="7775">
      <c r="A7775" s="9"/>
      <c r="B7775" s="15"/>
      <c r="C7775" s="9">
        <f>IFERROR(__xludf.DUMMYFUNCTION("""COMPUTED_VALUE"""),44523.5244069675)</f>
        <v>44523.52441</v>
      </c>
      <c r="D7775" s="15">
        <f>IFERROR(__xludf.DUMMYFUNCTION("""COMPUTED_VALUE"""),1.052)</f>
        <v>1.052</v>
      </c>
      <c r="E7775" s="16">
        <f>IFERROR(__xludf.DUMMYFUNCTION("""COMPUTED_VALUE"""),67.0)</f>
        <v>67</v>
      </c>
      <c r="F7775" s="19" t="str">
        <f>IFERROR(__xludf.DUMMYFUNCTION("""COMPUTED_VALUE"""),"BLACK")</f>
        <v>BLACK</v>
      </c>
      <c r="G7775" s="20" t="str">
        <f>IFERROR(__xludf.DUMMYFUNCTION("""COMPUTED_VALUE"""),"Uncle Sams Cider (11/12/2021) 02")</f>
        <v>Uncle Sams Cider (11/12/2021) 02</v>
      </c>
      <c r="H7775" s="19"/>
    </row>
    <row r="7776">
      <c r="A7776" s="9"/>
      <c r="B7776" s="15"/>
      <c r="C7776" s="9">
        <f>IFERROR(__xludf.DUMMYFUNCTION("""COMPUTED_VALUE"""),44523.5139849652)</f>
        <v>44523.51398</v>
      </c>
      <c r="D7776" s="15">
        <f>IFERROR(__xludf.DUMMYFUNCTION("""COMPUTED_VALUE"""),1.052)</f>
        <v>1.052</v>
      </c>
      <c r="E7776" s="16">
        <f>IFERROR(__xludf.DUMMYFUNCTION("""COMPUTED_VALUE"""),67.0)</f>
        <v>67</v>
      </c>
      <c r="F7776" s="19" t="str">
        <f>IFERROR(__xludf.DUMMYFUNCTION("""COMPUTED_VALUE"""),"BLACK")</f>
        <v>BLACK</v>
      </c>
      <c r="G7776" s="20" t="str">
        <f>IFERROR(__xludf.DUMMYFUNCTION("""COMPUTED_VALUE"""),"Uncle Sams Cider (11/12/2021) 02")</f>
        <v>Uncle Sams Cider (11/12/2021) 02</v>
      </c>
      <c r="H7776" s="19"/>
    </row>
    <row r="7777">
      <c r="A7777" s="9"/>
      <c r="B7777" s="15"/>
      <c r="C7777" s="9">
        <f>IFERROR(__xludf.DUMMYFUNCTION("""COMPUTED_VALUE"""),44523.5035518171)</f>
        <v>44523.50355</v>
      </c>
      <c r="D7777" s="15">
        <f>IFERROR(__xludf.DUMMYFUNCTION("""COMPUTED_VALUE"""),1.052)</f>
        <v>1.052</v>
      </c>
      <c r="E7777" s="16">
        <f>IFERROR(__xludf.DUMMYFUNCTION("""COMPUTED_VALUE"""),67.0)</f>
        <v>67</v>
      </c>
      <c r="F7777" s="19" t="str">
        <f>IFERROR(__xludf.DUMMYFUNCTION("""COMPUTED_VALUE"""),"BLACK")</f>
        <v>BLACK</v>
      </c>
      <c r="G7777" s="20" t="str">
        <f>IFERROR(__xludf.DUMMYFUNCTION("""COMPUTED_VALUE"""),"Uncle Sams Cider (11/12/2021) 02")</f>
        <v>Uncle Sams Cider (11/12/2021) 02</v>
      </c>
      <c r="H7777" s="19"/>
    </row>
    <row r="7778">
      <c r="A7778" s="9"/>
      <c r="B7778" s="15"/>
      <c r="C7778" s="9">
        <f>IFERROR(__xludf.DUMMYFUNCTION("""COMPUTED_VALUE"""),44523.4931301967)</f>
        <v>44523.49313</v>
      </c>
      <c r="D7778" s="15">
        <f>IFERROR(__xludf.DUMMYFUNCTION("""COMPUTED_VALUE"""),1.052)</f>
        <v>1.052</v>
      </c>
      <c r="E7778" s="16">
        <f>IFERROR(__xludf.DUMMYFUNCTION("""COMPUTED_VALUE"""),67.0)</f>
        <v>67</v>
      </c>
      <c r="F7778" s="19" t="str">
        <f>IFERROR(__xludf.DUMMYFUNCTION("""COMPUTED_VALUE"""),"BLACK")</f>
        <v>BLACK</v>
      </c>
      <c r="G7778" s="20" t="str">
        <f>IFERROR(__xludf.DUMMYFUNCTION("""COMPUTED_VALUE"""),"Uncle Sams Cider (11/12/2021) 02")</f>
        <v>Uncle Sams Cider (11/12/2021) 02</v>
      </c>
      <c r="H7778" s="19"/>
    </row>
    <row r="7779">
      <c r="A7779" s="9"/>
      <c r="B7779" s="15"/>
      <c r="C7779" s="9">
        <f>IFERROR(__xludf.DUMMYFUNCTION("""COMPUTED_VALUE"""),44523.4827064236)</f>
        <v>44523.48271</v>
      </c>
      <c r="D7779" s="15">
        <f>IFERROR(__xludf.DUMMYFUNCTION("""COMPUTED_VALUE"""),1.052)</f>
        <v>1.052</v>
      </c>
      <c r="E7779" s="16">
        <f>IFERROR(__xludf.DUMMYFUNCTION("""COMPUTED_VALUE"""),67.0)</f>
        <v>67</v>
      </c>
      <c r="F7779" s="19" t="str">
        <f>IFERROR(__xludf.DUMMYFUNCTION("""COMPUTED_VALUE"""),"BLACK")</f>
        <v>BLACK</v>
      </c>
      <c r="G7779" s="20" t="str">
        <f>IFERROR(__xludf.DUMMYFUNCTION("""COMPUTED_VALUE"""),"Uncle Sams Cider (11/12/2021) 02")</f>
        <v>Uncle Sams Cider (11/12/2021) 02</v>
      </c>
      <c r="H7779" s="19"/>
    </row>
    <row r="7780">
      <c r="A7780" s="9"/>
      <c r="B7780" s="15"/>
      <c r="C7780" s="9">
        <f>IFERROR(__xludf.DUMMYFUNCTION("""COMPUTED_VALUE"""),44523.4722840393)</f>
        <v>44523.47228</v>
      </c>
      <c r="D7780" s="15">
        <f>IFERROR(__xludf.DUMMYFUNCTION("""COMPUTED_VALUE"""),1.052)</f>
        <v>1.052</v>
      </c>
      <c r="E7780" s="16">
        <f>IFERROR(__xludf.DUMMYFUNCTION("""COMPUTED_VALUE"""),67.0)</f>
        <v>67</v>
      </c>
      <c r="F7780" s="19" t="str">
        <f>IFERROR(__xludf.DUMMYFUNCTION("""COMPUTED_VALUE"""),"BLACK")</f>
        <v>BLACK</v>
      </c>
      <c r="G7780" s="20" t="str">
        <f>IFERROR(__xludf.DUMMYFUNCTION("""COMPUTED_VALUE"""),"Uncle Sams Cider (11/12/2021) 02")</f>
        <v>Uncle Sams Cider (11/12/2021) 02</v>
      </c>
      <c r="H7780" s="19"/>
    </row>
    <row r="7781">
      <c r="A7781" s="9"/>
      <c r="B7781" s="15"/>
      <c r="C7781" s="9">
        <f>IFERROR(__xludf.DUMMYFUNCTION("""COMPUTED_VALUE"""),44523.4618614351)</f>
        <v>44523.46186</v>
      </c>
      <c r="D7781" s="15">
        <f>IFERROR(__xludf.DUMMYFUNCTION("""COMPUTED_VALUE"""),1.052)</f>
        <v>1.052</v>
      </c>
      <c r="E7781" s="16">
        <f>IFERROR(__xludf.DUMMYFUNCTION("""COMPUTED_VALUE"""),67.0)</f>
        <v>67</v>
      </c>
      <c r="F7781" s="19" t="str">
        <f>IFERROR(__xludf.DUMMYFUNCTION("""COMPUTED_VALUE"""),"BLACK")</f>
        <v>BLACK</v>
      </c>
      <c r="G7781" s="20" t="str">
        <f>IFERROR(__xludf.DUMMYFUNCTION("""COMPUTED_VALUE"""),"Uncle Sams Cider (11/12/2021) 02")</f>
        <v>Uncle Sams Cider (11/12/2021) 02</v>
      </c>
      <c r="H7781" s="19"/>
    </row>
    <row r="7782">
      <c r="A7782" s="9"/>
      <c r="B7782" s="15"/>
      <c r="C7782" s="9">
        <f>IFERROR(__xludf.DUMMYFUNCTION("""COMPUTED_VALUE"""),44523.4514395486)</f>
        <v>44523.45144</v>
      </c>
      <c r="D7782" s="15">
        <f>IFERROR(__xludf.DUMMYFUNCTION("""COMPUTED_VALUE"""),1.052)</f>
        <v>1.052</v>
      </c>
      <c r="E7782" s="16">
        <f>IFERROR(__xludf.DUMMYFUNCTION("""COMPUTED_VALUE"""),67.0)</f>
        <v>67</v>
      </c>
      <c r="F7782" s="19" t="str">
        <f>IFERROR(__xludf.DUMMYFUNCTION("""COMPUTED_VALUE"""),"BLACK")</f>
        <v>BLACK</v>
      </c>
      <c r="G7782" s="20" t="str">
        <f>IFERROR(__xludf.DUMMYFUNCTION("""COMPUTED_VALUE"""),"Uncle Sams Cider (11/12/2021) 02")</f>
        <v>Uncle Sams Cider (11/12/2021) 02</v>
      </c>
      <c r="H7782" s="19"/>
    </row>
    <row r="7783">
      <c r="A7783" s="9"/>
      <c r="B7783" s="15"/>
      <c r="C7783" s="9">
        <f>IFERROR(__xludf.DUMMYFUNCTION("""COMPUTED_VALUE"""),44523.4410079861)</f>
        <v>44523.44101</v>
      </c>
      <c r="D7783" s="15">
        <f>IFERROR(__xludf.DUMMYFUNCTION("""COMPUTED_VALUE"""),1.052)</f>
        <v>1.052</v>
      </c>
      <c r="E7783" s="16">
        <f>IFERROR(__xludf.DUMMYFUNCTION("""COMPUTED_VALUE"""),67.0)</f>
        <v>67</v>
      </c>
      <c r="F7783" s="19" t="str">
        <f>IFERROR(__xludf.DUMMYFUNCTION("""COMPUTED_VALUE"""),"BLACK")</f>
        <v>BLACK</v>
      </c>
      <c r="G7783" s="20" t="str">
        <f>IFERROR(__xludf.DUMMYFUNCTION("""COMPUTED_VALUE"""),"Uncle Sams Cider (11/12/2021) 02")</f>
        <v>Uncle Sams Cider (11/12/2021) 02</v>
      </c>
      <c r="H7783" s="19"/>
    </row>
    <row r="7784">
      <c r="A7784" s="9"/>
      <c r="B7784" s="15"/>
      <c r="C7784" s="9">
        <f>IFERROR(__xludf.DUMMYFUNCTION("""COMPUTED_VALUE"""),44523.4305856134)</f>
        <v>44523.43059</v>
      </c>
      <c r="D7784" s="15">
        <f>IFERROR(__xludf.DUMMYFUNCTION("""COMPUTED_VALUE"""),1.052)</f>
        <v>1.052</v>
      </c>
      <c r="E7784" s="16">
        <f>IFERROR(__xludf.DUMMYFUNCTION("""COMPUTED_VALUE"""),67.0)</f>
        <v>67</v>
      </c>
      <c r="F7784" s="19" t="str">
        <f>IFERROR(__xludf.DUMMYFUNCTION("""COMPUTED_VALUE"""),"BLACK")</f>
        <v>BLACK</v>
      </c>
      <c r="G7784" s="20" t="str">
        <f>IFERROR(__xludf.DUMMYFUNCTION("""COMPUTED_VALUE"""),"Uncle Sams Cider (11/12/2021) 02")</f>
        <v>Uncle Sams Cider (11/12/2021) 02</v>
      </c>
      <c r="H7784" s="19"/>
    </row>
    <row r="7785">
      <c r="A7785" s="9"/>
      <c r="B7785" s="15"/>
      <c r="C7785" s="9">
        <f>IFERROR(__xludf.DUMMYFUNCTION("""COMPUTED_VALUE"""),44523.4201651504)</f>
        <v>44523.42017</v>
      </c>
      <c r="D7785" s="15">
        <f>IFERROR(__xludf.DUMMYFUNCTION("""COMPUTED_VALUE"""),1.052)</f>
        <v>1.052</v>
      </c>
      <c r="E7785" s="16">
        <f>IFERROR(__xludf.DUMMYFUNCTION("""COMPUTED_VALUE"""),67.0)</f>
        <v>67</v>
      </c>
      <c r="F7785" s="19" t="str">
        <f>IFERROR(__xludf.DUMMYFUNCTION("""COMPUTED_VALUE"""),"BLACK")</f>
        <v>BLACK</v>
      </c>
      <c r="G7785" s="20" t="str">
        <f>IFERROR(__xludf.DUMMYFUNCTION("""COMPUTED_VALUE"""),"Uncle Sams Cider (11/12/2021) 02")</f>
        <v>Uncle Sams Cider (11/12/2021) 02</v>
      </c>
      <c r="H7785" s="19"/>
    </row>
    <row r="7786">
      <c r="A7786" s="9"/>
      <c r="B7786" s="15"/>
      <c r="C7786" s="9">
        <f>IFERROR(__xludf.DUMMYFUNCTION("""COMPUTED_VALUE"""),44523.4097428819)</f>
        <v>44523.40974</v>
      </c>
      <c r="D7786" s="15">
        <f>IFERROR(__xludf.DUMMYFUNCTION("""COMPUTED_VALUE"""),1.052)</f>
        <v>1.052</v>
      </c>
      <c r="E7786" s="16">
        <f>IFERROR(__xludf.DUMMYFUNCTION("""COMPUTED_VALUE"""),67.0)</f>
        <v>67</v>
      </c>
      <c r="F7786" s="19" t="str">
        <f>IFERROR(__xludf.DUMMYFUNCTION("""COMPUTED_VALUE"""),"BLACK")</f>
        <v>BLACK</v>
      </c>
      <c r="G7786" s="20" t="str">
        <f>IFERROR(__xludf.DUMMYFUNCTION("""COMPUTED_VALUE"""),"Uncle Sams Cider (11/12/2021) 02")</f>
        <v>Uncle Sams Cider (11/12/2021) 02</v>
      </c>
      <c r="H7786" s="19"/>
    </row>
    <row r="7787">
      <c r="A7787" s="9"/>
      <c r="B7787" s="15"/>
      <c r="C7787" s="9">
        <f>IFERROR(__xludf.DUMMYFUNCTION("""COMPUTED_VALUE"""),44523.3993210648)</f>
        <v>44523.39932</v>
      </c>
      <c r="D7787" s="15">
        <f>IFERROR(__xludf.DUMMYFUNCTION("""COMPUTED_VALUE"""),1.053)</f>
        <v>1.053</v>
      </c>
      <c r="E7787" s="16">
        <f>IFERROR(__xludf.DUMMYFUNCTION("""COMPUTED_VALUE"""),67.0)</f>
        <v>67</v>
      </c>
      <c r="F7787" s="19" t="str">
        <f>IFERROR(__xludf.DUMMYFUNCTION("""COMPUTED_VALUE"""),"BLACK")</f>
        <v>BLACK</v>
      </c>
      <c r="G7787" s="20" t="str">
        <f>IFERROR(__xludf.DUMMYFUNCTION("""COMPUTED_VALUE"""),"Uncle Sams Cider (11/12/2021) 02")</f>
        <v>Uncle Sams Cider (11/12/2021) 02</v>
      </c>
      <c r="H7787" s="19"/>
    </row>
    <row r="7788">
      <c r="A7788" s="9"/>
      <c r="B7788" s="15"/>
      <c r="C7788" s="9">
        <f>IFERROR(__xludf.DUMMYFUNCTION("""COMPUTED_VALUE"""),44523.3888983101)</f>
        <v>44523.3889</v>
      </c>
      <c r="D7788" s="15">
        <f>IFERROR(__xludf.DUMMYFUNCTION("""COMPUTED_VALUE"""),1.053)</f>
        <v>1.053</v>
      </c>
      <c r="E7788" s="16">
        <f>IFERROR(__xludf.DUMMYFUNCTION("""COMPUTED_VALUE"""),67.0)</f>
        <v>67</v>
      </c>
      <c r="F7788" s="19" t="str">
        <f>IFERROR(__xludf.DUMMYFUNCTION("""COMPUTED_VALUE"""),"BLACK")</f>
        <v>BLACK</v>
      </c>
      <c r="G7788" s="20" t="str">
        <f>IFERROR(__xludf.DUMMYFUNCTION("""COMPUTED_VALUE"""),"Uncle Sams Cider (11/12/2021) 02")</f>
        <v>Uncle Sams Cider (11/12/2021) 02</v>
      </c>
      <c r="H7788" s="19"/>
    </row>
    <row r="7789">
      <c r="A7789" s="9"/>
      <c r="B7789" s="15"/>
      <c r="C7789" s="9">
        <f>IFERROR(__xludf.DUMMYFUNCTION("""COMPUTED_VALUE"""),44523.3784755092)</f>
        <v>44523.37848</v>
      </c>
      <c r="D7789" s="15">
        <f>IFERROR(__xludf.DUMMYFUNCTION("""COMPUTED_VALUE"""),1.053)</f>
        <v>1.053</v>
      </c>
      <c r="E7789" s="16">
        <f>IFERROR(__xludf.DUMMYFUNCTION("""COMPUTED_VALUE"""),67.0)</f>
        <v>67</v>
      </c>
      <c r="F7789" s="19" t="str">
        <f>IFERROR(__xludf.DUMMYFUNCTION("""COMPUTED_VALUE"""),"BLACK")</f>
        <v>BLACK</v>
      </c>
      <c r="G7789" s="20" t="str">
        <f>IFERROR(__xludf.DUMMYFUNCTION("""COMPUTED_VALUE"""),"Uncle Sams Cider (11/12/2021) 02")</f>
        <v>Uncle Sams Cider (11/12/2021) 02</v>
      </c>
      <c r="H7789" s="19"/>
    </row>
    <row r="7790">
      <c r="A7790" s="9"/>
      <c r="B7790" s="15"/>
      <c r="C7790" s="9">
        <f>IFERROR(__xludf.DUMMYFUNCTION("""COMPUTED_VALUE"""),44523.3680428935)</f>
        <v>44523.36804</v>
      </c>
      <c r="D7790" s="15">
        <f>IFERROR(__xludf.DUMMYFUNCTION("""COMPUTED_VALUE"""),1.053)</f>
        <v>1.053</v>
      </c>
      <c r="E7790" s="16">
        <f>IFERROR(__xludf.DUMMYFUNCTION("""COMPUTED_VALUE"""),67.0)</f>
        <v>67</v>
      </c>
      <c r="F7790" s="19" t="str">
        <f>IFERROR(__xludf.DUMMYFUNCTION("""COMPUTED_VALUE"""),"BLACK")</f>
        <v>BLACK</v>
      </c>
      <c r="G7790" s="20" t="str">
        <f>IFERROR(__xludf.DUMMYFUNCTION("""COMPUTED_VALUE"""),"Uncle Sams Cider (11/12/2021) 02")</f>
        <v>Uncle Sams Cider (11/12/2021) 02</v>
      </c>
      <c r="H7790" s="19"/>
    </row>
    <row r="7791">
      <c r="A7791" s="9"/>
      <c r="B7791" s="15"/>
      <c r="C7791" s="9">
        <f>IFERROR(__xludf.DUMMYFUNCTION("""COMPUTED_VALUE"""),44523.3576206944)</f>
        <v>44523.35762</v>
      </c>
      <c r="D7791" s="15">
        <f>IFERROR(__xludf.DUMMYFUNCTION("""COMPUTED_VALUE"""),1.053)</f>
        <v>1.053</v>
      </c>
      <c r="E7791" s="16">
        <f>IFERROR(__xludf.DUMMYFUNCTION("""COMPUTED_VALUE"""),67.0)</f>
        <v>67</v>
      </c>
      <c r="F7791" s="19" t="str">
        <f>IFERROR(__xludf.DUMMYFUNCTION("""COMPUTED_VALUE"""),"BLACK")</f>
        <v>BLACK</v>
      </c>
      <c r="G7791" s="20" t="str">
        <f>IFERROR(__xludf.DUMMYFUNCTION("""COMPUTED_VALUE"""),"Uncle Sams Cider (11/12/2021) 02")</f>
        <v>Uncle Sams Cider (11/12/2021) 02</v>
      </c>
      <c r="H7791" s="19"/>
    </row>
    <row r="7792">
      <c r="A7792" s="9"/>
      <c r="B7792" s="15"/>
      <c r="C7792" s="9">
        <f>IFERROR(__xludf.DUMMYFUNCTION("""COMPUTED_VALUE"""),44523.347200081)</f>
        <v>44523.3472</v>
      </c>
      <c r="D7792" s="15">
        <f>IFERROR(__xludf.DUMMYFUNCTION("""COMPUTED_VALUE"""),1.053)</f>
        <v>1.053</v>
      </c>
      <c r="E7792" s="16">
        <f>IFERROR(__xludf.DUMMYFUNCTION("""COMPUTED_VALUE"""),67.0)</f>
        <v>67</v>
      </c>
      <c r="F7792" s="19" t="str">
        <f>IFERROR(__xludf.DUMMYFUNCTION("""COMPUTED_VALUE"""),"BLACK")</f>
        <v>BLACK</v>
      </c>
      <c r="G7792" s="20" t="str">
        <f>IFERROR(__xludf.DUMMYFUNCTION("""COMPUTED_VALUE"""),"Uncle Sams Cider (11/12/2021) 02")</f>
        <v>Uncle Sams Cider (11/12/2021) 02</v>
      </c>
      <c r="H7792" s="19"/>
    </row>
    <row r="7793">
      <c r="A7793" s="9"/>
      <c r="B7793" s="15"/>
      <c r="C7793" s="9">
        <f>IFERROR(__xludf.DUMMYFUNCTION("""COMPUTED_VALUE"""),44523.3367785763)</f>
        <v>44523.33678</v>
      </c>
      <c r="D7793" s="15">
        <f>IFERROR(__xludf.DUMMYFUNCTION("""COMPUTED_VALUE"""),1.053)</f>
        <v>1.053</v>
      </c>
      <c r="E7793" s="16">
        <f>IFERROR(__xludf.DUMMYFUNCTION("""COMPUTED_VALUE"""),67.0)</f>
        <v>67</v>
      </c>
      <c r="F7793" s="19" t="str">
        <f>IFERROR(__xludf.DUMMYFUNCTION("""COMPUTED_VALUE"""),"BLACK")</f>
        <v>BLACK</v>
      </c>
      <c r="G7793" s="20" t="str">
        <f>IFERROR(__xludf.DUMMYFUNCTION("""COMPUTED_VALUE"""),"Uncle Sams Cider (11/12/2021) 02")</f>
        <v>Uncle Sams Cider (11/12/2021) 02</v>
      </c>
      <c r="H7793" s="19"/>
    </row>
    <row r="7794">
      <c r="A7794" s="9"/>
      <c r="B7794" s="15"/>
      <c r="C7794" s="9">
        <f>IFERROR(__xludf.DUMMYFUNCTION("""COMPUTED_VALUE"""),44523.3263355092)</f>
        <v>44523.32634</v>
      </c>
      <c r="D7794" s="15">
        <f>IFERROR(__xludf.DUMMYFUNCTION("""COMPUTED_VALUE"""),1.053)</f>
        <v>1.053</v>
      </c>
      <c r="E7794" s="16">
        <f>IFERROR(__xludf.DUMMYFUNCTION("""COMPUTED_VALUE"""),67.0)</f>
        <v>67</v>
      </c>
      <c r="F7794" s="19" t="str">
        <f>IFERROR(__xludf.DUMMYFUNCTION("""COMPUTED_VALUE"""),"BLACK")</f>
        <v>BLACK</v>
      </c>
      <c r="G7794" s="20" t="str">
        <f>IFERROR(__xludf.DUMMYFUNCTION("""COMPUTED_VALUE"""),"Uncle Sams Cider (11/12/2021) 02")</f>
        <v>Uncle Sams Cider (11/12/2021) 02</v>
      </c>
      <c r="H7794" s="19"/>
    </row>
    <row r="7795">
      <c r="A7795" s="9"/>
      <c r="B7795" s="15"/>
      <c r="C7795" s="9">
        <f>IFERROR(__xludf.DUMMYFUNCTION("""COMPUTED_VALUE"""),44523.3159013773)</f>
        <v>44523.3159</v>
      </c>
      <c r="D7795" s="15">
        <f>IFERROR(__xludf.DUMMYFUNCTION("""COMPUTED_VALUE"""),1.053)</f>
        <v>1.053</v>
      </c>
      <c r="E7795" s="16">
        <f>IFERROR(__xludf.DUMMYFUNCTION("""COMPUTED_VALUE"""),67.0)</f>
        <v>67</v>
      </c>
      <c r="F7795" s="19" t="str">
        <f>IFERROR(__xludf.DUMMYFUNCTION("""COMPUTED_VALUE"""),"BLACK")</f>
        <v>BLACK</v>
      </c>
      <c r="G7795" s="20" t="str">
        <f>IFERROR(__xludf.DUMMYFUNCTION("""COMPUTED_VALUE"""),"Uncle Sams Cider (11/12/2021) 02")</f>
        <v>Uncle Sams Cider (11/12/2021) 02</v>
      </c>
      <c r="H7795" s="19"/>
    </row>
    <row r="7796">
      <c r="A7796" s="9"/>
      <c r="B7796" s="15"/>
      <c r="C7796" s="9">
        <f>IFERROR(__xludf.DUMMYFUNCTION("""COMPUTED_VALUE"""),44523.3054805324)</f>
        <v>44523.30548</v>
      </c>
      <c r="D7796" s="15">
        <f>IFERROR(__xludf.DUMMYFUNCTION("""COMPUTED_VALUE"""),1.053)</f>
        <v>1.053</v>
      </c>
      <c r="E7796" s="16">
        <f>IFERROR(__xludf.DUMMYFUNCTION("""COMPUTED_VALUE"""),67.0)</f>
        <v>67</v>
      </c>
      <c r="F7796" s="19" t="str">
        <f>IFERROR(__xludf.DUMMYFUNCTION("""COMPUTED_VALUE"""),"BLACK")</f>
        <v>BLACK</v>
      </c>
      <c r="G7796" s="20" t="str">
        <f>IFERROR(__xludf.DUMMYFUNCTION("""COMPUTED_VALUE"""),"Uncle Sams Cider (11/12/2021) 02")</f>
        <v>Uncle Sams Cider (11/12/2021) 02</v>
      </c>
      <c r="H7796" s="19"/>
    </row>
    <row r="7797">
      <c r="A7797" s="9"/>
      <c r="B7797" s="15"/>
      <c r="C7797" s="9">
        <f>IFERROR(__xludf.DUMMYFUNCTION("""COMPUTED_VALUE"""),44523.2950600925)</f>
        <v>44523.29506</v>
      </c>
      <c r="D7797" s="15">
        <f>IFERROR(__xludf.DUMMYFUNCTION("""COMPUTED_VALUE"""),1.053)</f>
        <v>1.053</v>
      </c>
      <c r="E7797" s="16">
        <f>IFERROR(__xludf.DUMMYFUNCTION("""COMPUTED_VALUE"""),67.0)</f>
        <v>67</v>
      </c>
      <c r="F7797" s="19" t="str">
        <f>IFERROR(__xludf.DUMMYFUNCTION("""COMPUTED_VALUE"""),"BLACK")</f>
        <v>BLACK</v>
      </c>
      <c r="G7797" s="20" t="str">
        <f>IFERROR(__xludf.DUMMYFUNCTION("""COMPUTED_VALUE"""),"Uncle Sams Cider (11/12/2021) 02")</f>
        <v>Uncle Sams Cider (11/12/2021) 02</v>
      </c>
      <c r="H7797" s="19"/>
    </row>
    <row r="7798">
      <c r="A7798" s="9"/>
      <c r="B7798" s="15"/>
      <c r="C7798" s="9">
        <f>IFERROR(__xludf.DUMMYFUNCTION("""COMPUTED_VALUE"""),44523.2846407754)</f>
        <v>44523.28464</v>
      </c>
      <c r="D7798" s="15">
        <f>IFERROR(__xludf.DUMMYFUNCTION("""COMPUTED_VALUE"""),1.053)</f>
        <v>1.053</v>
      </c>
      <c r="E7798" s="16">
        <f>IFERROR(__xludf.DUMMYFUNCTION("""COMPUTED_VALUE"""),67.0)</f>
        <v>67</v>
      </c>
      <c r="F7798" s="19" t="str">
        <f>IFERROR(__xludf.DUMMYFUNCTION("""COMPUTED_VALUE"""),"BLACK")</f>
        <v>BLACK</v>
      </c>
      <c r="G7798" s="20" t="str">
        <f>IFERROR(__xludf.DUMMYFUNCTION("""COMPUTED_VALUE"""),"Uncle Sams Cider (11/12/2021) 02")</f>
        <v>Uncle Sams Cider (11/12/2021) 02</v>
      </c>
      <c r="H7798" s="19"/>
    </row>
    <row r="7799">
      <c r="A7799" s="9"/>
      <c r="B7799" s="15"/>
      <c r="C7799" s="9">
        <f>IFERROR(__xludf.DUMMYFUNCTION("""COMPUTED_VALUE"""),44523.2742184259)</f>
        <v>44523.27422</v>
      </c>
      <c r="D7799" s="15">
        <f>IFERROR(__xludf.DUMMYFUNCTION("""COMPUTED_VALUE"""),1.053)</f>
        <v>1.053</v>
      </c>
      <c r="E7799" s="16">
        <f>IFERROR(__xludf.DUMMYFUNCTION("""COMPUTED_VALUE"""),67.0)</f>
        <v>67</v>
      </c>
      <c r="F7799" s="19" t="str">
        <f>IFERROR(__xludf.DUMMYFUNCTION("""COMPUTED_VALUE"""),"BLACK")</f>
        <v>BLACK</v>
      </c>
      <c r="G7799" s="20" t="str">
        <f>IFERROR(__xludf.DUMMYFUNCTION("""COMPUTED_VALUE"""),"Uncle Sams Cider (11/12/2021) 02")</f>
        <v>Uncle Sams Cider (11/12/2021) 02</v>
      </c>
      <c r="H7799" s="19"/>
    </row>
    <row r="7800">
      <c r="A7800" s="9"/>
      <c r="B7800" s="15"/>
      <c r="C7800" s="9">
        <f>IFERROR(__xludf.DUMMYFUNCTION("""COMPUTED_VALUE"""),44523.2637980671)</f>
        <v>44523.2638</v>
      </c>
      <c r="D7800" s="15">
        <f>IFERROR(__xludf.DUMMYFUNCTION("""COMPUTED_VALUE"""),1.053)</f>
        <v>1.053</v>
      </c>
      <c r="E7800" s="16">
        <f>IFERROR(__xludf.DUMMYFUNCTION("""COMPUTED_VALUE"""),67.0)</f>
        <v>67</v>
      </c>
      <c r="F7800" s="19" t="str">
        <f>IFERROR(__xludf.DUMMYFUNCTION("""COMPUTED_VALUE"""),"BLACK")</f>
        <v>BLACK</v>
      </c>
      <c r="G7800" s="20" t="str">
        <f>IFERROR(__xludf.DUMMYFUNCTION("""COMPUTED_VALUE"""),"Uncle Sams Cider (11/12/2021) 02")</f>
        <v>Uncle Sams Cider (11/12/2021) 02</v>
      </c>
      <c r="H7800" s="19"/>
    </row>
    <row r="7801">
      <c r="A7801" s="9"/>
      <c r="B7801" s="15"/>
      <c r="C7801" s="9">
        <f>IFERROR(__xludf.DUMMYFUNCTION("""COMPUTED_VALUE"""),44523.2533761921)</f>
        <v>44523.25338</v>
      </c>
      <c r="D7801" s="15">
        <f>IFERROR(__xludf.DUMMYFUNCTION("""COMPUTED_VALUE"""),1.053)</f>
        <v>1.053</v>
      </c>
      <c r="E7801" s="16">
        <f>IFERROR(__xludf.DUMMYFUNCTION("""COMPUTED_VALUE"""),67.0)</f>
        <v>67</v>
      </c>
      <c r="F7801" s="19" t="str">
        <f>IFERROR(__xludf.DUMMYFUNCTION("""COMPUTED_VALUE"""),"BLACK")</f>
        <v>BLACK</v>
      </c>
      <c r="G7801" s="20" t="str">
        <f>IFERROR(__xludf.DUMMYFUNCTION("""COMPUTED_VALUE"""),"Uncle Sams Cider (11/12/2021) 02")</f>
        <v>Uncle Sams Cider (11/12/2021) 02</v>
      </c>
      <c r="H7801" s="19"/>
    </row>
    <row r="7802">
      <c r="A7802" s="9"/>
      <c r="B7802" s="15"/>
      <c r="C7802" s="9">
        <f>IFERROR(__xludf.DUMMYFUNCTION("""COMPUTED_VALUE"""),44523.2429548148)</f>
        <v>44523.24295</v>
      </c>
      <c r="D7802" s="15">
        <f>IFERROR(__xludf.DUMMYFUNCTION("""COMPUTED_VALUE"""),1.053)</f>
        <v>1.053</v>
      </c>
      <c r="E7802" s="16">
        <f>IFERROR(__xludf.DUMMYFUNCTION("""COMPUTED_VALUE"""),68.0)</f>
        <v>68</v>
      </c>
      <c r="F7802" s="19" t="str">
        <f>IFERROR(__xludf.DUMMYFUNCTION("""COMPUTED_VALUE"""),"BLACK")</f>
        <v>BLACK</v>
      </c>
      <c r="G7802" s="20" t="str">
        <f>IFERROR(__xludf.DUMMYFUNCTION("""COMPUTED_VALUE"""),"Uncle Sams Cider (11/12/2021) 02")</f>
        <v>Uncle Sams Cider (11/12/2021) 02</v>
      </c>
      <c r="H7802" s="19"/>
    </row>
    <row r="7803">
      <c r="A7803" s="9"/>
      <c r="B7803" s="15"/>
      <c r="C7803" s="9">
        <f>IFERROR(__xludf.DUMMYFUNCTION("""COMPUTED_VALUE"""),44523.2325332523)</f>
        <v>44523.23253</v>
      </c>
      <c r="D7803" s="15">
        <f>IFERROR(__xludf.DUMMYFUNCTION("""COMPUTED_VALUE"""),1.053)</f>
        <v>1.053</v>
      </c>
      <c r="E7803" s="16">
        <f>IFERROR(__xludf.DUMMYFUNCTION("""COMPUTED_VALUE"""),68.0)</f>
        <v>68</v>
      </c>
      <c r="F7803" s="19" t="str">
        <f>IFERROR(__xludf.DUMMYFUNCTION("""COMPUTED_VALUE"""),"BLACK")</f>
        <v>BLACK</v>
      </c>
      <c r="G7803" s="20" t="str">
        <f>IFERROR(__xludf.DUMMYFUNCTION("""COMPUTED_VALUE"""),"Uncle Sams Cider (11/12/2021) 02")</f>
        <v>Uncle Sams Cider (11/12/2021) 02</v>
      </c>
      <c r="H7803" s="19"/>
    </row>
    <row r="7804">
      <c r="A7804" s="9"/>
      <c r="B7804" s="15"/>
      <c r="C7804" s="9">
        <f>IFERROR(__xludf.DUMMYFUNCTION("""COMPUTED_VALUE"""),44523.2221138541)</f>
        <v>44523.22211</v>
      </c>
      <c r="D7804" s="15">
        <f>IFERROR(__xludf.DUMMYFUNCTION("""COMPUTED_VALUE"""),1.053)</f>
        <v>1.053</v>
      </c>
      <c r="E7804" s="16">
        <f>IFERROR(__xludf.DUMMYFUNCTION("""COMPUTED_VALUE"""),68.0)</f>
        <v>68</v>
      </c>
      <c r="F7804" s="19" t="str">
        <f>IFERROR(__xludf.DUMMYFUNCTION("""COMPUTED_VALUE"""),"BLACK")</f>
        <v>BLACK</v>
      </c>
      <c r="G7804" s="20" t="str">
        <f>IFERROR(__xludf.DUMMYFUNCTION("""COMPUTED_VALUE"""),"Uncle Sams Cider (11/12/2021) 02")</f>
        <v>Uncle Sams Cider (11/12/2021) 02</v>
      </c>
      <c r="H7804" s="19"/>
    </row>
    <row r="7805">
      <c r="A7805" s="9"/>
      <c r="B7805" s="15"/>
      <c r="C7805" s="9">
        <f>IFERROR(__xludf.DUMMYFUNCTION("""COMPUTED_VALUE"""),44523.2116919444)</f>
        <v>44523.21169</v>
      </c>
      <c r="D7805" s="15">
        <f>IFERROR(__xludf.DUMMYFUNCTION("""COMPUTED_VALUE"""),1.053)</f>
        <v>1.053</v>
      </c>
      <c r="E7805" s="16">
        <f>IFERROR(__xludf.DUMMYFUNCTION("""COMPUTED_VALUE"""),68.0)</f>
        <v>68</v>
      </c>
      <c r="F7805" s="19" t="str">
        <f>IFERROR(__xludf.DUMMYFUNCTION("""COMPUTED_VALUE"""),"BLACK")</f>
        <v>BLACK</v>
      </c>
      <c r="G7805" s="20" t="str">
        <f>IFERROR(__xludf.DUMMYFUNCTION("""COMPUTED_VALUE"""),"Uncle Sams Cider (11/12/2021) 02")</f>
        <v>Uncle Sams Cider (11/12/2021) 02</v>
      </c>
      <c r="H7805" s="19"/>
    </row>
    <row r="7806">
      <c r="A7806" s="9"/>
      <c r="B7806" s="15"/>
      <c r="C7806" s="9">
        <f>IFERROR(__xludf.DUMMYFUNCTION("""COMPUTED_VALUE"""),44523.2012704861)</f>
        <v>44523.20127</v>
      </c>
      <c r="D7806" s="15">
        <f>IFERROR(__xludf.DUMMYFUNCTION("""COMPUTED_VALUE"""),1.053)</f>
        <v>1.053</v>
      </c>
      <c r="E7806" s="16">
        <f>IFERROR(__xludf.DUMMYFUNCTION("""COMPUTED_VALUE"""),68.0)</f>
        <v>68</v>
      </c>
      <c r="F7806" s="19" t="str">
        <f>IFERROR(__xludf.DUMMYFUNCTION("""COMPUTED_VALUE"""),"BLACK")</f>
        <v>BLACK</v>
      </c>
      <c r="G7806" s="20" t="str">
        <f>IFERROR(__xludf.DUMMYFUNCTION("""COMPUTED_VALUE"""),"Uncle Sams Cider (11/12/2021) 02")</f>
        <v>Uncle Sams Cider (11/12/2021) 02</v>
      </c>
      <c r="H7806" s="19"/>
    </row>
    <row r="7807">
      <c r="A7807" s="9"/>
      <c r="B7807" s="15"/>
      <c r="C7807" s="9">
        <f>IFERROR(__xludf.DUMMYFUNCTION("""COMPUTED_VALUE"""),44523.1908487615)</f>
        <v>44523.19085</v>
      </c>
      <c r="D7807" s="15">
        <f>IFERROR(__xludf.DUMMYFUNCTION("""COMPUTED_VALUE"""),1.053)</f>
        <v>1.053</v>
      </c>
      <c r="E7807" s="16">
        <f>IFERROR(__xludf.DUMMYFUNCTION("""COMPUTED_VALUE"""),68.0)</f>
        <v>68</v>
      </c>
      <c r="F7807" s="19" t="str">
        <f>IFERROR(__xludf.DUMMYFUNCTION("""COMPUTED_VALUE"""),"BLACK")</f>
        <v>BLACK</v>
      </c>
      <c r="G7807" s="20" t="str">
        <f>IFERROR(__xludf.DUMMYFUNCTION("""COMPUTED_VALUE"""),"Uncle Sams Cider (11/12/2021) 02")</f>
        <v>Uncle Sams Cider (11/12/2021) 02</v>
      </c>
      <c r="H7807" s="19"/>
    </row>
    <row r="7808">
      <c r="A7808" s="9"/>
      <c r="B7808" s="15"/>
      <c r="C7808" s="9">
        <f>IFERROR(__xludf.DUMMYFUNCTION("""COMPUTED_VALUE"""),44523.1803799768)</f>
        <v>44523.18038</v>
      </c>
      <c r="D7808" s="15">
        <f>IFERROR(__xludf.DUMMYFUNCTION("""COMPUTED_VALUE"""),1.053)</f>
        <v>1.053</v>
      </c>
      <c r="E7808" s="16">
        <f>IFERROR(__xludf.DUMMYFUNCTION("""COMPUTED_VALUE"""),68.0)</f>
        <v>68</v>
      </c>
      <c r="F7808" s="19" t="str">
        <f>IFERROR(__xludf.DUMMYFUNCTION("""COMPUTED_VALUE"""),"BLACK")</f>
        <v>BLACK</v>
      </c>
      <c r="G7808" s="20" t="str">
        <f>IFERROR(__xludf.DUMMYFUNCTION("""COMPUTED_VALUE"""),"Uncle Sams Cider (11/12/2021) 02")</f>
        <v>Uncle Sams Cider (11/12/2021) 02</v>
      </c>
      <c r="H7808" s="19"/>
    </row>
    <row r="7809">
      <c r="A7809" s="9"/>
      <c r="B7809" s="15"/>
      <c r="C7809" s="9">
        <f>IFERROR(__xludf.DUMMYFUNCTION("""COMPUTED_VALUE"""),44523.1699591319)</f>
        <v>44523.16996</v>
      </c>
      <c r="D7809" s="15">
        <f>IFERROR(__xludf.DUMMYFUNCTION("""COMPUTED_VALUE"""),1.053)</f>
        <v>1.053</v>
      </c>
      <c r="E7809" s="16">
        <f>IFERROR(__xludf.DUMMYFUNCTION("""COMPUTED_VALUE"""),68.0)</f>
        <v>68</v>
      </c>
      <c r="F7809" s="19" t="str">
        <f>IFERROR(__xludf.DUMMYFUNCTION("""COMPUTED_VALUE"""),"BLACK")</f>
        <v>BLACK</v>
      </c>
      <c r="G7809" s="20" t="str">
        <f>IFERROR(__xludf.DUMMYFUNCTION("""COMPUTED_VALUE"""),"Uncle Sams Cider (11/12/2021) 02")</f>
        <v>Uncle Sams Cider (11/12/2021) 02</v>
      </c>
      <c r="H7809" s="19"/>
    </row>
    <row r="7810">
      <c r="A7810" s="9"/>
      <c r="B7810" s="15"/>
      <c r="C7810" s="9">
        <f>IFERROR(__xludf.DUMMYFUNCTION("""COMPUTED_VALUE"""),44523.1595261574)</f>
        <v>44523.15953</v>
      </c>
      <c r="D7810" s="15">
        <f>IFERROR(__xludf.DUMMYFUNCTION("""COMPUTED_VALUE"""),1.053)</f>
        <v>1.053</v>
      </c>
      <c r="E7810" s="16">
        <f>IFERROR(__xludf.DUMMYFUNCTION("""COMPUTED_VALUE"""),68.0)</f>
        <v>68</v>
      </c>
      <c r="F7810" s="19" t="str">
        <f>IFERROR(__xludf.DUMMYFUNCTION("""COMPUTED_VALUE"""),"BLACK")</f>
        <v>BLACK</v>
      </c>
      <c r="G7810" s="20" t="str">
        <f>IFERROR(__xludf.DUMMYFUNCTION("""COMPUTED_VALUE"""),"Uncle Sams Cider (11/12/2021) 02")</f>
        <v>Uncle Sams Cider (11/12/2021) 02</v>
      </c>
      <c r="H7810" s="19"/>
    </row>
    <row r="7811">
      <c r="A7811" s="9"/>
      <c r="B7811" s="15"/>
      <c r="C7811" s="9">
        <f>IFERROR(__xludf.DUMMYFUNCTION("""COMPUTED_VALUE"""),44523.1490930902)</f>
        <v>44523.14909</v>
      </c>
      <c r="D7811" s="15">
        <f>IFERROR(__xludf.DUMMYFUNCTION("""COMPUTED_VALUE"""),1.054)</f>
        <v>1.054</v>
      </c>
      <c r="E7811" s="16">
        <f>IFERROR(__xludf.DUMMYFUNCTION("""COMPUTED_VALUE"""),68.0)</f>
        <v>68</v>
      </c>
      <c r="F7811" s="19" t="str">
        <f>IFERROR(__xludf.DUMMYFUNCTION("""COMPUTED_VALUE"""),"BLACK")</f>
        <v>BLACK</v>
      </c>
      <c r="G7811" s="20" t="str">
        <f>IFERROR(__xludf.DUMMYFUNCTION("""COMPUTED_VALUE"""),"Uncle Sams Cider (11/12/2021) 02")</f>
        <v>Uncle Sams Cider (11/12/2021) 02</v>
      </c>
      <c r="H7811" s="19"/>
    </row>
    <row r="7812">
      <c r="A7812" s="9"/>
      <c r="B7812" s="15"/>
      <c r="C7812" s="9">
        <f>IFERROR(__xludf.DUMMYFUNCTION("""COMPUTED_VALUE"""),44523.1386712384)</f>
        <v>44523.13867</v>
      </c>
      <c r="D7812" s="15">
        <f>IFERROR(__xludf.DUMMYFUNCTION("""COMPUTED_VALUE"""),1.053)</f>
        <v>1.053</v>
      </c>
      <c r="E7812" s="16">
        <f>IFERROR(__xludf.DUMMYFUNCTION("""COMPUTED_VALUE"""),68.0)</f>
        <v>68</v>
      </c>
      <c r="F7812" s="19" t="str">
        <f>IFERROR(__xludf.DUMMYFUNCTION("""COMPUTED_VALUE"""),"BLACK")</f>
        <v>BLACK</v>
      </c>
      <c r="G7812" s="20" t="str">
        <f>IFERROR(__xludf.DUMMYFUNCTION("""COMPUTED_VALUE"""),"Uncle Sams Cider (11/12/2021) 02")</f>
        <v>Uncle Sams Cider (11/12/2021) 02</v>
      </c>
      <c r="H7812" s="19"/>
    </row>
    <row r="7813">
      <c r="A7813" s="9"/>
      <c r="B7813" s="15"/>
      <c r="C7813" s="9">
        <f>IFERROR(__xludf.DUMMYFUNCTION("""COMPUTED_VALUE"""),44523.1282509953)</f>
        <v>44523.12825</v>
      </c>
      <c r="D7813" s="15">
        <f>IFERROR(__xludf.DUMMYFUNCTION("""COMPUTED_VALUE"""),1.053)</f>
        <v>1.053</v>
      </c>
      <c r="E7813" s="16">
        <f>IFERROR(__xludf.DUMMYFUNCTION("""COMPUTED_VALUE"""),68.0)</f>
        <v>68</v>
      </c>
      <c r="F7813" s="19" t="str">
        <f>IFERROR(__xludf.DUMMYFUNCTION("""COMPUTED_VALUE"""),"BLACK")</f>
        <v>BLACK</v>
      </c>
      <c r="G7813" s="20" t="str">
        <f>IFERROR(__xludf.DUMMYFUNCTION("""COMPUTED_VALUE"""),"Uncle Sams Cider (11/12/2021) 02")</f>
        <v>Uncle Sams Cider (11/12/2021) 02</v>
      </c>
      <c r="H7813" s="19"/>
    </row>
    <row r="7814">
      <c r="A7814" s="9"/>
      <c r="B7814" s="15"/>
      <c r="C7814" s="9">
        <f>IFERROR(__xludf.DUMMYFUNCTION("""COMPUTED_VALUE"""),44523.1178303472)</f>
        <v>44523.11783</v>
      </c>
      <c r="D7814" s="15">
        <f>IFERROR(__xludf.DUMMYFUNCTION("""COMPUTED_VALUE"""),1.053)</f>
        <v>1.053</v>
      </c>
      <c r="E7814" s="16">
        <f>IFERROR(__xludf.DUMMYFUNCTION("""COMPUTED_VALUE"""),68.0)</f>
        <v>68</v>
      </c>
      <c r="F7814" s="19" t="str">
        <f>IFERROR(__xludf.DUMMYFUNCTION("""COMPUTED_VALUE"""),"BLACK")</f>
        <v>BLACK</v>
      </c>
      <c r="G7814" s="20" t="str">
        <f>IFERROR(__xludf.DUMMYFUNCTION("""COMPUTED_VALUE"""),"Uncle Sams Cider (11/12/2021) 02")</f>
        <v>Uncle Sams Cider (11/12/2021) 02</v>
      </c>
      <c r="H7814" s="19"/>
    </row>
    <row r="7815">
      <c r="A7815" s="9"/>
      <c r="B7815" s="15"/>
      <c r="C7815" s="9">
        <f>IFERROR(__xludf.DUMMYFUNCTION("""COMPUTED_VALUE"""),44523.1074085879)</f>
        <v>44523.10741</v>
      </c>
      <c r="D7815" s="15">
        <f>IFERROR(__xludf.DUMMYFUNCTION("""COMPUTED_VALUE"""),1.054)</f>
        <v>1.054</v>
      </c>
      <c r="E7815" s="16">
        <f>IFERROR(__xludf.DUMMYFUNCTION("""COMPUTED_VALUE"""),68.0)</f>
        <v>68</v>
      </c>
      <c r="F7815" s="19" t="str">
        <f>IFERROR(__xludf.DUMMYFUNCTION("""COMPUTED_VALUE"""),"BLACK")</f>
        <v>BLACK</v>
      </c>
      <c r="G7815" s="20" t="str">
        <f>IFERROR(__xludf.DUMMYFUNCTION("""COMPUTED_VALUE"""),"Uncle Sams Cider (11/12/2021) 02")</f>
        <v>Uncle Sams Cider (11/12/2021) 02</v>
      </c>
      <c r="H7815" s="19"/>
    </row>
    <row r="7816">
      <c r="A7816" s="9"/>
      <c r="B7816" s="15"/>
      <c r="C7816" s="9">
        <f>IFERROR(__xludf.DUMMYFUNCTION("""COMPUTED_VALUE"""),44523.0969856134)</f>
        <v>44523.09699</v>
      </c>
      <c r="D7816" s="15">
        <f>IFERROR(__xludf.DUMMYFUNCTION("""COMPUTED_VALUE"""),1.054)</f>
        <v>1.054</v>
      </c>
      <c r="E7816" s="16">
        <f>IFERROR(__xludf.DUMMYFUNCTION("""COMPUTED_VALUE"""),68.0)</f>
        <v>68</v>
      </c>
      <c r="F7816" s="19" t="str">
        <f>IFERROR(__xludf.DUMMYFUNCTION("""COMPUTED_VALUE"""),"BLACK")</f>
        <v>BLACK</v>
      </c>
      <c r="G7816" s="20" t="str">
        <f>IFERROR(__xludf.DUMMYFUNCTION("""COMPUTED_VALUE"""),"Uncle Sams Cider (11/12/2021) 02")</f>
        <v>Uncle Sams Cider (11/12/2021) 02</v>
      </c>
      <c r="H7816" s="19"/>
    </row>
    <row r="7817">
      <c r="A7817" s="9"/>
      <c r="B7817" s="15"/>
      <c r="C7817" s="9">
        <f>IFERROR(__xludf.DUMMYFUNCTION("""COMPUTED_VALUE"""),44523.0865530324)</f>
        <v>44523.08655</v>
      </c>
      <c r="D7817" s="15">
        <f>IFERROR(__xludf.DUMMYFUNCTION("""COMPUTED_VALUE"""),1.054)</f>
        <v>1.054</v>
      </c>
      <c r="E7817" s="16">
        <f>IFERROR(__xludf.DUMMYFUNCTION("""COMPUTED_VALUE"""),68.0)</f>
        <v>68</v>
      </c>
      <c r="F7817" s="19" t="str">
        <f>IFERROR(__xludf.DUMMYFUNCTION("""COMPUTED_VALUE"""),"BLACK")</f>
        <v>BLACK</v>
      </c>
      <c r="G7817" s="20" t="str">
        <f>IFERROR(__xludf.DUMMYFUNCTION("""COMPUTED_VALUE"""),"Uncle Sams Cider (11/12/2021) 02")</f>
        <v>Uncle Sams Cider (11/12/2021) 02</v>
      </c>
      <c r="H7817" s="19"/>
    </row>
    <row r="7818">
      <c r="A7818" s="9"/>
      <c r="B7818" s="15"/>
      <c r="C7818" s="9">
        <f>IFERROR(__xludf.DUMMYFUNCTION("""COMPUTED_VALUE"""),44523.0761322453)</f>
        <v>44523.07613</v>
      </c>
      <c r="D7818" s="15">
        <f>IFERROR(__xludf.DUMMYFUNCTION("""COMPUTED_VALUE"""),1.054)</f>
        <v>1.054</v>
      </c>
      <c r="E7818" s="16">
        <f>IFERROR(__xludf.DUMMYFUNCTION("""COMPUTED_VALUE"""),68.0)</f>
        <v>68</v>
      </c>
      <c r="F7818" s="19" t="str">
        <f>IFERROR(__xludf.DUMMYFUNCTION("""COMPUTED_VALUE"""),"BLACK")</f>
        <v>BLACK</v>
      </c>
      <c r="G7818" s="20" t="str">
        <f>IFERROR(__xludf.DUMMYFUNCTION("""COMPUTED_VALUE"""),"Uncle Sams Cider (11/12/2021) 02")</f>
        <v>Uncle Sams Cider (11/12/2021) 02</v>
      </c>
      <c r="H7818" s="19"/>
    </row>
    <row r="7819">
      <c r="A7819" s="9"/>
      <c r="B7819" s="15"/>
      <c r="C7819" s="9">
        <f>IFERROR(__xludf.DUMMYFUNCTION("""COMPUTED_VALUE"""),44523.0656985416)</f>
        <v>44523.0657</v>
      </c>
      <c r="D7819" s="15">
        <f>IFERROR(__xludf.DUMMYFUNCTION("""COMPUTED_VALUE"""),1.054)</f>
        <v>1.054</v>
      </c>
      <c r="E7819" s="16">
        <f>IFERROR(__xludf.DUMMYFUNCTION("""COMPUTED_VALUE"""),68.0)</f>
        <v>68</v>
      </c>
      <c r="F7819" s="19" t="str">
        <f>IFERROR(__xludf.DUMMYFUNCTION("""COMPUTED_VALUE"""),"BLACK")</f>
        <v>BLACK</v>
      </c>
      <c r="G7819" s="20" t="str">
        <f>IFERROR(__xludf.DUMMYFUNCTION("""COMPUTED_VALUE"""),"Uncle Sams Cider (11/12/2021) 02")</f>
        <v>Uncle Sams Cider (11/12/2021) 02</v>
      </c>
      <c r="H7819" s="19"/>
    </row>
    <row r="7820">
      <c r="A7820" s="9"/>
      <c r="B7820" s="15"/>
      <c r="C7820" s="9">
        <f>IFERROR(__xludf.DUMMYFUNCTION("""COMPUTED_VALUE"""),44523.0552773958)</f>
        <v>44523.05528</v>
      </c>
      <c r="D7820" s="15">
        <f>IFERROR(__xludf.DUMMYFUNCTION("""COMPUTED_VALUE"""),1.054)</f>
        <v>1.054</v>
      </c>
      <c r="E7820" s="16">
        <f>IFERROR(__xludf.DUMMYFUNCTION("""COMPUTED_VALUE"""),68.0)</f>
        <v>68</v>
      </c>
      <c r="F7820" s="19" t="str">
        <f>IFERROR(__xludf.DUMMYFUNCTION("""COMPUTED_VALUE"""),"BLACK")</f>
        <v>BLACK</v>
      </c>
      <c r="G7820" s="20" t="str">
        <f>IFERROR(__xludf.DUMMYFUNCTION("""COMPUTED_VALUE"""),"Uncle Sams Cider (11/12/2021) 02")</f>
        <v>Uncle Sams Cider (11/12/2021) 02</v>
      </c>
      <c r="H7820" s="19"/>
    </row>
    <row r="7821">
      <c r="A7821" s="9"/>
      <c r="B7821" s="15"/>
      <c r="C7821" s="9">
        <f>IFERROR(__xludf.DUMMYFUNCTION("""COMPUTED_VALUE"""),44523.0448347337)</f>
        <v>44523.04483</v>
      </c>
      <c r="D7821" s="15">
        <f>IFERROR(__xludf.DUMMYFUNCTION("""COMPUTED_VALUE"""),1.054)</f>
        <v>1.054</v>
      </c>
      <c r="E7821" s="16">
        <f>IFERROR(__xludf.DUMMYFUNCTION("""COMPUTED_VALUE"""),68.0)</f>
        <v>68</v>
      </c>
      <c r="F7821" s="19" t="str">
        <f>IFERROR(__xludf.DUMMYFUNCTION("""COMPUTED_VALUE"""),"BLACK")</f>
        <v>BLACK</v>
      </c>
      <c r="G7821" s="20" t="str">
        <f>IFERROR(__xludf.DUMMYFUNCTION("""COMPUTED_VALUE"""),"Uncle Sams Cider (11/12/2021) 02")</f>
        <v>Uncle Sams Cider (11/12/2021) 02</v>
      </c>
      <c r="H7821" s="19"/>
    </row>
    <row r="7822">
      <c r="A7822" s="9"/>
      <c r="B7822" s="15"/>
      <c r="C7822" s="9">
        <f>IFERROR(__xludf.DUMMYFUNCTION("""COMPUTED_VALUE"""),44523.0344034953)</f>
        <v>44523.0344</v>
      </c>
      <c r="D7822" s="15">
        <f>IFERROR(__xludf.DUMMYFUNCTION("""COMPUTED_VALUE"""),1.054)</f>
        <v>1.054</v>
      </c>
      <c r="E7822" s="16">
        <f>IFERROR(__xludf.DUMMYFUNCTION("""COMPUTED_VALUE"""),68.0)</f>
        <v>68</v>
      </c>
      <c r="F7822" s="19" t="str">
        <f>IFERROR(__xludf.DUMMYFUNCTION("""COMPUTED_VALUE"""),"BLACK")</f>
        <v>BLACK</v>
      </c>
      <c r="G7822" s="20" t="str">
        <f>IFERROR(__xludf.DUMMYFUNCTION("""COMPUTED_VALUE"""),"Uncle Sams Cider (11/12/2021) 02")</f>
        <v>Uncle Sams Cider (11/12/2021) 02</v>
      </c>
      <c r="H7822" s="19"/>
    </row>
    <row r="7823">
      <c r="A7823" s="9"/>
      <c r="B7823" s="15"/>
      <c r="C7823" s="9">
        <f>IFERROR(__xludf.DUMMYFUNCTION("""COMPUTED_VALUE"""),44523.0239822106)</f>
        <v>44523.02398</v>
      </c>
      <c r="D7823" s="15">
        <f>IFERROR(__xludf.DUMMYFUNCTION("""COMPUTED_VALUE"""),1.054)</f>
        <v>1.054</v>
      </c>
      <c r="E7823" s="16">
        <f>IFERROR(__xludf.DUMMYFUNCTION("""COMPUTED_VALUE"""),68.0)</f>
        <v>68</v>
      </c>
      <c r="F7823" s="19" t="str">
        <f>IFERROR(__xludf.DUMMYFUNCTION("""COMPUTED_VALUE"""),"BLACK")</f>
        <v>BLACK</v>
      </c>
      <c r="G7823" s="20" t="str">
        <f>IFERROR(__xludf.DUMMYFUNCTION("""COMPUTED_VALUE"""),"Uncle Sams Cider (11/12/2021) 02")</f>
        <v>Uncle Sams Cider (11/12/2021) 02</v>
      </c>
      <c r="H7823" s="19"/>
    </row>
    <row r="7824">
      <c r="A7824" s="9"/>
      <c r="B7824" s="15"/>
      <c r="C7824" s="9">
        <f>IFERROR(__xludf.DUMMYFUNCTION("""COMPUTED_VALUE"""),44523.0135600231)</f>
        <v>44523.01356</v>
      </c>
      <c r="D7824" s="15">
        <f>IFERROR(__xludf.DUMMYFUNCTION("""COMPUTED_VALUE"""),1.054)</f>
        <v>1.054</v>
      </c>
      <c r="E7824" s="16">
        <f>IFERROR(__xludf.DUMMYFUNCTION("""COMPUTED_VALUE"""),68.0)</f>
        <v>68</v>
      </c>
      <c r="F7824" s="19" t="str">
        <f>IFERROR(__xludf.DUMMYFUNCTION("""COMPUTED_VALUE"""),"BLACK")</f>
        <v>BLACK</v>
      </c>
      <c r="G7824" s="20" t="str">
        <f>IFERROR(__xludf.DUMMYFUNCTION("""COMPUTED_VALUE"""),"Uncle Sams Cider (11/12/2021) 02")</f>
        <v>Uncle Sams Cider (11/12/2021) 02</v>
      </c>
      <c r="H7824" s="19"/>
    </row>
    <row r="7825">
      <c r="A7825" s="9"/>
      <c r="B7825" s="15"/>
      <c r="C7825" s="9">
        <f>IFERROR(__xludf.DUMMYFUNCTION("""COMPUTED_VALUE"""),44523.0031362731)</f>
        <v>44523.00314</v>
      </c>
      <c r="D7825" s="15">
        <f>IFERROR(__xludf.DUMMYFUNCTION("""COMPUTED_VALUE"""),1.054)</f>
        <v>1.054</v>
      </c>
      <c r="E7825" s="16">
        <f>IFERROR(__xludf.DUMMYFUNCTION("""COMPUTED_VALUE"""),68.0)</f>
        <v>68</v>
      </c>
      <c r="F7825" s="19" t="str">
        <f>IFERROR(__xludf.DUMMYFUNCTION("""COMPUTED_VALUE"""),"BLACK")</f>
        <v>BLACK</v>
      </c>
      <c r="G7825" s="20" t="str">
        <f>IFERROR(__xludf.DUMMYFUNCTION("""COMPUTED_VALUE"""),"Uncle Sams Cider (11/12/2021) 02")</f>
        <v>Uncle Sams Cider (11/12/2021) 02</v>
      </c>
      <c r="H7825" s="19"/>
    </row>
    <row r="7826">
      <c r="A7826" s="9"/>
      <c r="B7826" s="15"/>
      <c r="C7826" s="9">
        <f>IFERROR(__xludf.DUMMYFUNCTION("""COMPUTED_VALUE"""),44522.9927115972)</f>
        <v>44522.99271</v>
      </c>
      <c r="D7826" s="15">
        <f>IFERROR(__xludf.DUMMYFUNCTION("""COMPUTED_VALUE"""),1.054)</f>
        <v>1.054</v>
      </c>
      <c r="E7826" s="16">
        <f>IFERROR(__xludf.DUMMYFUNCTION("""COMPUTED_VALUE"""),68.0)</f>
        <v>68</v>
      </c>
      <c r="F7826" s="19" t="str">
        <f>IFERROR(__xludf.DUMMYFUNCTION("""COMPUTED_VALUE"""),"BLACK")</f>
        <v>BLACK</v>
      </c>
      <c r="G7826" s="20" t="str">
        <f>IFERROR(__xludf.DUMMYFUNCTION("""COMPUTED_VALUE"""),"Uncle Sams Cider (11/12/2021) 02")</f>
        <v>Uncle Sams Cider (11/12/2021) 02</v>
      </c>
      <c r="H7826" s="19"/>
    </row>
    <row r="7827">
      <c r="A7827" s="9"/>
      <c r="B7827" s="15"/>
      <c r="C7827" s="9">
        <f>IFERROR(__xludf.DUMMYFUNCTION("""COMPUTED_VALUE"""),44522.9822916319)</f>
        <v>44522.98229</v>
      </c>
      <c r="D7827" s="15">
        <f>IFERROR(__xludf.DUMMYFUNCTION("""COMPUTED_VALUE"""),1.054)</f>
        <v>1.054</v>
      </c>
      <c r="E7827" s="16">
        <f>IFERROR(__xludf.DUMMYFUNCTION("""COMPUTED_VALUE"""),68.0)</f>
        <v>68</v>
      </c>
      <c r="F7827" s="19" t="str">
        <f>IFERROR(__xludf.DUMMYFUNCTION("""COMPUTED_VALUE"""),"BLACK")</f>
        <v>BLACK</v>
      </c>
      <c r="G7827" s="20" t="str">
        <f>IFERROR(__xludf.DUMMYFUNCTION("""COMPUTED_VALUE"""),"Uncle Sams Cider (11/12/2021) 02")</f>
        <v>Uncle Sams Cider (11/12/2021) 02</v>
      </c>
      <c r="H7827" s="19"/>
    </row>
    <row r="7828">
      <c r="A7828" s="9"/>
      <c r="B7828" s="15"/>
      <c r="C7828" s="9">
        <f>IFERROR(__xludf.DUMMYFUNCTION("""COMPUTED_VALUE"""),44522.9718476736)</f>
        <v>44522.97185</v>
      </c>
      <c r="D7828" s="15">
        <f>IFERROR(__xludf.DUMMYFUNCTION("""COMPUTED_VALUE"""),1.054)</f>
        <v>1.054</v>
      </c>
      <c r="E7828" s="16">
        <f>IFERROR(__xludf.DUMMYFUNCTION("""COMPUTED_VALUE"""),68.0)</f>
        <v>68</v>
      </c>
      <c r="F7828" s="19" t="str">
        <f>IFERROR(__xludf.DUMMYFUNCTION("""COMPUTED_VALUE"""),"BLACK")</f>
        <v>BLACK</v>
      </c>
      <c r="G7828" s="20" t="str">
        <f>IFERROR(__xludf.DUMMYFUNCTION("""COMPUTED_VALUE"""),"Uncle Sams Cider (11/12/2021) 02")</f>
        <v>Uncle Sams Cider (11/12/2021) 02</v>
      </c>
      <c r="H7828" s="19"/>
    </row>
    <row r="7829">
      <c r="A7829" s="9"/>
      <c r="B7829" s="15"/>
      <c r="C7829" s="9">
        <f>IFERROR(__xludf.DUMMYFUNCTION("""COMPUTED_VALUE"""),44522.9614268402)</f>
        <v>44522.96143</v>
      </c>
      <c r="D7829" s="15">
        <f>IFERROR(__xludf.DUMMYFUNCTION("""COMPUTED_VALUE"""),1.054)</f>
        <v>1.054</v>
      </c>
      <c r="E7829" s="16">
        <f>IFERROR(__xludf.DUMMYFUNCTION("""COMPUTED_VALUE"""),68.0)</f>
        <v>68</v>
      </c>
      <c r="F7829" s="19" t="str">
        <f>IFERROR(__xludf.DUMMYFUNCTION("""COMPUTED_VALUE"""),"BLACK")</f>
        <v>BLACK</v>
      </c>
      <c r="G7829" s="20" t="str">
        <f>IFERROR(__xludf.DUMMYFUNCTION("""COMPUTED_VALUE"""),"Uncle Sams Cider (11/12/2021) 02")</f>
        <v>Uncle Sams Cider (11/12/2021) 02</v>
      </c>
      <c r="H7829" s="19"/>
    </row>
    <row r="7830">
      <c r="A7830" s="9"/>
      <c r="B7830" s="15"/>
      <c r="C7830" s="9">
        <f>IFERROR(__xludf.DUMMYFUNCTION("""COMPUTED_VALUE"""),44522.951006331)</f>
        <v>44522.95101</v>
      </c>
      <c r="D7830" s="15">
        <f>IFERROR(__xludf.DUMMYFUNCTION("""COMPUTED_VALUE"""),1.054)</f>
        <v>1.054</v>
      </c>
      <c r="E7830" s="16">
        <f>IFERROR(__xludf.DUMMYFUNCTION("""COMPUTED_VALUE"""),68.0)</f>
        <v>68</v>
      </c>
      <c r="F7830" s="19" t="str">
        <f>IFERROR(__xludf.DUMMYFUNCTION("""COMPUTED_VALUE"""),"BLACK")</f>
        <v>BLACK</v>
      </c>
      <c r="G7830" s="20" t="str">
        <f>IFERROR(__xludf.DUMMYFUNCTION("""COMPUTED_VALUE"""),"Uncle Sams Cider (11/12/2021) 02")</f>
        <v>Uncle Sams Cider (11/12/2021) 02</v>
      </c>
      <c r="H7830" s="19"/>
    </row>
    <row r="7831">
      <c r="A7831" s="9"/>
      <c r="B7831" s="15"/>
      <c r="C7831" s="9">
        <f>IFERROR(__xludf.DUMMYFUNCTION("""COMPUTED_VALUE"""),44522.94058603)</f>
        <v>44522.94059</v>
      </c>
      <c r="D7831" s="15">
        <f>IFERROR(__xludf.DUMMYFUNCTION("""COMPUTED_VALUE"""),1.054)</f>
        <v>1.054</v>
      </c>
      <c r="E7831" s="16">
        <f>IFERROR(__xludf.DUMMYFUNCTION("""COMPUTED_VALUE"""),68.0)</f>
        <v>68</v>
      </c>
      <c r="F7831" s="19" t="str">
        <f>IFERROR(__xludf.DUMMYFUNCTION("""COMPUTED_VALUE"""),"BLACK")</f>
        <v>BLACK</v>
      </c>
      <c r="G7831" s="20" t="str">
        <f>IFERROR(__xludf.DUMMYFUNCTION("""COMPUTED_VALUE"""),"Uncle Sams Cider (11/12/2021) 02")</f>
        <v>Uncle Sams Cider (11/12/2021) 02</v>
      </c>
      <c r="H7831" s="19"/>
    </row>
    <row r="7832">
      <c r="A7832" s="9"/>
      <c r="B7832" s="15"/>
      <c r="C7832" s="9">
        <f>IFERROR(__xludf.DUMMYFUNCTION("""COMPUTED_VALUE"""),44522.9301639699)</f>
        <v>44522.93016</v>
      </c>
      <c r="D7832" s="15">
        <f>IFERROR(__xludf.DUMMYFUNCTION("""COMPUTED_VALUE"""),1.054)</f>
        <v>1.054</v>
      </c>
      <c r="E7832" s="16">
        <f>IFERROR(__xludf.DUMMYFUNCTION("""COMPUTED_VALUE"""),68.0)</f>
        <v>68</v>
      </c>
      <c r="F7832" s="19" t="str">
        <f>IFERROR(__xludf.DUMMYFUNCTION("""COMPUTED_VALUE"""),"BLACK")</f>
        <v>BLACK</v>
      </c>
      <c r="G7832" s="20" t="str">
        <f>IFERROR(__xludf.DUMMYFUNCTION("""COMPUTED_VALUE"""),"Uncle Sams Cider (11/12/2021) 02")</f>
        <v>Uncle Sams Cider (11/12/2021) 02</v>
      </c>
      <c r="H7832" s="19"/>
    </row>
    <row r="7833">
      <c r="A7833" s="9"/>
      <c r="B7833" s="15"/>
      <c r="C7833" s="9">
        <f>IFERROR(__xludf.DUMMYFUNCTION("""COMPUTED_VALUE"""),44522.919743206)</f>
        <v>44522.91974</v>
      </c>
      <c r="D7833" s="15">
        <f>IFERROR(__xludf.DUMMYFUNCTION("""COMPUTED_VALUE"""),1.054)</f>
        <v>1.054</v>
      </c>
      <c r="E7833" s="16">
        <f>IFERROR(__xludf.DUMMYFUNCTION("""COMPUTED_VALUE"""),68.0)</f>
        <v>68</v>
      </c>
      <c r="F7833" s="19" t="str">
        <f>IFERROR(__xludf.DUMMYFUNCTION("""COMPUTED_VALUE"""),"BLACK")</f>
        <v>BLACK</v>
      </c>
      <c r="G7833" s="20" t="str">
        <f>IFERROR(__xludf.DUMMYFUNCTION("""COMPUTED_VALUE"""),"Uncle Sams Cider (11/12/2021) 02")</f>
        <v>Uncle Sams Cider (11/12/2021) 02</v>
      </c>
      <c r="H7833" s="19"/>
    </row>
    <row r="7834">
      <c r="A7834" s="9"/>
      <c r="B7834" s="15"/>
      <c r="C7834" s="9">
        <f>IFERROR(__xludf.DUMMYFUNCTION("""COMPUTED_VALUE"""),44522.9093223263)</f>
        <v>44522.90932</v>
      </c>
      <c r="D7834" s="15">
        <f>IFERROR(__xludf.DUMMYFUNCTION("""COMPUTED_VALUE"""),1.054)</f>
        <v>1.054</v>
      </c>
      <c r="E7834" s="16">
        <f>IFERROR(__xludf.DUMMYFUNCTION("""COMPUTED_VALUE"""),68.0)</f>
        <v>68</v>
      </c>
      <c r="F7834" s="19" t="str">
        <f>IFERROR(__xludf.DUMMYFUNCTION("""COMPUTED_VALUE"""),"BLACK")</f>
        <v>BLACK</v>
      </c>
      <c r="G7834" s="20" t="str">
        <f>IFERROR(__xludf.DUMMYFUNCTION("""COMPUTED_VALUE"""),"Uncle Sams Cider (11/12/2021) 02")</f>
        <v>Uncle Sams Cider (11/12/2021) 02</v>
      </c>
      <c r="H7834" s="19"/>
    </row>
    <row r="7835">
      <c r="A7835" s="9"/>
      <c r="B7835" s="15"/>
      <c r="C7835" s="9">
        <f>IFERROR(__xludf.DUMMYFUNCTION("""COMPUTED_VALUE"""),44522.8988998726)</f>
        <v>44522.8989</v>
      </c>
      <c r="D7835" s="15">
        <f>IFERROR(__xludf.DUMMYFUNCTION("""COMPUTED_VALUE"""),1.054)</f>
        <v>1.054</v>
      </c>
      <c r="E7835" s="16">
        <f>IFERROR(__xludf.DUMMYFUNCTION("""COMPUTED_VALUE"""),68.0)</f>
        <v>68</v>
      </c>
      <c r="F7835" s="19" t="str">
        <f>IFERROR(__xludf.DUMMYFUNCTION("""COMPUTED_VALUE"""),"BLACK")</f>
        <v>BLACK</v>
      </c>
      <c r="G7835" s="20" t="str">
        <f>IFERROR(__xludf.DUMMYFUNCTION("""COMPUTED_VALUE"""),"Uncle Sams Cider (11/12/2021) 02")</f>
        <v>Uncle Sams Cider (11/12/2021) 02</v>
      </c>
      <c r="H7835" s="19"/>
    </row>
    <row r="7836">
      <c r="A7836" s="9"/>
      <c r="B7836" s="15"/>
      <c r="C7836" s="9">
        <f>IFERROR(__xludf.DUMMYFUNCTION("""COMPUTED_VALUE"""),44522.8884785879)</f>
        <v>44522.88848</v>
      </c>
      <c r="D7836" s="15">
        <f>IFERROR(__xludf.DUMMYFUNCTION("""COMPUTED_VALUE"""),1.054)</f>
        <v>1.054</v>
      </c>
      <c r="E7836" s="16">
        <f>IFERROR(__xludf.DUMMYFUNCTION("""COMPUTED_VALUE"""),68.0)</f>
        <v>68</v>
      </c>
      <c r="F7836" s="19" t="str">
        <f>IFERROR(__xludf.DUMMYFUNCTION("""COMPUTED_VALUE"""),"BLACK")</f>
        <v>BLACK</v>
      </c>
      <c r="G7836" s="20" t="str">
        <f>IFERROR(__xludf.DUMMYFUNCTION("""COMPUTED_VALUE"""),"Uncle Sams Cider (11/12/2021) 02")</f>
        <v>Uncle Sams Cider (11/12/2021) 02</v>
      </c>
      <c r="H7836" s="19"/>
    </row>
    <row r="7837">
      <c r="A7837" s="9"/>
      <c r="B7837" s="15"/>
      <c r="C7837" s="9">
        <f>IFERROR(__xludf.DUMMYFUNCTION("""COMPUTED_VALUE"""),44522.8780563888)</f>
        <v>44522.87806</v>
      </c>
      <c r="D7837" s="15">
        <f>IFERROR(__xludf.DUMMYFUNCTION("""COMPUTED_VALUE"""),1.054)</f>
        <v>1.054</v>
      </c>
      <c r="E7837" s="16">
        <f>IFERROR(__xludf.DUMMYFUNCTION("""COMPUTED_VALUE"""),68.0)</f>
        <v>68</v>
      </c>
      <c r="F7837" s="19" t="str">
        <f>IFERROR(__xludf.DUMMYFUNCTION("""COMPUTED_VALUE"""),"BLACK")</f>
        <v>BLACK</v>
      </c>
      <c r="G7837" s="20" t="str">
        <f>IFERROR(__xludf.DUMMYFUNCTION("""COMPUTED_VALUE"""),"Uncle Sams Cider (11/12/2021) 02")</f>
        <v>Uncle Sams Cider (11/12/2021) 02</v>
      </c>
      <c r="H7837" s="19"/>
    </row>
    <row r="7838">
      <c r="A7838" s="9"/>
      <c r="B7838" s="15"/>
      <c r="C7838" s="9">
        <f>IFERROR(__xludf.DUMMYFUNCTION("""COMPUTED_VALUE"""),44522.8676350578)</f>
        <v>44522.86764</v>
      </c>
      <c r="D7838" s="15">
        <f>IFERROR(__xludf.DUMMYFUNCTION("""COMPUTED_VALUE"""),1.054)</f>
        <v>1.054</v>
      </c>
      <c r="E7838" s="16">
        <f>IFERROR(__xludf.DUMMYFUNCTION("""COMPUTED_VALUE"""),68.0)</f>
        <v>68</v>
      </c>
      <c r="F7838" s="19" t="str">
        <f>IFERROR(__xludf.DUMMYFUNCTION("""COMPUTED_VALUE"""),"BLACK")</f>
        <v>BLACK</v>
      </c>
      <c r="G7838" s="20" t="str">
        <f>IFERROR(__xludf.DUMMYFUNCTION("""COMPUTED_VALUE"""),"Uncle Sams Cider (11/12/2021) 02")</f>
        <v>Uncle Sams Cider (11/12/2021) 02</v>
      </c>
      <c r="H7838" s="19"/>
    </row>
    <row r="7839">
      <c r="A7839" s="9"/>
      <c r="B7839" s="15"/>
      <c r="C7839" s="9">
        <f>IFERROR(__xludf.DUMMYFUNCTION("""COMPUTED_VALUE"""),44522.8572140972)</f>
        <v>44522.85721</v>
      </c>
      <c r="D7839" s="15">
        <f>IFERROR(__xludf.DUMMYFUNCTION("""COMPUTED_VALUE"""),1.055)</f>
        <v>1.055</v>
      </c>
      <c r="E7839" s="16">
        <f>IFERROR(__xludf.DUMMYFUNCTION("""COMPUTED_VALUE"""),68.0)</f>
        <v>68</v>
      </c>
      <c r="F7839" s="19" t="str">
        <f>IFERROR(__xludf.DUMMYFUNCTION("""COMPUTED_VALUE"""),"BLACK")</f>
        <v>BLACK</v>
      </c>
      <c r="G7839" s="20" t="str">
        <f>IFERROR(__xludf.DUMMYFUNCTION("""COMPUTED_VALUE"""),"Uncle Sams Cider (11/12/2021) 02")</f>
        <v>Uncle Sams Cider (11/12/2021) 02</v>
      </c>
      <c r="H7839" s="19"/>
    </row>
    <row r="7840">
      <c r="A7840" s="9"/>
      <c r="B7840" s="15"/>
      <c r="C7840" s="9">
        <f>IFERROR(__xludf.DUMMYFUNCTION("""COMPUTED_VALUE"""),44522.8467940972)</f>
        <v>44522.84679</v>
      </c>
      <c r="D7840" s="15">
        <f>IFERROR(__xludf.DUMMYFUNCTION("""COMPUTED_VALUE"""),1.055)</f>
        <v>1.055</v>
      </c>
      <c r="E7840" s="16">
        <f>IFERROR(__xludf.DUMMYFUNCTION("""COMPUTED_VALUE"""),68.0)</f>
        <v>68</v>
      </c>
      <c r="F7840" s="19" t="str">
        <f>IFERROR(__xludf.DUMMYFUNCTION("""COMPUTED_VALUE"""),"BLACK")</f>
        <v>BLACK</v>
      </c>
      <c r="G7840" s="20" t="str">
        <f>IFERROR(__xludf.DUMMYFUNCTION("""COMPUTED_VALUE"""),"Uncle Sams Cider (11/12/2021) 02")</f>
        <v>Uncle Sams Cider (11/12/2021) 02</v>
      </c>
      <c r="H7840" s="19"/>
    </row>
    <row r="7841">
      <c r="A7841" s="9"/>
      <c r="B7841" s="15"/>
      <c r="C7841" s="9">
        <f>IFERROR(__xludf.DUMMYFUNCTION("""COMPUTED_VALUE"""),44522.8363744212)</f>
        <v>44522.83637</v>
      </c>
      <c r="D7841" s="15">
        <f>IFERROR(__xludf.DUMMYFUNCTION("""COMPUTED_VALUE"""),1.055)</f>
        <v>1.055</v>
      </c>
      <c r="E7841" s="16">
        <f>IFERROR(__xludf.DUMMYFUNCTION("""COMPUTED_VALUE"""),68.0)</f>
        <v>68</v>
      </c>
      <c r="F7841" s="19" t="str">
        <f>IFERROR(__xludf.DUMMYFUNCTION("""COMPUTED_VALUE"""),"BLACK")</f>
        <v>BLACK</v>
      </c>
      <c r="G7841" s="20" t="str">
        <f>IFERROR(__xludf.DUMMYFUNCTION("""COMPUTED_VALUE"""),"Uncle Sams Cider (11/12/2021) 02")</f>
        <v>Uncle Sams Cider (11/12/2021) 02</v>
      </c>
      <c r="H7841" s="19"/>
    </row>
    <row r="7842">
      <c r="A7842" s="9"/>
      <c r="B7842" s="15"/>
      <c r="C7842" s="9">
        <f>IFERROR(__xludf.DUMMYFUNCTION("""COMPUTED_VALUE"""),44522.8259528125)</f>
        <v>44522.82595</v>
      </c>
      <c r="D7842" s="15">
        <f>IFERROR(__xludf.DUMMYFUNCTION("""COMPUTED_VALUE"""),1.055)</f>
        <v>1.055</v>
      </c>
      <c r="E7842" s="16">
        <f>IFERROR(__xludf.DUMMYFUNCTION("""COMPUTED_VALUE"""),68.0)</f>
        <v>68</v>
      </c>
      <c r="F7842" s="19" t="str">
        <f>IFERROR(__xludf.DUMMYFUNCTION("""COMPUTED_VALUE"""),"BLACK")</f>
        <v>BLACK</v>
      </c>
      <c r="G7842" s="20" t="str">
        <f>IFERROR(__xludf.DUMMYFUNCTION("""COMPUTED_VALUE"""),"Uncle Sams Cider (11/12/2021) 02")</f>
        <v>Uncle Sams Cider (11/12/2021) 02</v>
      </c>
      <c r="H7842" s="19"/>
    </row>
    <row r="7843">
      <c r="A7843" s="9"/>
      <c r="B7843" s="15"/>
      <c r="C7843" s="9">
        <f>IFERROR(__xludf.DUMMYFUNCTION("""COMPUTED_VALUE"""),44522.8155320833)</f>
        <v>44522.81553</v>
      </c>
      <c r="D7843" s="15">
        <f>IFERROR(__xludf.DUMMYFUNCTION("""COMPUTED_VALUE"""),1.055)</f>
        <v>1.055</v>
      </c>
      <c r="E7843" s="16">
        <f>IFERROR(__xludf.DUMMYFUNCTION("""COMPUTED_VALUE"""),68.0)</f>
        <v>68</v>
      </c>
      <c r="F7843" s="19" t="str">
        <f>IFERROR(__xludf.DUMMYFUNCTION("""COMPUTED_VALUE"""),"BLACK")</f>
        <v>BLACK</v>
      </c>
      <c r="G7843" s="20" t="str">
        <f>IFERROR(__xludf.DUMMYFUNCTION("""COMPUTED_VALUE"""),"Uncle Sams Cider (11/12/2021) 02")</f>
        <v>Uncle Sams Cider (11/12/2021) 02</v>
      </c>
      <c r="H7843" s="19"/>
    </row>
    <row r="7844">
      <c r="A7844" s="9"/>
      <c r="B7844" s="15"/>
      <c r="C7844" s="9">
        <f>IFERROR(__xludf.DUMMYFUNCTION("""COMPUTED_VALUE"""),44522.8051104629)</f>
        <v>44522.80511</v>
      </c>
      <c r="D7844" s="15">
        <f>IFERROR(__xludf.DUMMYFUNCTION("""COMPUTED_VALUE"""),1.055)</f>
        <v>1.055</v>
      </c>
      <c r="E7844" s="16">
        <f>IFERROR(__xludf.DUMMYFUNCTION("""COMPUTED_VALUE"""),68.0)</f>
        <v>68</v>
      </c>
      <c r="F7844" s="19" t="str">
        <f>IFERROR(__xludf.DUMMYFUNCTION("""COMPUTED_VALUE"""),"BLACK")</f>
        <v>BLACK</v>
      </c>
      <c r="G7844" s="20" t="str">
        <f>IFERROR(__xludf.DUMMYFUNCTION("""COMPUTED_VALUE"""),"Uncle Sams Cider (11/12/2021) 02")</f>
        <v>Uncle Sams Cider (11/12/2021) 02</v>
      </c>
      <c r="H7844" s="19"/>
    </row>
    <row r="7845">
      <c r="A7845" s="9"/>
      <c r="B7845" s="15"/>
      <c r="C7845" s="9">
        <f>IFERROR(__xludf.DUMMYFUNCTION("""COMPUTED_VALUE"""),44522.79469)</f>
        <v>44522.79469</v>
      </c>
      <c r="D7845" s="15">
        <f>IFERROR(__xludf.DUMMYFUNCTION("""COMPUTED_VALUE"""),1.055)</f>
        <v>1.055</v>
      </c>
      <c r="E7845" s="16">
        <f>IFERROR(__xludf.DUMMYFUNCTION("""COMPUTED_VALUE"""),68.0)</f>
        <v>68</v>
      </c>
      <c r="F7845" s="19" t="str">
        <f>IFERROR(__xludf.DUMMYFUNCTION("""COMPUTED_VALUE"""),"BLACK")</f>
        <v>BLACK</v>
      </c>
      <c r="G7845" s="20" t="str">
        <f>IFERROR(__xludf.DUMMYFUNCTION("""COMPUTED_VALUE"""),"Uncle Sams Cider (11/12/2021) 02")</f>
        <v>Uncle Sams Cider (11/12/2021) 02</v>
      </c>
      <c r="H7845" s="19"/>
    </row>
    <row r="7846">
      <c r="A7846" s="9"/>
      <c r="B7846" s="15"/>
      <c r="C7846" s="9">
        <f>IFERROR(__xludf.DUMMYFUNCTION("""COMPUTED_VALUE"""),44522.7842576157)</f>
        <v>44522.78426</v>
      </c>
      <c r="D7846" s="15">
        <f>IFERROR(__xludf.DUMMYFUNCTION("""COMPUTED_VALUE"""),1.055)</f>
        <v>1.055</v>
      </c>
      <c r="E7846" s="16">
        <f>IFERROR(__xludf.DUMMYFUNCTION("""COMPUTED_VALUE"""),68.0)</f>
        <v>68</v>
      </c>
      <c r="F7846" s="19" t="str">
        <f>IFERROR(__xludf.DUMMYFUNCTION("""COMPUTED_VALUE"""),"BLACK")</f>
        <v>BLACK</v>
      </c>
      <c r="G7846" s="20" t="str">
        <f>IFERROR(__xludf.DUMMYFUNCTION("""COMPUTED_VALUE"""),"Uncle Sams Cider (11/12/2021) 02")</f>
        <v>Uncle Sams Cider (11/12/2021) 02</v>
      </c>
      <c r="H7846" s="19"/>
    </row>
    <row r="7847">
      <c r="A7847" s="9"/>
      <c r="B7847" s="15"/>
      <c r="C7847" s="9">
        <f>IFERROR(__xludf.DUMMYFUNCTION("""COMPUTED_VALUE"""),44522.7738367129)</f>
        <v>44522.77384</v>
      </c>
      <c r="D7847" s="15">
        <f>IFERROR(__xludf.DUMMYFUNCTION("""COMPUTED_VALUE"""),1.055)</f>
        <v>1.055</v>
      </c>
      <c r="E7847" s="16">
        <f>IFERROR(__xludf.DUMMYFUNCTION("""COMPUTED_VALUE"""),68.0)</f>
        <v>68</v>
      </c>
      <c r="F7847" s="19" t="str">
        <f>IFERROR(__xludf.DUMMYFUNCTION("""COMPUTED_VALUE"""),"BLACK")</f>
        <v>BLACK</v>
      </c>
      <c r="G7847" s="20" t="str">
        <f>IFERROR(__xludf.DUMMYFUNCTION("""COMPUTED_VALUE"""),"Uncle Sams Cider (11/12/2021) 02")</f>
        <v>Uncle Sams Cider (11/12/2021) 02</v>
      </c>
      <c r="H7847" s="19"/>
    </row>
    <row r="7848">
      <c r="A7848" s="9"/>
      <c r="B7848" s="15"/>
      <c r="C7848" s="9">
        <f>IFERROR(__xludf.DUMMYFUNCTION("""COMPUTED_VALUE"""),44522.7634018634)</f>
        <v>44522.7634</v>
      </c>
      <c r="D7848" s="15">
        <f>IFERROR(__xludf.DUMMYFUNCTION("""COMPUTED_VALUE"""),1.055)</f>
        <v>1.055</v>
      </c>
      <c r="E7848" s="16">
        <f>IFERROR(__xludf.DUMMYFUNCTION("""COMPUTED_VALUE"""),68.0)</f>
        <v>68</v>
      </c>
      <c r="F7848" s="19" t="str">
        <f>IFERROR(__xludf.DUMMYFUNCTION("""COMPUTED_VALUE"""),"BLACK")</f>
        <v>BLACK</v>
      </c>
      <c r="G7848" s="20" t="str">
        <f>IFERROR(__xludf.DUMMYFUNCTION("""COMPUTED_VALUE"""),"Uncle Sams Cider (11/12/2021) 02")</f>
        <v>Uncle Sams Cider (11/12/2021) 02</v>
      </c>
      <c r="H7848" s="19"/>
    </row>
    <row r="7849">
      <c r="A7849" s="9"/>
      <c r="B7849" s="15"/>
      <c r="C7849" s="9">
        <f>IFERROR(__xludf.DUMMYFUNCTION("""COMPUTED_VALUE"""),44522.7529810185)</f>
        <v>44522.75298</v>
      </c>
      <c r="D7849" s="15">
        <f>IFERROR(__xludf.DUMMYFUNCTION("""COMPUTED_VALUE"""),1.055)</f>
        <v>1.055</v>
      </c>
      <c r="E7849" s="16">
        <f>IFERROR(__xludf.DUMMYFUNCTION("""COMPUTED_VALUE"""),68.0)</f>
        <v>68</v>
      </c>
      <c r="F7849" s="19" t="str">
        <f>IFERROR(__xludf.DUMMYFUNCTION("""COMPUTED_VALUE"""),"BLACK")</f>
        <v>BLACK</v>
      </c>
      <c r="G7849" s="20" t="str">
        <f>IFERROR(__xludf.DUMMYFUNCTION("""COMPUTED_VALUE"""),"Uncle Sams Cider (11/12/2021) 02")</f>
        <v>Uncle Sams Cider (11/12/2021) 02</v>
      </c>
      <c r="H7849" s="19"/>
    </row>
    <row r="7850">
      <c r="A7850" s="9"/>
      <c r="B7850" s="15"/>
      <c r="C7850" s="9">
        <f>IFERROR(__xludf.DUMMYFUNCTION("""COMPUTED_VALUE"""),44522.7425595601)</f>
        <v>44522.74256</v>
      </c>
      <c r="D7850" s="15">
        <f>IFERROR(__xludf.DUMMYFUNCTION("""COMPUTED_VALUE"""),1.055)</f>
        <v>1.055</v>
      </c>
      <c r="E7850" s="16">
        <f>IFERROR(__xludf.DUMMYFUNCTION("""COMPUTED_VALUE"""),68.0)</f>
        <v>68</v>
      </c>
      <c r="F7850" s="19" t="str">
        <f>IFERROR(__xludf.DUMMYFUNCTION("""COMPUTED_VALUE"""),"BLACK")</f>
        <v>BLACK</v>
      </c>
      <c r="G7850" s="20" t="str">
        <f>IFERROR(__xludf.DUMMYFUNCTION("""COMPUTED_VALUE"""),"Uncle Sams Cider (11/12/2021) 02")</f>
        <v>Uncle Sams Cider (11/12/2021) 02</v>
      </c>
      <c r="H7850" s="19"/>
    </row>
    <row r="7851">
      <c r="A7851" s="9"/>
      <c r="B7851" s="15"/>
      <c r="C7851" s="9">
        <f>IFERROR(__xludf.DUMMYFUNCTION("""COMPUTED_VALUE"""),44522.7321395486)</f>
        <v>44522.73214</v>
      </c>
      <c r="D7851" s="15">
        <f>IFERROR(__xludf.DUMMYFUNCTION("""COMPUTED_VALUE"""),1.055)</f>
        <v>1.055</v>
      </c>
      <c r="E7851" s="16">
        <f>IFERROR(__xludf.DUMMYFUNCTION("""COMPUTED_VALUE"""),68.0)</f>
        <v>68</v>
      </c>
      <c r="F7851" s="19" t="str">
        <f>IFERROR(__xludf.DUMMYFUNCTION("""COMPUTED_VALUE"""),"BLACK")</f>
        <v>BLACK</v>
      </c>
      <c r="G7851" s="20" t="str">
        <f>IFERROR(__xludf.DUMMYFUNCTION("""COMPUTED_VALUE"""),"Uncle Sams Cider (11/12/2021) 02")</f>
        <v>Uncle Sams Cider (11/12/2021) 02</v>
      </c>
      <c r="H7851" s="19"/>
    </row>
    <row r="7852">
      <c r="A7852" s="9"/>
      <c r="B7852" s="15"/>
      <c r="C7852" s="9">
        <f>IFERROR(__xludf.DUMMYFUNCTION("""COMPUTED_VALUE"""),44522.7217165625)</f>
        <v>44522.72172</v>
      </c>
      <c r="D7852" s="15">
        <f>IFERROR(__xludf.DUMMYFUNCTION("""COMPUTED_VALUE"""),1.055)</f>
        <v>1.055</v>
      </c>
      <c r="E7852" s="16">
        <f>IFERROR(__xludf.DUMMYFUNCTION("""COMPUTED_VALUE"""),68.0)</f>
        <v>68</v>
      </c>
      <c r="F7852" s="19" t="str">
        <f>IFERROR(__xludf.DUMMYFUNCTION("""COMPUTED_VALUE"""),"BLACK")</f>
        <v>BLACK</v>
      </c>
      <c r="G7852" s="20" t="str">
        <f>IFERROR(__xludf.DUMMYFUNCTION("""COMPUTED_VALUE"""),"Uncle Sams Cider (11/12/2021) 02")</f>
        <v>Uncle Sams Cider (11/12/2021) 02</v>
      </c>
      <c r="H7852" s="19"/>
    </row>
    <row r="7853">
      <c r="A7853" s="9"/>
      <c r="B7853" s="15"/>
      <c r="C7853" s="9">
        <f>IFERROR(__xludf.DUMMYFUNCTION("""COMPUTED_VALUE"""),44522.7112943171)</f>
        <v>44522.71129</v>
      </c>
      <c r="D7853" s="15">
        <f>IFERROR(__xludf.DUMMYFUNCTION("""COMPUTED_VALUE"""),1.055)</f>
        <v>1.055</v>
      </c>
      <c r="E7853" s="16">
        <f>IFERROR(__xludf.DUMMYFUNCTION("""COMPUTED_VALUE"""),68.0)</f>
        <v>68</v>
      </c>
      <c r="F7853" s="19" t="str">
        <f>IFERROR(__xludf.DUMMYFUNCTION("""COMPUTED_VALUE"""),"BLACK")</f>
        <v>BLACK</v>
      </c>
      <c r="G7853" s="20" t="str">
        <f>IFERROR(__xludf.DUMMYFUNCTION("""COMPUTED_VALUE"""),"Uncle Sams Cider (11/12/2021) 02")</f>
        <v>Uncle Sams Cider (11/12/2021) 02</v>
      </c>
      <c r="H7853" s="19"/>
    </row>
    <row r="7854">
      <c r="A7854" s="9"/>
      <c r="B7854" s="15"/>
      <c r="C7854" s="9">
        <f>IFERROR(__xludf.DUMMYFUNCTION("""COMPUTED_VALUE"""),44522.7008614467)</f>
        <v>44522.70086</v>
      </c>
      <c r="D7854" s="15">
        <f>IFERROR(__xludf.DUMMYFUNCTION("""COMPUTED_VALUE"""),1.055)</f>
        <v>1.055</v>
      </c>
      <c r="E7854" s="16">
        <f>IFERROR(__xludf.DUMMYFUNCTION("""COMPUTED_VALUE"""),68.0)</f>
        <v>68</v>
      </c>
      <c r="F7854" s="19" t="str">
        <f>IFERROR(__xludf.DUMMYFUNCTION("""COMPUTED_VALUE"""),"BLACK")</f>
        <v>BLACK</v>
      </c>
      <c r="G7854" s="20" t="str">
        <f>IFERROR(__xludf.DUMMYFUNCTION("""COMPUTED_VALUE"""),"Uncle Sams Cider (11/12/2021) 02")</f>
        <v>Uncle Sams Cider (11/12/2021) 02</v>
      </c>
      <c r="H7854" s="19"/>
    </row>
    <row r="7855">
      <c r="A7855" s="9"/>
      <c r="B7855" s="15"/>
      <c r="C7855" s="9">
        <f>IFERROR(__xludf.DUMMYFUNCTION("""COMPUTED_VALUE"""),44522.6904398958)</f>
        <v>44522.69044</v>
      </c>
      <c r="D7855" s="15">
        <f>IFERROR(__xludf.DUMMYFUNCTION("""COMPUTED_VALUE"""),1.055)</f>
        <v>1.055</v>
      </c>
      <c r="E7855" s="16">
        <f>IFERROR(__xludf.DUMMYFUNCTION("""COMPUTED_VALUE"""),68.0)</f>
        <v>68</v>
      </c>
      <c r="F7855" s="19" t="str">
        <f>IFERROR(__xludf.DUMMYFUNCTION("""COMPUTED_VALUE"""),"BLACK")</f>
        <v>BLACK</v>
      </c>
      <c r="G7855" s="20" t="str">
        <f>IFERROR(__xludf.DUMMYFUNCTION("""COMPUTED_VALUE"""),"Uncle Sams Cider (11/12/2021) 02")</f>
        <v>Uncle Sams Cider (11/12/2021) 02</v>
      </c>
      <c r="H7855" s="19"/>
    </row>
    <row r="7856">
      <c r="A7856" s="9"/>
      <c r="B7856" s="15"/>
      <c r="C7856" s="9">
        <f>IFERROR(__xludf.DUMMYFUNCTION("""COMPUTED_VALUE"""),44522.6800183101)</f>
        <v>44522.68002</v>
      </c>
      <c r="D7856" s="15">
        <f>IFERROR(__xludf.DUMMYFUNCTION("""COMPUTED_VALUE"""),1.055)</f>
        <v>1.055</v>
      </c>
      <c r="E7856" s="16">
        <f>IFERROR(__xludf.DUMMYFUNCTION("""COMPUTED_VALUE"""),68.0)</f>
        <v>68</v>
      </c>
      <c r="F7856" s="19" t="str">
        <f>IFERROR(__xludf.DUMMYFUNCTION("""COMPUTED_VALUE"""),"BLACK")</f>
        <v>BLACK</v>
      </c>
      <c r="G7856" s="20" t="str">
        <f>IFERROR(__xludf.DUMMYFUNCTION("""COMPUTED_VALUE"""),"Uncle Sams Cider (11/12/2021) 02")</f>
        <v>Uncle Sams Cider (11/12/2021) 02</v>
      </c>
      <c r="H7856" s="19"/>
    </row>
    <row r="7857">
      <c r="A7857" s="9"/>
      <c r="B7857" s="15"/>
      <c r="C7857" s="9">
        <f>IFERROR(__xludf.DUMMYFUNCTION("""COMPUTED_VALUE"""),44522.669597905)</f>
        <v>44522.6696</v>
      </c>
      <c r="D7857" s="15">
        <f>IFERROR(__xludf.DUMMYFUNCTION("""COMPUTED_VALUE"""),1.055)</f>
        <v>1.055</v>
      </c>
      <c r="E7857" s="16">
        <f>IFERROR(__xludf.DUMMYFUNCTION("""COMPUTED_VALUE"""),68.0)</f>
        <v>68</v>
      </c>
      <c r="F7857" s="19" t="str">
        <f>IFERROR(__xludf.DUMMYFUNCTION("""COMPUTED_VALUE"""),"BLACK")</f>
        <v>BLACK</v>
      </c>
      <c r="G7857" s="20" t="str">
        <f>IFERROR(__xludf.DUMMYFUNCTION("""COMPUTED_VALUE"""),"Uncle Sams Cider (11/12/2021) 02")</f>
        <v>Uncle Sams Cider (11/12/2021) 02</v>
      </c>
      <c r="H7857" s="19"/>
    </row>
    <row r="7858">
      <c r="A7858" s="9"/>
      <c r="B7858" s="15"/>
      <c r="C7858" s="9">
        <f>IFERROR(__xludf.DUMMYFUNCTION("""COMPUTED_VALUE"""),44522.6591778009)</f>
        <v>44522.65918</v>
      </c>
      <c r="D7858" s="15">
        <f>IFERROR(__xludf.DUMMYFUNCTION("""COMPUTED_VALUE"""),1.055)</f>
        <v>1.055</v>
      </c>
      <c r="E7858" s="16">
        <f>IFERROR(__xludf.DUMMYFUNCTION("""COMPUTED_VALUE"""),68.0)</f>
        <v>68</v>
      </c>
      <c r="F7858" s="19" t="str">
        <f>IFERROR(__xludf.DUMMYFUNCTION("""COMPUTED_VALUE"""),"BLACK")</f>
        <v>BLACK</v>
      </c>
      <c r="G7858" s="20" t="str">
        <f>IFERROR(__xludf.DUMMYFUNCTION("""COMPUTED_VALUE"""),"Uncle Sams Cider (11/12/2021) 02")</f>
        <v>Uncle Sams Cider (11/12/2021) 02</v>
      </c>
      <c r="H7858" s="19"/>
    </row>
    <row r="7859">
      <c r="A7859" s="9"/>
      <c r="B7859" s="15"/>
      <c r="C7859" s="9">
        <f>IFERROR(__xludf.DUMMYFUNCTION("""COMPUTED_VALUE"""),44522.6487569791)</f>
        <v>44522.64876</v>
      </c>
      <c r="D7859" s="15">
        <f>IFERROR(__xludf.DUMMYFUNCTION("""COMPUTED_VALUE"""),1.055)</f>
        <v>1.055</v>
      </c>
      <c r="E7859" s="16">
        <f>IFERROR(__xludf.DUMMYFUNCTION("""COMPUTED_VALUE"""),68.0)</f>
        <v>68</v>
      </c>
      <c r="F7859" s="19" t="str">
        <f>IFERROR(__xludf.DUMMYFUNCTION("""COMPUTED_VALUE"""),"BLACK")</f>
        <v>BLACK</v>
      </c>
      <c r="G7859" s="20" t="str">
        <f>IFERROR(__xludf.DUMMYFUNCTION("""COMPUTED_VALUE"""),"Uncle Sams Cider (11/12/2021) 02")</f>
        <v>Uncle Sams Cider (11/12/2021) 02</v>
      </c>
      <c r="H7859" s="19"/>
    </row>
    <row r="7860">
      <c r="A7860" s="9"/>
      <c r="B7860" s="15"/>
      <c r="C7860" s="9">
        <f>IFERROR(__xludf.DUMMYFUNCTION("""COMPUTED_VALUE"""),44522.6383350231)</f>
        <v>44522.63834</v>
      </c>
      <c r="D7860" s="15">
        <f>IFERROR(__xludf.DUMMYFUNCTION("""COMPUTED_VALUE"""),1.055)</f>
        <v>1.055</v>
      </c>
      <c r="E7860" s="16">
        <f>IFERROR(__xludf.DUMMYFUNCTION("""COMPUTED_VALUE"""),68.0)</f>
        <v>68</v>
      </c>
      <c r="F7860" s="19" t="str">
        <f>IFERROR(__xludf.DUMMYFUNCTION("""COMPUTED_VALUE"""),"BLACK")</f>
        <v>BLACK</v>
      </c>
      <c r="G7860" s="20" t="str">
        <f>IFERROR(__xludf.DUMMYFUNCTION("""COMPUTED_VALUE"""),"Uncle Sams Cider (11/12/2021) 02")</f>
        <v>Uncle Sams Cider (11/12/2021) 02</v>
      </c>
      <c r="H7860" s="19"/>
    </row>
    <row r="7861">
      <c r="A7861" s="9"/>
      <c r="B7861" s="15"/>
      <c r="C7861" s="9">
        <f>IFERROR(__xludf.DUMMYFUNCTION("""COMPUTED_VALUE"""),44522.6279153587)</f>
        <v>44522.62792</v>
      </c>
      <c r="D7861" s="15">
        <f>IFERROR(__xludf.DUMMYFUNCTION("""COMPUTED_VALUE"""),1.055)</f>
        <v>1.055</v>
      </c>
      <c r="E7861" s="16">
        <f>IFERROR(__xludf.DUMMYFUNCTION("""COMPUTED_VALUE"""),68.0)</f>
        <v>68</v>
      </c>
      <c r="F7861" s="19" t="str">
        <f>IFERROR(__xludf.DUMMYFUNCTION("""COMPUTED_VALUE"""),"BLACK")</f>
        <v>BLACK</v>
      </c>
      <c r="G7861" s="20" t="str">
        <f>IFERROR(__xludf.DUMMYFUNCTION("""COMPUTED_VALUE"""),"Uncle Sams Cider (11/12/2021) 02")</f>
        <v>Uncle Sams Cider (11/12/2021) 02</v>
      </c>
      <c r="H7861" s="19"/>
    </row>
    <row r="7862">
      <c r="A7862" s="9"/>
      <c r="B7862" s="15"/>
      <c r="C7862" s="9">
        <f>IFERROR(__xludf.DUMMYFUNCTION("""COMPUTED_VALUE"""),44522.6174930902)</f>
        <v>44522.61749</v>
      </c>
      <c r="D7862" s="15">
        <f>IFERROR(__xludf.DUMMYFUNCTION("""COMPUTED_VALUE"""),1.055)</f>
        <v>1.055</v>
      </c>
      <c r="E7862" s="16">
        <f>IFERROR(__xludf.DUMMYFUNCTION("""COMPUTED_VALUE"""),68.0)</f>
        <v>68</v>
      </c>
      <c r="F7862" s="19" t="str">
        <f>IFERROR(__xludf.DUMMYFUNCTION("""COMPUTED_VALUE"""),"BLACK")</f>
        <v>BLACK</v>
      </c>
      <c r="G7862" s="20" t="str">
        <f>IFERROR(__xludf.DUMMYFUNCTION("""COMPUTED_VALUE"""),"Uncle Sams Cider (11/12/2021) 02")</f>
        <v>Uncle Sams Cider (11/12/2021) 02</v>
      </c>
      <c r="H7862" s="19"/>
    </row>
    <row r="7863">
      <c r="A7863" s="9"/>
      <c r="B7863" s="15"/>
      <c r="C7863" s="9">
        <f>IFERROR(__xludf.DUMMYFUNCTION("""COMPUTED_VALUE"""),44522.6070584722)</f>
        <v>44522.60706</v>
      </c>
      <c r="D7863" s="15">
        <f>IFERROR(__xludf.DUMMYFUNCTION("""COMPUTED_VALUE"""),1.056)</f>
        <v>1.056</v>
      </c>
      <c r="E7863" s="16">
        <f>IFERROR(__xludf.DUMMYFUNCTION("""COMPUTED_VALUE"""),68.0)</f>
        <v>68</v>
      </c>
      <c r="F7863" s="19" t="str">
        <f>IFERROR(__xludf.DUMMYFUNCTION("""COMPUTED_VALUE"""),"BLACK")</f>
        <v>BLACK</v>
      </c>
      <c r="G7863" s="20" t="str">
        <f>IFERROR(__xludf.DUMMYFUNCTION("""COMPUTED_VALUE"""),"Uncle Sams Cider (11/12/2021) 02")</f>
        <v>Uncle Sams Cider (11/12/2021) 02</v>
      </c>
      <c r="H7863" s="19"/>
    </row>
    <row r="7864">
      <c r="A7864" s="9"/>
      <c r="B7864" s="15"/>
      <c r="C7864" s="9">
        <f>IFERROR(__xludf.DUMMYFUNCTION("""COMPUTED_VALUE"""),44522.5966370833)</f>
        <v>44522.59664</v>
      </c>
      <c r="D7864" s="15">
        <f>IFERROR(__xludf.DUMMYFUNCTION("""COMPUTED_VALUE"""),1.056)</f>
        <v>1.056</v>
      </c>
      <c r="E7864" s="16">
        <f>IFERROR(__xludf.DUMMYFUNCTION("""COMPUTED_VALUE"""),68.0)</f>
        <v>68</v>
      </c>
      <c r="F7864" s="19" t="str">
        <f>IFERROR(__xludf.DUMMYFUNCTION("""COMPUTED_VALUE"""),"BLACK")</f>
        <v>BLACK</v>
      </c>
      <c r="G7864" s="20" t="str">
        <f>IFERROR(__xludf.DUMMYFUNCTION("""COMPUTED_VALUE"""),"Uncle Sams Cider (11/12/2021) 02")</f>
        <v>Uncle Sams Cider (11/12/2021) 02</v>
      </c>
      <c r="H7864" s="19"/>
    </row>
    <row r="7865">
      <c r="A7865" s="9"/>
      <c r="B7865" s="15"/>
      <c r="C7865" s="9">
        <f>IFERROR(__xludf.DUMMYFUNCTION("""COMPUTED_VALUE"""),44522.5862155439)</f>
        <v>44522.58622</v>
      </c>
      <c r="D7865" s="15">
        <f>IFERROR(__xludf.DUMMYFUNCTION("""COMPUTED_VALUE"""),1.056)</f>
        <v>1.056</v>
      </c>
      <c r="E7865" s="16">
        <f>IFERROR(__xludf.DUMMYFUNCTION("""COMPUTED_VALUE"""),68.0)</f>
        <v>68</v>
      </c>
      <c r="F7865" s="19" t="str">
        <f>IFERROR(__xludf.DUMMYFUNCTION("""COMPUTED_VALUE"""),"BLACK")</f>
        <v>BLACK</v>
      </c>
      <c r="G7865" s="20" t="str">
        <f>IFERROR(__xludf.DUMMYFUNCTION("""COMPUTED_VALUE"""),"Uncle Sams Cider (11/12/2021) 02")</f>
        <v>Uncle Sams Cider (11/12/2021) 02</v>
      </c>
      <c r="H7865" s="19"/>
    </row>
    <row r="7866">
      <c r="A7866" s="9"/>
      <c r="B7866" s="15"/>
      <c r="C7866" s="9">
        <f>IFERROR(__xludf.DUMMYFUNCTION("""COMPUTED_VALUE"""),44522.5757951736)</f>
        <v>44522.5758</v>
      </c>
      <c r="D7866" s="15">
        <f>IFERROR(__xludf.DUMMYFUNCTION("""COMPUTED_VALUE"""),1.056)</f>
        <v>1.056</v>
      </c>
      <c r="E7866" s="16">
        <f>IFERROR(__xludf.DUMMYFUNCTION("""COMPUTED_VALUE"""),68.0)</f>
        <v>68</v>
      </c>
      <c r="F7866" s="19" t="str">
        <f>IFERROR(__xludf.DUMMYFUNCTION("""COMPUTED_VALUE"""),"BLACK")</f>
        <v>BLACK</v>
      </c>
      <c r="G7866" s="20" t="str">
        <f>IFERROR(__xludf.DUMMYFUNCTION("""COMPUTED_VALUE"""),"Uncle Sams Cider (11/12/2021) 02")</f>
        <v>Uncle Sams Cider (11/12/2021) 02</v>
      </c>
      <c r="H7866" s="19"/>
    </row>
    <row r="7867">
      <c r="A7867" s="9"/>
      <c r="B7867" s="15"/>
      <c r="C7867" s="9">
        <f>IFERROR(__xludf.DUMMYFUNCTION("""COMPUTED_VALUE"""),44522.5653734027)</f>
        <v>44522.56537</v>
      </c>
      <c r="D7867" s="15">
        <f>IFERROR(__xludf.DUMMYFUNCTION("""COMPUTED_VALUE"""),1.056)</f>
        <v>1.056</v>
      </c>
      <c r="E7867" s="16">
        <f>IFERROR(__xludf.DUMMYFUNCTION("""COMPUTED_VALUE"""),68.0)</f>
        <v>68</v>
      </c>
      <c r="F7867" s="19" t="str">
        <f>IFERROR(__xludf.DUMMYFUNCTION("""COMPUTED_VALUE"""),"BLACK")</f>
        <v>BLACK</v>
      </c>
      <c r="G7867" s="20" t="str">
        <f>IFERROR(__xludf.DUMMYFUNCTION("""COMPUTED_VALUE"""),"Uncle Sams Cider (11/12/2021) 02")</f>
        <v>Uncle Sams Cider (11/12/2021) 02</v>
      </c>
      <c r="H7867" s="19"/>
    </row>
    <row r="7868">
      <c r="A7868" s="9"/>
      <c r="B7868" s="15"/>
      <c r="C7868" s="9">
        <f>IFERROR(__xludf.DUMMYFUNCTION("""COMPUTED_VALUE"""),44522.5549527893)</f>
        <v>44522.55495</v>
      </c>
      <c r="D7868" s="15">
        <f>IFERROR(__xludf.DUMMYFUNCTION("""COMPUTED_VALUE"""),1.056)</f>
        <v>1.056</v>
      </c>
      <c r="E7868" s="16">
        <f>IFERROR(__xludf.DUMMYFUNCTION("""COMPUTED_VALUE"""),68.0)</f>
        <v>68</v>
      </c>
      <c r="F7868" s="19" t="str">
        <f>IFERROR(__xludf.DUMMYFUNCTION("""COMPUTED_VALUE"""),"BLACK")</f>
        <v>BLACK</v>
      </c>
      <c r="G7868" s="20" t="str">
        <f>IFERROR(__xludf.DUMMYFUNCTION("""COMPUTED_VALUE"""),"Uncle Sams Cider (11/12/2021) 02")</f>
        <v>Uncle Sams Cider (11/12/2021) 02</v>
      </c>
      <c r="H7868" s="19"/>
    </row>
    <row r="7869">
      <c r="A7869" s="9"/>
      <c r="B7869" s="15"/>
      <c r="C7869" s="9">
        <f>IFERROR(__xludf.DUMMYFUNCTION("""COMPUTED_VALUE"""),44522.5444978009)</f>
        <v>44522.5445</v>
      </c>
      <c r="D7869" s="15">
        <f>IFERROR(__xludf.DUMMYFUNCTION("""COMPUTED_VALUE"""),1.056)</f>
        <v>1.056</v>
      </c>
      <c r="E7869" s="16">
        <f>IFERROR(__xludf.DUMMYFUNCTION("""COMPUTED_VALUE"""),68.0)</f>
        <v>68</v>
      </c>
      <c r="F7869" s="19" t="str">
        <f>IFERROR(__xludf.DUMMYFUNCTION("""COMPUTED_VALUE"""),"BLACK")</f>
        <v>BLACK</v>
      </c>
      <c r="G7869" s="20" t="str">
        <f>IFERROR(__xludf.DUMMYFUNCTION("""COMPUTED_VALUE"""),"Uncle Sams Cider (11/12/2021) 02")</f>
        <v>Uncle Sams Cider (11/12/2021) 02</v>
      </c>
      <c r="H7869" s="19"/>
    </row>
    <row r="7870">
      <c r="A7870" s="9"/>
      <c r="B7870" s="15"/>
      <c r="C7870" s="9">
        <f>IFERROR(__xludf.DUMMYFUNCTION("""COMPUTED_VALUE"""),44522.5340671759)</f>
        <v>44522.53407</v>
      </c>
      <c r="D7870" s="15">
        <f>IFERROR(__xludf.DUMMYFUNCTION("""COMPUTED_VALUE"""),1.056)</f>
        <v>1.056</v>
      </c>
      <c r="E7870" s="16">
        <f>IFERROR(__xludf.DUMMYFUNCTION("""COMPUTED_VALUE"""),68.0)</f>
        <v>68</v>
      </c>
      <c r="F7870" s="19" t="str">
        <f>IFERROR(__xludf.DUMMYFUNCTION("""COMPUTED_VALUE"""),"BLACK")</f>
        <v>BLACK</v>
      </c>
      <c r="G7870" s="20" t="str">
        <f>IFERROR(__xludf.DUMMYFUNCTION("""COMPUTED_VALUE"""),"Uncle Sams Cider (11/12/2021) 02")</f>
        <v>Uncle Sams Cider (11/12/2021) 02</v>
      </c>
      <c r="H7870" s="19"/>
    </row>
    <row r="7871">
      <c r="A7871" s="9"/>
      <c r="B7871" s="15"/>
      <c r="C7871" s="9">
        <f>IFERROR(__xludf.DUMMYFUNCTION("""COMPUTED_VALUE"""),44522.5236456944)</f>
        <v>44522.52365</v>
      </c>
      <c r="D7871" s="15">
        <f>IFERROR(__xludf.DUMMYFUNCTION("""COMPUTED_VALUE"""),1.056)</f>
        <v>1.056</v>
      </c>
      <c r="E7871" s="16">
        <f>IFERROR(__xludf.DUMMYFUNCTION("""COMPUTED_VALUE"""),68.0)</f>
        <v>68</v>
      </c>
      <c r="F7871" s="19" t="str">
        <f>IFERROR(__xludf.DUMMYFUNCTION("""COMPUTED_VALUE"""),"BLACK")</f>
        <v>BLACK</v>
      </c>
      <c r="G7871" s="20" t="str">
        <f>IFERROR(__xludf.DUMMYFUNCTION("""COMPUTED_VALUE"""),"Uncle Sams Cider (11/12/2021) 02")</f>
        <v>Uncle Sams Cider (11/12/2021) 02</v>
      </c>
      <c r="H7871" s="19"/>
    </row>
    <row r="7872">
      <c r="A7872" s="9"/>
      <c r="B7872" s="15"/>
      <c r="C7872" s="9">
        <f>IFERROR(__xludf.DUMMYFUNCTION("""COMPUTED_VALUE"""),44522.51321375)</f>
        <v>44522.51321</v>
      </c>
      <c r="D7872" s="15">
        <f>IFERROR(__xludf.DUMMYFUNCTION("""COMPUTED_VALUE"""),1.056)</f>
        <v>1.056</v>
      </c>
      <c r="E7872" s="16">
        <f>IFERROR(__xludf.DUMMYFUNCTION("""COMPUTED_VALUE"""),68.0)</f>
        <v>68</v>
      </c>
      <c r="F7872" s="19" t="str">
        <f>IFERROR(__xludf.DUMMYFUNCTION("""COMPUTED_VALUE"""),"BLACK")</f>
        <v>BLACK</v>
      </c>
      <c r="G7872" s="20" t="str">
        <f>IFERROR(__xludf.DUMMYFUNCTION("""COMPUTED_VALUE"""),"Uncle Sams Cider (11/12/2021) 02")</f>
        <v>Uncle Sams Cider (11/12/2021) 02</v>
      </c>
      <c r="H7872" s="19"/>
    </row>
    <row r="7873">
      <c r="A7873" s="9"/>
      <c r="B7873" s="15"/>
      <c r="C7873" s="9">
        <f>IFERROR(__xludf.DUMMYFUNCTION("""COMPUTED_VALUE"""),44522.5027926157)</f>
        <v>44522.50279</v>
      </c>
      <c r="D7873" s="15">
        <f>IFERROR(__xludf.DUMMYFUNCTION("""COMPUTED_VALUE"""),1.056)</f>
        <v>1.056</v>
      </c>
      <c r="E7873" s="16">
        <f>IFERROR(__xludf.DUMMYFUNCTION("""COMPUTED_VALUE"""),68.0)</f>
        <v>68</v>
      </c>
      <c r="F7873" s="19" t="str">
        <f>IFERROR(__xludf.DUMMYFUNCTION("""COMPUTED_VALUE"""),"BLACK")</f>
        <v>BLACK</v>
      </c>
      <c r="G7873" s="20" t="str">
        <f>IFERROR(__xludf.DUMMYFUNCTION("""COMPUTED_VALUE"""),"Uncle Sams Cider (11/12/2021) 02")</f>
        <v>Uncle Sams Cider (11/12/2021) 02</v>
      </c>
      <c r="H7873" s="19"/>
    </row>
    <row r="7874">
      <c r="A7874" s="9"/>
      <c r="B7874" s="15"/>
      <c r="C7874" s="9">
        <f>IFERROR(__xludf.DUMMYFUNCTION("""COMPUTED_VALUE"""),44522.4923606712)</f>
        <v>44522.49236</v>
      </c>
      <c r="D7874" s="15">
        <f>IFERROR(__xludf.DUMMYFUNCTION("""COMPUTED_VALUE"""),1.056)</f>
        <v>1.056</v>
      </c>
      <c r="E7874" s="16">
        <f>IFERROR(__xludf.DUMMYFUNCTION("""COMPUTED_VALUE"""),68.0)</f>
        <v>68</v>
      </c>
      <c r="F7874" s="19" t="str">
        <f>IFERROR(__xludf.DUMMYFUNCTION("""COMPUTED_VALUE"""),"BLACK")</f>
        <v>BLACK</v>
      </c>
      <c r="G7874" s="20" t="str">
        <f>IFERROR(__xludf.DUMMYFUNCTION("""COMPUTED_VALUE"""),"Uncle Sams Cider (11/12/2021) 02")</f>
        <v>Uncle Sams Cider (11/12/2021) 02</v>
      </c>
      <c r="H7874" s="19"/>
    </row>
    <row r="7875">
      <c r="A7875" s="9"/>
      <c r="B7875" s="15"/>
      <c r="C7875" s="9">
        <f>IFERROR(__xludf.DUMMYFUNCTION("""COMPUTED_VALUE"""),44522.481939537)</f>
        <v>44522.48194</v>
      </c>
      <c r="D7875" s="15">
        <f>IFERROR(__xludf.DUMMYFUNCTION("""COMPUTED_VALUE"""),1.056)</f>
        <v>1.056</v>
      </c>
      <c r="E7875" s="16">
        <f>IFERROR(__xludf.DUMMYFUNCTION("""COMPUTED_VALUE"""),68.0)</f>
        <v>68</v>
      </c>
      <c r="F7875" s="19" t="str">
        <f>IFERROR(__xludf.DUMMYFUNCTION("""COMPUTED_VALUE"""),"BLACK")</f>
        <v>BLACK</v>
      </c>
      <c r="G7875" s="20" t="str">
        <f>IFERROR(__xludf.DUMMYFUNCTION("""COMPUTED_VALUE"""),"Uncle Sams Cider (11/12/2021) 02")</f>
        <v>Uncle Sams Cider (11/12/2021) 02</v>
      </c>
      <c r="H7875" s="19"/>
    </row>
    <row r="7876">
      <c r="A7876" s="9"/>
      <c r="B7876" s="15"/>
      <c r="C7876" s="9">
        <f>IFERROR(__xludf.DUMMYFUNCTION("""COMPUTED_VALUE"""),44522.4715078356)</f>
        <v>44522.47151</v>
      </c>
      <c r="D7876" s="15">
        <f>IFERROR(__xludf.DUMMYFUNCTION("""COMPUTED_VALUE"""),1.056)</f>
        <v>1.056</v>
      </c>
      <c r="E7876" s="16">
        <f>IFERROR(__xludf.DUMMYFUNCTION("""COMPUTED_VALUE"""),68.0)</f>
        <v>68</v>
      </c>
      <c r="F7876" s="19" t="str">
        <f>IFERROR(__xludf.DUMMYFUNCTION("""COMPUTED_VALUE"""),"BLACK")</f>
        <v>BLACK</v>
      </c>
      <c r="G7876" s="20" t="str">
        <f>IFERROR(__xludf.DUMMYFUNCTION("""COMPUTED_VALUE"""),"Uncle Sams Cider (11/12/2021) 02")</f>
        <v>Uncle Sams Cider (11/12/2021) 02</v>
      </c>
      <c r="H7876" s="19"/>
    </row>
    <row r="7877">
      <c r="A7877" s="9"/>
      <c r="B7877" s="15"/>
      <c r="C7877" s="9">
        <f>IFERROR(__xludf.DUMMYFUNCTION("""COMPUTED_VALUE"""),44522.4610868749)</f>
        <v>44522.46109</v>
      </c>
      <c r="D7877" s="15">
        <f>IFERROR(__xludf.DUMMYFUNCTION("""COMPUTED_VALUE"""),1.056)</f>
        <v>1.056</v>
      </c>
      <c r="E7877" s="16">
        <f>IFERROR(__xludf.DUMMYFUNCTION("""COMPUTED_VALUE"""),68.0)</f>
        <v>68</v>
      </c>
      <c r="F7877" s="19" t="str">
        <f>IFERROR(__xludf.DUMMYFUNCTION("""COMPUTED_VALUE"""),"BLACK")</f>
        <v>BLACK</v>
      </c>
      <c r="G7877" s="20" t="str">
        <f>IFERROR(__xludf.DUMMYFUNCTION("""COMPUTED_VALUE"""),"Uncle Sams Cider (11/12/2021) 02")</f>
        <v>Uncle Sams Cider (11/12/2021) 02</v>
      </c>
      <c r="H7877" s="19"/>
    </row>
    <row r="7878">
      <c r="A7878" s="9"/>
      <c r="B7878" s="15"/>
      <c r="C7878" s="9">
        <f>IFERROR(__xludf.DUMMYFUNCTION("""COMPUTED_VALUE"""),44522.4506667824)</f>
        <v>44522.45067</v>
      </c>
      <c r="D7878" s="15">
        <f>IFERROR(__xludf.DUMMYFUNCTION("""COMPUTED_VALUE"""),1.056)</f>
        <v>1.056</v>
      </c>
      <c r="E7878" s="16">
        <f>IFERROR(__xludf.DUMMYFUNCTION("""COMPUTED_VALUE"""),68.0)</f>
        <v>68</v>
      </c>
      <c r="F7878" s="19" t="str">
        <f>IFERROR(__xludf.DUMMYFUNCTION("""COMPUTED_VALUE"""),"BLACK")</f>
        <v>BLACK</v>
      </c>
      <c r="G7878" s="20" t="str">
        <f>IFERROR(__xludf.DUMMYFUNCTION("""COMPUTED_VALUE"""),"Uncle Sams Cider (11/12/2021) 02")</f>
        <v>Uncle Sams Cider (11/12/2021) 02</v>
      </c>
      <c r="H7878" s="19"/>
    </row>
    <row r="7879">
      <c r="A7879" s="9"/>
      <c r="B7879" s="15"/>
      <c r="C7879" s="9">
        <f>IFERROR(__xludf.DUMMYFUNCTION("""COMPUTED_VALUE"""),44522.4402456597)</f>
        <v>44522.44025</v>
      </c>
      <c r="D7879" s="15">
        <f>IFERROR(__xludf.DUMMYFUNCTION("""COMPUTED_VALUE"""),1.056)</f>
        <v>1.056</v>
      </c>
      <c r="E7879" s="16">
        <f>IFERROR(__xludf.DUMMYFUNCTION("""COMPUTED_VALUE"""),68.0)</f>
        <v>68</v>
      </c>
      <c r="F7879" s="19" t="str">
        <f>IFERROR(__xludf.DUMMYFUNCTION("""COMPUTED_VALUE"""),"BLACK")</f>
        <v>BLACK</v>
      </c>
      <c r="G7879" s="20" t="str">
        <f>IFERROR(__xludf.DUMMYFUNCTION("""COMPUTED_VALUE"""),"Uncle Sams Cider (11/12/2021) 02")</f>
        <v>Uncle Sams Cider (11/12/2021) 02</v>
      </c>
      <c r="H7879" s="19"/>
    </row>
    <row r="7880">
      <c r="A7880" s="9"/>
      <c r="B7880" s="15"/>
      <c r="C7880" s="9">
        <f>IFERROR(__xludf.DUMMYFUNCTION("""COMPUTED_VALUE"""),44522.4298261226)</f>
        <v>44522.42983</v>
      </c>
      <c r="D7880" s="15">
        <f>IFERROR(__xludf.DUMMYFUNCTION("""COMPUTED_VALUE"""),1.056)</f>
        <v>1.056</v>
      </c>
      <c r="E7880" s="16">
        <f>IFERROR(__xludf.DUMMYFUNCTION("""COMPUTED_VALUE"""),68.0)</f>
        <v>68</v>
      </c>
      <c r="F7880" s="19" t="str">
        <f>IFERROR(__xludf.DUMMYFUNCTION("""COMPUTED_VALUE"""),"BLACK")</f>
        <v>BLACK</v>
      </c>
      <c r="G7880" s="20" t="str">
        <f>IFERROR(__xludf.DUMMYFUNCTION("""COMPUTED_VALUE"""),"Uncle Sams Cider (11/12/2021) 02")</f>
        <v>Uncle Sams Cider (11/12/2021) 02</v>
      </c>
      <c r="H7880" s="19"/>
    </row>
    <row r="7881">
      <c r="A7881" s="9"/>
      <c r="B7881" s="15"/>
      <c r="C7881" s="9">
        <f>IFERROR(__xludf.DUMMYFUNCTION("""COMPUTED_VALUE"""),44522.4194055555)</f>
        <v>44522.41941</v>
      </c>
      <c r="D7881" s="15">
        <f>IFERROR(__xludf.DUMMYFUNCTION("""COMPUTED_VALUE"""),1.056)</f>
        <v>1.056</v>
      </c>
      <c r="E7881" s="16">
        <f>IFERROR(__xludf.DUMMYFUNCTION("""COMPUTED_VALUE"""),68.0)</f>
        <v>68</v>
      </c>
      <c r="F7881" s="19" t="str">
        <f>IFERROR(__xludf.DUMMYFUNCTION("""COMPUTED_VALUE"""),"BLACK")</f>
        <v>BLACK</v>
      </c>
      <c r="G7881" s="20" t="str">
        <f>IFERROR(__xludf.DUMMYFUNCTION("""COMPUTED_VALUE"""),"Uncle Sams Cider (11/12/2021) 02")</f>
        <v>Uncle Sams Cider (11/12/2021) 02</v>
      </c>
      <c r="H7881" s="19"/>
    </row>
    <row r="7882">
      <c r="A7882" s="9"/>
      <c r="B7882" s="15"/>
      <c r="C7882" s="9">
        <f>IFERROR(__xludf.DUMMYFUNCTION("""COMPUTED_VALUE"""),44522.4089837615)</f>
        <v>44522.40898</v>
      </c>
      <c r="D7882" s="15">
        <f>IFERROR(__xludf.DUMMYFUNCTION("""COMPUTED_VALUE"""),1.056)</f>
        <v>1.056</v>
      </c>
      <c r="E7882" s="16">
        <f>IFERROR(__xludf.DUMMYFUNCTION("""COMPUTED_VALUE"""),68.0)</f>
        <v>68</v>
      </c>
      <c r="F7882" s="19" t="str">
        <f>IFERROR(__xludf.DUMMYFUNCTION("""COMPUTED_VALUE"""),"BLACK")</f>
        <v>BLACK</v>
      </c>
      <c r="G7882" s="20" t="str">
        <f>IFERROR(__xludf.DUMMYFUNCTION("""COMPUTED_VALUE"""),"Uncle Sams Cider (11/12/2021) 02")</f>
        <v>Uncle Sams Cider (11/12/2021) 02</v>
      </c>
      <c r="H7882" s="19"/>
    </row>
    <row r="7883">
      <c r="A7883" s="9"/>
      <c r="B7883" s="15"/>
      <c r="C7883" s="9">
        <f>IFERROR(__xludf.DUMMYFUNCTION("""COMPUTED_VALUE"""),44522.398561956)</f>
        <v>44522.39856</v>
      </c>
      <c r="D7883" s="15">
        <f>IFERROR(__xludf.DUMMYFUNCTION("""COMPUTED_VALUE"""),1.056)</f>
        <v>1.056</v>
      </c>
      <c r="E7883" s="16">
        <f>IFERROR(__xludf.DUMMYFUNCTION("""COMPUTED_VALUE"""),68.0)</f>
        <v>68</v>
      </c>
      <c r="F7883" s="19" t="str">
        <f>IFERROR(__xludf.DUMMYFUNCTION("""COMPUTED_VALUE"""),"BLACK")</f>
        <v>BLACK</v>
      </c>
      <c r="G7883" s="20" t="str">
        <f>IFERROR(__xludf.DUMMYFUNCTION("""COMPUTED_VALUE"""),"Uncle Sams Cider (11/12/2021) 02")</f>
        <v>Uncle Sams Cider (11/12/2021) 02</v>
      </c>
      <c r="H7883" s="19"/>
    </row>
    <row r="7884">
      <c r="A7884" s="9"/>
      <c r="B7884" s="15"/>
      <c r="C7884" s="9">
        <f>IFERROR(__xludf.DUMMYFUNCTION("""COMPUTED_VALUE"""),44522.3881407638)</f>
        <v>44522.38814</v>
      </c>
      <c r="D7884" s="15">
        <f>IFERROR(__xludf.DUMMYFUNCTION("""COMPUTED_VALUE"""),1.056)</f>
        <v>1.056</v>
      </c>
      <c r="E7884" s="16">
        <f>IFERROR(__xludf.DUMMYFUNCTION("""COMPUTED_VALUE"""),68.0)</f>
        <v>68</v>
      </c>
      <c r="F7884" s="19" t="str">
        <f>IFERROR(__xludf.DUMMYFUNCTION("""COMPUTED_VALUE"""),"BLACK")</f>
        <v>BLACK</v>
      </c>
      <c r="G7884" s="20" t="str">
        <f>IFERROR(__xludf.DUMMYFUNCTION("""COMPUTED_VALUE"""),"Uncle Sams Cider (11/12/2021) 02")</f>
        <v>Uncle Sams Cider (11/12/2021) 02</v>
      </c>
      <c r="H7884" s="19"/>
    </row>
    <row r="7885">
      <c r="A7885" s="9"/>
      <c r="B7885" s="15"/>
      <c r="C7885" s="9">
        <f>IFERROR(__xludf.DUMMYFUNCTION("""COMPUTED_VALUE"""),44522.3777201388)</f>
        <v>44522.37772</v>
      </c>
      <c r="D7885" s="15">
        <f>IFERROR(__xludf.DUMMYFUNCTION("""COMPUTED_VALUE"""),1.056)</f>
        <v>1.056</v>
      </c>
      <c r="E7885" s="16">
        <f>IFERROR(__xludf.DUMMYFUNCTION("""COMPUTED_VALUE"""),68.0)</f>
        <v>68</v>
      </c>
      <c r="F7885" s="19" t="str">
        <f>IFERROR(__xludf.DUMMYFUNCTION("""COMPUTED_VALUE"""),"BLACK")</f>
        <v>BLACK</v>
      </c>
      <c r="G7885" s="20" t="str">
        <f>IFERROR(__xludf.DUMMYFUNCTION("""COMPUTED_VALUE"""),"Uncle Sams Cider (11/12/2021) 02")</f>
        <v>Uncle Sams Cider (11/12/2021) 02</v>
      </c>
      <c r="H7885" s="19"/>
    </row>
    <row r="7886">
      <c r="A7886" s="9"/>
      <c r="B7886" s="15"/>
      <c r="C7886" s="9">
        <f>IFERROR(__xludf.DUMMYFUNCTION("""COMPUTED_VALUE"""),44522.3672986458)</f>
        <v>44522.3673</v>
      </c>
      <c r="D7886" s="15">
        <f>IFERROR(__xludf.DUMMYFUNCTION("""COMPUTED_VALUE"""),1.056)</f>
        <v>1.056</v>
      </c>
      <c r="E7886" s="16">
        <f>IFERROR(__xludf.DUMMYFUNCTION("""COMPUTED_VALUE"""),68.0)</f>
        <v>68</v>
      </c>
      <c r="F7886" s="19" t="str">
        <f>IFERROR(__xludf.DUMMYFUNCTION("""COMPUTED_VALUE"""),"BLACK")</f>
        <v>BLACK</v>
      </c>
      <c r="G7886" s="20" t="str">
        <f>IFERROR(__xludf.DUMMYFUNCTION("""COMPUTED_VALUE"""),"Uncle Sams Cider (11/12/2021) 02")</f>
        <v>Uncle Sams Cider (11/12/2021) 02</v>
      </c>
      <c r="H7886" s="19"/>
    </row>
    <row r="7887">
      <c r="A7887" s="9"/>
      <c r="B7887" s="15"/>
      <c r="C7887" s="9">
        <f>IFERROR(__xludf.DUMMYFUNCTION("""COMPUTED_VALUE"""),44522.3568652199)</f>
        <v>44522.35687</v>
      </c>
      <c r="D7887" s="15">
        <f>IFERROR(__xludf.DUMMYFUNCTION("""COMPUTED_VALUE"""),1.056)</f>
        <v>1.056</v>
      </c>
      <c r="E7887" s="16">
        <f>IFERROR(__xludf.DUMMYFUNCTION("""COMPUTED_VALUE"""),68.0)</f>
        <v>68</v>
      </c>
      <c r="F7887" s="19" t="str">
        <f>IFERROR(__xludf.DUMMYFUNCTION("""COMPUTED_VALUE"""),"BLACK")</f>
        <v>BLACK</v>
      </c>
      <c r="G7887" s="20" t="str">
        <f>IFERROR(__xludf.DUMMYFUNCTION("""COMPUTED_VALUE"""),"Uncle Sams Cider (11/12/2021) 02")</f>
        <v>Uncle Sams Cider (11/12/2021) 02</v>
      </c>
      <c r="H7887" s="19"/>
    </row>
    <row r="7888">
      <c r="A7888" s="9"/>
      <c r="B7888" s="15"/>
      <c r="C7888" s="9">
        <f>IFERROR(__xludf.DUMMYFUNCTION("""COMPUTED_VALUE"""),44522.3464444791)</f>
        <v>44522.34644</v>
      </c>
      <c r="D7888" s="15">
        <f>IFERROR(__xludf.DUMMYFUNCTION("""COMPUTED_VALUE"""),1.056)</f>
        <v>1.056</v>
      </c>
      <c r="E7888" s="16">
        <f>IFERROR(__xludf.DUMMYFUNCTION("""COMPUTED_VALUE"""),68.0)</f>
        <v>68</v>
      </c>
      <c r="F7888" s="19" t="str">
        <f>IFERROR(__xludf.DUMMYFUNCTION("""COMPUTED_VALUE"""),"BLACK")</f>
        <v>BLACK</v>
      </c>
      <c r="G7888" s="20" t="str">
        <f>IFERROR(__xludf.DUMMYFUNCTION("""COMPUTED_VALUE"""),"Uncle Sams Cider (11/12/2021) 02")</f>
        <v>Uncle Sams Cider (11/12/2021) 02</v>
      </c>
      <c r="H7888" s="19"/>
    </row>
    <row r="7889">
      <c r="A7889" s="9"/>
      <c r="B7889" s="15"/>
      <c r="C7889" s="9">
        <f>IFERROR(__xludf.DUMMYFUNCTION("""COMPUTED_VALUE"""),44522.3360239583)</f>
        <v>44522.33602</v>
      </c>
      <c r="D7889" s="15">
        <f>IFERROR(__xludf.DUMMYFUNCTION("""COMPUTED_VALUE"""),1.057)</f>
        <v>1.057</v>
      </c>
      <c r="E7889" s="16">
        <f>IFERROR(__xludf.DUMMYFUNCTION("""COMPUTED_VALUE"""),68.0)</f>
        <v>68</v>
      </c>
      <c r="F7889" s="19" t="str">
        <f>IFERROR(__xludf.DUMMYFUNCTION("""COMPUTED_VALUE"""),"BLACK")</f>
        <v>BLACK</v>
      </c>
      <c r="G7889" s="20" t="str">
        <f>IFERROR(__xludf.DUMMYFUNCTION("""COMPUTED_VALUE"""),"Uncle Sams Cider (11/12/2021) 02")</f>
        <v>Uncle Sams Cider (11/12/2021) 02</v>
      </c>
      <c r="H7889" s="19"/>
    </row>
    <row r="7890">
      <c r="A7890" s="9"/>
      <c r="B7890" s="15"/>
      <c r="C7890" s="9">
        <f>IFERROR(__xludf.DUMMYFUNCTION("""COMPUTED_VALUE"""),44522.3255916319)</f>
        <v>44522.32559</v>
      </c>
      <c r="D7890" s="15">
        <f>IFERROR(__xludf.DUMMYFUNCTION("""COMPUTED_VALUE"""),1.056)</f>
        <v>1.056</v>
      </c>
      <c r="E7890" s="16">
        <f>IFERROR(__xludf.DUMMYFUNCTION("""COMPUTED_VALUE"""),68.0)</f>
        <v>68</v>
      </c>
      <c r="F7890" s="19" t="str">
        <f>IFERROR(__xludf.DUMMYFUNCTION("""COMPUTED_VALUE"""),"BLACK")</f>
        <v>BLACK</v>
      </c>
      <c r="G7890" s="20" t="str">
        <f>IFERROR(__xludf.DUMMYFUNCTION("""COMPUTED_VALUE"""),"Uncle Sams Cider (11/12/2021) 02")</f>
        <v>Uncle Sams Cider (11/12/2021) 02</v>
      </c>
      <c r="H7890" s="19"/>
    </row>
    <row r="7891">
      <c r="A7891" s="9"/>
      <c r="B7891" s="15"/>
      <c r="C7891" s="9">
        <f>IFERROR(__xludf.DUMMYFUNCTION("""COMPUTED_VALUE"""),44522.3151696643)</f>
        <v>44522.31517</v>
      </c>
      <c r="D7891" s="15">
        <f>IFERROR(__xludf.DUMMYFUNCTION("""COMPUTED_VALUE"""),1.057)</f>
        <v>1.057</v>
      </c>
      <c r="E7891" s="16">
        <f>IFERROR(__xludf.DUMMYFUNCTION("""COMPUTED_VALUE"""),68.0)</f>
        <v>68</v>
      </c>
      <c r="F7891" s="19" t="str">
        <f>IFERROR(__xludf.DUMMYFUNCTION("""COMPUTED_VALUE"""),"BLACK")</f>
        <v>BLACK</v>
      </c>
      <c r="G7891" s="20" t="str">
        <f>IFERROR(__xludf.DUMMYFUNCTION("""COMPUTED_VALUE"""),"Uncle Sams Cider (11/12/2021) 02")</f>
        <v>Uncle Sams Cider (11/12/2021) 02</v>
      </c>
      <c r="H7891" s="19"/>
    </row>
    <row r="7892">
      <c r="A7892" s="9"/>
      <c r="B7892" s="15"/>
      <c r="C7892" s="9">
        <f>IFERROR(__xludf.DUMMYFUNCTION("""COMPUTED_VALUE"""),44522.3047493634)</f>
        <v>44522.30475</v>
      </c>
      <c r="D7892" s="15">
        <f>IFERROR(__xludf.DUMMYFUNCTION("""COMPUTED_VALUE"""),1.057)</f>
        <v>1.057</v>
      </c>
      <c r="E7892" s="16">
        <f>IFERROR(__xludf.DUMMYFUNCTION("""COMPUTED_VALUE"""),68.0)</f>
        <v>68</v>
      </c>
      <c r="F7892" s="19" t="str">
        <f>IFERROR(__xludf.DUMMYFUNCTION("""COMPUTED_VALUE"""),"BLACK")</f>
        <v>BLACK</v>
      </c>
      <c r="G7892" s="20" t="str">
        <f>IFERROR(__xludf.DUMMYFUNCTION("""COMPUTED_VALUE"""),"Uncle Sams Cider (11/12/2021) 02")</f>
        <v>Uncle Sams Cider (11/12/2021) 02</v>
      </c>
      <c r="H7892" s="19"/>
    </row>
    <row r="7893">
      <c r="A7893" s="9"/>
      <c r="B7893" s="15"/>
      <c r="C7893" s="9">
        <f>IFERROR(__xludf.DUMMYFUNCTION("""COMPUTED_VALUE"""),44522.294327662)</f>
        <v>44522.29433</v>
      </c>
      <c r="D7893" s="15">
        <f>IFERROR(__xludf.DUMMYFUNCTION("""COMPUTED_VALUE"""),1.057)</f>
        <v>1.057</v>
      </c>
      <c r="E7893" s="16">
        <f>IFERROR(__xludf.DUMMYFUNCTION("""COMPUTED_VALUE"""),68.0)</f>
        <v>68</v>
      </c>
      <c r="F7893" s="19" t="str">
        <f>IFERROR(__xludf.DUMMYFUNCTION("""COMPUTED_VALUE"""),"BLACK")</f>
        <v>BLACK</v>
      </c>
      <c r="G7893" s="20" t="str">
        <f>IFERROR(__xludf.DUMMYFUNCTION("""COMPUTED_VALUE"""),"Uncle Sams Cider (11/12/2021) 02")</f>
        <v>Uncle Sams Cider (11/12/2021) 02</v>
      </c>
      <c r="H7893" s="19"/>
    </row>
    <row r="7894">
      <c r="A7894" s="9"/>
      <c r="B7894" s="15"/>
      <c r="C7894" s="9">
        <f>IFERROR(__xludf.DUMMYFUNCTION("""COMPUTED_VALUE"""),44522.2839075)</f>
        <v>44522.28391</v>
      </c>
      <c r="D7894" s="15">
        <f>IFERROR(__xludf.DUMMYFUNCTION("""COMPUTED_VALUE"""),1.057)</f>
        <v>1.057</v>
      </c>
      <c r="E7894" s="16">
        <f>IFERROR(__xludf.DUMMYFUNCTION("""COMPUTED_VALUE"""),68.0)</f>
        <v>68</v>
      </c>
      <c r="F7894" s="19" t="str">
        <f>IFERROR(__xludf.DUMMYFUNCTION("""COMPUTED_VALUE"""),"BLACK")</f>
        <v>BLACK</v>
      </c>
      <c r="G7894" s="20" t="str">
        <f>IFERROR(__xludf.DUMMYFUNCTION("""COMPUTED_VALUE"""),"Uncle Sams Cider (11/12/2021) 02")</f>
        <v>Uncle Sams Cider (11/12/2021) 02</v>
      </c>
      <c r="H7894" s="19"/>
    </row>
    <row r="7895">
      <c r="A7895" s="9"/>
      <c r="B7895" s="15"/>
      <c r="C7895" s="9">
        <f>IFERROR(__xludf.DUMMYFUNCTION("""COMPUTED_VALUE"""),44522.273485868)</f>
        <v>44522.27349</v>
      </c>
      <c r="D7895" s="15">
        <f>IFERROR(__xludf.DUMMYFUNCTION("""COMPUTED_VALUE"""),1.057)</f>
        <v>1.057</v>
      </c>
      <c r="E7895" s="16">
        <f>IFERROR(__xludf.DUMMYFUNCTION("""COMPUTED_VALUE"""),68.0)</f>
        <v>68</v>
      </c>
      <c r="F7895" s="19" t="str">
        <f>IFERROR(__xludf.DUMMYFUNCTION("""COMPUTED_VALUE"""),"BLACK")</f>
        <v>BLACK</v>
      </c>
      <c r="G7895" s="20" t="str">
        <f>IFERROR(__xludf.DUMMYFUNCTION("""COMPUTED_VALUE"""),"Uncle Sams Cider (11/12/2021) 02")</f>
        <v>Uncle Sams Cider (11/12/2021) 02</v>
      </c>
      <c r="H7895" s="19"/>
    </row>
    <row r="7896">
      <c r="A7896" s="9"/>
      <c r="B7896" s="15"/>
      <c r="C7896" s="9">
        <f>IFERROR(__xludf.DUMMYFUNCTION("""COMPUTED_VALUE"""),44522.2630631481)</f>
        <v>44522.26306</v>
      </c>
      <c r="D7896" s="15">
        <f>IFERROR(__xludf.DUMMYFUNCTION("""COMPUTED_VALUE"""),1.057)</f>
        <v>1.057</v>
      </c>
      <c r="E7896" s="16">
        <f>IFERROR(__xludf.DUMMYFUNCTION("""COMPUTED_VALUE"""),68.0)</f>
        <v>68</v>
      </c>
      <c r="F7896" s="19" t="str">
        <f>IFERROR(__xludf.DUMMYFUNCTION("""COMPUTED_VALUE"""),"BLACK")</f>
        <v>BLACK</v>
      </c>
      <c r="G7896" s="20" t="str">
        <f>IFERROR(__xludf.DUMMYFUNCTION("""COMPUTED_VALUE"""),"Uncle Sams Cider (11/12/2021) 02")</f>
        <v>Uncle Sams Cider (11/12/2021) 02</v>
      </c>
      <c r="H7896" s="19"/>
    </row>
    <row r="7897">
      <c r="A7897" s="9"/>
      <c r="B7897" s="15"/>
      <c r="C7897" s="9">
        <f>IFERROR(__xludf.DUMMYFUNCTION("""COMPUTED_VALUE"""),44522.2526418055)</f>
        <v>44522.25264</v>
      </c>
      <c r="D7897" s="15">
        <f>IFERROR(__xludf.DUMMYFUNCTION("""COMPUTED_VALUE"""),1.057)</f>
        <v>1.057</v>
      </c>
      <c r="E7897" s="16">
        <f>IFERROR(__xludf.DUMMYFUNCTION("""COMPUTED_VALUE"""),68.0)</f>
        <v>68</v>
      </c>
      <c r="F7897" s="19" t="str">
        <f>IFERROR(__xludf.DUMMYFUNCTION("""COMPUTED_VALUE"""),"BLACK")</f>
        <v>BLACK</v>
      </c>
      <c r="G7897" s="20" t="str">
        <f>IFERROR(__xludf.DUMMYFUNCTION("""COMPUTED_VALUE"""),"Uncle Sams Cider (11/12/2021) 02")</f>
        <v>Uncle Sams Cider (11/12/2021) 02</v>
      </c>
      <c r="H7897" s="19"/>
    </row>
    <row r="7898">
      <c r="A7898" s="9"/>
      <c r="B7898" s="15"/>
      <c r="C7898" s="9">
        <f>IFERROR(__xludf.DUMMYFUNCTION("""COMPUTED_VALUE"""),44522.2422225694)</f>
        <v>44522.24222</v>
      </c>
      <c r="D7898" s="15">
        <f>IFERROR(__xludf.DUMMYFUNCTION("""COMPUTED_VALUE"""),1.057)</f>
        <v>1.057</v>
      </c>
      <c r="E7898" s="16">
        <f>IFERROR(__xludf.DUMMYFUNCTION("""COMPUTED_VALUE"""),68.0)</f>
        <v>68</v>
      </c>
      <c r="F7898" s="19" t="str">
        <f>IFERROR(__xludf.DUMMYFUNCTION("""COMPUTED_VALUE"""),"BLACK")</f>
        <v>BLACK</v>
      </c>
      <c r="G7898" s="20" t="str">
        <f>IFERROR(__xludf.DUMMYFUNCTION("""COMPUTED_VALUE"""),"Uncle Sams Cider (11/12/2021) 02")</f>
        <v>Uncle Sams Cider (11/12/2021) 02</v>
      </c>
      <c r="H7898" s="19"/>
    </row>
    <row r="7899">
      <c r="A7899" s="9"/>
      <c r="B7899" s="15"/>
      <c r="C7899" s="9">
        <f>IFERROR(__xludf.DUMMYFUNCTION("""COMPUTED_VALUE"""),44522.2318010416)</f>
        <v>44522.2318</v>
      </c>
      <c r="D7899" s="15">
        <f>IFERROR(__xludf.DUMMYFUNCTION("""COMPUTED_VALUE"""),1.057)</f>
        <v>1.057</v>
      </c>
      <c r="E7899" s="16">
        <f>IFERROR(__xludf.DUMMYFUNCTION("""COMPUTED_VALUE"""),68.0)</f>
        <v>68</v>
      </c>
      <c r="F7899" s="19" t="str">
        <f>IFERROR(__xludf.DUMMYFUNCTION("""COMPUTED_VALUE"""),"BLACK")</f>
        <v>BLACK</v>
      </c>
      <c r="G7899" s="20" t="str">
        <f>IFERROR(__xludf.DUMMYFUNCTION("""COMPUTED_VALUE"""),"Uncle Sams Cider (11/12/2021) 02")</f>
        <v>Uncle Sams Cider (11/12/2021) 02</v>
      </c>
      <c r="H7899" s="19"/>
    </row>
    <row r="7900">
      <c r="A7900" s="9"/>
      <c r="B7900" s="15"/>
      <c r="C7900" s="9">
        <f>IFERROR(__xludf.DUMMYFUNCTION("""COMPUTED_VALUE"""),44522.2213798032)</f>
        <v>44522.22138</v>
      </c>
      <c r="D7900" s="15">
        <f>IFERROR(__xludf.DUMMYFUNCTION("""COMPUTED_VALUE"""),1.057)</f>
        <v>1.057</v>
      </c>
      <c r="E7900" s="16">
        <f>IFERROR(__xludf.DUMMYFUNCTION("""COMPUTED_VALUE"""),68.0)</f>
        <v>68</v>
      </c>
      <c r="F7900" s="19" t="str">
        <f>IFERROR(__xludf.DUMMYFUNCTION("""COMPUTED_VALUE"""),"BLACK")</f>
        <v>BLACK</v>
      </c>
      <c r="G7900" s="20" t="str">
        <f>IFERROR(__xludf.DUMMYFUNCTION("""COMPUTED_VALUE"""),"Uncle Sams Cider (11/12/2021) 02")</f>
        <v>Uncle Sams Cider (11/12/2021) 02</v>
      </c>
      <c r="H7900" s="19"/>
    </row>
    <row r="7901">
      <c r="A7901" s="9"/>
      <c r="B7901" s="15"/>
      <c r="C7901" s="9">
        <f>IFERROR(__xludf.DUMMYFUNCTION("""COMPUTED_VALUE"""),44522.2109580439)</f>
        <v>44522.21096</v>
      </c>
      <c r="D7901" s="15">
        <f>IFERROR(__xludf.DUMMYFUNCTION("""COMPUTED_VALUE"""),1.057)</f>
        <v>1.057</v>
      </c>
      <c r="E7901" s="16">
        <f>IFERROR(__xludf.DUMMYFUNCTION("""COMPUTED_VALUE"""),68.0)</f>
        <v>68</v>
      </c>
      <c r="F7901" s="19" t="str">
        <f>IFERROR(__xludf.DUMMYFUNCTION("""COMPUTED_VALUE"""),"BLACK")</f>
        <v>BLACK</v>
      </c>
      <c r="G7901" s="20" t="str">
        <f>IFERROR(__xludf.DUMMYFUNCTION("""COMPUTED_VALUE"""),"Uncle Sams Cider (11/12/2021) 02")</f>
        <v>Uncle Sams Cider (11/12/2021) 02</v>
      </c>
      <c r="H7901" s="19"/>
    </row>
    <row r="7902">
      <c r="A7902" s="9"/>
      <c r="B7902" s="15"/>
      <c r="C7902" s="9">
        <f>IFERROR(__xludf.DUMMYFUNCTION("""COMPUTED_VALUE"""),44522.200536956)</f>
        <v>44522.20054</v>
      </c>
      <c r="D7902" s="15">
        <f>IFERROR(__xludf.DUMMYFUNCTION("""COMPUTED_VALUE"""),1.057)</f>
        <v>1.057</v>
      </c>
      <c r="E7902" s="16">
        <f>IFERROR(__xludf.DUMMYFUNCTION("""COMPUTED_VALUE"""),68.0)</f>
        <v>68</v>
      </c>
      <c r="F7902" s="19" t="str">
        <f>IFERROR(__xludf.DUMMYFUNCTION("""COMPUTED_VALUE"""),"BLACK")</f>
        <v>BLACK</v>
      </c>
      <c r="G7902" s="20" t="str">
        <f>IFERROR(__xludf.DUMMYFUNCTION("""COMPUTED_VALUE"""),"Uncle Sams Cider (11/12/2021) 02")</f>
        <v>Uncle Sams Cider (11/12/2021) 02</v>
      </c>
      <c r="H7902" s="19"/>
    </row>
    <row r="7903">
      <c r="A7903" s="9"/>
      <c r="B7903" s="15"/>
      <c r="C7903" s="9">
        <f>IFERROR(__xludf.DUMMYFUNCTION("""COMPUTED_VALUE"""),44522.1901145949)</f>
        <v>44522.19011</v>
      </c>
      <c r="D7903" s="15">
        <f>IFERROR(__xludf.DUMMYFUNCTION("""COMPUTED_VALUE"""),1.057)</f>
        <v>1.057</v>
      </c>
      <c r="E7903" s="16">
        <f>IFERROR(__xludf.DUMMYFUNCTION("""COMPUTED_VALUE"""),68.0)</f>
        <v>68</v>
      </c>
      <c r="F7903" s="19" t="str">
        <f>IFERROR(__xludf.DUMMYFUNCTION("""COMPUTED_VALUE"""),"BLACK")</f>
        <v>BLACK</v>
      </c>
      <c r="G7903" s="20" t="str">
        <f>IFERROR(__xludf.DUMMYFUNCTION("""COMPUTED_VALUE"""),"Uncle Sams Cider (11/12/2021) 02")</f>
        <v>Uncle Sams Cider (11/12/2021) 02</v>
      </c>
      <c r="H7903" s="19"/>
    </row>
    <row r="7904">
      <c r="A7904" s="9"/>
      <c r="B7904" s="15"/>
      <c r="C7904" s="9">
        <f>IFERROR(__xludf.DUMMYFUNCTION("""COMPUTED_VALUE"""),44522.1796913657)</f>
        <v>44522.17969</v>
      </c>
      <c r="D7904" s="15">
        <f>IFERROR(__xludf.DUMMYFUNCTION("""COMPUTED_VALUE"""),1.057)</f>
        <v>1.057</v>
      </c>
      <c r="E7904" s="16">
        <f>IFERROR(__xludf.DUMMYFUNCTION("""COMPUTED_VALUE"""),68.0)</f>
        <v>68</v>
      </c>
      <c r="F7904" s="19" t="str">
        <f>IFERROR(__xludf.DUMMYFUNCTION("""COMPUTED_VALUE"""),"BLACK")</f>
        <v>BLACK</v>
      </c>
      <c r="G7904" s="20" t="str">
        <f>IFERROR(__xludf.DUMMYFUNCTION("""COMPUTED_VALUE"""),"Uncle Sams Cider (11/12/2021) 02")</f>
        <v>Uncle Sams Cider (11/12/2021) 02</v>
      </c>
      <c r="H7904" s="19"/>
    </row>
    <row r="7905">
      <c r="A7905" s="9"/>
      <c r="B7905" s="15"/>
      <c r="C7905" s="9">
        <f>IFERROR(__xludf.DUMMYFUNCTION("""COMPUTED_VALUE"""),44522.1692701157)</f>
        <v>44522.16927</v>
      </c>
      <c r="D7905" s="15">
        <f>IFERROR(__xludf.DUMMYFUNCTION("""COMPUTED_VALUE"""),1.057)</f>
        <v>1.057</v>
      </c>
      <c r="E7905" s="16">
        <f>IFERROR(__xludf.DUMMYFUNCTION("""COMPUTED_VALUE"""),68.0)</f>
        <v>68</v>
      </c>
      <c r="F7905" s="19" t="str">
        <f>IFERROR(__xludf.DUMMYFUNCTION("""COMPUTED_VALUE"""),"BLACK")</f>
        <v>BLACK</v>
      </c>
      <c r="G7905" s="20" t="str">
        <f>IFERROR(__xludf.DUMMYFUNCTION("""COMPUTED_VALUE"""),"Uncle Sams Cider (11/12/2021) 02")</f>
        <v>Uncle Sams Cider (11/12/2021) 02</v>
      </c>
      <c r="H7905" s="19"/>
    </row>
    <row r="7906">
      <c r="A7906" s="9"/>
      <c r="B7906" s="15"/>
      <c r="C7906" s="9">
        <f>IFERROR(__xludf.DUMMYFUNCTION("""COMPUTED_VALUE"""),44522.1588473495)</f>
        <v>44522.15885</v>
      </c>
      <c r="D7906" s="15">
        <f>IFERROR(__xludf.DUMMYFUNCTION("""COMPUTED_VALUE"""),1.057)</f>
        <v>1.057</v>
      </c>
      <c r="E7906" s="16">
        <f>IFERROR(__xludf.DUMMYFUNCTION("""COMPUTED_VALUE"""),68.0)</f>
        <v>68</v>
      </c>
      <c r="F7906" s="19" t="str">
        <f>IFERROR(__xludf.DUMMYFUNCTION("""COMPUTED_VALUE"""),"BLACK")</f>
        <v>BLACK</v>
      </c>
      <c r="G7906" s="20" t="str">
        <f>IFERROR(__xludf.DUMMYFUNCTION("""COMPUTED_VALUE"""),"Uncle Sams Cider (11/12/2021) 02")</f>
        <v>Uncle Sams Cider (11/12/2021) 02</v>
      </c>
      <c r="H7906" s="19"/>
    </row>
    <row r="7907">
      <c r="A7907" s="9"/>
      <c r="B7907" s="15"/>
      <c r="C7907" s="9">
        <f>IFERROR(__xludf.DUMMYFUNCTION("""COMPUTED_VALUE"""),44522.1484256018)</f>
        <v>44522.14843</v>
      </c>
      <c r="D7907" s="15">
        <f>IFERROR(__xludf.DUMMYFUNCTION("""COMPUTED_VALUE"""),1.057)</f>
        <v>1.057</v>
      </c>
      <c r="E7907" s="16">
        <f>IFERROR(__xludf.DUMMYFUNCTION("""COMPUTED_VALUE"""),68.0)</f>
        <v>68</v>
      </c>
      <c r="F7907" s="19" t="str">
        <f>IFERROR(__xludf.DUMMYFUNCTION("""COMPUTED_VALUE"""),"BLACK")</f>
        <v>BLACK</v>
      </c>
      <c r="G7907" s="20" t="str">
        <f>IFERROR(__xludf.DUMMYFUNCTION("""COMPUTED_VALUE"""),"Uncle Sams Cider (11/12/2021) 02")</f>
        <v>Uncle Sams Cider (11/12/2021) 02</v>
      </c>
      <c r="H7907" s="19"/>
    </row>
    <row r="7908">
      <c r="A7908" s="9"/>
      <c r="B7908" s="15"/>
      <c r="C7908" s="9">
        <f>IFERROR(__xludf.DUMMYFUNCTION("""COMPUTED_VALUE"""),44522.1379934606)</f>
        <v>44522.13799</v>
      </c>
      <c r="D7908" s="15">
        <f>IFERROR(__xludf.DUMMYFUNCTION("""COMPUTED_VALUE"""),1.057)</f>
        <v>1.057</v>
      </c>
      <c r="E7908" s="16">
        <f>IFERROR(__xludf.DUMMYFUNCTION("""COMPUTED_VALUE"""),68.0)</f>
        <v>68</v>
      </c>
      <c r="F7908" s="19" t="str">
        <f>IFERROR(__xludf.DUMMYFUNCTION("""COMPUTED_VALUE"""),"BLACK")</f>
        <v>BLACK</v>
      </c>
      <c r="G7908" s="20" t="str">
        <f>IFERROR(__xludf.DUMMYFUNCTION("""COMPUTED_VALUE"""),"Uncle Sams Cider (11/12/2021) 02")</f>
        <v>Uncle Sams Cider (11/12/2021) 02</v>
      </c>
      <c r="H7908" s="19"/>
    </row>
    <row r="7909">
      <c r="A7909" s="9"/>
      <c r="B7909" s="15"/>
      <c r="C7909" s="9">
        <f>IFERROR(__xludf.DUMMYFUNCTION("""COMPUTED_VALUE"""),44522.12757375)</f>
        <v>44522.12757</v>
      </c>
      <c r="D7909" s="15">
        <f>IFERROR(__xludf.DUMMYFUNCTION("""COMPUTED_VALUE"""),1.057)</f>
        <v>1.057</v>
      </c>
      <c r="E7909" s="16">
        <f>IFERROR(__xludf.DUMMYFUNCTION("""COMPUTED_VALUE"""),68.0)</f>
        <v>68</v>
      </c>
      <c r="F7909" s="19" t="str">
        <f>IFERROR(__xludf.DUMMYFUNCTION("""COMPUTED_VALUE"""),"BLACK")</f>
        <v>BLACK</v>
      </c>
      <c r="G7909" s="20" t="str">
        <f>IFERROR(__xludf.DUMMYFUNCTION("""COMPUTED_VALUE"""),"Uncle Sams Cider (11/12/2021) 02")</f>
        <v>Uncle Sams Cider (11/12/2021) 02</v>
      </c>
      <c r="H7909" s="19"/>
    </row>
    <row r="7910">
      <c r="A7910" s="9"/>
      <c r="B7910" s="15"/>
      <c r="C7910" s="9">
        <f>IFERROR(__xludf.DUMMYFUNCTION("""COMPUTED_VALUE"""),44522.1171396759)</f>
        <v>44522.11714</v>
      </c>
      <c r="D7910" s="15">
        <f>IFERROR(__xludf.DUMMYFUNCTION("""COMPUTED_VALUE"""),1.058)</f>
        <v>1.058</v>
      </c>
      <c r="E7910" s="16">
        <f>IFERROR(__xludf.DUMMYFUNCTION("""COMPUTED_VALUE"""),68.0)</f>
        <v>68</v>
      </c>
      <c r="F7910" s="19" t="str">
        <f>IFERROR(__xludf.DUMMYFUNCTION("""COMPUTED_VALUE"""),"BLACK")</f>
        <v>BLACK</v>
      </c>
      <c r="G7910" s="20" t="str">
        <f>IFERROR(__xludf.DUMMYFUNCTION("""COMPUTED_VALUE"""),"Uncle Sams Cider (11/12/2021) 02")</f>
        <v>Uncle Sams Cider (11/12/2021) 02</v>
      </c>
      <c r="H7910" s="19"/>
    </row>
    <row r="7911">
      <c r="A7911" s="9"/>
      <c r="B7911" s="15"/>
      <c r="C7911" s="9">
        <f>IFERROR(__xludf.DUMMYFUNCTION("""COMPUTED_VALUE"""),44522.106715868)</f>
        <v>44522.10672</v>
      </c>
      <c r="D7911" s="15">
        <f>IFERROR(__xludf.DUMMYFUNCTION("""COMPUTED_VALUE"""),1.058)</f>
        <v>1.058</v>
      </c>
      <c r="E7911" s="16">
        <f>IFERROR(__xludf.DUMMYFUNCTION("""COMPUTED_VALUE"""),68.0)</f>
        <v>68</v>
      </c>
      <c r="F7911" s="19" t="str">
        <f>IFERROR(__xludf.DUMMYFUNCTION("""COMPUTED_VALUE"""),"BLACK")</f>
        <v>BLACK</v>
      </c>
      <c r="G7911" s="20" t="str">
        <f>IFERROR(__xludf.DUMMYFUNCTION("""COMPUTED_VALUE"""),"Uncle Sams Cider (11/12/2021) 02")</f>
        <v>Uncle Sams Cider (11/12/2021) 02</v>
      </c>
      <c r="H7911" s="19"/>
    </row>
    <row r="7912">
      <c r="A7912" s="9"/>
      <c r="B7912" s="15"/>
      <c r="C7912" s="9">
        <f>IFERROR(__xludf.DUMMYFUNCTION("""COMPUTED_VALUE"""),44522.0962831134)</f>
        <v>44522.09628</v>
      </c>
      <c r="D7912" s="15">
        <f>IFERROR(__xludf.DUMMYFUNCTION("""COMPUTED_VALUE"""),1.058)</f>
        <v>1.058</v>
      </c>
      <c r="E7912" s="16">
        <f>IFERROR(__xludf.DUMMYFUNCTION("""COMPUTED_VALUE"""),68.0)</f>
        <v>68</v>
      </c>
      <c r="F7912" s="19" t="str">
        <f>IFERROR(__xludf.DUMMYFUNCTION("""COMPUTED_VALUE"""),"BLACK")</f>
        <v>BLACK</v>
      </c>
      <c r="G7912" s="20" t="str">
        <f>IFERROR(__xludf.DUMMYFUNCTION("""COMPUTED_VALUE"""),"Uncle Sams Cider (11/12/2021) 02")</f>
        <v>Uncle Sams Cider (11/12/2021) 02</v>
      </c>
      <c r="H7912" s="19"/>
    </row>
    <row r="7913">
      <c r="A7913" s="9"/>
      <c r="B7913" s="15"/>
      <c r="C7913" s="9">
        <f>IFERROR(__xludf.DUMMYFUNCTION("""COMPUTED_VALUE"""),44522.0858619097)</f>
        <v>44522.08586</v>
      </c>
      <c r="D7913" s="15">
        <f>IFERROR(__xludf.DUMMYFUNCTION("""COMPUTED_VALUE"""),1.058)</f>
        <v>1.058</v>
      </c>
      <c r="E7913" s="16">
        <f>IFERROR(__xludf.DUMMYFUNCTION("""COMPUTED_VALUE"""),68.0)</f>
        <v>68</v>
      </c>
      <c r="F7913" s="19" t="str">
        <f>IFERROR(__xludf.DUMMYFUNCTION("""COMPUTED_VALUE"""),"BLACK")</f>
        <v>BLACK</v>
      </c>
      <c r="G7913" s="20" t="str">
        <f>IFERROR(__xludf.DUMMYFUNCTION("""COMPUTED_VALUE"""),"Uncle Sams Cider (11/12/2021) 02")</f>
        <v>Uncle Sams Cider (11/12/2021) 02</v>
      </c>
      <c r="H7913" s="19"/>
    </row>
    <row r="7914">
      <c r="A7914" s="9"/>
      <c r="B7914" s="15"/>
      <c r="C7914" s="9">
        <f>IFERROR(__xludf.DUMMYFUNCTION("""COMPUTED_VALUE"""),44522.0754405555)</f>
        <v>44522.07544</v>
      </c>
      <c r="D7914" s="15">
        <f>IFERROR(__xludf.DUMMYFUNCTION("""COMPUTED_VALUE"""),1.058)</f>
        <v>1.058</v>
      </c>
      <c r="E7914" s="16">
        <f>IFERROR(__xludf.DUMMYFUNCTION("""COMPUTED_VALUE"""),68.0)</f>
        <v>68</v>
      </c>
      <c r="F7914" s="19" t="str">
        <f>IFERROR(__xludf.DUMMYFUNCTION("""COMPUTED_VALUE"""),"BLACK")</f>
        <v>BLACK</v>
      </c>
      <c r="G7914" s="20" t="str">
        <f>IFERROR(__xludf.DUMMYFUNCTION("""COMPUTED_VALUE"""),"Uncle Sams Cider (11/12/2021) 02")</f>
        <v>Uncle Sams Cider (11/12/2021) 02</v>
      </c>
      <c r="H7914" s="19"/>
    </row>
    <row r="7915">
      <c r="A7915" s="9"/>
      <c r="B7915" s="15"/>
      <c r="C7915" s="9">
        <f>IFERROR(__xludf.DUMMYFUNCTION("""COMPUTED_VALUE"""),44522.0650074074)</f>
        <v>44522.06501</v>
      </c>
      <c r="D7915" s="15">
        <f>IFERROR(__xludf.DUMMYFUNCTION("""COMPUTED_VALUE"""),1.058)</f>
        <v>1.058</v>
      </c>
      <c r="E7915" s="16">
        <f>IFERROR(__xludf.DUMMYFUNCTION("""COMPUTED_VALUE"""),68.0)</f>
        <v>68</v>
      </c>
      <c r="F7915" s="19" t="str">
        <f>IFERROR(__xludf.DUMMYFUNCTION("""COMPUTED_VALUE"""),"BLACK")</f>
        <v>BLACK</v>
      </c>
      <c r="G7915" s="20" t="str">
        <f>IFERROR(__xludf.DUMMYFUNCTION("""COMPUTED_VALUE"""),"Uncle Sams Cider (11/12/2021) 02")</f>
        <v>Uncle Sams Cider (11/12/2021) 02</v>
      </c>
      <c r="H7915" s="19"/>
    </row>
    <row r="7916">
      <c r="A7916" s="9"/>
      <c r="B7916" s="15"/>
      <c r="C7916" s="9">
        <f>IFERROR(__xludf.DUMMYFUNCTION("""COMPUTED_VALUE"""),44522.054585324)</f>
        <v>44522.05459</v>
      </c>
      <c r="D7916" s="15">
        <f>IFERROR(__xludf.DUMMYFUNCTION("""COMPUTED_VALUE"""),1.058)</f>
        <v>1.058</v>
      </c>
      <c r="E7916" s="16">
        <f>IFERROR(__xludf.DUMMYFUNCTION("""COMPUTED_VALUE"""),68.0)</f>
        <v>68</v>
      </c>
      <c r="F7916" s="19" t="str">
        <f>IFERROR(__xludf.DUMMYFUNCTION("""COMPUTED_VALUE"""),"BLACK")</f>
        <v>BLACK</v>
      </c>
      <c r="G7916" s="20" t="str">
        <f>IFERROR(__xludf.DUMMYFUNCTION("""COMPUTED_VALUE"""),"Uncle Sams Cider (11/12/2021) 02")</f>
        <v>Uncle Sams Cider (11/12/2021) 02</v>
      </c>
      <c r="H7916" s="19"/>
    </row>
    <row r="7917">
      <c r="A7917" s="9"/>
      <c r="B7917" s="15"/>
      <c r="C7917" s="9">
        <f>IFERROR(__xludf.DUMMYFUNCTION("""COMPUTED_VALUE"""),44522.0441522337)</f>
        <v>44522.04415</v>
      </c>
      <c r="D7917" s="15">
        <f>IFERROR(__xludf.DUMMYFUNCTION("""COMPUTED_VALUE"""),1.058)</f>
        <v>1.058</v>
      </c>
      <c r="E7917" s="16">
        <f>IFERROR(__xludf.DUMMYFUNCTION("""COMPUTED_VALUE"""),68.0)</f>
        <v>68</v>
      </c>
      <c r="F7917" s="19" t="str">
        <f>IFERROR(__xludf.DUMMYFUNCTION("""COMPUTED_VALUE"""),"BLACK")</f>
        <v>BLACK</v>
      </c>
      <c r="G7917" s="20" t="str">
        <f>IFERROR(__xludf.DUMMYFUNCTION("""COMPUTED_VALUE"""),"Uncle Sams Cider (11/12/2021) 02")</f>
        <v>Uncle Sams Cider (11/12/2021) 02</v>
      </c>
      <c r="H7917" s="19"/>
    </row>
    <row r="7918">
      <c r="A7918" s="9"/>
      <c r="B7918" s="15"/>
      <c r="C7918" s="9">
        <f>IFERROR(__xludf.DUMMYFUNCTION("""COMPUTED_VALUE"""),44522.0337171527)</f>
        <v>44522.03372</v>
      </c>
      <c r="D7918" s="15">
        <f>IFERROR(__xludf.DUMMYFUNCTION("""COMPUTED_VALUE"""),1.058)</f>
        <v>1.058</v>
      </c>
      <c r="E7918" s="16">
        <f>IFERROR(__xludf.DUMMYFUNCTION("""COMPUTED_VALUE"""),68.0)</f>
        <v>68</v>
      </c>
      <c r="F7918" s="19" t="str">
        <f>IFERROR(__xludf.DUMMYFUNCTION("""COMPUTED_VALUE"""),"BLACK")</f>
        <v>BLACK</v>
      </c>
      <c r="G7918" s="20" t="str">
        <f>IFERROR(__xludf.DUMMYFUNCTION("""COMPUTED_VALUE"""),"Uncle Sams Cider (11/12/2021) 02")</f>
        <v>Uncle Sams Cider (11/12/2021) 02</v>
      </c>
      <c r="H7918" s="19"/>
    </row>
    <row r="7919">
      <c r="A7919" s="9"/>
      <c r="B7919" s="15"/>
      <c r="C7919" s="9">
        <f>IFERROR(__xludf.DUMMYFUNCTION("""COMPUTED_VALUE"""),44522.0232959837)</f>
        <v>44522.0233</v>
      </c>
      <c r="D7919" s="15">
        <f>IFERROR(__xludf.DUMMYFUNCTION("""COMPUTED_VALUE"""),1.058)</f>
        <v>1.058</v>
      </c>
      <c r="E7919" s="16">
        <f>IFERROR(__xludf.DUMMYFUNCTION("""COMPUTED_VALUE"""),68.0)</f>
        <v>68</v>
      </c>
      <c r="F7919" s="19" t="str">
        <f>IFERROR(__xludf.DUMMYFUNCTION("""COMPUTED_VALUE"""),"BLACK")</f>
        <v>BLACK</v>
      </c>
      <c r="G7919" s="20" t="str">
        <f>IFERROR(__xludf.DUMMYFUNCTION("""COMPUTED_VALUE"""),"Uncle Sams Cider (11/12/2021) 02")</f>
        <v>Uncle Sams Cider (11/12/2021) 02</v>
      </c>
      <c r="H7919" s="19"/>
    </row>
    <row r="7920">
      <c r="A7920" s="9"/>
      <c r="B7920" s="15"/>
      <c r="C7920" s="9">
        <f>IFERROR(__xludf.DUMMYFUNCTION("""COMPUTED_VALUE"""),44522.0128746412)</f>
        <v>44522.01287</v>
      </c>
      <c r="D7920" s="15">
        <f>IFERROR(__xludf.DUMMYFUNCTION("""COMPUTED_VALUE"""),1.058)</f>
        <v>1.058</v>
      </c>
      <c r="E7920" s="16">
        <f>IFERROR(__xludf.DUMMYFUNCTION("""COMPUTED_VALUE"""),68.0)</f>
        <v>68</v>
      </c>
      <c r="F7920" s="19" t="str">
        <f>IFERROR(__xludf.DUMMYFUNCTION("""COMPUTED_VALUE"""),"BLACK")</f>
        <v>BLACK</v>
      </c>
      <c r="G7920" s="20" t="str">
        <f>IFERROR(__xludf.DUMMYFUNCTION("""COMPUTED_VALUE"""),"Uncle Sams Cider (11/12/2021) 02")</f>
        <v>Uncle Sams Cider (11/12/2021) 02</v>
      </c>
      <c r="H7920" s="19"/>
    </row>
    <row r="7921">
      <c r="A7921" s="9"/>
      <c r="B7921" s="15"/>
      <c r="C7921" s="9">
        <f>IFERROR(__xludf.DUMMYFUNCTION("""COMPUTED_VALUE"""),44522.0024529745)</f>
        <v>44522.00245</v>
      </c>
      <c r="D7921" s="15">
        <f>IFERROR(__xludf.DUMMYFUNCTION("""COMPUTED_VALUE"""),1.058)</f>
        <v>1.058</v>
      </c>
      <c r="E7921" s="16">
        <f>IFERROR(__xludf.DUMMYFUNCTION("""COMPUTED_VALUE"""),68.0)</f>
        <v>68</v>
      </c>
      <c r="F7921" s="19" t="str">
        <f>IFERROR(__xludf.DUMMYFUNCTION("""COMPUTED_VALUE"""),"BLACK")</f>
        <v>BLACK</v>
      </c>
      <c r="G7921" s="20" t="str">
        <f>IFERROR(__xludf.DUMMYFUNCTION("""COMPUTED_VALUE"""),"Uncle Sams Cider (11/12/2021) 02")</f>
        <v>Uncle Sams Cider (11/12/2021) 02</v>
      </c>
      <c r="H7921" s="19"/>
    </row>
    <row r="7922">
      <c r="A7922" s="9"/>
      <c r="B7922" s="15"/>
      <c r="C7922" s="9">
        <f>IFERROR(__xludf.DUMMYFUNCTION("""COMPUTED_VALUE"""),44521.9920310995)</f>
        <v>44521.99203</v>
      </c>
      <c r="D7922" s="15">
        <f>IFERROR(__xludf.DUMMYFUNCTION("""COMPUTED_VALUE"""),1.059)</f>
        <v>1.059</v>
      </c>
      <c r="E7922" s="16">
        <f>IFERROR(__xludf.DUMMYFUNCTION("""COMPUTED_VALUE"""),68.0)</f>
        <v>68</v>
      </c>
      <c r="F7922" s="19" t="str">
        <f>IFERROR(__xludf.DUMMYFUNCTION("""COMPUTED_VALUE"""),"BLACK")</f>
        <v>BLACK</v>
      </c>
      <c r="G7922" s="20" t="str">
        <f>IFERROR(__xludf.DUMMYFUNCTION("""COMPUTED_VALUE"""),"Uncle Sams Cider (11/12/2021) 02")</f>
        <v>Uncle Sams Cider (11/12/2021) 02</v>
      </c>
      <c r="H7922" s="19"/>
    </row>
    <row r="7923">
      <c r="A7923" s="9"/>
      <c r="B7923" s="15"/>
      <c r="C7923" s="9">
        <f>IFERROR(__xludf.DUMMYFUNCTION("""COMPUTED_VALUE"""),44521.9816092592)</f>
        <v>44521.98161</v>
      </c>
      <c r="D7923" s="15">
        <f>IFERROR(__xludf.DUMMYFUNCTION("""COMPUTED_VALUE"""),1.058)</f>
        <v>1.058</v>
      </c>
      <c r="E7923" s="16">
        <f>IFERROR(__xludf.DUMMYFUNCTION("""COMPUTED_VALUE"""),68.0)</f>
        <v>68</v>
      </c>
      <c r="F7923" s="19" t="str">
        <f>IFERROR(__xludf.DUMMYFUNCTION("""COMPUTED_VALUE"""),"BLACK")</f>
        <v>BLACK</v>
      </c>
      <c r="G7923" s="20" t="str">
        <f>IFERROR(__xludf.DUMMYFUNCTION("""COMPUTED_VALUE"""),"Uncle Sams Cider (11/12/2021) 02")</f>
        <v>Uncle Sams Cider (11/12/2021) 02</v>
      </c>
      <c r="H7923" s="19"/>
    </row>
    <row r="7924">
      <c r="A7924" s="9"/>
      <c r="B7924" s="15"/>
      <c r="C7924" s="9">
        <f>IFERROR(__xludf.DUMMYFUNCTION("""COMPUTED_VALUE"""),44521.9711888078)</f>
        <v>44521.97119</v>
      </c>
      <c r="D7924" s="15">
        <f>IFERROR(__xludf.DUMMYFUNCTION("""COMPUTED_VALUE"""),1.058)</f>
        <v>1.058</v>
      </c>
      <c r="E7924" s="16">
        <f>IFERROR(__xludf.DUMMYFUNCTION("""COMPUTED_VALUE"""),68.0)</f>
        <v>68</v>
      </c>
      <c r="F7924" s="19" t="str">
        <f>IFERROR(__xludf.DUMMYFUNCTION("""COMPUTED_VALUE"""),"BLACK")</f>
        <v>BLACK</v>
      </c>
      <c r="G7924" s="20" t="str">
        <f>IFERROR(__xludf.DUMMYFUNCTION("""COMPUTED_VALUE"""),"Uncle Sams Cider (11/12/2021) 02")</f>
        <v>Uncle Sams Cider (11/12/2021) 02</v>
      </c>
      <c r="H7924" s="19"/>
    </row>
    <row r="7925">
      <c r="A7925" s="9"/>
      <c r="B7925" s="15"/>
      <c r="C7925" s="9">
        <f>IFERROR(__xludf.DUMMYFUNCTION("""COMPUTED_VALUE"""),44521.9607688888)</f>
        <v>44521.96077</v>
      </c>
      <c r="D7925" s="15">
        <f>IFERROR(__xludf.DUMMYFUNCTION("""COMPUTED_VALUE"""),1.058)</f>
        <v>1.058</v>
      </c>
      <c r="E7925" s="16">
        <f>IFERROR(__xludf.DUMMYFUNCTION("""COMPUTED_VALUE"""),68.0)</f>
        <v>68</v>
      </c>
      <c r="F7925" s="19" t="str">
        <f>IFERROR(__xludf.DUMMYFUNCTION("""COMPUTED_VALUE"""),"BLACK")</f>
        <v>BLACK</v>
      </c>
      <c r="G7925" s="20" t="str">
        <f>IFERROR(__xludf.DUMMYFUNCTION("""COMPUTED_VALUE"""),"Uncle Sams Cider (11/12/2021) 02")</f>
        <v>Uncle Sams Cider (11/12/2021) 02</v>
      </c>
      <c r="H7925" s="19"/>
    </row>
    <row r="7926">
      <c r="A7926" s="9"/>
      <c r="B7926" s="15"/>
      <c r="C7926" s="9">
        <f>IFERROR(__xludf.DUMMYFUNCTION("""COMPUTED_VALUE"""),44521.9503474768)</f>
        <v>44521.95035</v>
      </c>
      <c r="D7926" s="15">
        <f>IFERROR(__xludf.DUMMYFUNCTION("""COMPUTED_VALUE"""),1.059)</f>
        <v>1.059</v>
      </c>
      <c r="E7926" s="16">
        <f>IFERROR(__xludf.DUMMYFUNCTION("""COMPUTED_VALUE"""),68.0)</f>
        <v>68</v>
      </c>
      <c r="F7926" s="19" t="str">
        <f>IFERROR(__xludf.DUMMYFUNCTION("""COMPUTED_VALUE"""),"BLACK")</f>
        <v>BLACK</v>
      </c>
      <c r="G7926" s="20" t="str">
        <f>IFERROR(__xludf.DUMMYFUNCTION("""COMPUTED_VALUE"""),"Uncle Sams Cider (11/12/2021) 02")</f>
        <v>Uncle Sams Cider (11/12/2021) 02</v>
      </c>
      <c r="H7926" s="19"/>
    </row>
    <row r="7927">
      <c r="A7927" s="9"/>
      <c r="B7927" s="15"/>
      <c r="C7927" s="9">
        <f>IFERROR(__xludf.DUMMYFUNCTION("""COMPUTED_VALUE"""),44521.9399022916)</f>
        <v>44521.9399</v>
      </c>
      <c r="D7927" s="15">
        <f>IFERROR(__xludf.DUMMYFUNCTION("""COMPUTED_VALUE"""),1.059)</f>
        <v>1.059</v>
      </c>
      <c r="E7927" s="16">
        <f>IFERROR(__xludf.DUMMYFUNCTION("""COMPUTED_VALUE"""),68.0)</f>
        <v>68</v>
      </c>
      <c r="F7927" s="19" t="str">
        <f>IFERROR(__xludf.DUMMYFUNCTION("""COMPUTED_VALUE"""),"BLACK")</f>
        <v>BLACK</v>
      </c>
      <c r="G7927" s="20" t="str">
        <f>IFERROR(__xludf.DUMMYFUNCTION("""COMPUTED_VALUE"""),"Uncle Sams Cider (11/12/2021) 02")</f>
        <v>Uncle Sams Cider (11/12/2021) 02</v>
      </c>
      <c r="H7927" s="19"/>
    </row>
    <row r="7928">
      <c r="A7928" s="9"/>
      <c r="B7928" s="15"/>
      <c r="C7928" s="9">
        <f>IFERROR(__xludf.DUMMYFUNCTION("""COMPUTED_VALUE"""),44521.9294694791)</f>
        <v>44521.92947</v>
      </c>
      <c r="D7928" s="15">
        <f>IFERROR(__xludf.DUMMYFUNCTION("""COMPUTED_VALUE"""),1.059)</f>
        <v>1.059</v>
      </c>
      <c r="E7928" s="16">
        <f>IFERROR(__xludf.DUMMYFUNCTION("""COMPUTED_VALUE"""),68.0)</f>
        <v>68</v>
      </c>
      <c r="F7928" s="19" t="str">
        <f>IFERROR(__xludf.DUMMYFUNCTION("""COMPUTED_VALUE"""),"BLACK")</f>
        <v>BLACK</v>
      </c>
      <c r="G7928" s="20" t="str">
        <f>IFERROR(__xludf.DUMMYFUNCTION("""COMPUTED_VALUE"""),"Uncle Sams Cider (11/12/2021) 02")</f>
        <v>Uncle Sams Cider (11/12/2021) 02</v>
      </c>
      <c r="H7928" s="19"/>
    </row>
    <row r="7929">
      <c r="A7929" s="9"/>
      <c r="B7929" s="15"/>
      <c r="C7929" s="9">
        <f>IFERROR(__xludf.DUMMYFUNCTION("""COMPUTED_VALUE"""),44521.9190480902)</f>
        <v>44521.91905</v>
      </c>
      <c r="D7929" s="15">
        <f>IFERROR(__xludf.DUMMYFUNCTION("""COMPUTED_VALUE"""),1.059)</f>
        <v>1.059</v>
      </c>
      <c r="E7929" s="16">
        <f>IFERROR(__xludf.DUMMYFUNCTION("""COMPUTED_VALUE"""),68.0)</f>
        <v>68</v>
      </c>
      <c r="F7929" s="19" t="str">
        <f>IFERROR(__xludf.DUMMYFUNCTION("""COMPUTED_VALUE"""),"BLACK")</f>
        <v>BLACK</v>
      </c>
      <c r="G7929" s="20" t="str">
        <f>IFERROR(__xludf.DUMMYFUNCTION("""COMPUTED_VALUE"""),"Uncle Sams Cider (11/12/2021) 02")</f>
        <v>Uncle Sams Cider (11/12/2021) 02</v>
      </c>
      <c r="H7929" s="19"/>
    </row>
    <row r="7930">
      <c r="A7930" s="9"/>
      <c r="B7930" s="15"/>
      <c r="C7930" s="9">
        <f>IFERROR(__xludf.DUMMYFUNCTION("""COMPUTED_VALUE"""),44521.9086276273)</f>
        <v>44521.90863</v>
      </c>
      <c r="D7930" s="15">
        <f>IFERROR(__xludf.DUMMYFUNCTION("""COMPUTED_VALUE"""),1.059)</f>
        <v>1.059</v>
      </c>
      <c r="E7930" s="16">
        <f>IFERROR(__xludf.DUMMYFUNCTION("""COMPUTED_VALUE"""),68.0)</f>
        <v>68</v>
      </c>
      <c r="F7930" s="19" t="str">
        <f>IFERROR(__xludf.DUMMYFUNCTION("""COMPUTED_VALUE"""),"BLACK")</f>
        <v>BLACK</v>
      </c>
      <c r="G7930" s="20" t="str">
        <f>IFERROR(__xludf.DUMMYFUNCTION("""COMPUTED_VALUE"""),"Uncle Sams Cider (11/12/2021) 02")</f>
        <v>Uncle Sams Cider (11/12/2021) 02</v>
      </c>
      <c r="H7930" s="19"/>
    </row>
    <row r="7931">
      <c r="A7931" s="9"/>
      <c r="B7931" s="15"/>
      <c r="C7931" s="9">
        <f>IFERROR(__xludf.DUMMYFUNCTION("""COMPUTED_VALUE"""),44521.8982061805)</f>
        <v>44521.89821</v>
      </c>
      <c r="D7931" s="15">
        <f>IFERROR(__xludf.DUMMYFUNCTION("""COMPUTED_VALUE"""),1.059)</f>
        <v>1.059</v>
      </c>
      <c r="E7931" s="16">
        <f>IFERROR(__xludf.DUMMYFUNCTION("""COMPUTED_VALUE"""),68.0)</f>
        <v>68</v>
      </c>
      <c r="F7931" s="19" t="str">
        <f>IFERROR(__xludf.DUMMYFUNCTION("""COMPUTED_VALUE"""),"BLACK")</f>
        <v>BLACK</v>
      </c>
      <c r="G7931" s="20" t="str">
        <f>IFERROR(__xludf.DUMMYFUNCTION("""COMPUTED_VALUE"""),"Uncle Sams Cider (11/12/2021) 02")</f>
        <v>Uncle Sams Cider (11/12/2021) 02</v>
      </c>
      <c r="H7931" s="19"/>
    </row>
    <row r="7932">
      <c r="A7932" s="9"/>
      <c r="B7932" s="15"/>
      <c r="C7932" s="9">
        <f>IFERROR(__xludf.DUMMYFUNCTION("""COMPUTED_VALUE"""),44521.8877622453)</f>
        <v>44521.88776</v>
      </c>
      <c r="D7932" s="15">
        <f>IFERROR(__xludf.DUMMYFUNCTION("""COMPUTED_VALUE"""),1.059)</f>
        <v>1.059</v>
      </c>
      <c r="E7932" s="16">
        <f>IFERROR(__xludf.DUMMYFUNCTION("""COMPUTED_VALUE"""),68.0)</f>
        <v>68</v>
      </c>
      <c r="F7932" s="19" t="str">
        <f>IFERROR(__xludf.DUMMYFUNCTION("""COMPUTED_VALUE"""),"BLACK")</f>
        <v>BLACK</v>
      </c>
      <c r="G7932" s="20" t="str">
        <f>IFERROR(__xludf.DUMMYFUNCTION("""COMPUTED_VALUE"""),"Uncle Sams Cider (11/12/2021) 02")</f>
        <v>Uncle Sams Cider (11/12/2021) 02</v>
      </c>
      <c r="H7932" s="19"/>
    </row>
    <row r="7933">
      <c r="A7933" s="9"/>
      <c r="B7933" s="15"/>
      <c r="C7933" s="9">
        <f>IFERROR(__xludf.DUMMYFUNCTION("""COMPUTED_VALUE"""),44521.8773284375)</f>
        <v>44521.87733</v>
      </c>
      <c r="D7933" s="15">
        <f>IFERROR(__xludf.DUMMYFUNCTION("""COMPUTED_VALUE"""),1.059)</f>
        <v>1.059</v>
      </c>
      <c r="E7933" s="16">
        <f>IFERROR(__xludf.DUMMYFUNCTION("""COMPUTED_VALUE"""),68.0)</f>
        <v>68</v>
      </c>
      <c r="F7933" s="19" t="str">
        <f>IFERROR(__xludf.DUMMYFUNCTION("""COMPUTED_VALUE"""),"BLACK")</f>
        <v>BLACK</v>
      </c>
      <c r="G7933" s="20" t="str">
        <f>IFERROR(__xludf.DUMMYFUNCTION("""COMPUTED_VALUE"""),"Uncle Sams Cider (11/12/2021) 02")</f>
        <v>Uncle Sams Cider (11/12/2021) 02</v>
      </c>
      <c r="H7933" s="19"/>
    </row>
    <row r="7934">
      <c r="A7934" s="9"/>
      <c r="B7934" s="15"/>
      <c r="C7934" s="9">
        <f>IFERROR(__xludf.DUMMYFUNCTION("""COMPUTED_VALUE"""),44521.8669063657)</f>
        <v>44521.86691</v>
      </c>
      <c r="D7934" s="15">
        <f>IFERROR(__xludf.DUMMYFUNCTION("""COMPUTED_VALUE"""),1.059)</f>
        <v>1.059</v>
      </c>
      <c r="E7934" s="16">
        <f>IFERROR(__xludf.DUMMYFUNCTION("""COMPUTED_VALUE"""),68.0)</f>
        <v>68</v>
      </c>
      <c r="F7934" s="19" t="str">
        <f>IFERROR(__xludf.DUMMYFUNCTION("""COMPUTED_VALUE"""),"BLACK")</f>
        <v>BLACK</v>
      </c>
      <c r="G7934" s="20" t="str">
        <f>IFERROR(__xludf.DUMMYFUNCTION("""COMPUTED_VALUE"""),"Uncle Sams Cider (11/12/2021) 02")</f>
        <v>Uncle Sams Cider (11/12/2021) 02</v>
      </c>
      <c r="H7934" s="19"/>
    </row>
    <row r="7935">
      <c r="A7935" s="9"/>
      <c r="B7935" s="15"/>
      <c r="C7935" s="9">
        <f>IFERROR(__xludf.DUMMYFUNCTION("""COMPUTED_VALUE"""),44521.8564845949)</f>
        <v>44521.85648</v>
      </c>
      <c r="D7935" s="15">
        <f>IFERROR(__xludf.DUMMYFUNCTION("""COMPUTED_VALUE"""),1.059)</f>
        <v>1.059</v>
      </c>
      <c r="E7935" s="16">
        <f>IFERROR(__xludf.DUMMYFUNCTION("""COMPUTED_VALUE"""),68.0)</f>
        <v>68</v>
      </c>
      <c r="F7935" s="19" t="str">
        <f>IFERROR(__xludf.DUMMYFUNCTION("""COMPUTED_VALUE"""),"BLACK")</f>
        <v>BLACK</v>
      </c>
      <c r="G7935" s="20" t="str">
        <f>IFERROR(__xludf.DUMMYFUNCTION("""COMPUTED_VALUE"""),"Uncle Sams Cider (11/12/2021) 02")</f>
        <v>Uncle Sams Cider (11/12/2021) 02</v>
      </c>
      <c r="H7935" s="19"/>
    </row>
    <row r="7936">
      <c r="A7936" s="9"/>
      <c r="B7936" s="15"/>
      <c r="C7936" s="9">
        <f>IFERROR(__xludf.DUMMYFUNCTION("""COMPUTED_VALUE"""),44521.8460625694)</f>
        <v>44521.84606</v>
      </c>
      <c r="D7936" s="15">
        <f>IFERROR(__xludf.DUMMYFUNCTION("""COMPUTED_VALUE"""),1.059)</f>
        <v>1.059</v>
      </c>
      <c r="E7936" s="16">
        <f>IFERROR(__xludf.DUMMYFUNCTION("""COMPUTED_VALUE"""),68.0)</f>
        <v>68</v>
      </c>
      <c r="F7936" s="19" t="str">
        <f>IFERROR(__xludf.DUMMYFUNCTION("""COMPUTED_VALUE"""),"BLACK")</f>
        <v>BLACK</v>
      </c>
      <c r="G7936" s="20" t="str">
        <f>IFERROR(__xludf.DUMMYFUNCTION("""COMPUTED_VALUE"""),"Uncle Sams Cider (11/12/2021) 02")</f>
        <v>Uncle Sams Cider (11/12/2021) 02</v>
      </c>
      <c r="H7936" s="19"/>
    </row>
    <row r="7937">
      <c r="A7937" s="9"/>
      <c r="B7937" s="15"/>
      <c r="C7937" s="9">
        <f>IFERROR(__xludf.DUMMYFUNCTION("""COMPUTED_VALUE"""),44521.8356433912)</f>
        <v>44521.83564</v>
      </c>
      <c r="D7937" s="15">
        <f>IFERROR(__xludf.DUMMYFUNCTION("""COMPUTED_VALUE"""),1.059)</f>
        <v>1.059</v>
      </c>
      <c r="E7937" s="16">
        <f>IFERROR(__xludf.DUMMYFUNCTION("""COMPUTED_VALUE"""),68.0)</f>
        <v>68</v>
      </c>
      <c r="F7937" s="19" t="str">
        <f>IFERROR(__xludf.DUMMYFUNCTION("""COMPUTED_VALUE"""),"BLACK")</f>
        <v>BLACK</v>
      </c>
      <c r="G7937" s="20" t="str">
        <f>IFERROR(__xludf.DUMMYFUNCTION("""COMPUTED_VALUE"""),"Uncle Sams Cider (11/12/2021) 02")</f>
        <v>Uncle Sams Cider (11/12/2021) 02</v>
      </c>
      <c r="H7937" s="19"/>
    </row>
    <row r="7938">
      <c r="A7938" s="9"/>
      <c r="B7938" s="15"/>
      <c r="C7938" s="9">
        <f>IFERROR(__xludf.DUMMYFUNCTION("""COMPUTED_VALUE"""),44521.8252220601)</f>
        <v>44521.82522</v>
      </c>
      <c r="D7938" s="15">
        <f>IFERROR(__xludf.DUMMYFUNCTION("""COMPUTED_VALUE"""),1.059)</f>
        <v>1.059</v>
      </c>
      <c r="E7938" s="16">
        <f>IFERROR(__xludf.DUMMYFUNCTION("""COMPUTED_VALUE"""),68.0)</f>
        <v>68</v>
      </c>
      <c r="F7938" s="19" t="str">
        <f>IFERROR(__xludf.DUMMYFUNCTION("""COMPUTED_VALUE"""),"BLACK")</f>
        <v>BLACK</v>
      </c>
      <c r="G7938" s="20" t="str">
        <f>IFERROR(__xludf.DUMMYFUNCTION("""COMPUTED_VALUE"""),"Uncle Sams Cider (11/12/2021) 02")</f>
        <v>Uncle Sams Cider (11/12/2021) 02</v>
      </c>
      <c r="H7938" s="19"/>
    </row>
    <row r="7939">
      <c r="A7939" s="9"/>
      <c r="B7939" s="15"/>
      <c r="C7939" s="9">
        <f>IFERROR(__xludf.DUMMYFUNCTION("""COMPUTED_VALUE"""),44521.814802037)</f>
        <v>44521.8148</v>
      </c>
      <c r="D7939" s="15">
        <f>IFERROR(__xludf.DUMMYFUNCTION("""COMPUTED_VALUE"""),1.059)</f>
        <v>1.059</v>
      </c>
      <c r="E7939" s="16">
        <f>IFERROR(__xludf.DUMMYFUNCTION("""COMPUTED_VALUE"""),68.0)</f>
        <v>68</v>
      </c>
      <c r="F7939" s="19" t="str">
        <f>IFERROR(__xludf.DUMMYFUNCTION("""COMPUTED_VALUE"""),"BLACK")</f>
        <v>BLACK</v>
      </c>
      <c r="G7939" s="20" t="str">
        <f>IFERROR(__xludf.DUMMYFUNCTION("""COMPUTED_VALUE"""),"Uncle Sams Cider (11/12/2021) 02")</f>
        <v>Uncle Sams Cider (11/12/2021) 02</v>
      </c>
      <c r="H7939" s="19"/>
    </row>
    <row r="7940">
      <c r="A7940" s="9"/>
      <c r="B7940" s="15"/>
      <c r="C7940" s="9">
        <f>IFERROR(__xludf.DUMMYFUNCTION("""COMPUTED_VALUE"""),44521.8043803125)</f>
        <v>44521.80438</v>
      </c>
      <c r="D7940" s="15">
        <f>IFERROR(__xludf.DUMMYFUNCTION("""COMPUTED_VALUE"""),1.059)</f>
        <v>1.059</v>
      </c>
      <c r="E7940" s="16">
        <f>IFERROR(__xludf.DUMMYFUNCTION("""COMPUTED_VALUE"""),68.0)</f>
        <v>68</v>
      </c>
      <c r="F7940" s="19" t="str">
        <f>IFERROR(__xludf.DUMMYFUNCTION("""COMPUTED_VALUE"""),"BLACK")</f>
        <v>BLACK</v>
      </c>
      <c r="G7940" s="20" t="str">
        <f>IFERROR(__xludf.DUMMYFUNCTION("""COMPUTED_VALUE"""),"Uncle Sams Cider (11/12/2021) 02")</f>
        <v>Uncle Sams Cider (11/12/2021) 02</v>
      </c>
      <c r="H7940" s="19"/>
    </row>
    <row r="7941">
      <c r="A7941" s="9"/>
      <c r="B7941" s="15"/>
      <c r="C7941" s="9">
        <f>IFERROR(__xludf.DUMMYFUNCTION("""COMPUTED_VALUE"""),44521.793960081)</f>
        <v>44521.79396</v>
      </c>
      <c r="D7941" s="15">
        <f>IFERROR(__xludf.DUMMYFUNCTION("""COMPUTED_VALUE"""),1.059)</f>
        <v>1.059</v>
      </c>
      <c r="E7941" s="16">
        <f>IFERROR(__xludf.DUMMYFUNCTION("""COMPUTED_VALUE"""),68.0)</f>
        <v>68</v>
      </c>
      <c r="F7941" s="19" t="str">
        <f>IFERROR(__xludf.DUMMYFUNCTION("""COMPUTED_VALUE"""),"BLACK")</f>
        <v>BLACK</v>
      </c>
      <c r="G7941" s="20" t="str">
        <f>IFERROR(__xludf.DUMMYFUNCTION("""COMPUTED_VALUE"""),"Uncle Sams Cider (11/12/2021) 02")</f>
        <v>Uncle Sams Cider (11/12/2021) 02</v>
      </c>
      <c r="H7941" s="19"/>
    </row>
    <row r="7942">
      <c r="A7942" s="9"/>
      <c r="B7942" s="15"/>
      <c r="C7942" s="9">
        <f>IFERROR(__xludf.DUMMYFUNCTION("""COMPUTED_VALUE"""),44521.7835389351)</f>
        <v>44521.78354</v>
      </c>
      <c r="D7942" s="15">
        <f>IFERROR(__xludf.DUMMYFUNCTION("""COMPUTED_VALUE"""),1.06)</f>
        <v>1.06</v>
      </c>
      <c r="E7942" s="16">
        <f>IFERROR(__xludf.DUMMYFUNCTION("""COMPUTED_VALUE"""),68.0)</f>
        <v>68</v>
      </c>
      <c r="F7942" s="19" t="str">
        <f>IFERROR(__xludf.DUMMYFUNCTION("""COMPUTED_VALUE"""),"BLACK")</f>
        <v>BLACK</v>
      </c>
      <c r="G7942" s="20" t="str">
        <f>IFERROR(__xludf.DUMMYFUNCTION("""COMPUTED_VALUE"""),"Uncle Sams Cider (11/12/2021) 02")</f>
        <v>Uncle Sams Cider (11/12/2021) 02</v>
      </c>
      <c r="H7942" s="19"/>
    </row>
    <row r="7943">
      <c r="A7943" s="9"/>
      <c r="B7943" s="15"/>
      <c r="C7943" s="9">
        <f>IFERROR(__xludf.DUMMYFUNCTION("""COMPUTED_VALUE"""),44521.7731192592)</f>
        <v>44521.77312</v>
      </c>
      <c r="D7943" s="15">
        <f>IFERROR(__xludf.DUMMYFUNCTION("""COMPUTED_VALUE"""),1.059)</f>
        <v>1.059</v>
      </c>
      <c r="E7943" s="16">
        <f>IFERROR(__xludf.DUMMYFUNCTION("""COMPUTED_VALUE"""),68.0)</f>
        <v>68</v>
      </c>
      <c r="F7943" s="19" t="str">
        <f>IFERROR(__xludf.DUMMYFUNCTION("""COMPUTED_VALUE"""),"BLACK")</f>
        <v>BLACK</v>
      </c>
      <c r="G7943" s="20" t="str">
        <f>IFERROR(__xludf.DUMMYFUNCTION("""COMPUTED_VALUE"""),"Uncle Sams Cider (11/12/2021) 02")</f>
        <v>Uncle Sams Cider (11/12/2021) 02</v>
      </c>
      <c r="H7943" s="19"/>
    </row>
    <row r="7944">
      <c r="A7944" s="9"/>
      <c r="B7944" s="15"/>
      <c r="C7944" s="9">
        <f>IFERROR(__xludf.DUMMYFUNCTION("""COMPUTED_VALUE"""),44521.7626996527)</f>
        <v>44521.7627</v>
      </c>
      <c r="D7944" s="15">
        <f>IFERROR(__xludf.DUMMYFUNCTION("""COMPUTED_VALUE"""),1.06)</f>
        <v>1.06</v>
      </c>
      <c r="E7944" s="16">
        <f>IFERROR(__xludf.DUMMYFUNCTION("""COMPUTED_VALUE"""),68.0)</f>
        <v>68</v>
      </c>
      <c r="F7944" s="19" t="str">
        <f>IFERROR(__xludf.DUMMYFUNCTION("""COMPUTED_VALUE"""),"BLACK")</f>
        <v>BLACK</v>
      </c>
      <c r="G7944" s="20" t="str">
        <f>IFERROR(__xludf.DUMMYFUNCTION("""COMPUTED_VALUE"""),"Uncle Sams Cider (11/12/2021) 02")</f>
        <v>Uncle Sams Cider (11/12/2021) 02</v>
      </c>
      <c r="H7944" s="19"/>
    </row>
    <row r="7945">
      <c r="A7945" s="9"/>
      <c r="B7945" s="15"/>
      <c r="C7945" s="9">
        <f>IFERROR(__xludf.DUMMYFUNCTION("""COMPUTED_VALUE"""),44521.7522777199)</f>
        <v>44521.75228</v>
      </c>
      <c r="D7945" s="15">
        <f>IFERROR(__xludf.DUMMYFUNCTION("""COMPUTED_VALUE"""),1.06)</f>
        <v>1.06</v>
      </c>
      <c r="E7945" s="16">
        <f>IFERROR(__xludf.DUMMYFUNCTION("""COMPUTED_VALUE"""),68.0)</f>
        <v>68</v>
      </c>
      <c r="F7945" s="19" t="str">
        <f>IFERROR(__xludf.DUMMYFUNCTION("""COMPUTED_VALUE"""),"BLACK")</f>
        <v>BLACK</v>
      </c>
      <c r="G7945" s="20" t="str">
        <f>IFERROR(__xludf.DUMMYFUNCTION("""COMPUTED_VALUE"""),"Uncle Sams Cider (11/12/2021) 02")</f>
        <v>Uncle Sams Cider (11/12/2021) 02</v>
      </c>
      <c r="H7945" s="19"/>
    </row>
    <row r="7946">
      <c r="A7946" s="9"/>
      <c r="B7946" s="15"/>
      <c r="C7946" s="9">
        <f>IFERROR(__xludf.DUMMYFUNCTION("""COMPUTED_VALUE"""),44521.7418568518)</f>
        <v>44521.74186</v>
      </c>
      <c r="D7946" s="15">
        <f>IFERROR(__xludf.DUMMYFUNCTION("""COMPUTED_VALUE"""),1.06)</f>
        <v>1.06</v>
      </c>
      <c r="E7946" s="16">
        <f>IFERROR(__xludf.DUMMYFUNCTION("""COMPUTED_VALUE"""),67.0)</f>
        <v>67</v>
      </c>
      <c r="F7946" s="19" t="str">
        <f>IFERROR(__xludf.DUMMYFUNCTION("""COMPUTED_VALUE"""),"BLACK")</f>
        <v>BLACK</v>
      </c>
      <c r="G7946" s="20" t="str">
        <f>IFERROR(__xludf.DUMMYFUNCTION("""COMPUTED_VALUE"""),"Uncle Sams Cider (11/12/2021) 02")</f>
        <v>Uncle Sams Cider (11/12/2021) 02</v>
      </c>
      <c r="H7946" s="19"/>
    </row>
    <row r="7947">
      <c r="A7947" s="9"/>
      <c r="B7947" s="15"/>
      <c r="C7947" s="9">
        <f>IFERROR(__xludf.DUMMYFUNCTION("""COMPUTED_VALUE"""),44521.7314368055)</f>
        <v>44521.73144</v>
      </c>
      <c r="D7947" s="15">
        <f>IFERROR(__xludf.DUMMYFUNCTION("""COMPUTED_VALUE"""),1.06)</f>
        <v>1.06</v>
      </c>
      <c r="E7947" s="16">
        <f>IFERROR(__xludf.DUMMYFUNCTION("""COMPUTED_VALUE"""),68.0)</f>
        <v>68</v>
      </c>
      <c r="F7947" s="19" t="str">
        <f>IFERROR(__xludf.DUMMYFUNCTION("""COMPUTED_VALUE"""),"BLACK")</f>
        <v>BLACK</v>
      </c>
      <c r="G7947" s="20" t="str">
        <f>IFERROR(__xludf.DUMMYFUNCTION("""COMPUTED_VALUE"""),"Uncle Sams Cider (11/12/2021) 02")</f>
        <v>Uncle Sams Cider (11/12/2021) 02</v>
      </c>
      <c r="H7947" s="19"/>
    </row>
    <row r="7948">
      <c r="A7948" s="9"/>
      <c r="B7948" s="15"/>
      <c r="C7948" s="9">
        <f>IFERROR(__xludf.DUMMYFUNCTION("""COMPUTED_VALUE"""),44521.721015081)</f>
        <v>44521.72102</v>
      </c>
      <c r="D7948" s="15">
        <f>IFERROR(__xludf.DUMMYFUNCTION("""COMPUTED_VALUE"""),1.06)</f>
        <v>1.06</v>
      </c>
      <c r="E7948" s="16">
        <f>IFERROR(__xludf.DUMMYFUNCTION("""COMPUTED_VALUE"""),68.0)</f>
        <v>68</v>
      </c>
      <c r="F7948" s="19" t="str">
        <f>IFERROR(__xludf.DUMMYFUNCTION("""COMPUTED_VALUE"""),"BLACK")</f>
        <v>BLACK</v>
      </c>
      <c r="G7948" s="20" t="str">
        <f>IFERROR(__xludf.DUMMYFUNCTION("""COMPUTED_VALUE"""),"Uncle Sams Cider (11/12/2021) 02")</f>
        <v>Uncle Sams Cider (11/12/2021) 02</v>
      </c>
      <c r="H7948" s="19"/>
    </row>
    <row r="7949">
      <c r="A7949" s="9"/>
      <c r="B7949" s="15"/>
      <c r="C7949" s="9">
        <f>IFERROR(__xludf.DUMMYFUNCTION("""COMPUTED_VALUE"""),44521.710581493)</f>
        <v>44521.71058</v>
      </c>
      <c r="D7949" s="15">
        <f>IFERROR(__xludf.DUMMYFUNCTION("""COMPUTED_VALUE"""),1.06)</f>
        <v>1.06</v>
      </c>
      <c r="E7949" s="16">
        <f>IFERROR(__xludf.DUMMYFUNCTION("""COMPUTED_VALUE"""),67.0)</f>
        <v>67</v>
      </c>
      <c r="F7949" s="19" t="str">
        <f>IFERROR(__xludf.DUMMYFUNCTION("""COMPUTED_VALUE"""),"BLACK")</f>
        <v>BLACK</v>
      </c>
      <c r="G7949" s="20" t="str">
        <f>IFERROR(__xludf.DUMMYFUNCTION("""COMPUTED_VALUE"""),"Uncle Sams Cider (11/12/2021) 02")</f>
        <v>Uncle Sams Cider (11/12/2021) 02</v>
      </c>
      <c r="H7949" s="19"/>
    </row>
    <row r="7950">
      <c r="A7950" s="9"/>
      <c r="B7950" s="15"/>
      <c r="C7950" s="9">
        <f>IFERROR(__xludf.DUMMYFUNCTION("""COMPUTED_VALUE"""),44521.7001603356)</f>
        <v>44521.70016</v>
      </c>
      <c r="D7950" s="15">
        <f>IFERROR(__xludf.DUMMYFUNCTION("""COMPUTED_VALUE"""),1.06)</f>
        <v>1.06</v>
      </c>
      <c r="E7950" s="16">
        <f>IFERROR(__xludf.DUMMYFUNCTION("""COMPUTED_VALUE"""),67.0)</f>
        <v>67</v>
      </c>
      <c r="F7950" s="19" t="str">
        <f>IFERROR(__xludf.DUMMYFUNCTION("""COMPUTED_VALUE"""),"BLACK")</f>
        <v>BLACK</v>
      </c>
      <c r="G7950" s="20" t="str">
        <f>IFERROR(__xludf.DUMMYFUNCTION("""COMPUTED_VALUE"""),"Uncle Sams Cider (11/12/2021) 02")</f>
        <v>Uncle Sams Cider (11/12/2021) 02</v>
      </c>
      <c r="H7950" s="19"/>
    </row>
    <row r="7951">
      <c r="A7951" s="9"/>
      <c r="B7951" s="15"/>
      <c r="C7951" s="9">
        <f>IFERROR(__xludf.DUMMYFUNCTION("""COMPUTED_VALUE"""),44521.6897397916)</f>
        <v>44521.68974</v>
      </c>
      <c r="D7951" s="15">
        <f>IFERROR(__xludf.DUMMYFUNCTION("""COMPUTED_VALUE"""),1.06)</f>
        <v>1.06</v>
      </c>
      <c r="E7951" s="16">
        <f>IFERROR(__xludf.DUMMYFUNCTION("""COMPUTED_VALUE"""),67.0)</f>
        <v>67</v>
      </c>
      <c r="F7951" s="19" t="str">
        <f>IFERROR(__xludf.DUMMYFUNCTION("""COMPUTED_VALUE"""),"BLACK")</f>
        <v>BLACK</v>
      </c>
      <c r="G7951" s="20" t="str">
        <f>IFERROR(__xludf.DUMMYFUNCTION("""COMPUTED_VALUE"""),"Uncle Sams Cider (11/12/2021) 02")</f>
        <v>Uncle Sams Cider (11/12/2021) 02</v>
      </c>
      <c r="H7951" s="19"/>
    </row>
    <row r="7952">
      <c r="A7952" s="9"/>
      <c r="B7952" s="15"/>
      <c r="C7952" s="9">
        <f>IFERROR(__xludf.DUMMYFUNCTION("""COMPUTED_VALUE"""),44521.6793083796)</f>
        <v>44521.67931</v>
      </c>
      <c r="D7952" s="15">
        <f>IFERROR(__xludf.DUMMYFUNCTION("""COMPUTED_VALUE"""),1.06)</f>
        <v>1.06</v>
      </c>
      <c r="E7952" s="16">
        <f>IFERROR(__xludf.DUMMYFUNCTION("""COMPUTED_VALUE"""),67.0)</f>
        <v>67</v>
      </c>
      <c r="F7952" s="19" t="str">
        <f>IFERROR(__xludf.DUMMYFUNCTION("""COMPUTED_VALUE"""),"BLACK")</f>
        <v>BLACK</v>
      </c>
      <c r="G7952" s="20" t="str">
        <f>IFERROR(__xludf.DUMMYFUNCTION("""COMPUTED_VALUE"""),"Uncle Sams Cider (11/12/2021) 02")</f>
        <v>Uncle Sams Cider (11/12/2021) 02</v>
      </c>
      <c r="H7952" s="19"/>
    </row>
    <row r="7953">
      <c r="A7953" s="9"/>
      <c r="B7953" s="15"/>
      <c r="C7953" s="9">
        <f>IFERROR(__xludf.DUMMYFUNCTION("""COMPUTED_VALUE"""),44521.6688850231)</f>
        <v>44521.66889</v>
      </c>
      <c r="D7953" s="15">
        <f>IFERROR(__xludf.DUMMYFUNCTION("""COMPUTED_VALUE"""),1.06)</f>
        <v>1.06</v>
      </c>
      <c r="E7953" s="16">
        <f>IFERROR(__xludf.DUMMYFUNCTION("""COMPUTED_VALUE"""),67.0)</f>
        <v>67</v>
      </c>
      <c r="F7953" s="19" t="str">
        <f>IFERROR(__xludf.DUMMYFUNCTION("""COMPUTED_VALUE"""),"BLACK")</f>
        <v>BLACK</v>
      </c>
      <c r="G7953" s="20" t="str">
        <f>IFERROR(__xludf.DUMMYFUNCTION("""COMPUTED_VALUE"""),"Uncle Sams Cider (11/12/2021) 02")</f>
        <v>Uncle Sams Cider (11/12/2021) 02</v>
      </c>
      <c r="H7953" s="19"/>
    </row>
    <row r="7954">
      <c r="A7954" s="9"/>
      <c r="B7954" s="15"/>
      <c r="C7954" s="9">
        <f>IFERROR(__xludf.DUMMYFUNCTION("""COMPUTED_VALUE"""),44521.6584638194)</f>
        <v>44521.65846</v>
      </c>
      <c r="D7954" s="15">
        <f>IFERROR(__xludf.DUMMYFUNCTION("""COMPUTED_VALUE"""),1.06)</f>
        <v>1.06</v>
      </c>
      <c r="E7954" s="16">
        <f>IFERROR(__xludf.DUMMYFUNCTION("""COMPUTED_VALUE"""),67.0)</f>
        <v>67</v>
      </c>
      <c r="F7954" s="19" t="str">
        <f>IFERROR(__xludf.DUMMYFUNCTION("""COMPUTED_VALUE"""),"BLACK")</f>
        <v>BLACK</v>
      </c>
      <c r="G7954" s="20" t="str">
        <f>IFERROR(__xludf.DUMMYFUNCTION("""COMPUTED_VALUE"""),"Uncle Sams Cider (11/12/2021) 02")</f>
        <v>Uncle Sams Cider (11/12/2021) 02</v>
      </c>
      <c r="H7954" s="19"/>
    </row>
    <row r="7955">
      <c r="A7955" s="9"/>
      <c r="B7955" s="15"/>
      <c r="C7955" s="9">
        <f>IFERROR(__xludf.DUMMYFUNCTION("""COMPUTED_VALUE"""),44521.648043125)</f>
        <v>44521.64804</v>
      </c>
      <c r="D7955" s="15">
        <f>IFERROR(__xludf.DUMMYFUNCTION("""COMPUTED_VALUE"""),1.06)</f>
        <v>1.06</v>
      </c>
      <c r="E7955" s="16">
        <f>IFERROR(__xludf.DUMMYFUNCTION("""COMPUTED_VALUE"""),67.0)</f>
        <v>67</v>
      </c>
      <c r="F7955" s="19" t="str">
        <f>IFERROR(__xludf.DUMMYFUNCTION("""COMPUTED_VALUE"""),"BLACK")</f>
        <v>BLACK</v>
      </c>
      <c r="G7955" s="20" t="str">
        <f>IFERROR(__xludf.DUMMYFUNCTION("""COMPUTED_VALUE"""),"Uncle Sams Cider (11/12/2021) 02")</f>
        <v>Uncle Sams Cider (11/12/2021) 02</v>
      </c>
      <c r="H7955" s="19"/>
    </row>
    <row r="7956">
      <c r="A7956" s="9"/>
      <c r="B7956" s="15"/>
      <c r="C7956" s="9">
        <f>IFERROR(__xludf.DUMMYFUNCTION("""COMPUTED_VALUE"""),44521.6376225347)</f>
        <v>44521.63762</v>
      </c>
      <c r="D7956" s="15">
        <f>IFERROR(__xludf.DUMMYFUNCTION("""COMPUTED_VALUE"""),1.06)</f>
        <v>1.06</v>
      </c>
      <c r="E7956" s="16">
        <f>IFERROR(__xludf.DUMMYFUNCTION("""COMPUTED_VALUE"""),68.0)</f>
        <v>68</v>
      </c>
      <c r="F7956" s="19" t="str">
        <f>IFERROR(__xludf.DUMMYFUNCTION("""COMPUTED_VALUE"""),"BLACK")</f>
        <v>BLACK</v>
      </c>
      <c r="G7956" s="20" t="str">
        <f>IFERROR(__xludf.DUMMYFUNCTION("""COMPUTED_VALUE"""),"Uncle Sams Cider (11/12/2021) 02")</f>
        <v>Uncle Sams Cider (11/12/2021) 02</v>
      </c>
      <c r="H7956" s="19"/>
    </row>
    <row r="7957">
      <c r="A7957" s="9"/>
      <c r="B7957" s="15"/>
      <c r="C7957" s="9">
        <f>IFERROR(__xludf.DUMMYFUNCTION("""COMPUTED_VALUE"""),44521.6272004976)</f>
        <v>44521.6272</v>
      </c>
      <c r="D7957" s="15">
        <f>IFERROR(__xludf.DUMMYFUNCTION("""COMPUTED_VALUE"""),1.06)</f>
        <v>1.06</v>
      </c>
      <c r="E7957" s="16">
        <f>IFERROR(__xludf.DUMMYFUNCTION("""COMPUTED_VALUE"""),68.0)</f>
        <v>68</v>
      </c>
      <c r="F7957" s="19" t="str">
        <f>IFERROR(__xludf.DUMMYFUNCTION("""COMPUTED_VALUE"""),"BLACK")</f>
        <v>BLACK</v>
      </c>
      <c r="G7957" s="20" t="str">
        <f>IFERROR(__xludf.DUMMYFUNCTION("""COMPUTED_VALUE"""),"Uncle Sams Cider (11/12/2021) 02")</f>
        <v>Uncle Sams Cider (11/12/2021) 02</v>
      </c>
      <c r="H7957" s="19"/>
    </row>
    <row r="7958">
      <c r="A7958" s="9"/>
      <c r="B7958" s="15"/>
      <c r="C7958" s="9">
        <f>IFERROR(__xludf.DUMMYFUNCTION("""COMPUTED_VALUE"""),44521.6167787152)</f>
        <v>44521.61678</v>
      </c>
      <c r="D7958" s="15">
        <f>IFERROR(__xludf.DUMMYFUNCTION("""COMPUTED_VALUE"""),1.06)</f>
        <v>1.06</v>
      </c>
      <c r="E7958" s="16">
        <f>IFERROR(__xludf.DUMMYFUNCTION("""COMPUTED_VALUE"""),68.0)</f>
        <v>68</v>
      </c>
      <c r="F7958" s="19" t="str">
        <f>IFERROR(__xludf.DUMMYFUNCTION("""COMPUTED_VALUE"""),"BLACK")</f>
        <v>BLACK</v>
      </c>
      <c r="G7958" s="20" t="str">
        <f>IFERROR(__xludf.DUMMYFUNCTION("""COMPUTED_VALUE"""),"Uncle Sams Cider (11/12/2021) 02")</f>
        <v>Uncle Sams Cider (11/12/2021) 02</v>
      </c>
      <c r="H7958" s="19"/>
    </row>
    <row r="7959">
      <c r="A7959" s="9"/>
      <c r="B7959" s="15"/>
      <c r="C7959" s="9">
        <f>IFERROR(__xludf.DUMMYFUNCTION("""COMPUTED_VALUE"""),44521.6063574189)</f>
        <v>44521.60636</v>
      </c>
      <c r="D7959" s="15">
        <f>IFERROR(__xludf.DUMMYFUNCTION("""COMPUTED_VALUE"""),1.06)</f>
        <v>1.06</v>
      </c>
      <c r="E7959" s="16">
        <f>IFERROR(__xludf.DUMMYFUNCTION("""COMPUTED_VALUE"""),67.0)</f>
        <v>67</v>
      </c>
      <c r="F7959" s="19" t="str">
        <f>IFERROR(__xludf.DUMMYFUNCTION("""COMPUTED_VALUE"""),"BLACK")</f>
        <v>BLACK</v>
      </c>
      <c r="G7959" s="20" t="str">
        <f>IFERROR(__xludf.DUMMYFUNCTION("""COMPUTED_VALUE"""),"Uncle Sams Cider (11/12/2021) 02")</f>
        <v>Uncle Sams Cider (11/12/2021) 02</v>
      </c>
      <c r="H7959" s="19"/>
    </row>
    <row r="7960">
      <c r="A7960" s="9"/>
      <c r="B7960" s="15"/>
      <c r="C7960" s="9">
        <f>IFERROR(__xludf.DUMMYFUNCTION("""COMPUTED_VALUE"""),44521.5959267013)</f>
        <v>44521.59593</v>
      </c>
      <c r="D7960" s="15">
        <f>IFERROR(__xludf.DUMMYFUNCTION("""COMPUTED_VALUE"""),1.06)</f>
        <v>1.06</v>
      </c>
      <c r="E7960" s="16">
        <f>IFERROR(__xludf.DUMMYFUNCTION("""COMPUTED_VALUE"""),68.0)</f>
        <v>68</v>
      </c>
      <c r="F7960" s="19" t="str">
        <f>IFERROR(__xludf.DUMMYFUNCTION("""COMPUTED_VALUE"""),"BLACK")</f>
        <v>BLACK</v>
      </c>
      <c r="G7960" s="20" t="str">
        <f>IFERROR(__xludf.DUMMYFUNCTION("""COMPUTED_VALUE"""),"Uncle Sams Cider (11/12/2021) 02")</f>
        <v>Uncle Sams Cider (11/12/2021) 02</v>
      </c>
      <c r="H7960" s="19"/>
    </row>
    <row r="7961">
      <c r="A7961" s="9"/>
      <c r="B7961" s="15"/>
      <c r="C7961" s="9">
        <f>IFERROR(__xludf.DUMMYFUNCTION("""COMPUTED_VALUE"""),44521.5855051504)</f>
        <v>44521.58551</v>
      </c>
      <c r="D7961" s="15">
        <f>IFERROR(__xludf.DUMMYFUNCTION("""COMPUTED_VALUE"""),1.06)</f>
        <v>1.06</v>
      </c>
      <c r="E7961" s="16">
        <f>IFERROR(__xludf.DUMMYFUNCTION("""COMPUTED_VALUE"""),67.0)</f>
        <v>67</v>
      </c>
      <c r="F7961" s="19" t="str">
        <f>IFERROR(__xludf.DUMMYFUNCTION("""COMPUTED_VALUE"""),"BLACK")</f>
        <v>BLACK</v>
      </c>
      <c r="G7961" s="20" t="str">
        <f>IFERROR(__xludf.DUMMYFUNCTION("""COMPUTED_VALUE"""),"Uncle Sams Cider (11/12/2021) 02")</f>
        <v>Uncle Sams Cider (11/12/2021) 02</v>
      </c>
      <c r="H7961" s="19"/>
    </row>
    <row r="7962">
      <c r="A7962" s="9"/>
      <c r="B7962" s="15"/>
      <c r="C7962" s="9">
        <f>IFERROR(__xludf.DUMMYFUNCTION("""COMPUTED_VALUE"""),44521.5750604861)</f>
        <v>44521.57506</v>
      </c>
      <c r="D7962" s="15">
        <f>IFERROR(__xludf.DUMMYFUNCTION("""COMPUTED_VALUE"""),1.06)</f>
        <v>1.06</v>
      </c>
      <c r="E7962" s="16">
        <f>IFERROR(__xludf.DUMMYFUNCTION("""COMPUTED_VALUE"""),68.0)</f>
        <v>68</v>
      </c>
      <c r="F7962" s="19" t="str">
        <f>IFERROR(__xludf.DUMMYFUNCTION("""COMPUTED_VALUE"""),"BLACK")</f>
        <v>BLACK</v>
      </c>
      <c r="G7962" s="20" t="str">
        <f>IFERROR(__xludf.DUMMYFUNCTION("""COMPUTED_VALUE"""),"Uncle Sams Cider (11/12/2021) 02")</f>
        <v>Uncle Sams Cider (11/12/2021) 02</v>
      </c>
      <c r="H7962" s="19"/>
    </row>
    <row r="7963">
      <c r="A7963" s="9"/>
      <c r="B7963" s="15"/>
      <c r="C7963" s="9">
        <f>IFERROR(__xludf.DUMMYFUNCTION("""COMPUTED_VALUE"""),44521.5646386226)</f>
        <v>44521.56464</v>
      </c>
      <c r="D7963" s="15">
        <f>IFERROR(__xludf.DUMMYFUNCTION("""COMPUTED_VALUE"""),1.06)</f>
        <v>1.06</v>
      </c>
      <c r="E7963" s="16">
        <f>IFERROR(__xludf.DUMMYFUNCTION("""COMPUTED_VALUE"""),68.0)</f>
        <v>68</v>
      </c>
      <c r="F7963" s="19" t="str">
        <f>IFERROR(__xludf.DUMMYFUNCTION("""COMPUTED_VALUE"""),"BLACK")</f>
        <v>BLACK</v>
      </c>
      <c r="G7963" s="20" t="str">
        <f>IFERROR(__xludf.DUMMYFUNCTION("""COMPUTED_VALUE"""),"Uncle Sams Cider (11/12/2021) 02")</f>
        <v>Uncle Sams Cider (11/12/2021) 02</v>
      </c>
      <c r="H7963" s="19"/>
    </row>
    <row r="7964">
      <c r="A7964" s="9"/>
      <c r="B7964" s="15"/>
      <c r="C7964" s="9">
        <f>IFERROR(__xludf.DUMMYFUNCTION("""COMPUTED_VALUE"""),44521.554218912)</f>
        <v>44521.55422</v>
      </c>
      <c r="D7964" s="15">
        <f>IFERROR(__xludf.DUMMYFUNCTION("""COMPUTED_VALUE"""),1.06)</f>
        <v>1.06</v>
      </c>
      <c r="E7964" s="16">
        <f>IFERROR(__xludf.DUMMYFUNCTION("""COMPUTED_VALUE"""),67.0)</f>
        <v>67</v>
      </c>
      <c r="F7964" s="19" t="str">
        <f>IFERROR(__xludf.DUMMYFUNCTION("""COMPUTED_VALUE"""),"BLACK")</f>
        <v>BLACK</v>
      </c>
      <c r="G7964" s="20" t="str">
        <f>IFERROR(__xludf.DUMMYFUNCTION("""COMPUTED_VALUE"""),"Uncle Sams Cider (11/12/2021) 02")</f>
        <v>Uncle Sams Cider (11/12/2021) 02</v>
      </c>
      <c r="H7964" s="19"/>
    </row>
    <row r="7965">
      <c r="A7965" s="9"/>
      <c r="B7965" s="15"/>
      <c r="C7965" s="9">
        <f>IFERROR(__xludf.DUMMYFUNCTION("""COMPUTED_VALUE"""),44521.5437968171)</f>
        <v>44521.5438</v>
      </c>
      <c r="D7965" s="15">
        <f>IFERROR(__xludf.DUMMYFUNCTION("""COMPUTED_VALUE"""),1.061)</f>
        <v>1.061</v>
      </c>
      <c r="E7965" s="16">
        <f>IFERROR(__xludf.DUMMYFUNCTION("""COMPUTED_VALUE"""),67.0)</f>
        <v>67</v>
      </c>
      <c r="F7965" s="19" t="str">
        <f>IFERROR(__xludf.DUMMYFUNCTION("""COMPUTED_VALUE"""),"BLACK")</f>
        <v>BLACK</v>
      </c>
      <c r="G7965" s="20" t="str">
        <f>IFERROR(__xludf.DUMMYFUNCTION("""COMPUTED_VALUE"""),"Uncle Sams Cider (11/12/2021) 02")</f>
        <v>Uncle Sams Cider (11/12/2021) 02</v>
      </c>
      <c r="H7965" s="19"/>
    </row>
    <row r="7966">
      <c r="A7966" s="9"/>
      <c r="B7966" s="15"/>
      <c r="C7966" s="9">
        <f>IFERROR(__xludf.DUMMYFUNCTION("""COMPUTED_VALUE"""),44521.5333757291)</f>
        <v>44521.53338</v>
      </c>
      <c r="D7966" s="15">
        <f>IFERROR(__xludf.DUMMYFUNCTION("""COMPUTED_VALUE"""),1.06)</f>
        <v>1.06</v>
      </c>
      <c r="E7966" s="16">
        <f>IFERROR(__xludf.DUMMYFUNCTION("""COMPUTED_VALUE"""),67.0)</f>
        <v>67</v>
      </c>
      <c r="F7966" s="19" t="str">
        <f>IFERROR(__xludf.DUMMYFUNCTION("""COMPUTED_VALUE"""),"BLACK")</f>
        <v>BLACK</v>
      </c>
      <c r="G7966" s="20" t="str">
        <f>IFERROR(__xludf.DUMMYFUNCTION("""COMPUTED_VALUE"""),"Uncle Sams Cider (11/12/2021) 02")</f>
        <v>Uncle Sams Cider (11/12/2021) 02</v>
      </c>
      <c r="H7966" s="19"/>
    </row>
    <row r="7967">
      <c r="A7967" s="9"/>
      <c r="B7967" s="15"/>
      <c r="C7967" s="9">
        <f>IFERROR(__xludf.DUMMYFUNCTION("""COMPUTED_VALUE"""),44521.522953912)</f>
        <v>44521.52295</v>
      </c>
      <c r="D7967" s="15">
        <f>IFERROR(__xludf.DUMMYFUNCTION("""COMPUTED_VALUE"""),1.061)</f>
        <v>1.061</v>
      </c>
      <c r="E7967" s="16">
        <f>IFERROR(__xludf.DUMMYFUNCTION("""COMPUTED_VALUE"""),67.0)</f>
        <v>67</v>
      </c>
      <c r="F7967" s="19" t="str">
        <f>IFERROR(__xludf.DUMMYFUNCTION("""COMPUTED_VALUE"""),"BLACK")</f>
        <v>BLACK</v>
      </c>
      <c r="G7967" s="20" t="str">
        <f>IFERROR(__xludf.DUMMYFUNCTION("""COMPUTED_VALUE"""),"Uncle Sams Cider (11/12/2021) 02")</f>
        <v>Uncle Sams Cider (11/12/2021) 02</v>
      </c>
      <c r="H7967" s="19"/>
    </row>
    <row r="7968">
      <c r="A7968" s="9"/>
      <c r="B7968" s="15"/>
      <c r="C7968" s="9">
        <f>IFERROR(__xludf.DUMMYFUNCTION("""COMPUTED_VALUE"""),44521.5125321527)</f>
        <v>44521.51253</v>
      </c>
      <c r="D7968" s="15">
        <f>IFERROR(__xludf.DUMMYFUNCTION("""COMPUTED_VALUE"""),1.061)</f>
        <v>1.061</v>
      </c>
      <c r="E7968" s="16">
        <f>IFERROR(__xludf.DUMMYFUNCTION("""COMPUTED_VALUE"""),67.0)</f>
        <v>67</v>
      </c>
      <c r="F7968" s="19" t="str">
        <f>IFERROR(__xludf.DUMMYFUNCTION("""COMPUTED_VALUE"""),"BLACK")</f>
        <v>BLACK</v>
      </c>
      <c r="G7968" s="20" t="str">
        <f>IFERROR(__xludf.DUMMYFUNCTION("""COMPUTED_VALUE"""),"Uncle Sams Cider (11/12/2021) 02")</f>
        <v>Uncle Sams Cider (11/12/2021) 02</v>
      </c>
      <c r="H7968" s="19"/>
    </row>
    <row r="7969">
      <c r="A7969" s="9"/>
      <c r="B7969" s="15"/>
      <c r="C7969" s="9">
        <f>IFERROR(__xludf.DUMMYFUNCTION("""COMPUTED_VALUE"""),44521.5021006481)</f>
        <v>44521.5021</v>
      </c>
      <c r="D7969" s="15">
        <f>IFERROR(__xludf.DUMMYFUNCTION("""COMPUTED_VALUE"""),1.061)</f>
        <v>1.061</v>
      </c>
      <c r="E7969" s="16">
        <f>IFERROR(__xludf.DUMMYFUNCTION("""COMPUTED_VALUE"""),67.0)</f>
        <v>67</v>
      </c>
      <c r="F7969" s="19" t="str">
        <f>IFERROR(__xludf.DUMMYFUNCTION("""COMPUTED_VALUE"""),"BLACK")</f>
        <v>BLACK</v>
      </c>
      <c r="G7969" s="20" t="str">
        <f>IFERROR(__xludf.DUMMYFUNCTION("""COMPUTED_VALUE"""),"Uncle Sams Cider (11/12/2021) 02")</f>
        <v>Uncle Sams Cider (11/12/2021) 02</v>
      </c>
      <c r="H7969" s="19"/>
    </row>
    <row r="7970">
      <c r="A7970" s="9"/>
      <c r="B7970" s="15"/>
      <c r="C7970" s="9">
        <f>IFERROR(__xludf.DUMMYFUNCTION("""COMPUTED_VALUE"""),44521.4916793749)</f>
        <v>44521.49168</v>
      </c>
      <c r="D7970" s="15">
        <f>IFERROR(__xludf.DUMMYFUNCTION("""COMPUTED_VALUE"""),1.061)</f>
        <v>1.061</v>
      </c>
      <c r="E7970" s="16">
        <f>IFERROR(__xludf.DUMMYFUNCTION("""COMPUTED_VALUE"""),67.0)</f>
        <v>67</v>
      </c>
      <c r="F7970" s="19" t="str">
        <f>IFERROR(__xludf.DUMMYFUNCTION("""COMPUTED_VALUE"""),"BLACK")</f>
        <v>BLACK</v>
      </c>
      <c r="G7970" s="20" t="str">
        <f>IFERROR(__xludf.DUMMYFUNCTION("""COMPUTED_VALUE"""),"Uncle Sams Cider (11/12/2021) 02")</f>
        <v>Uncle Sams Cider (11/12/2021) 02</v>
      </c>
      <c r="H7970" s="19"/>
    </row>
    <row r="7971">
      <c r="A7971" s="9"/>
      <c r="B7971" s="15"/>
      <c r="C7971" s="9">
        <f>IFERROR(__xludf.DUMMYFUNCTION("""COMPUTED_VALUE"""),44521.4812596527)</f>
        <v>44521.48126</v>
      </c>
      <c r="D7971" s="15">
        <f>IFERROR(__xludf.DUMMYFUNCTION("""COMPUTED_VALUE"""),1.061)</f>
        <v>1.061</v>
      </c>
      <c r="E7971" s="16">
        <f>IFERROR(__xludf.DUMMYFUNCTION("""COMPUTED_VALUE"""),67.0)</f>
        <v>67</v>
      </c>
      <c r="F7971" s="19" t="str">
        <f>IFERROR(__xludf.DUMMYFUNCTION("""COMPUTED_VALUE"""),"BLACK")</f>
        <v>BLACK</v>
      </c>
      <c r="G7971" s="20" t="str">
        <f>IFERROR(__xludf.DUMMYFUNCTION("""COMPUTED_VALUE"""),"Uncle Sams Cider (11/12/2021) 02")</f>
        <v>Uncle Sams Cider (11/12/2021) 02</v>
      </c>
      <c r="H7971" s="19"/>
    </row>
    <row r="7972">
      <c r="A7972" s="9"/>
      <c r="B7972" s="15"/>
      <c r="C7972" s="9">
        <f>IFERROR(__xludf.DUMMYFUNCTION("""COMPUTED_VALUE"""),44521.4708371759)</f>
        <v>44521.47084</v>
      </c>
      <c r="D7972" s="15">
        <f>IFERROR(__xludf.DUMMYFUNCTION("""COMPUTED_VALUE"""),1.061)</f>
        <v>1.061</v>
      </c>
      <c r="E7972" s="16">
        <f>IFERROR(__xludf.DUMMYFUNCTION("""COMPUTED_VALUE"""),67.0)</f>
        <v>67</v>
      </c>
      <c r="F7972" s="19" t="str">
        <f>IFERROR(__xludf.DUMMYFUNCTION("""COMPUTED_VALUE"""),"BLACK")</f>
        <v>BLACK</v>
      </c>
      <c r="G7972" s="20" t="str">
        <f>IFERROR(__xludf.DUMMYFUNCTION("""COMPUTED_VALUE"""),"Uncle Sams Cider (11/12/2021) 02")</f>
        <v>Uncle Sams Cider (11/12/2021) 02</v>
      </c>
      <c r="H7972" s="19"/>
    </row>
    <row r="7973">
      <c r="A7973" s="9"/>
      <c r="B7973" s="15"/>
      <c r="C7973" s="9">
        <f>IFERROR(__xludf.DUMMYFUNCTION("""COMPUTED_VALUE"""),44521.4604154745)</f>
        <v>44521.46042</v>
      </c>
      <c r="D7973" s="15">
        <f>IFERROR(__xludf.DUMMYFUNCTION("""COMPUTED_VALUE"""),1.061)</f>
        <v>1.061</v>
      </c>
      <c r="E7973" s="16">
        <f>IFERROR(__xludf.DUMMYFUNCTION("""COMPUTED_VALUE"""),67.0)</f>
        <v>67</v>
      </c>
      <c r="F7973" s="19" t="str">
        <f>IFERROR(__xludf.DUMMYFUNCTION("""COMPUTED_VALUE"""),"BLACK")</f>
        <v>BLACK</v>
      </c>
      <c r="G7973" s="20" t="str">
        <f>IFERROR(__xludf.DUMMYFUNCTION("""COMPUTED_VALUE"""),"Uncle Sams Cider (11/12/2021) 02")</f>
        <v>Uncle Sams Cider (11/12/2021) 02</v>
      </c>
      <c r="H7973" s="19"/>
    </row>
    <row r="7974">
      <c r="A7974" s="9"/>
      <c r="B7974" s="15"/>
      <c r="C7974" s="9">
        <f>IFERROR(__xludf.DUMMYFUNCTION("""COMPUTED_VALUE"""),44521.4499944444)</f>
        <v>44521.44999</v>
      </c>
      <c r="D7974" s="15">
        <f>IFERROR(__xludf.DUMMYFUNCTION("""COMPUTED_VALUE"""),1.061)</f>
        <v>1.061</v>
      </c>
      <c r="E7974" s="16">
        <f>IFERROR(__xludf.DUMMYFUNCTION("""COMPUTED_VALUE"""),67.0)</f>
        <v>67</v>
      </c>
      <c r="F7974" s="19" t="str">
        <f>IFERROR(__xludf.DUMMYFUNCTION("""COMPUTED_VALUE"""),"BLACK")</f>
        <v>BLACK</v>
      </c>
      <c r="G7974" s="20" t="str">
        <f>IFERROR(__xludf.DUMMYFUNCTION("""COMPUTED_VALUE"""),"Uncle Sams Cider (11/12/2021) 02")</f>
        <v>Uncle Sams Cider (11/12/2021) 02</v>
      </c>
      <c r="H7974" s="19"/>
    </row>
    <row r="7975">
      <c r="A7975" s="9"/>
      <c r="B7975" s="15"/>
      <c r="C7975" s="9">
        <f>IFERROR(__xludf.DUMMYFUNCTION("""COMPUTED_VALUE"""),44521.439572581)</f>
        <v>44521.43957</v>
      </c>
      <c r="D7975" s="15">
        <f>IFERROR(__xludf.DUMMYFUNCTION("""COMPUTED_VALUE"""),1.061)</f>
        <v>1.061</v>
      </c>
      <c r="E7975" s="16">
        <f>IFERROR(__xludf.DUMMYFUNCTION("""COMPUTED_VALUE"""),67.0)</f>
        <v>67</v>
      </c>
      <c r="F7975" s="19" t="str">
        <f>IFERROR(__xludf.DUMMYFUNCTION("""COMPUTED_VALUE"""),"BLACK")</f>
        <v>BLACK</v>
      </c>
      <c r="G7975" s="20" t="str">
        <f>IFERROR(__xludf.DUMMYFUNCTION("""COMPUTED_VALUE"""),"Uncle Sams Cider (11/12/2021) 02")</f>
        <v>Uncle Sams Cider (11/12/2021) 02</v>
      </c>
      <c r="H7975" s="19"/>
    </row>
    <row r="7976">
      <c r="A7976" s="9"/>
      <c r="B7976" s="15"/>
      <c r="C7976" s="9">
        <f>IFERROR(__xludf.DUMMYFUNCTION("""COMPUTED_VALUE"""),44521.4291509953)</f>
        <v>44521.42915</v>
      </c>
      <c r="D7976" s="15">
        <f>IFERROR(__xludf.DUMMYFUNCTION("""COMPUTED_VALUE"""),1.061)</f>
        <v>1.061</v>
      </c>
      <c r="E7976" s="16">
        <f>IFERROR(__xludf.DUMMYFUNCTION("""COMPUTED_VALUE"""),67.0)</f>
        <v>67</v>
      </c>
      <c r="F7976" s="19" t="str">
        <f>IFERROR(__xludf.DUMMYFUNCTION("""COMPUTED_VALUE"""),"BLACK")</f>
        <v>BLACK</v>
      </c>
      <c r="G7976" s="20" t="str">
        <f>IFERROR(__xludf.DUMMYFUNCTION("""COMPUTED_VALUE"""),"Uncle Sams Cider (11/12/2021) 02")</f>
        <v>Uncle Sams Cider (11/12/2021) 02</v>
      </c>
      <c r="H7976" s="19"/>
    </row>
    <row r="7977">
      <c r="A7977" s="9"/>
      <c r="B7977" s="15"/>
      <c r="C7977" s="9">
        <f>IFERROR(__xludf.DUMMYFUNCTION("""COMPUTED_VALUE"""),44521.4187289699)</f>
        <v>44521.41873</v>
      </c>
      <c r="D7977" s="15">
        <f>IFERROR(__xludf.DUMMYFUNCTION("""COMPUTED_VALUE"""),1.061)</f>
        <v>1.061</v>
      </c>
      <c r="E7977" s="16">
        <f>IFERROR(__xludf.DUMMYFUNCTION("""COMPUTED_VALUE"""),67.0)</f>
        <v>67</v>
      </c>
      <c r="F7977" s="19" t="str">
        <f>IFERROR(__xludf.DUMMYFUNCTION("""COMPUTED_VALUE"""),"BLACK")</f>
        <v>BLACK</v>
      </c>
      <c r="G7977" s="20" t="str">
        <f>IFERROR(__xludf.DUMMYFUNCTION("""COMPUTED_VALUE"""),"Uncle Sams Cider (11/12/2021) 02")</f>
        <v>Uncle Sams Cider (11/12/2021) 02</v>
      </c>
      <c r="H7977" s="19"/>
    </row>
    <row r="7978">
      <c r="A7978" s="9"/>
      <c r="B7978" s="15"/>
      <c r="C7978" s="9">
        <f>IFERROR(__xludf.DUMMYFUNCTION("""COMPUTED_VALUE"""),44521.4082965624)</f>
        <v>44521.4083</v>
      </c>
      <c r="D7978" s="15">
        <f>IFERROR(__xludf.DUMMYFUNCTION("""COMPUTED_VALUE"""),1.061)</f>
        <v>1.061</v>
      </c>
      <c r="E7978" s="16">
        <f>IFERROR(__xludf.DUMMYFUNCTION("""COMPUTED_VALUE"""),67.0)</f>
        <v>67</v>
      </c>
      <c r="F7978" s="19" t="str">
        <f>IFERROR(__xludf.DUMMYFUNCTION("""COMPUTED_VALUE"""),"BLACK")</f>
        <v>BLACK</v>
      </c>
      <c r="G7978" s="20" t="str">
        <f>IFERROR(__xludf.DUMMYFUNCTION("""COMPUTED_VALUE"""),"Uncle Sams Cider (11/12/2021) 02")</f>
        <v>Uncle Sams Cider (11/12/2021) 02</v>
      </c>
      <c r="H7978" s="19"/>
    </row>
    <row r="7979">
      <c r="A7979" s="9"/>
      <c r="B7979" s="15"/>
      <c r="C7979" s="9">
        <f>IFERROR(__xludf.DUMMYFUNCTION("""COMPUTED_VALUE"""),44521.397876493)</f>
        <v>44521.39788</v>
      </c>
      <c r="D7979" s="15">
        <f>IFERROR(__xludf.DUMMYFUNCTION("""COMPUTED_VALUE"""),1.061)</f>
        <v>1.061</v>
      </c>
      <c r="E7979" s="16">
        <f>IFERROR(__xludf.DUMMYFUNCTION("""COMPUTED_VALUE"""),67.0)</f>
        <v>67</v>
      </c>
      <c r="F7979" s="19" t="str">
        <f>IFERROR(__xludf.DUMMYFUNCTION("""COMPUTED_VALUE"""),"BLACK")</f>
        <v>BLACK</v>
      </c>
      <c r="G7979" s="20" t="str">
        <f>IFERROR(__xludf.DUMMYFUNCTION("""COMPUTED_VALUE"""),"Uncle Sams Cider (11/12/2021) 02")</f>
        <v>Uncle Sams Cider (11/12/2021) 02</v>
      </c>
      <c r="H7979" s="19"/>
    </row>
    <row r="7980">
      <c r="A7980" s="9"/>
      <c r="B7980" s="15"/>
      <c r="C7980" s="9">
        <f>IFERROR(__xludf.DUMMYFUNCTION("""COMPUTED_VALUE"""),44521.3874562847)</f>
        <v>44521.38746</v>
      </c>
      <c r="D7980" s="15">
        <f>IFERROR(__xludf.DUMMYFUNCTION("""COMPUTED_VALUE"""),1.061)</f>
        <v>1.061</v>
      </c>
      <c r="E7980" s="16">
        <f>IFERROR(__xludf.DUMMYFUNCTION("""COMPUTED_VALUE"""),67.0)</f>
        <v>67</v>
      </c>
      <c r="F7980" s="19" t="str">
        <f>IFERROR(__xludf.DUMMYFUNCTION("""COMPUTED_VALUE"""),"BLACK")</f>
        <v>BLACK</v>
      </c>
      <c r="G7980" s="20" t="str">
        <f>IFERROR(__xludf.DUMMYFUNCTION("""COMPUTED_VALUE"""),"Uncle Sams Cider (11/12/2021) 02")</f>
        <v>Uncle Sams Cider (11/12/2021) 02</v>
      </c>
      <c r="H7980" s="19"/>
    </row>
    <row r="7981">
      <c r="A7981" s="9"/>
      <c r="B7981" s="15"/>
      <c r="C7981" s="9">
        <f>IFERROR(__xludf.DUMMYFUNCTION("""COMPUTED_VALUE"""),44521.3770350231)</f>
        <v>44521.37704</v>
      </c>
      <c r="D7981" s="15">
        <f>IFERROR(__xludf.DUMMYFUNCTION("""COMPUTED_VALUE"""),1.061)</f>
        <v>1.061</v>
      </c>
      <c r="E7981" s="16">
        <f>IFERROR(__xludf.DUMMYFUNCTION("""COMPUTED_VALUE"""),67.0)</f>
        <v>67</v>
      </c>
      <c r="F7981" s="19" t="str">
        <f>IFERROR(__xludf.DUMMYFUNCTION("""COMPUTED_VALUE"""),"BLACK")</f>
        <v>BLACK</v>
      </c>
      <c r="G7981" s="20" t="str">
        <f>IFERROR(__xludf.DUMMYFUNCTION("""COMPUTED_VALUE"""),"Uncle Sams Cider (11/12/2021) 02")</f>
        <v>Uncle Sams Cider (11/12/2021) 02</v>
      </c>
      <c r="H7981" s="19"/>
    </row>
    <row r="7982">
      <c r="A7982" s="9"/>
      <c r="B7982" s="15"/>
      <c r="C7982" s="9">
        <f>IFERROR(__xludf.DUMMYFUNCTION("""COMPUTED_VALUE"""),44521.3666145601)</f>
        <v>44521.36661</v>
      </c>
      <c r="D7982" s="15">
        <f>IFERROR(__xludf.DUMMYFUNCTION("""COMPUTED_VALUE"""),1.061)</f>
        <v>1.061</v>
      </c>
      <c r="E7982" s="16">
        <f>IFERROR(__xludf.DUMMYFUNCTION("""COMPUTED_VALUE"""),67.0)</f>
        <v>67</v>
      </c>
      <c r="F7982" s="19" t="str">
        <f>IFERROR(__xludf.DUMMYFUNCTION("""COMPUTED_VALUE"""),"BLACK")</f>
        <v>BLACK</v>
      </c>
      <c r="G7982" s="20" t="str">
        <f>IFERROR(__xludf.DUMMYFUNCTION("""COMPUTED_VALUE"""),"Uncle Sams Cider (11/12/2021) 02")</f>
        <v>Uncle Sams Cider (11/12/2021) 02</v>
      </c>
      <c r="H7982" s="19"/>
    </row>
    <row r="7983">
      <c r="A7983" s="9"/>
      <c r="B7983" s="15"/>
      <c r="C7983" s="9">
        <f>IFERROR(__xludf.DUMMYFUNCTION("""COMPUTED_VALUE"""),44521.3561943402)</f>
        <v>44521.35619</v>
      </c>
      <c r="D7983" s="15">
        <f>IFERROR(__xludf.DUMMYFUNCTION("""COMPUTED_VALUE"""),1.061)</f>
        <v>1.061</v>
      </c>
      <c r="E7983" s="16">
        <f>IFERROR(__xludf.DUMMYFUNCTION("""COMPUTED_VALUE"""),67.0)</f>
        <v>67</v>
      </c>
      <c r="F7983" s="19" t="str">
        <f>IFERROR(__xludf.DUMMYFUNCTION("""COMPUTED_VALUE"""),"BLACK")</f>
        <v>BLACK</v>
      </c>
      <c r="G7983" s="20" t="str">
        <f>IFERROR(__xludf.DUMMYFUNCTION("""COMPUTED_VALUE"""),"Uncle Sams Cider (11/12/2021) 02")</f>
        <v>Uncle Sams Cider (11/12/2021) 02</v>
      </c>
      <c r="H7983" s="19"/>
    </row>
    <row r="7984">
      <c r="A7984" s="9"/>
      <c r="B7984" s="15"/>
      <c r="C7984" s="9">
        <f>IFERROR(__xludf.DUMMYFUNCTION("""COMPUTED_VALUE"""),44521.3457735995)</f>
        <v>44521.34577</v>
      </c>
      <c r="D7984" s="15">
        <f>IFERROR(__xludf.DUMMYFUNCTION("""COMPUTED_VALUE"""),1.061)</f>
        <v>1.061</v>
      </c>
      <c r="E7984" s="16">
        <f>IFERROR(__xludf.DUMMYFUNCTION("""COMPUTED_VALUE"""),67.0)</f>
        <v>67</v>
      </c>
      <c r="F7984" s="19" t="str">
        <f>IFERROR(__xludf.DUMMYFUNCTION("""COMPUTED_VALUE"""),"BLACK")</f>
        <v>BLACK</v>
      </c>
      <c r="G7984" s="20" t="str">
        <f>IFERROR(__xludf.DUMMYFUNCTION("""COMPUTED_VALUE"""),"Uncle Sams Cider (11/12/2021) 02")</f>
        <v>Uncle Sams Cider (11/12/2021) 02</v>
      </c>
      <c r="H7984" s="19"/>
    </row>
    <row r="7985">
      <c r="A7985" s="9"/>
      <c r="B7985" s="15"/>
      <c r="C7985" s="9">
        <f>IFERROR(__xludf.DUMMYFUNCTION("""COMPUTED_VALUE"""),44521.3353398379)</f>
        <v>44521.33534</v>
      </c>
      <c r="D7985" s="15">
        <f>IFERROR(__xludf.DUMMYFUNCTION("""COMPUTED_VALUE"""),1.061)</f>
        <v>1.061</v>
      </c>
      <c r="E7985" s="16">
        <f>IFERROR(__xludf.DUMMYFUNCTION("""COMPUTED_VALUE"""),67.0)</f>
        <v>67</v>
      </c>
      <c r="F7985" s="19" t="str">
        <f>IFERROR(__xludf.DUMMYFUNCTION("""COMPUTED_VALUE"""),"BLACK")</f>
        <v>BLACK</v>
      </c>
      <c r="G7985" s="20" t="str">
        <f>IFERROR(__xludf.DUMMYFUNCTION("""COMPUTED_VALUE"""),"Uncle Sams Cider (11/12/2021) 02")</f>
        <v>Uncle Sams Cider (11/12/2021) 02</v>
      </c>
      <c r="H7985" s="19"/>
    </row>
    <row r="7986">
      <c r="A7986" s="9"/>
      <c r="B7986" s="15"/>
      <c r="C7986" s="9">
        <f>IFERROR(__xludf.DUMMYFUNCTION("""COMPUTED_VALUE"""),44521.324907662)</f>
        <v>44521.32491</v>
      </c>
      <c r="D7986" s="15">
        <f>IFERROR(__xludf.DUMMYFUNCTION("""COMPUTED_VALUE"""),1.062)</f>
        <v>1.062</v>
      </c>
      <c r="E7986" s="16">
        <f>IFERROR(__xludf.DUMMYFUNCTION("""COMPUTED_VALUE"""),67.0)</f>
        <v>67</v>
      </c>
      <c r="F7986" s="19" t="str">
        <f>IFERROR(__xludf.DUMMYFUNCTION("""COMPUTED_VALUE"""),"BLACK")</f>
        <v>BLACK</v>
      </c>
      <c r="G7986" s="20" t="str">
        <f>IFERROR(__xludf.DUMMYFUNCTION("""COMPUTED_VALUE"""),"Uncle Sams Cider (11/12/2021) 02")</f>
        <v>Uncle Sams Cider (11/12/2021) 02</v>
      </c>
      <c r="H7986" s="19"/>
    </row>
    <row r="7987">
      <c r="A7987" s="9"/>
      <c r="B7987" s="15"/>
      <c r="C7987" s="9">
        <f>IFERROR(__xludf.DUMMYFUNCTION("""COMPUTED_VALUE"""),44521.314475162)</f>
        <v>44521.31448</v>
      </c>
      <c r="D7987" s="15">
        <f>IFERROR(__xludf.DUMMYFUNCTION("""COMPUTED_VALUE"""),1.061)</f>
        <v>1.061</v>
      </c>
      <c r="E7987" s="16">
        <f>IFERROR(__xludf.DUMMYFUNCTION("""COMPUTED_VALUE"""),67.0)</f>
        <v>67</v>
      </c>
      <c r="F7987" s="19" t="str">
        <f>IFERROR(__xludf.DUMMYFUNCTION("""COMPUTED_VALUE"""),"BLACK")</f>
        <v>BLACK</v>
      </c>
      <c r="G7987" s="20" t="str">
        <f>IFERROR(__xludf.DUMMYFUNCTION("""COMPUTED_VALUE"""),"Uncle Sams Cider (11/12/2021) 02")</f>
        <v>Uncle Sams Cider (11/12/2021) 02</v>
      </c>
      <c r="H7987" s="19"/>
    </row>
    <row r="7988">
      <c r="A7988" s="9"/>
      <c r="B7988" s="15"/>
      <c r="C7988" s="9">
        <f>IFERROR(__xludf.DUMMYFUNCTION("""COMPUTED_VALUE"""),44521.3040523263)</f>
        <v>44521.30405</v>
      </c>
      <c r="D7988" s="15">
        <f>IFERROR(__xludf.DUMMYFUNCTION("""COMPUTED_VALUE"""),1.061)</f>
        <v>1.061</v>
      </c>
      <c r="E7988" s="16">
        <f>IFERROR(__xludf.DUMMYFUNCTION("""COMPUTED_VALUE"""),67.0)</f>
        <v>67</v>
      </c>
      <c r="F7988" s="19" t="str">
        <f>IFERROR(__xludf.DUMMYFUNCTION("""COMPUTED_VALUE"""),"BLACK")</f>
        <v>BLACK</v>
      </c>
      <c r="G7988" s="20" t="str">
        <f>IFERROR(__xludf.DUMMYFUNCTION("""COMPUTED_VALUE"""),"Uncle Sams Cider (11/12/2021) 02")</f>
        <v>Uncle Sams Cider (11/12/2021) 02</v>
      </c>
      <c r="H7988" s="19"/>
    </row>
    <row r="7989">
      <c r="A7989" s="9"/>
      <c r="B7989" s="15"/>
      <c r="C7989" s="9">
        <f>IFERROR(__xludf.DUMMYFUNCTION("""COMPUTED_VALUE"""),44521.2936314236)</f>
        <v>44521.29363</v>
      </c>
      <c r="D7989" s="15">
        <f>IFERROR(__xludf.DUMMYFUNCTION("""COMPUTED_VALUE"""),1.062)</f>
        <v>1.062</v>
      </c>
      <c r="E7989" s="16">
        <f>IFERROR(__xludf.DUMMYFUNCTION("""COMPUTED_VALUE"""),67.0)</f>
        <v>67</v>
      </c>
      <c r="F7989" s="19" t="str">
        <f>IFERROR(__xludf.DUMMYFUNCTION("""COMPUTED_VALUE"""),"BLACK")</f>
        <v>BLACK</v>
      </c>
      <c r="G7989" s="20" t="str">
        <f>IFERROR(__xludf.DUMMYFUNCTION("""COMPUTED_VALUE"""),"Uncle Sams Cider (11/12/2021) 02")</f>
        <v>Uncle Sams Cider (11/12/2021) 02</v>
      </c>
      <c r="H7989" s="19"/>
    </row>
    <row r="7990">
      <c r="A7990" s="9"/>
      <c r="B7990" s="15"/>
      <c r="C7990" s="9">
        <f>IFERROR(__xludf.DUMMYFUNCTION("""COMPUTED_VALUE"""),44521.2832101157)</f>
        <v>44521.28321</v>
      </c>
      <c r="D7990" s="15">
        <f>IFERROR(__xludf.DUMMYFUNCTION("""COMPUTED_VALUE"""),1.062)</f>
        <v>1.062</v>
      </c>
      <c r="E7990" s="16">
        <f>IFERROR(__xludf.DUMMYFUNCTION("""COMPUTED_VALUE"""),67.0)</f>
        <v>67</v>
      </c>
      <c r="F7990" s="19" t="str">
        <f>IFERROR(__xludf.DUMMYFUNCTION("""COMPUTED_VALUE"""),"BLACK")</f>
        <v>BLACK</v>
      </c>
      <c r="G7990" s="20" t="str">
        <f>IFERROR(__xludf.DUMMYFUNCTION("""COMPUTED_VALUE"""),"Uncle Sams Cider (11/12/2021) 02")</f>
        <v>Uncle Sams Cider (11/12/2021) 02</v>
      </c>
      <c r="H7990" s="19"/>
    </row>
    <row r="7991">
      <c r="A7991" s="9"/>
      <c r="B7991" s="15"/>
      <c r="C7991" s="9">
        <f>IFERROR(__xludf.DUMMYFUNCTION("""COMPUTED_VALUE"""),44521.2727898148)</f>
        <v>44521.27279</v>
      </c>
      <c r="D7991" s="15">
        <f>IFERROR(__xludf.DUMMYFUNCTION("""COMPUTED_VALUE"""),1.062)</f>
        <v>1.062</v>
      </c>
      <c r="E7991" s="16">
        <f>IFERROR(__xludf.DUMMYFUNCTION("""COMPUTED_VALUE"""),67.0)</f>
        <v>67</v>
      </c>
      <c r="F7991" s="19" t="str">
        <f>IFERROR(__xludf.DUMMYFUNCTION("""COMPUTED_VALUE"""),"BLACK")</f>
        <v>BLACK</v>
      </c>
      <c r="G7991" s="20" t="str">
        <f>IFERROR(__xludf.DUMMYFUNCTION("""COMPUTED_VALUE"""),"Uncle Sams Cider (11/12/2021) 02")</f>
        <v>Uncle Sams Cider (11/12/2021) 02</v>
      </c>
      <c r="H7991" s="19"/>
    </row>
    <row r="7992">
      <c r="A7992" s="9"/>
      <c r="B7992" s="15"/>
      <c r="C7992" s="9">
        <f>IFERROR(__xludf.DUMMYFUNCTION("""COMPUTED_VALUE"""),44521.2623562037)</f>
        <v>44521.26236</v>
      </c>
      <c r="D7992" s="15">
        <f>IFERROR(__xludf.DUMMYFUNCTION("""COMPUTED_VALUE"""),1.062)</f>
        <v>1.062</v>
      </c>
      <c r="E7992" s="16">
        <f>IFERROR(__xludf.DUMMYFUNCTION("""COMPUTED_VALUE"""),67.0)</f>
        <v>67</v>
      </c>
      <c r="F7992" s="19" t="str">
        <f>IFERROR(__xludf.DUMMYFUNCTION("""COMPUTED_VALUE"""),"BLACK")</f>
        <v>BLACK</v>
      </c>
      <c r="G7992" s="20" t="str">
        <f>IFERROR(__xludf.DUMMYFUNCTION("""COMPUTED_VALUE"""),"Uncle Sams Cider (11/12/2021) 02")</f>
        <v>Uncle Sams Cider (11/12/2021) 02</v>
      </c>
      <c r="H7992" s="19"/>
    </row>
    <row r="7993">
      <c r="A7993" s="9"/>
      <c r="B7993" s="15"/>
      <c r="C7993" s="9">
        <f>IFERROR(__xludf.DUMMYFUNCTION("""COMPUTED_VALUE"""),44521.2519238888)</f>
        <v>44521.25192</v>
      </c>
      <c r="D7993" s="15">
        <f>IFERROR(__xludf.DUMMYFUNCTION("""COMPUTED_VALUE"""),1.062)</f>
        <v>1.062</v>
      </c>
      <c r="E7993" s="16">
        <f>IFERROR(__xludf.DUMMYFUNCTION("""COMPUTED_VALUE"""),67.0)</f>
        <v>67</v>
      </c>
      <c r="F7993" s="19" t="str">
        <f>IFERROR(__xludf.DUMMYFUNCTION("""COMPUTED_VALUE"""),"BLACK")</f>
        <v>BLACK</v>
      </c>
      <c r="G7993" s="20" t="str">
        <f>IFERROR(__xludf.DUMMYFUNCTION("""COMPUTED_VALUE"""),"Uncle Sams Cider (11/12/2021) 02")</f>
        <v>Uncle Sams Cider (11/12/2021) 02</v>
      </c>
      <c r="H7993" s="19"/>
    </row>
    <row r="7994">
      <c r="A7994" s="9"/>
      <c r="B7994" s="15"/>
      <c r="C7994" s="9">
        <f>IFERROR(__xludf.DUMMYFUNCTION("""COMPUTED_VALUE"""),44521.2414923726)</f>
        <v>44521.24149</v>
      </c>
      <c r="D7994" s="15">
        <f>IFERROR(__xludf.DUMMYFUNCTION("""COMPUTED_VALUE"""),1.062)</f>
        <v>1.062</v>
      </c>
      <c r="E7994" s="16">
        <f>IFERROR(__xludf.DUMMYFUNCTION("""COMPUTED_VALUE"""),67.0)</f>
        <v>67</v>
      </c>
      <c r="F7994" s="19" t="str">
        <f>IFERROR(__xludf.DUMMYFUNCTION("""COMPUTED_VALUE"""),"BLACK")</f>
        <v>BLACK</v>
      </c>
      <c r="G7994" s="20" t="str">
        <f>IFERROR(__xludf.DUMMYFUNCTION("""COMPUTED_VALUE"""),"Uncle Sams Cider (11/12/2021) 02")</f>
        <v>Uncle Sams Cider (11/12/2021) 02</v>
      </c>
      <c r="H7994" s="19"/>
    </row>
    <row r="7995">
      <c r="A7995" s="9"/>
      <c r="B7995" s="15"/>
      <c r="C7995" s="9">
        <f>IFERROR(__xludf.DUMMYFUNCTION("""COMPUTED_VALUE"""),44521.2310732754)</f>
        <v>44521.23107</v>
      </c>
      <c r="D7995" s="15">
        <f>IFERROR(__xludf.DUMMYFUNCTION("""COMPUTED_VALUE"""),1.062)</f>
        <v>1.062</v>
      </c>
      <c r="E7995" s="16">
        <f>IFERROR(__xludf.DUMMYFUNCTION("""COMPUTED_VALUE"""),67.0)</f>
        <v>67</v>
      </c>
      <c r="F7995" s="19" t="str">
        <f>IFERROR(__xludf.DUMMYFUNCTION("""COMPUTED_VALUE"""),"BLACK")</f>
        <v>BLACK</v>
      </c>
      <c r="G7995" s="20" t="str">
        <f>IFERROR(__xludf.DUMMYFUNCTION("""COMPUTED_VALUE"""),"Uncle Sams Cider (11/12/2021) 02")</f>
        <v>Uncle Sams Cider (11/12/2021) 02</v>
      </c>
      <c r="H7995" s="19"/>
    </row>
    <row r="7996">
      <c r="A7996" s="9"/>
      <c r="B7996" s="15"/>
      <c r="C7996" s="9">
        <f>IFERROR(__xludf.DUMMYFUNCTION("""COMPUTED_VALUE"""),44521.220652118)</f>
        <v>44521.22065</v>
      </c>
      <c r="D7996" s="15">
        <f>IFERROR(__xludf.DUMMYFUNCTION("""COMPUTED_VALUE"""),1.062)</f>
        <v>1.062</v>
      </c>
      <c r="E7996" s="16">
        <f>IFERROR(__xludf.DUMMYFUNCTION("""COMPUTED_VALUE"""),67.0)</f>
        <v>67</v>
      </c>
      <c r="F7996" s="19" t="str">
        <f>IFERROR(__xludf.DUMMYFUNCTION("""COMPUTED_VALUE"""),"BLACK")</f>
        <v>BLACK</v>
      </c>
      <c r="G7996" s="20" t="str">
        <f>IFERROR(__xludf.DUMMYFUNCTION("""COMPUTED_VALUE"""),"Uncle Sams Cider (11/12/2021) 02")</f>
        <v>Uncle Sams Cider (11/12/2021) 02</v>
      </c>
      <c r="H7996" s="19"/>
    </row>
    <row r="7997">
      <c r="A7997" s="9"/>
      <c r="B7997" s="15"/>
      <c r="C7997" s="9">
        <f>IFERROR(__xludf.DUMMYFUNCTION("""COMPUTED_VALUE"""),44521.2102204861)</f>
        <v>44521.21022</v>
      </c>
      <c r="D7997" s="15">
        <f>IFERROR(__xludf.DUMMYFUNCTION("""COMPUTED_VALUE"""),1.062)</f>
        <v>1.062</v>
      </c>
      <c r="E7997" s="16">
        <f>IFERROR(__xludf.DUMMYFUNCTION("""COMPUTED_VALUE"""),67.0)</f>
        <v>67</v>
      </c>
      <c r="F7997" s="19" t="str">
        <f>IFERROR(__xludf.DUMMYFUNCTION("""COMPUTED_VALUE"""),"BLACK")</f>
        <v>BLACK</v>
      </c>
      <c r="G7997" s="20" t="str">
        <f>IFERROR(__xludf.DUMMYFUNCTION("""COMPUTED_VALUE"""),"Uncle Sams Cider (11/12/2021) 02")</f>
        <v>Uncle Sams Cider (11/12/2021) 02</v>
      </c>
      <c r="H7997" s="19"/>
    </row>
    <row r="7998">
      <c r="A7998" s="9"/>
      <c r="B7998" s="15"/>
      <c r="C7998" s="9">
        <f>IFERROR(__xludf.DUMMYFUNCTION("""COMPUTED_VALUE"""),44521.1997986111)</f>
        <v>44521.1998</v>
      </c>
      <c r="D7998" s="15">
        <f>IFERROR(__xludf.DUMMYFUNCTION("""COMPUTED_VALUE"""),1.062)</f>
        <v>1.062</v>
      </c>
      <c r="E7998" s="16">
        <f>IFERROR(__xludf.DUMMYFUNCTION("""COMPUTED_VALUE"""),67.0)</f>
        <v>67</v>
      </c>
      <c r="F7998" s="19" t="str">
        <f>IFERROR(__xludf.DUMMYFUNCTION("""COMPUTED_VALUE"""),"BLACK")</f>
        <v>BLACK</v>
      </c>
      <c r="G7998" s="20" t="str">
        <f>IFERROR(__xludf.DUMMYFUNCTION("""COMPUTED_VALUE"""),"Uncle Sams Cider (11/12/2021) 02")</f>
        <v>Uncle Sams Cider (11/12/2021) 02</v>
      </c>
      <c r="H7998" s="19"/>
    </row>
    <row r="7999">
      <c r="A7999" s="9"/>
      <c r="B7999" s="15"/>
      <c r="C7999" s="9">
        <f>IFERROR(__xludf.DUMMYFUNCTION("""COMPUTED_VALUE"""),44521.1893419212)</f>
        <v>44521.18934</v>
      </c>
      <c r="D7999" s="15">
        <f>IFERROR(__xludf.DUMMYFUNCTION("""COMPUTED_VALUE"""),1.062)</f>
        <v>1.062</v>
      </c>
      <c r="E7999" s="16">
        <f>IFERROR(__xludf.DUMMYFUNCTION("""COMPUTED_VALUE"""),67.0)</f>
        <v>67</v>
      </c>
      <c r="F7999" s="19" t="str">
        <f>IFERROR(__xludf.DUMMYFUNCTION("""COMPUTED_VALUE"""),"BLACK")</f>
        <v>BLACK</v>
      </c>
      <c r="G7999" s="20" t="str">
        <f>IFERROR(__xludf.DUMMYFUNCTION("""COMPUTED_VALUE"""),"Uncle Sams Cider (11/12/2021) 02")</f>
        <v>Uncle Sams Cider (11/12/2021) 02</v>
      </c>
      <c r="H7999" s="19"/>
    </row>
    <row r="8000">
      <c r="A8000" s="9"/>
      <c r="B8000" s="15"/>
      <c r="C8000" s="9">
        <f>IFERROR(__xludf.DUMMYFUNCTION("""COMPUTED_VALUE"""),44521.1789195138)</f>
        <v>44521.17892</v>
      </c>
      <c r="D8000" s="15">
        <f>IFERROR(__xludf.DUMMYFUNCTION("""COMPUTED_VALUE"""),1.062)</f>
        <v>1.062</v>
      </c>
      <c r="E8000" s="16">
        <f>IFERROR(__xludf.DUMMYFUNCTION("""COMPUTED_VALUE"""),67.0)</f>
        <v>67</v>
      </c>
      <c r="F8000" s="19" t="str">
        <f>IFERROR(__xludf.DUMMYFUNCTION("""COMPUTED_VALUE"""),"BLACK")</f>
        <v>BLACK</v>
      </c>
      <c r="G8000" s="20" t="str">
        <f>IFERROR(__xludf.DUMMYFUNCTION("""COMPUTED_VALUE"""),"Uncle Sams Cider (11/12/2021) 02")</f>
        <v>Uncle Sams Cider (11/12/2021) 02</v>
      </c>
      <c r="H8000" s="19"/>
    </row>
    <row r="8001">
      <c r="A8001" s="9"/>
      <c r="B8001" s="15"/>
      <c r="C8001" s="9">
        <f>IFERROR(__xludf.DUMMYFUNCTION("""COMPUTED_VALUE"""),44521.1684990046)</f>
        <v>44521.1685</v>
      </c>
      <c r="D8001" s="15">
        <f>IFERROR(__xludf.DUMMYFUNCTION("""COMPUTED_VALUE"""),1.062)</f>
        <v>1.062</v>
      </c>
      <c r="E8001" s="16">
        <f>IFERROR(__xludf.DUMMYFUNCTION("""COMPUTED_VALUE"""),67.0)</f>
        <v>67</v>
      </c>
      <c r="F8001" s="19" t="str">
        <f>IFERROR(__xludf.DUMMYFUNCTION("""COMPUTED_VALUE"""),"BLACK")</f>
        <v>BLACK</v>
      </c>
      <c r="G8001" s="20" t="str">
        <f>IFERROR(__xludf.DUMMYFUNCTION("""COMPUTED_VALUE"""),"Uncle Sams Cider (11/12/2021) 02")</f>
        <v>Uncle Sams Cider (11/12/2021) 02</v>
      </c>
      <c r="H8001" s="19"/>
    </row>
    <row r="8002">
      <c r="A8002" s="9"/>
      <c r="B8002" s="15"/>
      <c r="C8002" s="9">
        <f>IFERROR(__xludf.DUMMYFUNCTION("""COMPUTED_VALUE"""),44521.1580651157)</f>
        <v>44521.15807</v>
      </c>
      <c r="D8002" s="15">
        <f>IFERROR(__xludf.DUMMYFUNCTION("""COMPUTED_VALUE"""),1.062)</f>
        <v>1.062</v>
      </c>
      <c r="E8002" s="16">
        <f>IFERROR(__xludf.DUMMYFUNCTION("""COMPUTED_VALUE"""),67.0)</f>
        <v>67</v>
      </c>
      <c r="F8002" s="19" t="str">
        <f>IFERROR(__xludf.DUMMYFUNCTION("""COMPUTED_VALUE"""),"BLACK")</f>
        <v>BLACK</v>
      </c>
      <c r="G8002" s="20" t="str">
        <f>IFERROR(__xludf.DUMMYFUNCTION("""COMPUTED_VALUE"""),"Uncle Sams Cider (11/12/2021) 02")</f>
        <v>Uncle Sams Cider (11/12/2021) 02</v>
      </c>
      <c r="H8002" s="19"/>
    </row>
    <row r="8003">
      <c r="A8003" s="9"/>
      <c r="B8003" s="15"/>
      <c r="C8003" s="9">
        <f>IFERROR(__xludf.DUMMYFUNCTION("""COMPUTED_VALUE"""),44521.1476443171)</f>
        <v>44521.14764</v>
      </c>
      <c r="D8003" s="15">
        <f>IFERROR(__xludf.DUMMYFUNCTION("""COMPUTED_VALUE"""),1.062)</f>
        <v>1.062</v>
      </c>
      <c r="E8003" s="16">
        <f>IFERROR(__xludf.DUMMYFUNCTION("""COMPUTED_VALUE"""),67.0)</f>
        <v>67</v>
      </c>
      <c r="F8003" s="19" t="str">
        <f>IFERROR(__xludf.DUMMYFUNCTION("""COMPUTED_VALUE"""),"BLACK")</f>
        <v>BLACK</v>
      </c>
      <c r="G8003" s="20" t="str">
        <f>IFERROR(__xludf.DUMMYFUNCTION("""COMPUTED_VALUE"""),"Uncle Sams Cider (11/12/2021) 02")</f>
        <v>Uncle Sams Cider (11/12/2021) 02</v>
      </c>
      <c r="H8003" s="19"/>
    </row>
    <row r="8004">
      <c r="A8004" s="9"/>
      <c r="B8004" s="15"/>
      <c r="C8004" s="9">
        <f>IFERROR(__xludf.DUMMYFUNCTION("""COMPUTED_VALUE"""),44521.1372222453)</f>
        <v>44521.13722</v>
      </c>
      <c r="D8004" s="15">
        <f>IFERROR(__xludf.DUMMYFUNCTION("""COMPUTED_VALUE"""),1.062)</f>
        <v>1.062</v>
      </c>
      <c r="E8004" s="16">
        <f>IFERROR(__xludf.DUMMYFUNCTION("""COMPUTED_VALUE"""),67.0)</f>
        <v>67</v>
      </c>
      <c r="F8004" s="19" t="str">
        <f>IFERROR(__xludf.DUMMYFUNCTION("""COMPUTED_VALUE"""),"BLACK")</f>
        <v>BLACK</v>
      </c>
      <c r="G8004" s="20" t="str">
        <f>IFERROR(__xludf.DUMMYFUNCTION("""COMPUTED_VALUE"""),"Uncle Sams Cider (11/12/2021) 02")</f>
        <v>Uncle Sams Cider (11/12/2021) 02</v>
      </c>
      <c r="H8004" s="19"/>
    </row>
    <row r="8005">
      <c r="A8005" s="9"/>
      <c r="B8005" s="15"/>
      <c r="C8005" s="9">
        <f>IFERROR(__xludf.DUMMYFUNCTION("""COMPUTED_VALUE"""),44521.1268017013)</f>
        <v>44521.1268</v>
      </c>
      <c r="D8005" s="15">
        <f>IFERROR(__xludf.DUMMYFUNCTION("""COMPUTED_VALUE"""),1.062)</f>
        <v>1.062</v>
      </c>
      <c r="E8005" s="16">
        <f>IFERROR(__xludf.DUMMYFUNCTION("""COMPUTED_VALUE"""),67.0)</f>
        <v>67</v>
      </c>
      <c r="F8005" s="19" t="str">
        <f>IFERROR(__xludf.DUMMYFUNCTION("""COMPUTED_VALUE"""),"BLACK")</f>
        <v>BLACK</v>
      </c>
      <c r="G8005" s="20" t="str">
        <f>IFERROR(__xludf.DUMMYFUNCTION("""COMPUTED_VALUE"""),"Uncle Sams Cider (11/12/2021) 02")</f>
        <v>Uncle Sams Cider (11/12/2021) 02</v>
      </c>
      <c r="H8005" s="19"/>
    </row>
    <row r="8006">
      <c r="A8006" s="9"/>
      <c r="B8006" s="15"/>
      <c r="C8006" s="9">
        <f>IFERROR(__xludf.DUMMYFUNCTION("""COMPUTED_VALUE"""),44521.1163792708)</f>
        <v>44521.11638</v>
      </c>
      <c r="D8006" s="15">
        <f>IFERROR(__xludf.DUMMYFUNCTION("""COMPUTED_VALUE"""),1.062)</f>
        <v>1.062</v>
      </c>
      <c r="E8006" s="16">
        <f>IFERROR(__xludf.DUMMYFUNCTION("""COMPUTED_VALUE"""),67.0)</f>
        <v>67</v>
      </c>
      <c r="F8006" s="19" t="str">
        <f>IFERROR(__xludf.DUMMYFUNCTION("""COMPUTED_VALUE"""),"BLACK")</f>
        <v>BLACK</v>
      </c>
      <c r="G8006" s="20" t="str">
        <f>IFERROR(__xludf.DUMMYFUNCTION("""COMPUTED_VALUE"""),"Uncle Sams Cider (11/12/2021) 02")</f>
        <v>Uncle Sams Cider (11/12/2021) 02</v>
      </c>
      <c r="H8006" s="19"/>
    </row>
    <row r="8007">
      <c r="A8007" s="9"/>
      <c r="B8007" s="15"/>
      <c r="C8007" s="9">
        <f>IFERROR(__xludf.DUMMYFUNCTION("""COMPUTED_VALUE"""),44521.105958831)</f>
        <v>44521.10596</v>
      </c>
      <c r="D8007" s="15">
        <f>IFERROR(__xludf.DUMMYFUNCTION("""COMPUTED_VALUE"""),1.062)</f>
        <v>1.062</v>
      </c>
      <c r="E8007" s="16">
        <f>IFERROR(__xludf.DUMMYFUNCTION("""COMPUTED_VALUE"""),67.0)</f>
        <v>67</v>
      </c>
      <c r="F8007" s="19" t="str">
        <f>IFERROR(__xludf.DUMMYFUNCTION("""COMPUTED_VALUE"""),"BLACK")</f>
        <v>BLACK</v>
      </c>
      <c r="G8007" s="20" t="str">
        <f>IFERROR(__xludf.DUMMYFUNCTION("""COMPUTED_VALUE"""),"Uncle Sams Cider (11/12/2021) 02")</f>
        <v>Uncle Sams Cider (11/12/2021) 02</v>
      </c>
      <c r="H8007" s="19"/>
    </row>
    <row r="8008">
      <c r="A8008" s="9"/>
      <c r="B8008" s="15"/>
      <c r="C8008" s="9">
        <f>IFERROR(__xludf.DUMMYFUNCTION("""COMPUTED_VALUE"""),44521.0955403935)</f>
        <v>44521.09554</v>
      </c>
      <c r="D8008" s="15">
        <f>IFERROR(__xludf.DUMMYFUNCTION("""COMPUTED_VALUE"""),1.062)</f>
        <v>1.062</v>
      </c>
      <c r="E8008" s="16">
        <f>IFERROR(__xludf.DUMMYFUNCTION("""COMPUTED_VALUE"""),67.0)</f>
        <v>67</v>
      </c>
      <c r="F8008" s="19" t="str">
        <f>IFERROR(__xludf.DUMMYFUNCTION("""COMPUTED_VALUE"""),"BLACK")</f>
        <v>BLACK</v>
      </c>
      <c r="G8008" s="20" t="str">
        <f>IFERROR(__xludf.DUMMYFUNCTION("""COMPUTED_VALUE"""),"Uncle Sams Cider (11/12/2021) 02")</f>
        <v>Uncle Sams Cider (11/12/2021) 02</v>
      </c>
      <c r="H8008" s="19"/>
    </row>
    <row r="8009">
      <c r="A8009" s="9"/>
      <c r="B8009" s="15"/>
      <c r="C8009" s="9">
        <f>IFERROR(__xludf.DUMMYFUNCTION("""COMPUTED_VALUE"""),44521.0851082407)</f>
        <v>44521.08511</v>
      </c>
      <c r="D8009" s="15">
        <f>IFERROR(__xludf.DUMMYFUNCTION("""COMPUTED_VALUE"""),1.063)</f>
        <v>1.063</v>
      </c>
      <c r="E8009" s="16">
        <f>IFERROR(__xludf.DUMMYFUNCTION("""COMPUTED_VALUE"""),67.0)</f>
        <v>67</v>
      </c>
      <c r="F8009" s="19" t="str">
        <f>IFERROR(__xludf.DUMMYFUNCTION("""COMPUTED_VALUE"""),"BLACK")</f>
        <v>BLACK</v>
      </c>
      <c r="G8009" s="20" t="str">
        <f>IFERROR(__xludf.DUMMYFUNCTION("""COMPUTED_VALUE"""),"Uncle Sams Cider (11/12/2021) 02")</f>
        <v>Uncle Sams Cider (11/12/2021) 02</v>
      </c>
      <c r="H8009" s="19"/>
    </row>
    <row r="8010">
      <c r="A8010" s="9"/>
      <c r="B8010" s="15"/>
      <c r="C8010" s="9">
        <f>IFERROR(__xludf.DUMMYFUNCTION("""COMPUTED_VALUE"""),44521.0746878472)</f>
        <v>44521.07469</v>
      </c>
      <c r="D8010" s="15">
        <f>IFERROR(__xludf.DUMMYFUNCTION("""COMPUTED_VALUE"""),1.063)</f>
        <v>1.063</v>
      </c>
      <c r="E8010" s="16">
        <f>IFERROR(__xludf.DUMMYFUNCTION("""COMPUTED_VALUE"""),67.0)</f>
        <v>67</v>
      </c>
      <c r="F8010" s="19" t="str">
        <f>IFERROR(__xludf.DUMMYFUNCTION("""COMPUTED_VALUE"""),"BLACK")</f>
        <v>BLACK</v>
      </c>
      <c r="G8010" s="20" t="str">
        <f>IFERROR(__xludf.DUMMYFUNCTION("""COMPUTED_VALUE"""),"Uncle Sams Cider (11/12/2021) 02")</f>
        <v>Uncle Sams Cider (11/12/2021) 02</v>
      </c>
      <c r="H8010" s="19"/>
    </row>
    <row r="8011">
      <c r="A8011" s="9"/>
      <c r="B8011" s="15"/>
      <c r="C8011" s="9">
        <f>IFERROR(__xludf.DUMMYFUNCTION("""COMPUTED_VALUE"""),44521.0642654166)</f>
        <v>44521.06427</v>
      </c>
      <c r="D8011" s="15">
        <f>IFERROR(__xludf.DUMMYFUNCTION("""COMPUTED_VALUE"""),1.063)</f>
        <v>1.063</v>
      </c>
      <c r="E8011" s="16">
        <f>IFERROR(__xludf.DUMMYFUNCTION("""COMPUTED_VALUE"""),67.0)</f>
        <v>67</v>
      </c>
      <c r="F8011" s="19" t="str">
        <f>IFERROR(__xludf.DUMMYFUNCTION("""COMPUTED_VALUE"""),"BLACK")</f>
        <v>BLACK</v>
      </c>
      <c r="G8011" s="20" t="str">
        <f>IFERROR(__xludf.DUMMYFUNCTION("""COMPUTED_VALUE"""),"Uncle Sams Cider (11/12/2021) 02")</f>
        <v>Uncle Sams Cider (11/12/2021) 02</v>
      </c>
      <c r="H8011" s="19"/>
    </row>
    <row r="8012">
      <c r="A8012" s="9"/>
      <c r="B8012" s="15"/>
      <c r="C8012" s="9">
        <f>IFERROR(__xludf.DUMMYFUNCTION("""COMPUTED_VALUE"""),44521.0538421643)</f>
        <v>44521.05384</v>
      </c>
      <c r="D8012" s="15">
        <f>IFERROR(__xludf.DUMMYFUNCTION("""COMPUTED_VALUE"""),1.063)</f>
        <v>1.063</v>
      </c>
      <c r="E8012" s="16">
        <f>IFERROR(__xludf.DUMMYFUNCTION("""COMPUTED_VALUE"""),67.0)</f>
        <v>67</v>
      </c>
      <c r="F8012" s="19" t="str">
        <f>IFERROR(__xludf.DUMMYFUNCTION("""COMPUTED_VALUE"""),"BLACK")</f>
        <v>BLACK</v>
      </c>
      <c r="G8012" s="20" t="str">
        <f>IFERROR(__xludf.DUMMYFUNCTION("""COMPUTED_VALUE"""),"Uncle Sams Cider (11/12/2021) 02")</f>
        <v>Uncle Sams Cider (11/12/2021) 02</v>
      </c>
      <c r="H8012" s="19"/>
    </row>
    <row r="8013">
      <c r="A8013" s="9"/>
      <c r="B8013" s="15"/>
      <c r="C8013" s="9">
        <f>IFERROR(__xludf.DUMMYFUNCTION("""COMPUTED_VALUE"""),44521.0434223379)</f>
        <v>44521.04342</v>
      </c>
      <c r="D8013" s="15">
        <f>IFERROR(__xludf.DUMMYFUNCTION("""COMPUTED_VALUE"""),1.063)</f>
        <v>1.063</v>
      </c>
      <c r="E8013" s="16">
        <f>IFERROR(__xludf.DUMMYFUNCTION("""COMPUTED_VALUE"""),67.0)</f>
        <v>67</v>
      </c>
      <c r="F8013" s="19" t="str">
        <f>IFERROR(__xludf.DUMMYFUNCTION("""COMPUTED_VALUE"""),"BLACK")</f>
        <v>BLACK</v>
      </c>
      <c r="G8013" s="20" t="str">
        <f>IFERROR(__xludf.DUMMYFUNCTION("""COMPUTED_VALUE"""),"Uncle Sams Cider (11/12/2021) 02")</f>
        <v>Uncle Sams Cider (11/12/2021) 02</v>
      </c>
      <c r="H8013" s="19"/>
    </row>
    <row r="8014">
      <c r="A8014" s="9"/>
      <c r="B8014" s="15"/>
      <c r="C8014" s="9">
        <f>IFERROR(__xludf.DUMMYFUNCTION("""COMPUTED_VALUE"""),44521.032999074)</f>
        <v>44521.033</v>
      </c>
      <c r="D8014" s="15">
        <f>IFERROR(__xludf.DUMMYFUNCTION("""COMPUTED_VALUE"""),1.063)</f>
        <v>1.063</v>
      </c>
      <c r="E8014" s="16">
        <f>IFERROR(__xludf.DUMMYFUNCTION("""COMPUTED_VALUE"""),67.0)</f>
        <v>67</v>
      </c>
      <c r="F8014" s="19" t="str">
        <f>IFERROR(__xludf.DUMMYFUNCTION("""COMPUTED_VALUE"""),"BLACK")</f>
        <v>BLACK</v>
      </c>
      <c r="G8014" s="20" t="str">
        <f>IFERROR(__xludf.DUMMYFUNCTION("""COMPUTED_VALUE"""),"Uncle Sams Cider (11/12/2021) 02")</f>
        <v>Uncle Sams Cider (11/12/2021) 02</v>
      </c>
      <c r="H8014" s="19"/>
    </row>
    <row r="8015">
      <c r="A8015" s="9"/>
      <c r="B8015" s="15"/>
      <c r="C8015" s="9">
        <f>IFERROR(__xludf.DUMMYFUNCTION("""COMPUTED_VALUE"""),44521.02257875)</f>
        <v>44521.02258</v>
      </c>
      <c r="D8015" s="15">
        <f>IFERROR(__xludf.DUMMYFUNCTION("""COMPUTED_VALUE"""),1.063)</f>
        <v>1.063</v>
      </c>
      <c r="E8015" s="16">
        <f>IFERROR(__xludf.DUMMYFUNCTION("""COMPUTED_VALUE"""),67.0)</f>
        <v>67</v>
      </c>
      <c r="F8015" s="19" t="str">
        <f>IFERROR(__xludf.DUMMYFUNCTION("""COMPUTED_VALUE"""),"BLACK")</f>
        <v>BLACK</v>
      </c>
      <c r="G8015" s="20" t="str">
        <f>IFERROR(__xludf.DUMMYFUNCTION("""COMPUTED_VALUE"""),"Uncle Sams Cider (11/12/2021) 02")</f>
        <v>Uncle Sams Cider (11/12/2021) 02</v>
      </c>
      <c r="H8015" s="19"/>
    </row>
    <row r="8016">
      <c r="A8016" s="9"/>
      <c r="B8016" s="15"/>
      <c r="C8016" s="9">
        <f>IFERROR(__xludf.DUMMYFUNCTION("""COMPUTED_VALUE"""),44521.0121585069)</f>
        <v>44521.01216</v>
      </c>
      <c r="D8016" s="15">
        <f>IFERROR(__xludf.DUMMYFUNCTION("""COMPUTED_VALUE"""),1.063)</f>
        <v>1.063</v>
      </c>
      <c r="E8016" s="16">
        <f>IFERROR(__xludf.DUMMYFUNCTION("""COMPUTED_VALUE"""),67.0)</f>
        <v>67</v>
      </c>
      <c r="F8016" s="19" t="str">
        <f>IFERROR(__xludf.DUMMYFUNCTION("""COMPUTED_VALUE"""),"BLACK")</f>
        <v>BLACK</v>
      </c>
      <c r="G8016" s="20" t="str">
        <f>IFERROR(__xludf.DUMMYFUNCTION("""COMPUTED_VALUE"""),"Uncle Sams Cider (11/12/2021) 02")</f>
        <v>Uncle Sams Cider (11/12/2021) 02</v>
      </c>
      <c r="H8016" s="19"/>
    </row>
    <row r="8017">
      <c r="A8017" s="9"/>
      <c r="B8017" s="15"/>
      <c r="C8017" s="9">
        <f>IFERROR(__xludf.DUMMYFUNCTION("""COMPUTED_VALUE"""),44521.0017381365)</f>
        <v>44521.00174</v>
      </c>
      <c r="D8017" s="15">
        <f>IFERROR(__xludf.DUMMYFUNCTION("""COMPUTED_VALUE"""),1.063)</f>
        <v>1.063</v>
      </c>
      <c r="E8017" s="16">
        <f>IFERROR(__xludf.DUMMYFUNCTION("""COMPUTED_VALUE"""),67.0)</f>
        <v>67</v>
      </c>
      <c r="F8017" s="19" t="str">
        <f>IFERROR(__xludf.DUMMYFUNCTION("""COMPUTED_VALUE"""),"BLACK")</f>
        <v>BLACK</v>
      </c>
      <c r="G8017" s="20" t="str">
        <f>IFERROR(__xludf.DUMMYFUNCTION("""COMPUTED_VALUE"""),"Uncle Sams Cider (11/12/2021) 02")</f>
        <v>Uncle Sams Cider (11/12/2021) 02</v>
      </c>
      <c r="H8017" s="19"/>
    </row>
    <row r="8018">
      <c r="A8018" s="9"/>
      <c r="B8018" s="15"/>
      <c r="C8018" s="9">
        <f>IFERROR(__xludf.DUMMYFUNCTION("""COMPUTED_VALUE"""),44520.9913168518)</f>
        <v>44520.99132</v>
      </c>
      <c r="D8018" s="15">
        <f>IFERROR(__xludf.DUMMYFUNCTION("""COMPUTED_VALUE"""),1.063)</f>
        <v>1.063</v>
      </c>
      <c r="E8018" s="16">
        <f>IFERROR(__xludf.DUMMYFUNCTION("""COMPUTED_VALUE"""),67.0)</f>
        <v>67</v>
      </c>
      <c r="F8018" s="19" t="str">
        <f>IFERROR(__xludf.DUMMYFUNCTION("""COMPUTED_VALUE"""),"BLACK")</f>
        <v>BLACK</v>
      </c>
      <c r="G8018" s="20" t="str">
        <f>IFERROR(__xludf.DUMMYFUNCTION("""COMPUTED_VALUE"""),"Uncle Sams Cider (11/12/2021) 02")</f>
        <v>Uncle Sams Cider (11/12/2021) 02</v>
      </c>
      <c r="H8018" s="19"/>
    </row>
    <row r="8019">
      <c r="A8019" s="9"/>
      <c r="B8019" s="15"/>
      <c r="C8019" s="9">
        <f>IFERROR(__xludf.DUMMYFUNCTION("""COMPUTED_VALUE"""),44520.9808851273)</f>
        <v>44520.98089</v>
      </c>
      <c r="D8019" s="15">
        <f>IFERROR(__xludf.DUMMYFUNCTION("""COMPUTED_VALUE"""),1.063)</f>
        <v>1.063</v>
      </c>
      <c r="E8019" s="16">
        <f>IFERROR(__xludf.DUMMYFUNCTION("""COMPUTED_VALUE"""),67.0)</f>
        <v>67</v>
      </c>
      <c r="F8019" s="19" t="str">
        <f>IFERROR(__xludf.DUMMYFUNCTION("""COMPUTED_VALUE"""),"BLACK")</f>
        <v>BLACK</v>
      </c>
      <c r="G8019" s="20" t="str">
        <f>IFERROR(__xludf.DUMMYFUNCTION("""COMPUTED_VALUE"""),"Uncle Sams Cider (11/12/2021) 02")</f>
        <v>Uncle Sams Cider (11/12/2021) 02</v>
      </c>
      <c r="H8019" s="19"/>
    </row>
    <row r="8020">
      <c r="A8020" s="9"/>
      <c r="B8020" s="15"/>
      <c r="C8020" s="9">
        <f>IFERROR(__xludf.DUMMYFUNCTION("""COMPUTED_VALUE"""),44520.9704646874)</f>
        <v>44520.97046</v>
      </c>
      <c r="D8020" s="15">
        <f>IFERROR(__xludf.DUMMYFUNCTION("""COMPUTED_VALUE"""),1.063)</f>
        <v>1.063</v>
      </c>
      <c r="E8020" s="16">
        <f>IFERROR(__xludf.DUMMYFUNCTION("""COMPUTED_VALUE"""),67.0)</f>
        <v>67</v>
      </c>
      <c r="F8020" s="19" t="str">
        <f>IFERROR(__xludf.DUMMYFUNCTION("""COMPUTED_VALUE"""),"BLACK")</f>
        <v>BLACK</v>
      </c>
      <c r="G8020" s="20" t="str">
        <f>IFERROR(__xludf.DUMMYFUNCTION("""COMPUTED_VALUE"""),"Uncle Sams Cider (11/12/2021) 02")</f>
        <v>Uncle Sams Cider (11/12/2021) 02</v>
      </c>
      <c r="H8020" s="19"/>
    </row>
    <row r="8021">
      <c r="A8021" s="9"/>
      <c r="B8021" s="15"/>
      <c r="C8021" s="9">
        <f>IFERROR(__xludf.DUMMYFUNCTION("""COMPUTED_VALUE"""),44520.9600440856)</f>
        <v>44520.96004</v>
      </c>
      <c r="D8021" s="15">
        <f>IFERROR(__xludf.DUMMYFUNCTION("""COMPUTED_VALUE"""),1.064)</f>
        <v>1.064</v>
      </c>
      <c r="E8021" s="16">
        <f>IFERROR(__xludf.DUMMYFUNCTION("""COMPUTED_VALUE"""),67.0)</f>
        <v>67</v>
      </c>
      <c r="F8021" s="19" t="str">
        <f>IFERROR(__xludf.DUMMYFUNCTION("""COMPUTED_VALUE"""),"BLACK")</f>
        <v>BLACK</v>
      </c>
      <c r="G8021" s="20" t="str">
        <f>IFERROR(__xludf.DUMMYFUNCTION("""COMPUTED_VALUE"""),"Uncle Sams Cider (11/12/2021) 02")</f>
        <v>Uncle Sams Cider (11/12/2021) 02</v>
      </c>
      <c r="H8021" s="19"/>
    </row>
    <row r="8022">
      <c r="A8022" s="9"/>
      <c r="B8022" s="15"/>
      <c r="C8022" s="9">
        <f>IFERROR(__xludf.DUMMYFUNCTION("""COMPUTED_VALUE"""),44520.9496230787)</f>
        <v>44520.94962</v>
      </c>
      <c r="D8022" s="15">
        <f>IFERROR(__xludf.DUMMYFUNCTION("""COMPUTED_VALUE"""),1.064)</f>
        <v>1.064</v>
      </c>
      <c r="E8022" s="16">
        <f>IFERROR(__xludf.DUMMYFUNCTION("""COMPUTED_VALUE"""),67.0)</f>
        <v>67</v>
      </c>
      <c r="F8022" s="19" t="str">
        <f>IFERROR(__xludf.DUMMYFUNCTION("""COMPUTED_VALUE"""),"BLACK")</f>
        <v>BLACK</v>
      </c>
      <c r="G8022" s="20" t="str">
        <f>IFERROR(__xludf.DUMMYFUNCTION("""COMPUTED_VALUE"""),"Uncle Sams Cider (11/12/2021) 02")</f>
        <v>Uncle Sams Cider (11/12/2021) 02</v>
      </c>
      <c r="H8022" s="19"/>
    </row>
    <row r="8023">
      <c r="A8023" s="9"/>
      <c r="B8023" s="15"/>
      <c r="C8023" s="9">
        <f>IFERROR(__xludf.DUMMYFUNCTION("""COMPUTED_VALUE"""),44520.9392020023)</f>
        <v>44520.9392</v>
      </c>
      <c r="D8023" s="15">
        <f>IFERROR(__xludf.DUMMYFUNCTION("""COMPUTED_VALUE"""),1.063)</f>
        <v>1.063</v>
      </c>
      <c r="E8023" s="16">
        <f>IFERROR(__xludf.DUMMYFUNCTION("""COMPUTED_VALUE"""),67.0)</f>
        <v>67</v>
      </c>
      <c r="F8023" s="19" t="str">
        <f>IFERROR(__xludf.DUMMYFUNCTION("""COMPUTED_VALUE"""),"BLACK")</f>
        <v>BLACK</v>
      </c>
      <c r="G8023" s="20" t="str">
        <f>IFERROR(__xludf.DUMMYFUNCTION("""COMPUTED_VALUE"""),"Uncle Sams Cider (11/12/2021) 02")</f>
        <v>Uncle Sams Cider (11/12/2021) 02</v>
      </c>
      <c r="H8023" s="19"/>
    </row>
    <row r="8024">
      <c r="A8024" s="9"/>
      <c r="B8024" s="15"/>
      <c r="C8024" s="9">
        <f>IFERROR(__xludf.DUMMYFUNCTION("""COMPUTED_VALUE"""),44520.9287814236)</f>
        <v>44520.92878</v>
      </c>
      <c r="D8024" s="15">
        <f>IFERROR(__xludf.DUMMYFUNCTION("""COMPUTED_VALUE"""),1.064)</f>
        <v>1.064</v>
      </c>
      <c r="E8024" s="16">
        <f>IFERROR(__xludf.DUMMYFUNCTION("""COMPUTED_VALUE"""),67.0)</f>
        <v>67</v>
      </c>
      <c r="F8024" s="19" t="str">
        <f>IFERROR(__xludf.DUMMYFUNCTION("""COMPUTED_VALUE"""),"BLACK")</f>
        <v>BLACK</v>
      </c>
      <c r="G8024" s="20" t="str">
        <f>IFERROR(__xludf.DUMMYFUNCTION("""COMPUTED_VALUE"""),"Uncle Sams Cider (11/12/2021) 02")</f>
        <v>Uncle Sams Cider (11/12/2021) 02</v>
      </c>
      <c r="H8024" s="19"/>
    </row>
    <row r="8025">
      <c r="A8025" s="9"/>
      <c r="B8025" s="15"/>
      <c r="C8025" s="9">
        <f>IFERROR(__xludf.DUMMYFUNCTION("""COMPUTED_VALUE"""),44520.9183597337)</f>
        <v>44520.91836</v>
      </c>
      <c r="D8025" s="15">
        <f>IFERROR(__xludf.DUMMYFUNCTION("""COMPUTED_VALUE"""),1.064)</f>
        <v>1.064</v>
      </c>
      <c r="E8025" s="16">
        <f>IFERROR(__xludf.DUMMYFUNCTION("""COMPUTED_VALUE"""),67.0)</f>
        <v>67</v>
      </c>
      <c r="F8025" s="19" t="str">
        <f>IFERROR(__xludf.DUMMYFUNCTION("""COMPUTED_VALUE"""),"BLACK")</f>
        <v>BLACK</v>
      </c>
      <c r="G8025" s="20" t="str">
        <f>IFERROR(__xludf.DUMMYFUNCTION("""COMPUTED_VALUE"""),"Uncle Sams Cider (11/12/2021) 02")</f>
        <v>Uncle Sams Cider (11/12/2021) 02</v>
      </c>
      <c r="H8025" s="19"/>
    </row>
    <row r="8026">
      <c r="A8026" s="9"/>
      <c r="B8026" s="15"/>
      <c r="C8026" s="9">
        <f>IFERROR(__xludf.DUMMYFUNCTION("""COMPUTED_VALUE"""),44520.9079281828)</f>
        <v>44520.90793</v>
      </c>
      <c r="D8026" s="15">
        <f>IFERROR(__xludf.DUMMYFUNCTION("""COMPUTED_VALUE"""),1.064)</f>
        <v>1.064</v>
      </c>
      <c r="E8026" s="16">
        <f>IFERROR(__xludf.DUMMYFUNCTION("""COMPUTED_VALUE"""),67.0)</f>
        <v>67</v>
      </c>
      <c r="F8026" s="19" t="str">
        <f>IFERROR(__xludf.DUMMYFUNCTION("""COMPUTED_VALUE"""),"BLACK")</f>
        <v>BLACK</v>
      </c>
      <c r="G8026" s="20" t="str">
        <f>IFERROR(__xludf.DUMMYFUNCTION("""COMPUTED_VALUE"""),"Uncle Sams Cider (11/12/2021) 02")</f>
        <v>Uncle Sams Cider (11/12/2021) 02</v>
      </c>
      <c r="H8026" s="19"/>
    </row>
    <row r="8027">
      <c r="A8027" s="9"/>
      <c r="B8027" s="15"/>
      <c r="C8027" s="9">
        <f>IFERROR(__xludf.DUMMYFUNCTION("""COMPUTED_VALUE"""),44520.897508449)</f>
        <v>44520.89751</v>
      </c>
      <c r="D8027" s="15">
        <f>IFERROR(__xludf.DUMMYFUNCTION("""COMPUTED_VALUE"""),1.064)</f>
        <v>1.064</v>
      </c>
      <c r="E8027" s="16">
        <f>IFERROR(__xludf.DUMMYFUNCTION("""COMPUTED_VALUE"""),67.0)</f>
        <v>67</v>
      </c>
      <c r="F8027" s="19" t="str">
        <f>IFERROR(__xludf.DUMMYFUNCTION("""COMPUTED_VALUE"""),"BLACK")</f>
        <v>BLACK</v>
      </c>
      <c r="G8027" s="20" t="str">
        <f>IFERROR(__xludf.DUMMYFUNCTION("""COMPUTED_VALUE"""),"Uncle Sams Cider (11/12/2021) 02")</f>
        <v>Uncle Sams Cider (11/12/2021) 02</v>
      </c>
      <c r="H8027" s="19"/>
    </row>
    <row r="8028">
      <c r="A8028" s="9"/>
      <c r="B8028" s="15"/>
      <c r="C8028" s="9">
        <f>IFERROR(__xludf.DUMMYFUNCTION("""COMPUTED_VALUE"""),44520.8870854861)</f>
        <v>44520.88709</v>
      </c>
      <c r="D8028" s="15">
        <f>IFERROR(__xludf.DUMMYFUNCTION("""COMPUTED_VALUE"""),1.064)</f>
        <v>1.064</v>
      </c>
      <c r="E8028" s="16">
        <f>IFERROR(__xludf.DUMMYFUNCTION("""COMPUTED_VALUE"""),67.0)</f>
        <v>67</v>
      </c>
      <c r="F8028" s="19" t="str">
        <f>IFERROR(__xludf.DUMMYFUNCTION("""COMPUTED_VALUE"""),"BLACK")</f>
        <v>BLACK</v>
      </c>
      <c r="G8028" s="20" t="str">
        <f>IFERROR(__xludf.DUMMYFUNCTION("""COMPUTED_VALUE"""),"Uncle Sams Cider (11/12/2021) 02")</f>
        <v>Uncle Sams Cider (11/12/2021) 02</v>
      </c>
      <c r="H8028" s="19"/>
    </row>
    <row r="8029">
      <c r="A8029" s="9"/>
      <c r="B8029" s="15"/>
      <c r="C8029" s="9">
        <f>IFERROR(__xludf.DUMMYFUNCTION("""COMPUTED_VALUE"""),44520.8766628703)</f>
        <v>44520.87666</v>
      </c>
      <c r="D8029" s="15">
        <f>IFERROR(__xludf.DUMMYFUNCTION("""COMPUTED_VALUE"""),1.064)</f>
        <v>1.064</v>
      </c>
      <c r="E8029" s="16">
        <f>IFERROR(__xludf.DUMMYFUNCTION("""COMPUTED_VALUE"""),67.0)</f>
        <v>67</v>
      </c>
      <c r="F8029" s="19" t="str">
        <f>IFERROR(__xludf.DUMMYFUNCTION("""COMPUTED_VALUE"""),"BLACK")</f>
        <v>BLACK</v>
      </c>
      <c r="G8029" s="20" t="str">
        <f>IFERROR(__xludf.DUMMYFUNCTION("""COMPUTED_VALUE"""),"Uncle Sams Cider (11/12/2021) 02")</f>
        <v>Uncle Sams Cider (11/12/2021) 02</v>
      </c>
      <c r="H8029" s="19"/>
    </row>
    <row r="8030">
      <c r="A8030" s="9"/>
      <c r="B8030" s="15"/>
      <c r="C8030" s="9">
        <f>IFERROR(__xludf.DUMMYFUNCTION("""COMPUTED_VALUE"""),44520.8662425)</f>
        <v>44520.86624</v>
      </c>
      <c r="D8030" s="15">
        <f>IFERROR(__xludf.DUMMYFUNCTION("""COMPUTED_VALUE"""),1.064)</f>
        <v>1.064</v>
      </c>
      <c r="E8030" s="16">
        <f>IFERROR(__xludf.DUMMYFUNCTION("""COMPUTED_VALUE"""),67.0)</f>
        <v>67</v>
      </c>
      <c r="F8030" s="19" t="str">
        <f>IFERROR(__xludf.DUMMYFUNCTION("""COMPUTED_VALUE"""),"BLACK")</f>
        <v>BLACK</v>
      </c>
      <c r="G8030" s="20" t="str">
        <f>IFERROR(__xludf.DUMMYFUNCTION("""COMPUTED_VALUE"""),"Uncle Sams Cider (11/12/2021) 02")</f>
        <v>Uncle Sams Cider (11/12/2021) 02</v>
      </c>
      <c r="H8030" s="19"/>
    </row>
    <row r="8031">
      <c r="A8031" s="9"/>
      <c r="B8031" s="15"/>
      <c r="C8031" s="9">
        <f>IFERROR(__xludf.DUMMYFUNCTION("""COMPUTED_VALUE"""),44520.8558212731)</f>
        <v>44520.85582</v>
      </c>
      <c r="D8031" s="15">
        <f>IFERROR(__xludf.DUMMYFUNCTION("""COMPUTED_VALUE"""),1.064)</f>
        <v>1.064</v>
      </c>
      <c r="E8031" s="16">
        <f>IFERROR(__xludf.DUMMYFUNCTION("""COMPUTED_VALUE"""),67.0)</f>
        <v>67</v>
      </c>
      <c r="F8031" s="19" t="str">
        <f>IFERROR(__xludf.DUMMYFUNCTION("""COMPUTED_VALUE"""),"BLACK")</f>
        <v>BLACK</v>
      </c>
      <c r="G8031" s="20" t="str">
        <f>IFERROR(__xludf.DUMMYFUNCTION("""COMPUTED_VALUE"""),"Uncle Sams Cider (11/12/2021) 02")</f>
        <v>Uncle Sams Cider (11/12/2021) 02</v>
      </c>
      <c r="H8031" s="19"/>
    </row>
    <row r="8032">
      <c r="A8032" s="9"/>
      <c r="B8032" s="15"/>
      <c r="C8032" s="9">
        <f>IFERROR(__xludf.DUMMYFUNCTION("""COMPUTED_VALUE"""),44520.845400162)</f>
        <v>44520.8454</v>
      </c>
      <c r="D8032" s="15">
        <f>IFERROR(__xludf.DUMMYFUNCTION("""COMPUTED_VALUE"""),1.064)</f>
        <v>1.064</v>
      </c>
      <c r="E8032" s="16">
        <f>IFERROR(__xludf.DUMMYFUNCTION("""COMPUTED_VALUE"""),67.0)</f>
        <v>67</v>
      </c>
      <c r="F8032" s="19" t="str">
        <f>IFERROR(__xludf.DUMMYFUNCTION("""COMPUTED_VALUE"""),"BLACK")</f>
        <v>BLACK</v>
      </c>
      <c r="G8032" s="20" t="str">
        <f>IFERROR(__xludf.DUMMYFUNCTION("""COMPUTED_VALUE"""),"Uncle Sams Cider (11/12/2021) 02")</f>
        <v>Uncle Sams Cider (11/12/2021) 02</v>
      </c>
      <c r="H8032" s="19"/>
    </row>
    <row r="8033">
      <c r="A8033" s="9"/>
      <c r="B8033" s="15"/>
      <c r="C8033" s="9">
        <f>IFERROR(__xludf.DUMMYFUNCTION("""COMPUTED_VALUE"""),44520.8349801851)</f>
        <v>44520.83498</v>
      </c>
      <c r="D8033" s="15">
        <f>IFERROR(__xludf.DUMMYFUNCTION("""COMPUTED_VALUE"""),1.064)</f>
        <v>1.064</v>
      </c>
      <c r="E8033" s="16">
        <f>IFERROR(__xludf.DUMMYFUNCTION("""COMPUTED_VALUE"""),67.0)</f>
        <v>67</v>
      </c>
      <c r="F8033" s="19" t="str">
        <f>IFERROR(__xludf.DUMMYFUNCTION("""COMPUTED_VALUE"""),"BLACK")</f>
        <v>BLACK</v>
      </c>
      <c r="G8033" s="20" t="str">
        <f>IFERROR(__xludf.DUMMYFUNCTION("""COMPUTED_VALUE"""),"Uncle Sams Cider (11/12/2021) 02")</f>
        <v>Uncle Sams Cider (11/12/2021) 02</v>
      </c>
      <c r="H8033" s="19"/>
    </row>
    <row r="8034">
      <c r="A8034" s="9"/>
      <c r="B8034" s="15"/>
      <c r="C8034" s="9">
        <f>IFERROR(__xludf.DUMMYFUNCTION("""COMPUTED_VALUE"""),44520.8245603587)</f>
        <v>44520.82456</v>
      </c>
      <c r="D8034" s="15">
        <f>IFERROR(__xludf.DUMMYFUNCTION("""COMPUTED_VALUE"""),1.064)</f>
        <v>1.064</v>
      </c>
      <c r="E8034" s="16">
        <f>IFERROR(__xludf.DUMMYFUNCTION("""COMPUTED_VALUE"""),67.0)</f>
        <v>67</v>
      </c>
      <c r="F8034" s="19" t="str">
        <f>IFERROR(__xludf.DUMMYFUNCTION("""COMPUTED_VALUE"""),"BLACK")</f>
        <v>BLACK</v>
      </c>
      <c r="G8034" s="20" t="str">
        <f>IFERROR(__xludf.DUMMYFUNCTION("""COMPUTED_VALUE"""),"Uncle Sams Cider (11/12/2021) 02")</f>
        <v>Uncle Sams Cider (11/12/2021) 02</v>
      </c>
      <c r="H8034" s="19"/>
    </row>
    <row r="8035">
      <c r="A8035" s="9"/>
      <c r="B8035" s="15"/>
      <c r="C8035" s="9">
        <f>IFERROR(__xludf.DUMMYFUNCTION("""COMPUTED_VALUE"""),44520.8141382407)</f>
        <v>44520.81414</v>
      </c>
      <c r="D8035" s="15">
        <f>IFERROR(__xludf.DUMMYFUNCTION("""COMPUTED_VALUE"""),1.064)</f>
        <v>1.064</v>
      </c>
      <c r="E8035" s="16">
        <f>IFERROR(__xludf.DUMMYFUNCTION("""COMPUTED_VALUE"""),67.0)</f>
        <v>67</v>
      </c>
      <c r="F8035" s="19" t="str">
        <f>IFERROR(__xludf.DUMMYFUNCTION("""COMPUTED_VALUE"""),"BLACK")</f>
        <v>BLACK</v>
      </c>
      <c r="G8035" s="20" t="str">
        <f>IFERROR(__xludf.DUMMYFUNCTION("""COMPUTED_VALUE"""),"Uncle Sams Cider (11/12/2021) 02")</f>
        <v>Uncle Sams Cider (11/12/2021) 02</v>
      </c>
      <c r="H8035" s="19"/>
    </row>
    <row r="8036">
      <c r="A8036" s="9"/>
      <c r="B8036" s="15"/>
      <c r="C8036" s="9">
        <f>IFERROR(__xludf.DUMMYFUNCTION("""COMPUTED_VALUE"""),44520.8037184722)</f>
        <v>44520.80372</v>
      </c>
      <c r="D8036" s="15">
        <f>IFERROR(__xludf.DUMMYFUNCTION("""COMPUTED_VALUE"""),1.064)</f>
        <v>1.064</v>
      </c>
      <c r="E8036" s="16">
        <f>IFERROR(__xludf.DUMMYFUNCTION("""COMPUTED_VALUE"""),67.0)</f>
        <v>67</v>
      </c>
      <c r="F8036" s="19" t="str">
        <f>IFERROR(__xludf.DUMMYFUNCTION("""COMPUTED_VALUE"""),"BLACK")</f>
        <v>BLACK</v>
      </c>
      <c r="G8036" s="20" t="str">
        <f>IFERROR(__xludf.DUMMYFUNCTION("""COMPUTED_VALUE"""),"Uncle Sams Cider (11/12/2021) 02")</f>
        <v>Uncle Sams Cider (11/12/2021) 02</v>
      </c>
      <c r="H8036" s="19"/>
    </row>
    <row r="8037">
      <c r="A8037" s="9"/>
      <c r="B8037" s="15"/>
      <c r="C8037" s="9">
        <f>IFERROR(__xludf.DUMMYFUNCTION("""COMPUTED_VALUE"""),44520.7932979282)</f>
        <v>44520.7933</v>
      </c>
      <c r="D8037" s="15">
        <f>IFERROR(__xludf.DUMMYFUNCTION("""COMPUTED_VALUE"""),1.064)</f>
        <v>1.064</v>
      </c>
      <c r="E8037" s="16">
        <f>IFERROR(__xludf.DUMMYFUNCTION("""COMPUTED_VALUE"""),67.0)</f>
        <v>67</v>
      </c>
      <c r="F8037" s="19" t="str">
        <f>IFERROR(__xludf.DUMMYFUNCTION("""COMPUTED_VALUE"""),"BLACK")</f>
        <v>BLACK</v>
      </c>
      <c r="G8037" s="20" t="str">
        <f>IFERROR(__xludf.DUMMYFUNCTION("""COMPUTED_VALUE"""),"Uncle Sams Cider (11/12/2021) 02")</f>
        <v>Uncle Sams Cider (11/12/2021) 02</v>
      </c>
      <c r="H8037" s="19"/>
    </row>
    <row r="8038">
      <c r="A8038" s="9"/>
      <c r="B8038" s="15"/>
      <c r="C8038" s="9">
        <f>IFERROR(__xludf.DUMMYFUNCTION("""COMPUTED_VALUE"""),44520.7828760416)</f>
        <v>44520.78288</v>
      </c>
      <c r="D8038" s="15">
        <f>IFERROR(__xludf.DUMMYFUNCTION("""COMPUTED_VALUE"""),1.064)</f>
        <v>1.064</v>
      </c>
      <c r="E8038" s="16">
        <f>IFERROR(__xludf.DUMMYFUNCTION("""COMPUTED_VALUE"""),67.0)</f>
        <v>67</v>
      </c>
      <c r="F8038" s="19" t="str">
        <f>IFERROR(__xludf.DUMMYFUNCTION("""COMPUTED_VALUE"""),"BLACK")</f>
        <v>BLACK</v>
      </c>
      <c r="G8038" s="20" t="str">
        <f>IFERROR(__xludf.DUMMYFUNCTION("""COMPUTED_VALUE"""),"Uncle Sams Cider (11/12/2021) 02")</f>
        <v>Uncle Sams Cider (11/12/2021) 02</v>
      </c>
      <c r="H8038" s="19"/>
    </row>
    <row r="8039">
      <c r="A8039" s="9"/>
      <c r="B8039" s="15"/>
      <c r="C8039" s="9">
        <f>IFERROR(__xludf.DUMMYFUNCTION("""COMPUTED_VALUE"""),44520.7724545601)</f>
        <v>44520.77245</v>
      </c>
      <c r="D8039" s="15">
        <f>IFERROR(__xludf.DUMMYFUNCTION("""COMPUTED_VALUE"""),1.064)</f>
        <v>1.064</v>
      </c>
      <c r="E8039" s="16">
        <f>IFERROR(__xludf.DUMMYFUNCTION("""COMPUTED_VALUE"""),67.0)</f>
        <v>67</v>
      </c>
      <c r="F8039" s="19" t="str">
        <f>IFERROR(__xludf.DUMMYFUNCTION("""COMPUTED_VALUE"""),"BLACK")</f>
        <v>BLACK</v>
      </c>
      <c r="G8039" s="20" t="str">
        <f>IFERROR(__xludf.DUMMYFUNCTION("""COMPUTED_VALUE"""),"Uncle Sams Cider (11/12/2021) 02")</f>
        <v>Uncle Sams Cider (11/12/2021) 02</v>
      </c>
      <c r="H8039" s="19"/>
    </row>
    <row r="8040">
      <c r="A8040" s="9"/>
      <c r="B8040" s="15"/>
      <c r="C8040" s="9">
        <f>IFERROR(__xludf.DUMMYFUNCTION("""COMPUTED_VALUE"""),44520.7620326967)</f>
        <v>44520.76203</v>
      </c>
      <c r="D8040" s="15">
        <f>IFERROR(__xludf.DUMMYFUNCTION("""COMPUTED_VALUE"""),1.064)</f>
        <v>1.064</v>
      </c>
      <c r="E8040" s="16">
        <f>IFERROR(__xludf.DUMMYFUNCTION("""COMPUTED_VALUE"""),67.0)</f>
        <v>67</v>
      </c>
      <c r="F8040" s="19" t="str">
        <f>IFERROR(__xludf.DUMMYFUNCTION("""COMPUTED_VALUE"""),"BLACK")</f>
        <v>BLACK</v>
      </c>
      <c r="G8040" s="20" t="str">
        <f>IFERROR(__xludf.DUMMYFUNCTION("""COMPUTED_VALUE"""),"Uncle Sams Cider (11/12/2021) 02")</f>
        <v>Uncle Sams Cider (11/12/2021) 02</v>
      </c>
      <c r="H8040" s="19"/>
    </row>
    <row r="8041">
      <c r="A8041" s="9"/>
      <c r="B8041" s="15"/>
      <c r="C8041" s="9">
        <f>IFERROR(__xludf.DUMMYFUNCTION("""COMPUTED_VALUE"""),44520.7516123611)</f>
        <v>44520.75161</v>
      </c>
      <c r="D8041" s="15">
        <f>IFERROR(__xludf.DUMMYFUNCTION("""COMPUTED_VALUE"""),1.064)</f>
        <v>1.064</v>
      </c>
      <c r="E8041" s="16">
        <f>IFERROR(__xludf.DUMMYFUNCTION("""COMPUTED_VALUE"""),67.0)</f>
        <v>67</v>
      </c>
      <c r="F8041" s="19" t="str">
        <f>IFERROR(__xludf.DUMMYFUNCTION("""COMPUTED_VALUE"""),"BLACK")</f>
        <v>BLACK</v>
      </c>
      <c r="G8041" s="20" t="str">
        <f>IFERROR(__xludf.DUMMYFUNCTION("""COMPUTED_VALUE"""),"Uncle Sams Cider (11/12/2021) 02")</f>
        <v>Uncle Sams Cider (11/12/2021) 02</v>
      </c>
      <c r="H8041" s="19"/>
    </row>
    <row r="8042">
      <c r="A8042" s="9"/>
      <c r="B8042" s="15"/>
      <c r="C8042" s="9">
        <f>IFERROR(__xludf.DUMMYFUNCTION("""COMPUTED_VALUE"""),44520.741179618)</f>
        <v>44520.74118</v>
      </c>
      <c r="D8042" s="15">
        <f>IFERROR(__xludf.DUMMYFUNCTION("""COMPUTED_VALUE"""),1.064)</f>
        <v>1.064</v>
      </c>
      <c r="E8042" s="16">
        <f>IFERROR(__xludf.DUMMYFUNCTION("""COMPUTED_VALUE"""),67.0)</f>
        <v>67</v>
      </c>
      <c r="F8042" s="19" t="str">
        <f>IFERROR(__xludf.DUMMYFUNCTION("""COMPUTED_VALUE"""),"BLACK")</f>
        <v>BLACK</v>
      </c>
      <c r="G8042" s="20" t="str">
        <f>IFERROR(__xludf.DUMMYFUNCTION("""COMPUTED_VALUE"""),"Uncle Sams Cider (11/12/2021) 02")</f>
        <v>Uncle Sams Cider (11/12/2021) 02</v>
      </c>
      <c r="H8042" s="19"/>
    </row>
    <row r="8043">
      <c r="A8043" s="9"/>
      <c r="B8043" s="15"/>
      <c r="C8043" s="9">
        <f>IFERROR(__xludf.DUMMYFUNCTION("""COMPUTED_VALUE"""),44520.7307591087)</f>
        <v>44520.73076</v>
      </c>
      <c r="D8043" s="15">
        <f>IFERROR(__xludf.DUMMYFUNCTION("""COMPUTED_VALUE"""),1.064)</f>
        <v>1.064</v>
      </c>
      <c r="E8043" s="16">
        <f>IFERROR(__xludf.DUMMYFUNCTION("""COMPUTED_VALUE"""),67.0)</f>
        <v>67</v>
      </c>
      <c r="F8043" s="19" t="str">
        <f>IFERROR(__xludf.DUMMYFUNCTION("""COMPUTED_VALUE"""),"BLACK")</f>
        <v>BLACK</v>
      </c>
      <c r="G8043" s="20" t="str">
        <f>IFERROR(__xludf.DUMMYFUNCTION("""COMPUTED_VALUE"""),"Uncle Sams Cider (11/12/2021) 02")</f>
        <v>Uncle Sams Cider (11/12/2021) 02</v>
      </c>
      <c r="H8043" s="19"/>
    </row>
    <row r="8044">
      <c r="A8044" s="9"/>
      <c r="B8044" s="15"/>
      <c r="C8044" s="9">
        <f>IFERROR(__xludf.DUMMYFUNCTION("""COMPUTED_VALUE"""),44520.7203373958)</f>
        <v>44520.72034</v>
      </c>
      <c r="D8044" s="15">
        <f>IFERROR(__xludf.DUMMYFUNCTION("""COMPUTED_VALUE"""),1.065)</f>
        <v>1.065</v>
      </c>
      <c r="E8044" s="16">
        <f>IFERROR(__xludf.DUMMYFUNCTION("""COMPUTED_VALUE"""),67.0)</f>
        <v>67</v>
      </c>
      <c r="F8044" s="19" t="str">
        <f>IFERROR(__xludf.DUMMYFUNCTION("""COMPUTED_VALUE"""),"BLACK")</f>
        <v>BLACK</v>
      </c>
      <c r="G8044" s="20" t="str">
        <f>IFERROR(__xludf.DUMMYFUNCTION("""COMPUTED_VALUE"""),"Uncle Sams Cider (11/12/2021) 02")</f>
        <v>Uncle Sams Cider (11/12/2021) 02</v>
      </c>
      <c r="H8044" s="19"/>
    </row>
    <row r="8045">
      <c r="A8045" s="9"/>
      <c r="B8045" s="15"/>
      <c r="C8045" s="9">
        <f>IFERROR(__xludf.DUMMYFUNCTION("""COMPUTED_VALUE"""),44520.7099054513)</f>
        <v>44520.70991</v>
      </c>
      <c r="D8045" s="15">
        <f>IFERROR(__xludf.DUMMYFUNCTION("""COMPUTED_VALUE"""),1.065)</f>
        <v>1.065</v>
      </c>
      <c r="E8045" s="16">
        <f>IFERROR(__xludf.DUMMYFUNCTION("""COMPUTED_VALUE"""),67.0)</f>
        <v>67</v>
      </c>
      <c r="F8045" s="19" t="str">
        <f>IFERROR(__xludf.DUMMYFUNCTION("""COMPUTED_VALUE"""),"BLACK")</f>
        <v>BLACK</v>
      </c>
      <c r="G8045" s="20" t="str">
        <f>IFERROR(__xludf.DUMMYFUNCTION("""COMPUTED_VALUE"""),"Uncle Sams Cider (11/12/2021) 02")</f>
        <v>Uncle Sams Cider (11/12/2021) 02</v>
      </c>
      <c r="H8045" s="19"/>
    </row>
    <row r="8046">
      <c r="A8046" s="9"/>
      <c r="B8046" s="15"/>
      <c r="C8046" s="9">
        <f>IFERROR(__xludf.DUMMYFUNCTION("""COMPUTED_VALUE"""),44520.6994731481)</f>
        <v>44520.69947</v>
      </c>
      <c r="D8046" s="15">
        <f>IFERROR(__xludf.DUMMYFUNCTION("""COMPUTED_VALUE"""),1.064)</f>
        <v>1.064</v>
      </c>
      <c r="E8046" s="16">
        <f>IFERROR(__xludf.DUMMYFUNCTION("""COMPUTED_VALUE"""),67.0)</f>
        <v>67</v>
      </c>
      <c r="F8046" s="19" t="str">
        <f>IFERROR(__xludf.DUMMYFUNCTION("""COMPUTED_VALUE"""),"BLACK")</f>
        <v>BLACK</v>
      </c>
      <c r="G8046" s="20" t="str">
        <f>IFERROR(__xludf.DUMMYFUNCTION("""COMPUTED_VALUE"""),"Uncle Sams Cider (11/12/2021) 02")</f>
        <v>Uncle Sams Cider (11/12/2021) 02</v>
      </c>
      <c r="H8046" s="19"/>
    </row>
    <row r="8047">
      <c r="A8047" s="9"/>
      <c r="B8047" s="15"/>
      <c r="C8047" s="9">
        <f>IFERROR(__xludf.DUMMYFUNCTION("""COMPUTED_VALUE"""),44520.6890530092)</f>
        <v>44520.68905</v>
      </c>
      <c r="D8047" s="15">
        <f>IFERROR(__xludf.DUMMYFUNCTION("""COMPUTED_VALUE"""),1.065)</f>
        <v>1.065</v>
      </c>
      <c r="E8047" s="16">
        <f>IFERROR(__xludf.DUMMYFUNCTION("""COMPUTED_VALUE"""),67.0)</f>
        <v>67</v>
      </c>
      <c r="F8047" s="19" t="str">
        <f>IFERROR(__xludf.DUMMYFUNCTION("""COMPUTED_VALUE"""),"BLACK")</f>
        <v>BLACK</v>
      </c>
      <c r="G8047" s="20" t="str">
        <f>IFERROR(__xludf.DUMMYFUNCTION("""COMPUTED_VALUE"""),"Uncle Sams Cider (11/12/2021) 02")</f>
        <v>Uncle Sams Cider (11/12/2021) 02</v>
      </c>
      <c r="H8047" s="19"/>
    </row>
    <row r="8048">
      <c r="A8048" s="9"/>
      <c r="B8048" s="15"/>
      <c r="C8048" s="9">
        <f>IFERROR(__xludf.DUMMYFUNCTION("""COMPUTED_VALUE"""),44520.6786314467)</f>
        <v>44520.67863</v>
      </c>
      <c r="D8048" s="15">
        <f>IFERROR(__xludf.DUMMYFUNCTION("""COMPUTED_VALUE"""),1.065)</f>
        <v>1.065</v>
      </c>
      <c r="E8048" s="16">
        <f>IFERROR(__xludf.DUMMYFUNCTION("""COMPUTED_VALUE"""),67.0)</f>
        <v>67</v>
      </c>
      <c r="F8048" s="19" t="str">
        <f>IFERROR(__xludf.DUMMYFUNCTION("""COMPUTED_VALUE"""),"BLACK")</f>
        <v>BLACK</v>
      </c>
      <c r="G8048" s="20" t="str">
        <f>IFERROR(__xludf.DUMMYFUNCTION("""COMPUTED_VALUE"""),"Uncle Sams Cider (11/12/2021) 02")</f>
        <v>Uncle Sams Cider (11/12/2021) 02</v>
      </c>
      <c r="H8048" s="19"/>
    </row>
    <row r="8049">
      <c r="A8049" s="9"/>
      <c r="B8049" s="15"/>
      <c r="C8049" s="9">
        <f>IFERROR(__xludf.DUMMYFUNCTION("""COMPUTED_VALUE"""),44520.6682115046)</f>
        <v>44520.66821</v>
      </c>
      <c r="D8049" s="15">
        <f>IFERROR(__xludf.DUMMYFUNCTION("""COMPUTED_VALUE"""),1.065)</f>
        <v>1.065</v>
      </c>
      <c r="E8049" s="16">
        <f>IFERROR(__xludf.DUMMYFUNCTION("""COMPUTED_VALUE"""),67.0)</f>
        <v>67</v>
      </c>
      <c r="F8049" s="19" t="str">
        <f>IFERROR(__xludf.DUMMYFUNCTION("""COMPUTED_VALUE"""),"BLACK")</f>
        <v>BLACK</v>
      </c>
      <c r="G8049" s="20" t="str">
        <f>IFERROR(__xludf.DUMMYFUNCTION("""COMPUTED_VALUE"""),"Uncle Sams Cider (11/12/2021) 02")</f>
        <v>Uncle Sams Cider (11/12/2021) 02</v>
      </c>
      <c r="H8049" s="19"/>
    </row>
    <row r="8050">
      <c r="A8050" s="9"/>
      <c r="B8050" s="15"/>
      <c r="C8050" s="9">
        <f>IFERROR(__xludf.DUMMYFUNCTION("""COMPUTED_VALUE"""),44520.6577889814)</f>
        <v>44520.65779</v>
      </c>
      <c r="D8050" s="15">
        <f>IFERROR(__xludf.DUMMYFUNCTION("""COMPUTED_VALUE"""),1.065)</f>
        <v>1.065</v>
      </c>
      <c r="E8050" s="16">
        <f>IFERROR(__xludf.DUMMYFUNCTION("""COMPUTED_VALUE"""),67.0)</f>
        <v>67</v>
      </c>
      <c r="F8050" s="19" t="str">
        <f>IFERROR(__xludf.DUMMYFUNCTION("""COMPUTED_VALUE"""),"BLACK")</f>
        <v>BLACK</v>
      </c>
      <c r="G8050" s="20" t="str">
        <f>IFERROR(__xludf.DUMMYFUNCTION("""COMPUTED_VALUE"""),"Uncle Sams Cider (11/12/2021) 02")</f>
        <v>Uncle Sams Cider (11/12/2021) 02</v>
      </c>
      <c r="H8050" s="19"/>
    </row>
    <row r="8051">
      <c r="A8051" s="9"/>
      <c r="B8051" s="15"/>
      <c r="C8051" s="9">
        <f>IFERROR(__xludf.DUMMYFUNCTION("""COMPUTED_VALUE"""),44520.6473671527)</f>
        <v>44520.64737</v>
      </c>
      <c r="D8051" s="15">
        <f>IFERROR(__xludf.DUMMYFUNCTION("""COMPUTED_VALUE"""),1.065)</f>
        <v>1.065</v>
      </c>
      <c r="E8051" s="16">
        <f>IFERROR(__xludf.DUMMYFUNCTION("""COMPUTED_VALUE"""),67.0)</f>
        <v>67</v>
      </c>
      <c r="F8051" s="19" t="str">
        <f>IFERROR(__xludf.DUMMYFUNCTION("""COMPUTED_VALUE"""),"BLACK")</f>
        <v>BLACK</v>
      </c>
      <c r="G8051" s="20" t="str">
        <f>IFERROR(__xludf.DUMMYFUNCTION("""COMPUTED_VALUE"""),"Uncle Sams Cider (11/12/2021) 02")</f>
        <v>Uncle Sams Cider (11/12/2021) 02</v>
      </c>
      <c r="H8051" s="19"/>
    </row>
    <row r="8052">
      <c r="A8052" s="9"/>
      <c r="B8052" s="15"/>
      <c r="C8052" s="9">
        <f>IFERROR(__xludf.DUMMYFUNCTION("""COMPUTED_VALUE"""),44520.6369466203)</f>
        <v>44520.63695</v>
      </c>
      <c r="D8052" s="15">
        <f>IFERROR(__xludf.DUMMYFUNCTION("""COMPUTED_VALUE"""),1.065)</f>
        <v>1.065</v>
      </c>
      <c r="E8052" s="16">
        <f>IFERROR(__xludf.DUMMYFUNCTION("""COMPUTED_VALUE"""),67.0)</f>
        <v>67</v>
      </c>
      <c r="F8052" s="19" t="str">
        <f>IFERROR(__xludf.DUMMYFUNCTION("""COMPUTED_VALUE"""),"BLACK")</f>
        <v>BLACK</v>
      </c>
      <c r="G8052" s="20" t="str">
        <f>IFERROR(__xludf.DUMMYFUNCTION("""COMPUTED_VALUE"""),"Uncle Sams Cider (11/12/2021) 02")</f>
        <v>Uncle Sams Cider (11/12/2021) 02</v>
      </c>
      <c r="H8052" s="19"/>
    </row>
    <row r="8053">
      <c r="A8053" s="9"/>
      <c r="B8053" s="15"/>
      <c r="C8053" s="9">
        <f>IFERROR(__xludf.DUMMYFUNCTION("""COMPUTED_VALUE"""),44520.6265253819)</f>
        <v>44520.62653</v>
      </c>
      <c r="D8053" s="15">
        <f>IFERROR(__xludf.DUMMYFUNCTION("""COMPUTED_VALUE"""),1.065)</f>
        <v>1.065</v>
      </c>
      <c r="E8053" s="16">
        <f>IFERROR(__xludf.DUMMYFUNCTION("""COMPUTED_VALUE"""),67.0)</f>
        <v>67</v>
      </c>
      <c r="F8053" s="19" t="str">
        <f>IFERROR(__xludf.DUMMYFUNCTION("""COMPUTED_VALUE"""),"BLACK")</f>
        <v>BLACK</v>
      </c>
      <c r="G8053" s="20" t="str">
        <f>IFERROR(__xludf.DUMMYFUNCTION("""COMPUTED_VALUE"""),"Uncle Sams Cider (11/12/2021) 02")</f>
        <v>Uncle Sams Cider (11/12/2021) 02</v>
      </c>
      <c r="H8053" s="19"/>
    </row>
    <row r="8054">
      <c r="A8054" s="9"/>
      <c r="B8054" s="15"/>
      <c r="C8054" s="9">
        <f>IFERROR(__xludf.DUMMYFUNCTION("""COMPUTED_VALUE"""),44520.6161043518)</f>
        <v>44520.6161</v>
      </c>
      <c r="D8054" s="15">
        <f>IFERROR(__xludf.DUMMYFUNCTION("""COMPUTED_VALUE"""),1.065)</f>
        <v>1.065</v>
      </c>
      <c r="E8054" s="16">
        <f>IFERROR(__xludf.DUMMYFUNCTION("""COMPUTED_VALUE"""),67.0)</f>
        <v>67</v>
      </c>
      <c r="F8054" s="19" t="str">
        <f>IFERROR(__xludf.DUMMYFUNCTION("""COMPUTED_VALUE"""),"BLACK")</f>
        <v>BLACK</v>
      </c>
      <c r="G8054" s="20" t="str">
        <f>IFERROR(__xludf.DUMMYFUNCTION("""COMPUTED_VALUE"""),"Uncle Sams Cider (11/12/2021) 02")</f>
        <v>Uncle Sams Cider (11/12/2021) 02</v>
      </c>
      <c r="H8054" s="19"/>
    </row>
    <row r="8055">
      <c r="A8055" s="9"/>
      <c r="B8055" s="15"/>
      <c r="C8055" s="9">
        <f>IFERROR(__xludf.DUMMYFUNCTION("""COMPUTED_VALUE"""),44520.605682581)</f>
        <v>44520.60568</v>
      </c>
      <c r="D8055" s="15">
        <f>IFERROR(__xludf.DUMMYFUNCTION("""COMPUTED_VALUE"""),1.065)</f>
        <v>1.065</v>
      </c>
      <c r="E8055" s="16">
        <f>IFERROR(__xludf.DUMMYFUNCTION("""COMPUTED_VALUE"""),67.0)</f>
        <v>67</v>
      </c>
      <c r="F8055" s="19" t="str">
        <f>IFERROR(__xludf.DUMMYFUNCTION("""COMPUTED_VALUE"""),"BLACK")</f>
        <v>BLACK</v>
      </c>
      <c r="G8055" s="20" t="str">
        <f>IFERROR(__xludf.DUMMYFUNCTION("""COMPUTED_VALUE"""),"Uncle Sams Cider (11/12/2021) 02")</f>
        <v>Uncle Sams Cider (11/12/2021) 02</v>
      </c>
      <c r="H8055" s="19"/>
    </row>
    <row r="8056">
      <c r="A8056" s="9"/>
      <c r="B8056" s="15"/>
      <c r="C8056" s="9">
        <f>IFERROR(__xludf.DUMMYFUNCTION("""COMPUTED_VALUE"""),44520.5952614814)</f>
        <v>44520.59526</v>
      </c>
      <c r="D8056" s="15">
        <f>IFERROR(__xludf.DUMMYFUNCTION("""COMPUTED_VALUE"""),1.065)</f>
        <v>1.065</v>
      </c>
      <c r="E8056" s="16">
        <f>IFERROR(__xludf.DUMMYFUNCTION("""COMPUTED_VALUE"""),67.0)</f>
        <v>67</v>
      </c>
      <c r="F8056" s="19" t="str">
        <f>IFERROR(__xludf.DUMMYFUNCTION("""COMPUTED_VALUE"""),"BLACK")</f>
        <v>BLACK</v>
      </c>
      <c r="G8056" s="20" t="str">
        <f>IFERROR(__xludf.DUMMYFUNCTION("""COMPUTED_VALUE"""),"Uncle Sams Cider (11/12/2021) 02")</f>
        <v>Uncle Sams Cider (11/12/2021) 02</v>
      </c>
      <c r="H8056" s="19"/>
    </row>
    <row r="8057">
      <c r="A8057" s="9"/>
      <c r="B8057" s="15"/>
      <c r="C8057" s="9">
        <f>IFERROR(__xludf.DUMMYFUNCTION("""COMPUTED_VALUE"""),44520.5848044213)</f>
        <v>44520.5848</v>
      </c>
      <c r="D8057" s="15">
        <f>IFERROR(__xludf.DUMMYFUNCTION("""COMPUTED_VALUE"""),1.065)</f>
        <v>1.065</v>
      </c>
      <c r="E8057" s="16">
        <f>IFERROR(__xludf.DUMMYFUNCTION("""COMPUTED_VALUE"""),67.0)</f>
        <v>67</v>
      </c>
      <c r="F8057" s="19" t="str">
        <f>IFERROR(__xludf.DUMMYFUNCTION("""COMPUTED_VALUE"""),"BLACK")</f>
        <v>BLACK</v>
      </c>
      <c r="G8057" s="20" t="str">
        <f>IFERROR(__xludf.DUMMYFUNCTION("""COMPUTED_VALUE"""),"Uncle Sams Cider (11/12/2021) 02")</f>
        <v>Uncle Sams Cider (11/12/2021) 02</v>
      </c>
      <c r="H8057" s="19"/>
    </row>
    <row r="8058">
      <c r="A8058" s="9"/>
      <c r="B8058" s="15"/>
      <c r="C8058" s="9">
        <f>IFERROR(__xludf.DUMMYFUNCTION("""COMPUTED_VALUE"""),44520.5743834606)</f>
        <v>44520.57438</v>
      </c>
      <c r="D8058" s="15">
        <f>IFERROR(__xludf.DUMMYFUNCTION("""COMPUTED_VALUE"""),1.065)</f>
        <v>1.065</v>
      </c>
      <c r="E8058" s="16">
        <f>IFERROR(__xludf.DUMMYFUNCTION("""COMPUTED_VALUE"""),67.0)</f>
        <v>67</v>
      </c>
      <c r="F8058" s="19" t="str">
        <f>IFERROR(__xludf.DUMMYFUNCTION("""COMPUTED_VALUE"""),"BLACK")</f>
        <v>BLACK</v>
      </c>
      <c r="G8058" s="20" t="str">
        <f>IFERROR(__xludf.DUMMYFUNCTION("""COMPUTED_VALUE"""),"Uncle Sams Cider (11/12/2021) 02")</f>
        <v>Uncle Sams Cider (11/12/2021) 02</v>
      </c>
      <c r="H8058" s="19"/>
    </row>
    <row r="8059">
      <c r="A8059" s="9"/>
      <c r="B8059" s="15"/>
      <c r="C8059" s="9">
        <f>IFERROR(__xludf.DUMMYFUNCTION("""COMPUTED_VALUE"""),44520.5639510185)</f>
        <v>44520.56395</v>
      </c>
      <c r="D8059" s="15">
        <f>IFERROR(__xludf.DUMMYFUNCTION("""COMPUTED_VALUE"""),1.065)</f>
        <v>1.065</v>
      </c>
      <c r="E8059" s="16">
        <f>IFERROR(__xludf.DUMMYFUNCTION("""COMPUTED_VALUE"""),67.0)</f>
        <v>67</v>
      </c>
      <c r="F8059" s="19" t="str">
        <f>IFERROR(__xludf.DUMMYFUNCTION("""COMPUTED_VALUE"""),"BLACK")</f>
        <v>BLACK</v>
      </c>
      <c r="G8059" s="20" t="str">
        <f>IFERROR(__xludf.DUMMYFUNCTION("""COMPUTED_VALUE"""),"Uncle Sams Cider (11/12/2021) 02")</f>
        <v>Uncle Sams Cider (11/12/2021) 02</v>
      </c>
      <c r="H8059" s="19"/>
    </row>
    <row r="8060">
      <c r="A8060" s="9"/>
      <c r="B8060" s="15"/>
      <c r="C8060" s="9">
        <f>IFERROR(__xludf.DUMMYFUNCTION("""COMPUTED_VALUE"""),44520.5535193518)</f>
        <v>44520.55352</v>
      </c>
      <c r="D8060" s="15">
        <f>IFERROR(__xludf.DUMMYFUNCTION("""COMPUTED_VALUE"""),1.065)</f>
        <v>1.065</v>
      </c>
      <c r="E8060" s="16">
        <f>IFERROR(__xludf.DUMMYFUNCTION("""COMPUTED_VALUE"""),67.0)</f>
        <v>67</v>
      </c>
      <c r="F8060" s="19" t="str">
        <f>IFERROR(__xludf.DUMMYFUNCTION("""COMPUTED_VALUE"""),"BLACK")</f>
        <v>BLACK</v>
      </c>
      <c r="G8060" s="20" t="str">
        <f>IFERROR(__xludf.DUMMYFUNCTION("""COMPUTED_VALUE"""),"Uncle Sams Cider (11/12/2021) 02")</f>
        <v>Uncle Sams Cider (11/12/2021) 02</v>
      </c>
      <c r="H8060" s="19"/>
    </row>
    <row r="8061">
      <c r="A8061" s="9"/>
      <c r="B8061" s="15"/>
      <c r="C8061" s="9">
        <f>IFERROR(__xludf.DUMMYFUNCTION("""COMPUTED_VALUE"""),44520.5430998958)</f>
        <v>44520.5431</v>
      </c>
      <c r="D8061" s="15">
        <f>IFERROR(__xludf.DUMMYFUNCTION("""COMPUTED_VALUE"""),1.065)</f>
        <v>1.065</v>
      </c>
      <c r="E8061" s="16">
        <f>IFERROR(__xludf.DUMMYFUNCTION("""COMPUTED_VALUE"""),67.0)</f>
        <v>67</v>
      </c>
      <c r="F8061" s="19" t="str">
        <f>IFERROR(__xludf.DUMMYFUNCTION("""COMPUTED_VALUE"""),"BLACK")</f>
        <v>BLACK</v>
      </c>
      <c r="G8061" s="20" t="str">
        <f>IFERROR(__xludf.DUMMYFUNCTION("""COMPUTED_VALUE"""),"Uncle Sams Cider (11/12/2021) 02")</f>
        <v>Uncle Sams Cider (11/12/2021) 02</v>
      </c>
      <c r="H8061" s="19"/>
    </row>
    <row r="8062">
      <c r="A8062" s="9"/>
      <c r="B8062" s="15"/>
      <c r="C8062" s="9">
        <f>IFERROR(__xludf.DUMMYFUNCTION("""COMPUTED_VALUE"""),44520.5326786111)</f>
        <v>44520.53268</v>
      </c>
      <c r="D8062" s="15">
        <f>IFERROR(__xludf.DUMMYFUNCTION("""COMPUTED_VALUE"""),1.065)</f>
        <v>1.065</v>
      </c>
      <c r="E8062" s="16">
        <f>IFERROR(__xludf.DUMMYFUNCTION("""COMPUTED_VALUE"""),67.0)</f>
        <v>67</v>
      </c>
      <c r="F8062" s="19" t="str">
        <f>IFERROR(__xludf.DUMMYFUNCTION("""COMPUTED_VALUE"""),"BLACK")</f>
        <v>BLACK</v>
      </c>
      <c r="G8062" s="20" t="str">
        <f>IFERROR(__xludf.DUMMYFUNCTION("""COMPUTED_VALUE"""),"Uncle Sams Cider (11/12/2021) 02")</f>
        <v>Uncle Sams Cider (11/12/2021) 02</v>
      </c>
      <c r="H8062" s="19"/>
    </row>
    <row r="8063">
      <c r="A8063" s="9"/>
      <c r="B8063" s="15"/>
      <c r="C8063" s="9">
        <f>IFERROR(__xludf.DUMMYFUNCTION("""COMPUTED_VALUE"""),44520.5222571875)</f>
        <v>44520.52226</v>
      </c>
      <c r="D8063" s="15">
        <f>IFERROR(__xludf.DUMMYFUNCTION("""COMPUTED_VALUE"""),1.065)</f>
        <v>1.065</v>
      </c>
      <c r="E8063" s="16">
        <f>IFERROR(__xludf.DUMMYFUNCTION("""COMPUTED_VALUE"""),67.0)</f>
        <v>67</v>
      </c>
      <c r="F8063" s="19" t="str">
        <f>IFERROR(__xludf.DUMMYFUNCTION("""COMPUTED_VALUE"""),"BLACK")</f>
        <v>BLACK</v>
      </c>
      <c r="G8063" s="20" t="str">
        <f>IFERROR(__xludf.DUMMYFUNCTION("""COMPUTED_VALUE"""),"Uncle Sams Cider (11/12/2021) 02")</f>
        <v>Uncle Sams Cider (11/12/2021) 02</v>
      </c>
      <c r="H8063" s="19"/>
    </row>
    <row r="8064">
      <c r="A8064" s="9"/>
      <c r="B8064" s="15"/>
      <c r="C8064" s="9">
        <f>IFERROR(__xludf.DUMMYFUNCTION("""COMPUTED_VALUE"""),44520.5117999189)</f>
        <v>44520.5118</v>
      </c>
      <c r="D8064" s="15">
        <f>IFERROR(__xludf.DUMMYFUNCTION("""COMPUTED_VALUE"""),1.065)</f>
        <v>1.065</v>
      </c>
      <c r="E8064" s="16">
        <f>IFERROR(__xludf.DUMMYFUNCTION("""COMPUTED_VALUE"""),67.0)</f>
        <v>67</v>
      </c>
      <c r="F8064" s="19" t="str">
        <f>IFERROR(__xludf.DUMMYFUNCTION("""COMPUTED_VALUE"""),"BLACK")</f>
        <v>BLACK</v>
      </c>
      <c r="G8064" s="20" t="str">
        <f>IFERROR(__xludf.DUMMYFUNCTION("""COMPUTED_VALUE"""),"Uncle Sams Cider (11/12/2021) 02")</f>
        <v>Uncle Sams Cider (11/12/2021) 02</v>
      </c>
      <c r="H8064" s="19"/>
    </row>
    <row r="8065">
      <c r="A8065" s="9"/>
      <c r="B8065" s="15"/>
      <c r="C8065" s="9">
        <f>IFERROR(__xludf.DUMMYFUNCTION("""COMPUTED_VALUE"""),44520.5013669791)</f>
        <v>44520.50137</v>
      </c>
      <c r="D8065" s="15">
        <f>IFERROR(__xludf.DUMMYFUNCTION("""COMPUTED_VALUE"""),1.065)</f>
        <v>1.065</v>
      </c>
      <c r="E8065" s="16">
        <f>IFERROR(__xludf.DUMMYFUNCTION("""COMPUTED_VALUE"""),67.0)</f>
        <v>67</v>
      </c>
      <c r="F8065" s="19" t="str">
        <f>IFERROR(__xludf.DUMMYFUNCTION("""COMPUTED_VALUE"""),"BLACK")</f>
        <v>BLACK</v>
      </c>
      <c r="G8065" s="20" t="str">
        <f>IFERROR(__xludf.DUMMYFUNCTION("""COMPUTED_VALUE"""),"Uncle Sams Cider (11/12/2021) 02")</f>
        <v>Uncle Sams Cider (11/12/2021) 02</v>
      </c>
      <c r="H8065" s="19"/>
    </row>
    <row r="8066">
      <c r="A8066" s="9"/>
      <c r="B8066" s="15"/>
      <c r="C8066" s="9">
        <f>IFERROR(__xludf.DUMMYFUNCTION("""COMPUTED_VALUE"""),44520.4909468518)</f>
        <v>44520.49095</v>
      </c>
      <c r="D8066" s="15">
        <f>IFERROR(__xludf.DUMMYFUNCTION("""COMPUTED_VALUE"""),1.065)</f>
        <v>1.065</v>
      </c>
      <c r="E8066" s="16">
        <f>IFERROR(__xludf.DUMMYFUNCTION("""COMPUTED_VALUE"""),67.0)</f>
        <v>67</v>
      </c>
      <c r="F8066" s="19" t="str">
        <f>IFERROR(__xludf.DUMMYFUNCTION("""COMPUTED_VALUE"""),"BLACK")</f>
        <v>BLACK</v>
      </c>
      <c r="G8066" s="20" t="str">
        <f>IFERROR(__xludf.DUMMYFUNCTION("""COMPUTED_VALUE"""),"Uncle Sams Cider (11/12/2021) 02")</f>
        <v>Uncle Sams Cider (11/12/2021) 02</v>
      </c>
      <c r="H8066" s="19"/>
    </row>
    <row r="8067">
      <c r="A8067" s="9"/>
      <c r="B8067" s="15"/>
      <c r="C8067" s="9">
        <f>IFERROR(__xludf.DUMMYFUNCTION("""COMPUTED_VALUE"""),44520.4805261226)</f>
        <v>44520.48053</v>
      </c>
      <c r="D8067" s="15">
        <f>IFERROR(__xludf.DUMMYFUNCTION("""COMPUTED_VALUE"""),1.066)</f>
        <v>1.066</v>
      </c>
      <c r="E8067" s="16">
        <f>IFERROR(__xludf.DUMMYFUNCTION("""COMPUTED_VALUE"""),67.0)</f>
        <v>67</v>
      </c>
      <c r="F8067" s="19" t="str">
        <f>IFERROR(__xludf.DUMMYFUNCTION("""COMPUTED_VALUE"""),"BLACK")</f>
        <v>BLACK</v>
      </c>
      <c r="G8067" s="20" t="str">
        <f>IFERROR(__xludf.DUMMYFUNCTION("""COMPUTED_VALUE"""),"Uncle Sams Cider (11/12/2021) 02")</f>
        <v>Uncle Sams Cider (11/12/2021) 02</v>
      </c>
      <c r="H8067" s="19"/>
    </row>
    <row r="8068">
      <c r="A8068" s="9"/>
      <c r="B8068" s="15"/>
      <c r="C8068" s="9">
        <f>IFERROR(__xludf.DUMMYFUNCTION("""COMPUTED_VALUE"""),44520.4701051736)</f>
        <v>44520.47011</v>
      </c>
      <c r="D8068" s="15">
        <f>IFERROR(__xludf.DUMMYFUNCTION("""COMPUTED_VALUE"""),1.065)</f>
        <v>1.065</v>
      </c>
      <c r="E8068" s="16">
        <f>IFERROR(__xludf.DUMMYFUNCTION("""COMPUTED_VALUE"""),67.0)</f>
        <v>67</v>
      </c>
      <c r="F8068" s="19" t="str">
        <f>IFERROR(__xludf.DUMMYFUNCTION("""COMPUTED_VALUE"""),"BLACK")</f>
        <v>BLACK</v>
      </c>
      <c r="G8068" s="20" t="str">
        <f>IFERROR(__xludf.DUMMYFUNCTION("""COMPUTED_VALUE"""),"Uncle Sams Cider (11/12/2021) 02")</f>
        <v>Uncle Sams Cider (11/12/2021) 02</v>
      </c>
      <c r="H8068" s="19"/>
    </row>
    <row r="8069">
      <c r="A8069" s="9"/>
      <c r="B8069" s="15"/>
      <c r="C8069" s="9">
        <f>IFERROR(__xludf.DUMMYFUNCTION("""COMPUTED_VALUE"""),44520.4596853009)</f>
        <v>44520.45969</v>
      </c>
      <c r="D8069" s="15">
        <f>IFERROR(__xludf.DUMMYFUNCTION("""COMPUTED_VALUE"""),1.066)</f>
        <v>1.066</v>
      </c>
      <c r="E8069" s="16">
        <f>IFERROR(__xludf.DUMMYFUNCTION("""COMPUTED_VALUE"""),67.0)</f>
        <v>67</v>
      </c>
      <c r="F8069" s="19" t="str">
        <f>IFERROR(__xludf.DUMMYFUNCTION("""COMPUTED_VALUE"""),"BLACK")</f>
        <v>BLACK</v>
      </c>
      <c r="G8069" s="20" t="str">
        <f>IFERROR(__xludf.DUMMYFUNCTION("""COMPUTED_VALUE"""),"Uncle Sams Cider (11/12/2021) 02")</f>
        <v>Uncle Sams Cider (11/12/2021) 02</v>
      </c>
      <c r="H8069" s="19"/>
    </row>
    <row r="8070">
      <c r="A8070" s="9"/>
      <c r="B8070" s="15"/>
      <c r="C8070" s="9">
        <f>IFERROR(__xludf.DUMMYFUNCTION("""COMPUTED_VALUE"""),44520.4492633449)</f>
        <v>44520.44926</v>
      </c>
      <c r="D8070" s="15">
        <f>IFERROR(__xludf.DUMMYFUNCTION("""COMPUTED_VALUE"""),1.066)</f>
        <v>1.066</v>
      </c>
      <c r="E8070" s="16">
        <f>IFERROR(__xludf.DUMMYFUNCTION("""COMPUTED_VALUE"""),67.0)</f>
        <v>67</v>
      </c>
      <c r="F8070" s="19" t="str">
        <f>IFERROR(__xludf.DUMMYFUNCTION("""COMPUTED_VALUE"""),"BLACK")</f>
        <v>BLACK</v>
      </c>
      <c r="G8070" s="20" t="str">
        <f>IFERROR(__xludf.DUMMYFUNCTION("""COMPUTED_VALUE"""),"Uncle Sams Cider (11/12/2021) 02")</f>
        <v>Uncle Sams Cider (11/12/2021) 02</v>
      </c>
      <c r="H8070" s="19"/>
    </row>
    <row r="8071">
      <c r="A8071" s="9"/>
      <c r="B8071" s="15"/>
      <c r="C8071" s="9">
        <f>IFERROR(__xludf.DUMMYFUNCTION("""COMPUTED_VALUE"""),44520.4388425925)</f>
        <v>44520.43884</v>
      </c>
      <c r="D8071" s="15">
        <f>IFERROR(__xludf.DUMMYFUNCTION("""COMPUTED_VALUE"""),1.066)</f>
        <v>1.066</v>
      </c>
      <c r="E8071" s="16">
        <f>IFERROR(__xludf.DUMMYFUNCTION("""COMPUTED_VALUE"""),67.0)</f>
        <v>67</v>
      </c>
      <c r="F8071" s="19" t="str">
        <f>IFERROR(__xludf.DUMMYFUNCTION("""COMPUTED_VALUE"""),"BLACK")</f>
        <v>BLACK</v>
      </c>
      <c r="G8071" s="20" t="str">
        <f>IFERROR(__xludf.DUMMYFUNCTION("""COMPUTED_VALUE"""),"Uncle Sams Cider (11/12/2021) 02")</f>
        <v>Uncle Sams Cider (11/12/2021) 02</v>
      </c>
      <c r="H8071" s="19"/>
    </row>
    <row r="8072">
      <c r="A8072" s="9"/>
      <c r="B8072" s="15"/>
      <c r="C8072" s="9">
        <f>IFERROR(__xludf.DUMMYFUNCTION("""COMPUTED_VALUE"""),44520.4284217476)</f>
        <v>44520.42842</v>
      </c>
      <c r="D8072" s="15">
        <f>IFERROR(__xludf.DUMMYFUNCTION("""COMPUTED_VALUE"""),1.066)</f>
        <v>1.066</v>
      </c>
      <c r="E8072" s="16">
        <f>IFERROR(__xludf.DUMMYFUNCTION("""COMPUTED_VALUE"""),67.0)</f>
        <v>67</v>
      </c>
      <c r="F8072" s="19" t="str">
        <f>IFERROR(__xludf.DUMMYFUNCTION("""COMPUTED_VALUE"""),"BLACK")</f>
        <v>BLACK</v>
      </c>
      <c r="G8072" s="20" t="str">
        <f>IFERROR(__xludf.DUMMYFUNCTION("""COMPUTED_VALUE"""),"Uncle Sams Cider (11/12/2021) 02")</f>
        <v>Uncle Sams Cider (11/12/2021) 02</v>
      </c>
      <c r="H8072" s="19"/>
    </row>
    <row r="8073">
      <c r="A8073" s="9"/>
      <c r="B8073" s="15"/>
      <c r="C8073" s="9">
        <f>IFERROR(__xludf.DUMMYFUNCTION("""COMPUTED_VALUE"""),44520.4180011689)</f>
        <v>44520.418</v>
      </c>
      <c r="D8073" s="15">
        <f>IFERROR(__xludf.DUMMYFUNCTION("""COMPUTED_VALUE"""),1.066)</f>
        <v>1.066</v>
      </c>
      <c r="E8073" s="16">
        <f>IFERROR(__xludf.DUMMYFUNCTION("""COMPUTED_VALUE"""),67.0)</f>
        <v>67</v>
      </c>
      <c r="F8073" s="19" t="str">
        <f>IFERROR(__xludf.DUMMYFUNCTION("""COMPUTED_VALUE"""),"BLACK")</f>
        <v>BLACK</v>
      </c>
      <c r="G8073" s="20" t="str">
        <f>IFERROR(__xludf.DUMMYFUNCTION("""COMPUTED_VALUE"""),"Uncle Sams Cider (11/12/2021) 02")</f>
        <v>Uncle Sams Cider (11/12/2021) 02</v>
      </c>
      <c r="H8073" s="19"/>
    </row>
    <row r="8074">
      <c r="A8074" s="9"/>
      <c r="B8074" s="15"/>
      <c r="C8074" s="9">
        <f>IFERROR(__xludf.DUMMYFUNCTION("""COMPUTED_VALUE"""),44520.4075801157)</f>
        <v>44520.40758</v>
      </c>
      <c r="D8074" s="15">
        <f>IFERROR(__xludf.DUMMYFUNCTION("""COMPUTED_VALUE"""),1.066)</f>
        <v>1.066</v>
      </c>
      <c r="E8074" s="16">
        <f>IFERROR(__xludf.DUMMYFUNCTION("""COMPUTED_VALUE"""),67.0)</f>
        <v>67</v>
      </c>
      <c r="F8074" s="19" t="str">
        <f>IFERROR(__xludf.DUMMYFUNCTION("""COMPUTED_VALUE"""),"BLACK")</f>
        <v>BLACK</v>
      </c>
      <c r="G8074" s="20" t="str">
        <f>IFERROR(__xludf.DUMMYFUNCTION("""COMPUTED_VALUE"""),"Uncle Sams Cider (11/12/2021) 02")</f>
        <v>Uncle Sams Cider (11/12/2021) 02</v>
      </c>
      <c r="H8074" s="19"/>
    </row>
    <row r="8075">
      <c r="A8075" s="9"/>
      <c r="B8075" s="15"/>
      <c r="C8075" s="9">
        <f>IFERROR(__xludf.DUMMYFUNCTION("""COMPUTED_VALUE"""),44520.3971592592)</f>
        <v>44520.39716</v>
      </c>
      <c r="D8075" s="15">
        <f>IFERROR(__xludf.DUMMYFUNCTION("""COMPUTED_VALUE"""),1.066)</f>
        <v>1.066</v>
      </c>
      <c r="E8075" s="16">
        <f>IFERROR(__xludf.DUMMYFUNCTION("""COMPUTED_VALUE"""),67.0)</f>
        <v>67</v>
      </c>
      <c r="F8075" s="19" t="str">
        <f>IFERROR(__xludf.DUMMYFUNCTION("""COMPUTED_VALUE"""),"BLACK")</f>
        <v>BLACK</v>
      </c>
      <c r="G8075" s="20" t="str">
        <f>IFERROR(__xludf.DUMMYFUNCTION("""COMPUTED_VALUE"""),"Uncle Sams Cider (11/12/2021) 02")</f>
        <v>Uncle Sams Cider (11/12/2021) 02</v>
      </c>
      <c r="H8075" s="19"/>
    </row>
    <row r="8076">
      <c r="A8076" s="9"/>
      <c r="B8076" s="15"/>
      <c r="C8076" s="9">
        <f>IFERROR(__xludf.DUMMYFUNCTION("""COMPUTED_VALUE"""),44520.3867142708)</f>
        <v>44520.38671</v>
      </c>
      <c r="D8076" s="15">
        <f>IFERROR(__xludf.DUMMYFUNCTION("""COMPUTED_VALUE"""),1.066)</f>
        <v>1.066</v>
      </c>
      <c r="E8076" s="16">
        <f>IFERROR(__xludf.DUMMYFUNCTION("""COMPUTED_VALUE"""),67.0)</f>
        <v>67</v>
      </c>
      <c r="F8076" s="19" t="str">
        <f>IFERROR(__xludf.DUMMYFUNCTION("""COMPUTED_VALUE"""),"BLACK")</f>
        <v>BLACK</v>
      </c>
      <c r="G8076" s="20" t="str">
        <f>IFERROR(__xludf.DUMMYFUNCTION("""COMPUTED_VALUE"""),"Uncle Sams Cider (11/12/2021) 02")</f>
        <v>Uncle Sams Cider (11/12/2021) 02</v>
      </c>
      <c r="H8076" s="19"/>
    </row>
    <row r="8077">
      <c r="A8077" s="9"/>
      <c r="B8077" s="15"/>
      <c r="C8077" s="9">
        <f>IFERROR(__xludf.DUMMYFUNCTION("""COMPUTED_VALUE"""),44520.3762931597)</f>
        <v>44520.37629</v>
      </c>
      <c r="D8077" s="15">
        <f>IFERROR(__xludf.DUMMYFUNCTION("""COMPUTED_VALUE"""),1.066)</f>
        <v>1.066</v>
      </c>
      <c r="E8077" s="16">
        <f>IFERROR(__xludf.DUMMYFUNCTION("""COMPUTED_VALUE"""),67.0)</f>
        <v>67</v>
      </c>
      <c r="F8077" s="19" t="str">
        <f>IFERROR(__xludf.DUMMYFUNCTION("""COMPUTED_VALUE"""),"BLACK")</f>
        <v>BLACK</v>
      </c>
      <c r="G8077" s="20" t="str">
        <f>IFERROR(__xludf.DUMMYFUNCTION("""COMPUTED_VALUE"""),"Uncle Sams Cider (11/12/2021) 02")</f>
        <v>Uncle Sams Cider (11/12/2021) 02</v>
      </c>
      <c r="H8077" s="19"/>
    </row>
    <row r="8078">
      <c r="A8078" s="9"/>
      <c r="B8078" s="15"/>
      <c r="C8078" s="9">
        <f>IFERROR(__xludf.DUMMYFUNCTION("""COMPUTED_VALUE"""),44520.3658707291)</f>
        <v>44520.36587</v>
      </c>
      <c r="D8078" s="15">
        <f>IFERROR(__xludf.DUMMYFUNCTION("""COMPUTED_VALUE"""),1.066)</f>
        <v>1.066</v>
      </c>
      <c r="E8078" s="16">
        <f>IFERROR(__xludf.DUMMYFUNCTION("""COMPUTED_VALUE"""),67.0)</f>
        <v>67</v>
      </c>
      <c r="F8078" s="19" t="str">
        <f>IFERROR(__xludf.DUMMYFUNCTION("""COMPUTED_VALUE"""),"BLACK")</f>
        <v>BLACK</v>
      </c>
      <c r="G8078" s="20" t="str">
        <f>IFERROR(__xludf.DUMMYFUNCTION("""COMPUTED_VALUE"""),"Uncle Sams Cider (11/12/2021) 02")</f>
        <v>Uncle Sams Cider (11/12/2021) 02</v>
      </c>
      <c r="H8078" s="19"/>
    </row>
    <row r="8079">
      <c r="A8079" s="9"/>
      <c r="B8079" s="15"/>
      <c r="C8079" s="9">
        <f>IFERROR(__xludf.DUMMYFUNCTION("""COMPUTED_VALUE"""),44520.355426331)</f>
        <v>44520.35543</v>
      </c>
      <c r="D8079" s="15">
        <f>IFERROR(__xludf.DUMMYFUNCTION("""COMPUTED_VALUE"""),1.066)</f>
        <v>1.066</v>
      </c>
      <c r="E8079" s="16">
        <f>IFERROR(__xludf.DUMMYFUNCTION("""COMPUTED_VALUE"""),67.0)</f>
        <v>67</v>
      </c>
      <c r="F8079" s="19" t="str">
        <f>IFERROR(__xludf.DUMMYFUNCTION("""COMPUTED_VALUE"""),"BLACK")</f>
        <v>BLACK</v>
      </c>
      <c r="G8079" s="20" t="str">
        <f>IFERROR(__xludf.DUMMYFUNCTION("""COMPUTED_VALUE"""),"Uncle Sams Cider (11/12/2021) 02")</f>
        <v>Uncle Sams Cider (11/12/2021) 02</v>
      </c>
      <c r="H8079" s="19"/>
    </row>
    <row r="8080">
      <c r="A8080" s="9"/>
      <c r="B8080" s="15"/>
      <c r="C8080" s="9">
        <f>IFERROR(__xludf.DUMMYFUNCTION("""COMPUTED_VALUE"""),44520.3450062384)</f>
        <v>44520.34501</v>
      </c>
      <c r="D8080" s="15">
        <f>IFERROR(__xludf.DUMMYFUNCTION("""COMPUTED_VALUE"""),1.066)</f>
        <v>1.066</v>
      </c>
      <c r="E8080" s="16">
        <f>IFERROR(__xludf.DUMMYFUNCTION("""COMPUTED_VALUE"""),67.0)</f>
        <v>67</v>
      </c>
      <c r="F8080" s="19" t="str">
        <f>IFERROR(__xludf.DUMMYFUNCTION("""COMPUTED_VALUE"""),"BLACK")</f>
        <v>BLACK</v>
      </c>
      <c r="G8080" s="20" t="str">
        <f>IFERROR(__xludf.DUMMYFUNCTION("""COMPUTED_VALUE"""),"Uncle Sams Cider (11/12/2021) 02")</f>
        <v>Uncle Sams Cider (11/12/2021) 02</v>
      </c>
      <c r="H8080" s="19"/>
    </row>
    <row r="8081">
      <c r="A8081" s="9"/>
      <c r="B8081" s="15"/>
      <c r="C8081" s="9">
        <f>IFERROR(__xludf.DUMMYFUNCTION("""COMPUTED_VALUE"""),44520.3345745717)</f>
        <v>44520.33457</v>
      </c>
      <c r="D8081" s="15">
        <f>IFERROR(__xludf.DUMMYFUNCTION("""COMPUTED_VALUE"""),1.066)</f>
        <v>1.066</v>
      </c>
      <c r="E8081" s="16">
        <f>IFERROR(__xludf.DUMMYFUNCTION("""COMPUTED_VALUE"""),67.0)</f>
        <v>67</v>
      </c>
      <c r="F8081" s="19" t="str">
        <f>IFERROR(__xludf.DUMMYFUNCTION("""COMPUTED_VALUE"""),"BLACK")</f>
        <v>BLACK</v>
      </c>
      <c r="G8081" s="20" t="str">
        <f>IFERROR(__xludf.DUMMYFUNCTION("""COMPUTED_VALUE"""),"Uncle Sams Cider (11/12/2021) 02")</f>
        <v>Uncle Sams Cider (11/12/2021) 02</v>
      </c>
      <c r="H8081" s="19"/>
    </row>
    <row r="8082">
      <c r="A8082" s="9"/>
      <c r="B8082" s="15"/>
      <c r="C8082" s="9">
        <f>IFERROR(__xludf.DUMMYFUNCTION("""COMPUTED_VALUE"""),44520.3241530671)</f>
        <v>44520.32415</v>
      </c>
      <c r="D8082" s="15">
        <f>IFERROR(__xludf.DUMMYFUNCTION("""COMPUTED_VALUE"""),1.066)</f>
        <v>1.066</v>
      </c>
      <c r="E8082" s="16">
        <f>IFERROR(__xludf.DUMMYFUNCTION("""COMPUTED_VALUE"""),67.0)</f>
        <v>67</v>
      </c>
      <c r="F8082" s="19" t="str">
        <f>IFERROR(__xludf.DUMMYFUNCTION("""COMPUTED_VALUE"""),"BLACK")</f>
        <v>BLACK</v>
      </c>
      <c r="G8082" s="20" t="str">
        <f>IFERROR(__xludf.DUMMYFUNCTION("""COMPUTED_VALUE"""),"Uncle Sams Cider (11/12/2021) 02")</f>
        <v>Uncle Sams Cider (11/12/2021) 02</v>
      </c>
      <c r="H8082" s="19"/>
    </row>
    <row r="8083">
      <c r="A8083" s="9"/>
      <c r="B8083" s="15"/>
      <c r="C8083" s="9">
        <f>IFERROR(__xludf.DUMMYFUNCTION("""COMPUTED_VALUE"""),44520.3137312152)</f>
        <v>44520.31373</v>
      </c>
      <c r="D8083" s="15">
        <f>IFERROR(__xludf.DUMMYFUNCTION("""COMPUTED_VALUE"""),1.066)</f>
        <v>1.066</v>
      </c>
      <c r="E8083" s="16">
        <f>IFERROR(__xludf.DUMMYFUNCTION("""COMPUTED_VALUE"""),67.0)</f>
        <v>67</v>
      </c>
      <c r="F8083" s="19" t="str">
        <f>IFERROR(__xludf.DUMMYFUNCTION("""COMPUTED_VALUE"""),"BLACK")</f>
        <v>BLACK</v>
      </c>
      <c r="G8083" s="20" t="str">
        <f>IFERROR(__xludf.DUMMYFUNCTION("""COMPUTED_VALUE"""),"Uncle Sams Cider (11/12/2021) 02")</f>
        <v>Uncle Sams Cider (11/12/2021) 02</v>
      </c>
      <c r="H8083" s="19"/>
    </row>
    <row r="8084">
      <c r="A8084" s="9"/>
      <c r="B8084" s="15"/>
      <c r="C8084" s="9">
        <f>IFERROR(__xludf.DUMMYFUNCTION("""COMPUTED_VALUE"""),44520.3033096643)</f>
        <v>44520.30331</v>
      </c>
      <c r="D8084" s="15">
        <f>IFERROR(__xludf.DUMMYFUNCTION("""COMPUTED_VALUE"""),1.066)</f>
        <v>1.066</v>
      </c>
      <c r="E8084" s="16">
        <f>IFERROR(__xludf.DUMMYFUNCTION("""COMPUTED_VALUE"""),67.0)</f>
        <v>67</v>
      </c>
      <c r="F8084" s="19" t="str">
        <f>IFERROR(__xludf.DUMMYFUNCTION("""COMPUTED_VALUE"""),"BLACK")</f>
        <v>BLACK</v>
      </c>
      <c r="G8084" s="20" t="str">
        <f>IFERROR(__xludf.DUMMYFUNCTION("""COMPUTED_VALUE"""),"Uncle Sams Cider (11/12/2021) 02")</f>
        <v>Uncle Sams Cider (11/12/2021) 02</v>
      </c>
      <c r="H8084" s="19"/>
    </row>
    <row r="8085">
      <c r="A8085" s="9"/>
      <c r="B8085" s="15"/>
      <c r="C8085" s="9">
        <f>IFERROR(__xludf.DUMMYFUNCTION("""COMPUTED_VALUE"""),44520.2928897569)</f>
        <v>44520.29289</v>
      </c>
      <c r="D8085" s="15">
        <f>IFERROR(__xludf.DUMMYFUNCTION("""COMPUTED_VALUE"""),1.066)</f>
        <v>1.066</v>
      </c>
      <c r="E8085" s="16">
        <f>IFERROR(__xludf.DUMMYFUNCTION("""COMPUTED_VALUE"""),67.0)</f>
        <v>67</v>
      </c>
      <c r="F8085" s="19" t="str">
        <f>IFERROR(__xludf.DUMMYFUNCTION("""COMPUTED_VALUE"""),"BLACK")</f>
        <v>BLACK</v>
      </c>
      <c r="G8085" s="20" t="str">
        <f>IFERROR(__xludf.DUMMYFUNCTION("""COMPUTED_VALUE"""),"Uncle Sams Cider (11/12/2021) 02")</f>
        <v>Uncle Sams Cider (11/12/2021) 02</v>
      </c>
      <c r="H8085" s="19"/>
    </row>
    <row r="8086">
      <c r="A8086" s="9"/>
      <c r="B8086" s="15"/>
      <c r="C8086" s="9">
        <f>IFERROR(__xludf.DUMMYFUNCTION("""COMPUTED_VALUE"""),44520.2824680324)</f>
        <v>44520.28247</v>
      </c>
      <c r="D8086" s="15">
        <f>IFERROR(__xludf.DUMMYFUNCTION("""COMPUTED_VALUE"""),1.066)</f>
        <v>1.066</v>
      </c>
      <c r="E8086" s="16">
        <f>IFERROR(__xludf.DUMMYFUNCTION("""COMPUTED_VALUE"""),67.0)</f>
        <v>67</v>
      </c>
      <c r="F8086" s="19" t="str">
        <f>IFERROR(__xludf.DUMMYFUNCTION("""COMPUTED_VALUE"""),"BLACK")</f>
        <v>BLACK</v>
      </c>
      <c r="G8086" s="20" t="str">
        <f>IFERROR(__xludf.DUMMYFUNCTION("""COMPUTED_VALUE"""),"Uncle Sams Cider (11/12/2021) 02")</f>
        <v>Uncle Sams Cider (11/12/2021) 02</v>
      </c>
      <c r="H8086" s="19"/>
    </row>
    <row r="8087">
      <c r="A8087" s="9"/>
      <c r="B8087" s="15"/>
      <c r="C8087" s="9">
        <f>IFERROR(__xludf.DUMMYFUNCTION("""COMPUTED_VALUE"""),44520.2720466666)</f>
        <v>44520.27205</v>
      </c>
      <c r="D8087" s="15">
        <f>IFERROR(__xludf.DUMMYFUNCTION("""COMPUTED_VALUE"""),1.066)</f>
        <v>1.066</v>
      </c>
      <c r="E8087" s="16">
        <f>IFERROR(__xludf.DUMMYFUNCTION("""COMPUTED_VALUE"""),67.0)</f>
        <v>67</v>
      </c>
      <c r="F8087" s="19" t="str">
        <f>IFERROR(__xludf.DUMMYFUNCTION("""COMPUTED_VALUE"""),"BLACK")</f>
        <v>BLACK</v>
      </c>
      <c r="G8087" s="20" t="str">
        <f>IFERROR(__xludf.DUMMYFUNCTION("""COMPUTED_VALUE"""),"Uncle Sams Cider (11/12/2021) 02")</f>
        <v>Uncle Sams Cider (11/12/2021) 02</v>
      </c>
      <c r="H8087" s="19"/>
    </row>
    <row r="8088">
      <c r="A8088" s="9"/>
      <c r="B8088" s="15"/>
      <c r="C8088" s="9">
        <f>IFERROR(__xludf.DUMMYFUNCTION("""COMPUTED_VALUE"""),44520.2616247222)</f>
        <v>44520.26162</v>
      </c>
      <c r="D8088" s="15">
        <f>IFERROR(__xludf.DUMMYFUNCTION("""COMPUTED_VALUE"""),1.066)</f>
        <v>1.066</v>
      </c>
      <c r="E8088" s="16">
        <f>IFERROR(__xludf.DUMMYFUNCTION("""COMPUTED_VALUE"""),67.0)</f>
        <v>67</v>
      </c>
      <c r="F8088" s="19" t="str">
        <f>IFERROR(__xludf.DUMMYFUNCTION("""COMPUTED_VALUE"""),"BLACK")</f>
        <v>BLACK</v>
      </c>
      <c r="G8088" s="20" t="str">
        <f>IFERROR(__xludf.DUMMYFUNCTION("""COMPUTED_VALUE"""),"Uncle Sams Cider (11/12/2021) 02")</f>
        <v>Uncle Sams Cider (11/12/2021) 02</v>
      </c>
      <c r="H8088" s="19"/>
    </row>
    <row r="8089">
      <c r="A8089" s="9"/>
      <c r="B8089" s="15"/>
      <c r="C8089" s="9">
        <f>IFERROR(__xludf.DUMMYFUNCTION("""COMPUTED_VALUE"""),44520.2512053472)</f>
        <v>44520.25121</v>
      </c>
      <c r="D8089" s="15">
        <f>IFERROR(__xludf.DUMMYFUNCTION("""COMPUTED_VALUE"""),1.067)</f>
        <v>1.067</v>
      </c>
      <c r="E8089" s="16">
        <f>IFERROR(__xludf.DUMMYFUNCTION("""COMPUTED_VALUE"""),67.0)</f>
        <v>67</v>
      </c>
      <c r="F8089" s="19" t="str">
        <f>IFERROR(__xludf.DUMMYFUNCTION("""COMPUTED_VALUE"""),"BLACK")</f>
        <v>BLACK</v>
      </c>
      <c r="G8089" s="20" t="str">
        <f>IFERROR(__xludf.DUMMYFUNCTION("""COMPUTED_VALUE"""),"Uncle Sams Cider (11/12/2021) 02")</f>
        <v>Uncle Sams Cider (11/12/2021) 02</v>
      </c>
      <c r="H8089" s="19"/>
    </row>
    <row r="8090">
      <c r="A8090" s="9"/>
      <c r="B8090" s="15"/>
      <c r="C8090" s="9">
        <f>IFERROR(__xludf.DUMMYFUNCTION("""COMPUTED_VALUE"""),44520.2407732407)</f>
        <v>44520.24077</v>
      </c>
      <c r="D8090" s="15">
        <f>IFERROR(__xludf.DUMMYFUNCTION("""COMPUTED_VALUE"""),1.067)</f>
        <v>1.067</v>
      </c>
      <c r="E8090" s="16">
        <f>IFERROR(__xludf.DUMMYFUNCTION("""COMPUTED_VALUE"""),67.0)</f>
        <v>67</v>
      </c>
      <c r="F8090" s="19" t="str">
        <f>IFERROR(__xludf.DUMMYFUNCTION("""COMPUTED_VALUE"""),"BLACK")</f>
        <v>BLACK</v>
      </c>
      <c r="G8090" s="20" t="str">
        <f>IFERROR(__xludf.DUMMYFUNCTION("""COMPUTED_VALUE"""),"Uncle Sams Cider (11/12/2021) 02")</f>
        <v>Uncle Sams Cider (11/12/2021) 02</v>
      </c>
      <c r="H8090" s="19"/>
    </row>
    <row r="8091">
      <c r="A8091" s="9"/>
      <c r="B8091" s="15"/>
      <c r="C8091" s="9">
        <f>IFERROR(__xludf.DUMMYFUNCTION("""COMPUTED_VALUE"""),44520.2303518171)</f>
        <v>44520.23035</v>
      </c>
      <c r="D8091" s="15">
        <f>IFERROR(__xludf.DUMMYFUNCTION("""COMPUTED_VALUE"""),1.067)</f>
        <v>1.067</v>
      </c>
      <c r="E8091" s="16">
        <f>IFERROR(__xludf.DUMMYFUNCTION("""COMPUTED_VALUE"""),67.0)</f>
        <v>67</v>
      </c>
      <c r="F8091" s="19" t="str">
        <f>IFERROR(__xludf.DUMMYFUNCTION("""COMPUTED_VALUE"""),"BLACK")</f>
        <v>BLACK</v>
      </c>
      <c r="G8091" s="20" t="str">
        <f>IFERROR(__xludf.DUMMYFUNCTION("""COMPUTED_VALUE"""),"Uncle Sams Cider (11/12/2021) 02")</f>
        <v>Uncle Sams Cider (11/12/2021) 02</v>
      </c>
      <c r="H8091" s="19"/>
    </row>
    <row r="8092">
      <c r="A8092" s="9"/>
      <c r="B8092" s="15"/>
      <c r="C8092" s="9">
        <f>IFERROR(__xludf.DUMMYFUNCTION("""COMPUTED_VALUE"""),44520.2199280671)</f>
        <v>44520.21993</v>
      </c>
      <c r="D8092" s="15">
        <f>IFERROR(__xludf.DUMMYFUNCTION("""COMPUTED_VALUE"""),1.067)</f>
        <v>1.067</v>
      </c>
      <c r="E8092" s="16">
        <f>IFERROR(__xludf.DUMMYFUNCTION("""COMPUTED_VALUE"""),67.0)</f>
        <v>67</v>
      </c>
      <c r="F8092" s="19" t="str">
        <f>IFERROR(__xludf.DUMMYFUNCTION("""COMPUTED_VALUE"""),"BLACK")</f>
        <v>BLACK</v>
      </c>
      <c r="G8092" s="20" t="str">
        <f>IFERROR(__xludf.DUMMYFUNCTION("""COMPUTED_VALUE"""),"Uncle Sams Cider (11/12/2021) 02")</f>
        <v>Uncle Sams Cider (11/12/2021) 02</v>
      </c>
      <c r="H8092" s="19"/>
    </row>
    <row r="8093">
      <c r="A8093" s="9"/>
      <c r="B8093" s="15"/>
      <c r="C8093" s="9">
        <f>IFERROR(__xludf.DUMMYFUNCTION("""COMPUTED_VALUE"""),44520.2094975925)</f>
        <v>44520.2095</v>
      </c>
      <c r="D8093" s="15">
        <f>IFERROR(__xludf.DUMMYFUNCTION("""COMPUTED_VALUE"""),1.067)</f>
        <v>1.067</v>
      </c>
      <c r="E8093" s="16">
        <f>IFERROR(__xludf.DUMMYFUNCTION("""COMPUTED_VALUE"""),67.0)</f>
        <v>67</v>
      </c>
      <c r="F8093" s="19" t="str">
        <f>IFERROR(__xludf.DUMMYFUNCTION("""COMPUTED_VALUE"""),"BLACK")</f>
        <v>BLACK</v>
      </c>
      <c r="G8093" s="20" t="str">
        <f>IFERROR(__xludf.DUMMYFUNCTION("""COMPUTED_VALUE"""),"Uncle Sams Cider (11/12/2021) 02")</f>
        <v>Uncle Sams Cider (11/12/2021) 02</v>
      </c>
      <c r="H8093" s="19"/>
    </row>
    <row r="8094">
      <c r="A8094" s="9"/>
      <c r="B8094" s="15"/>
      <c r="C8094" s="9">
        <f>IFERROR(__xludf.DUMMYFUNCTION("""COMPUTED_VALUE"""),44520.1990780902)</f>
        <v>44520.19908</v>
      </c>
      <c r="D8094" s="15">
        <f>IFERROR(__xludf.DUMMYFUNCTION("""COMPUTED_VALUE"""),1.067)</f>
        <v>1.067</v>
      </c>
      <c r="E8094" s="16">
        <f>IFERROR(__xludf.DUMMYFUNCTION("""COMPUTED_VALUE"""),67.0)</f>
        <v>67</v>
      </c>
      <c r="F8094" s="19" t="str">
        <f>IFERROR(__xludf.DUMMYFUNCTION("""COMPUTED_VALUE"""),"BLACK")</f>
        <v>BLACK</v>
      </c>
      <c r="G8094" s="20" t="str">
        <f>IFERROR(__xludf.DUMMYFUNCTION("""COMPUTED_VALUE"""),"Uncle Sams Cider (11/12/2021) 02")</f>
        <v>Uncle Sams Cider (11/12/2021) 02</v>
      </c>
      <c r="H8094" s="19"/>
    </row>
    <row r="8095">
      <c r="A8095" s="9"/>
      <c r="B8095" s="15"/>
      <c r="C8095" s="9">
        <f>IFERROR(__xludf.DUMMYFUNCTION("""COMPUTED_VALUE"""),44520.1886453125)</f>
        <v>44520.18865</v>
      </c>
      <c r="D8095" s="15">
        <f>IFERROR(__xludf.DUMMYFUNCTION("""COMPUTED_VALUE"""),1.067)</f>
        <v>1.067</v>
      </c>
      <c r="E8095" s="16">
        <f>IFERROR(__xludf.DUMMYFUNCTION("""COMPUTED_VALUE"""),67.0)</f>
        <v>67</v>
      </c>
      <c r="F8095" s="19" t="str">
        <f>IFERROR(__xludf.DUMMYFUNCTION("""COMPUTED_VALUE"""),"BLACK")</f>
        <v>BLACK</v>
      </c>
      <c r="G8095" s="20" t="str">
        <f>IFERROR(__xludf.DUMMYFUNCTION("""COMPUTED_VALUE"""),"Uncle Sams Cider (11/12/2021) 02")</f>
        <v>Uncle Sams Cider (11/12/2021) 02</v>
      </c>
      <c r="H8095" s="19"/>
    </row>
    <row r="8096">
      <c r="A8096" s="9"/>
      <c r="B8096" s="15"/>
      <c r="C8096" s="9">
        <f>IFERROR(__xludf.DUMMYFUNCTION("""COMPUTED_VALUE"""),44520.1782247916)</f>
        <v>44520.17822</v>
      </c>
      <c r="D8096" s="15">
        <f>IFERROR(__xludf.DUMMYFUNCTION("""COMPUTED_VALUE"""),1.067)</f>
        <v>1.067</v>
      </c>
      <c r="E8096" s="16">
        <f>IFERROR(__xludf.DUMMYFUNCTION("""COMPUTED_VALUE"""),67.0)</f>
        <v>67</v>
      </c>
      <c r="F8096" s="19" t="str">
        <f>IFERROR(__xludf.DUMMYFUNCTION("""COMPUTED_VALUE"""),"BLACK")</f>
        <v>BLACK</v>
      </c>
      <c r="G8096" s="20" t="str">
        <f>IFERROR(__xludf.DUMMYFUNCTION("""COMPUTED_VALUE"""),"Uncle Sams Cider (11/12/2021) 02")</f>
        <v>Uncle Sams Cider (11/12/2021) 02</v>
      </c>
      <c r="H8096" s="19"/>
    </row>
    <row r="8097">
      <c r="A8097" s="9"/>
      <c r="B8097" s="15"/>
      <c r="C8097" s="9">
        <f>IFERROR(__xludf.DUMMYFUNCTION("""COMPUTED_VALUE"""),44520.1678057175)</f>
        <v>44520.16781</v>
      </c>
      <c r="D8097" s="15">
        <f>IFERROR(__xludf.DUMMYFUNCTION("""COMPUTED_VALUE"""),1.067)</f>
        <v>1.067</v>
      </c>
      <c r="E8097" s="16">
        <f>IFERROR(__xludf.DUMMYFUNCTION("""COMPUTED_VALUE"""),67.0)</f>
        <v>67</v>
      </c>
      <c r="F8097" s="19" t="str">
        <f>IFERROR(__xludf.DUMMYFUNCTION("""COMPUTED_VALUE"""),"BLACK")</f>
        <v>BLACK</v>
      </c>
      <c r="G8097" s="20" t="str">
        <f>IFERROR(__xludf.DUMMYFUNCTION("""COMPUTED_VALUE"""),"Uncle Sams Cider (11/12/2021) 02")</f>
        <v>Uncle Sams Cider (11/12/2021) 02</v>
      </c>
      <c r="H8097" s="19"/>
    </row>
    <row r="8098">
      <c r="A8098" s="9"/>
      <c r="B8098" s="15"/>
      <c r="C8098" s="9">
        <f>IFERROR(__xludf.DUMMYFUNCTION("""COMPUTED_VALUE"""),44520.1573843981)</f>
        <v>44520.15738</v>
      </c>
      <c r="D8098" s="15">
        <f>IFERROR(__xludf.DUMMYFUNCTION("""COMPUTED_VALUE"""),1.067)</f>
        <v>1.067</v>
      </c>
      <c r="E8098" s="16">
        <f>IFERROR(__xludf.DUMMYFUNCTION("""COMPUTED_VALUE"""),67.0)</f>
        <v>67</v>
      </c>
      <c r="F8098" s="19" t="str">
        <f>IFERROR(__xludf.DUMMYFUNCTION("""COMPUTED_VALUE"""),"BLACK")</f>
        <v>BLACK</v>
      </c>
      <c r="G8098" s="20" t="str">
        <f>IFERROR(__xludf.DUMMYFUNCTION("""COMPUTED_VALUE"""),"Uncle Sams Cider (11/12/2021) 02")</f>
        <v>Uncle Sams Cider (11/12/2021) 02</v>
      </c>
      <c r="H8098" s="19"/>
    </row>
    <row r="8099">
      <c r="A8099" s="9"/>
      <c r="B8099" s="15"/>
      <c r="C8099" s="9">
        <f>IFERROR(__xludf.DUMMYFUNCTION("""COMPUTED_VALUE"""),44520.1469630439)</f>
        <v>44520.14696</v>
      </c>
      <c r="D8099" s="15">
        <f>IFERROR(__xludf.DUMMYFUNCTION("""COMPUTED_VALUE"""),1.067)</f>
        <v>1.067</v>
      </c>
      <c r="E8099" s="16">
        <f>IFERROR(__xludf.DUMMYFUNCTION("""COMPUTED_VALUE"""),67.0)</f>
        <v>67</v>
      </c>
      <c r="F8099" s="19" t="str">
        <f>IFERROR(__xludf.DUMMYFUNCTION("""COMPUTED_VALUE"""),"BLACK")</f>
        <v>BLACK</v>
      </c>
      <c r="G8099" s="20" t="str">
        <f>IFERROR(__xludf.DUMMYFUNCTION("""COMPUTED_VALUE"""),"Uncle Sams Cider (11/12/2021) 02")</f>
        <v>Uncle Sams Cider (11/12/2021) 02</v>
      </c>
      <c r="H8099" s="19"/>
    </row>
    <row r="8100">
      <c r="A8100" s="9"/>
      <c r="B8100" s="15"/>
      <c r="C8100" s="9">
        <f>IFERROR(__xludf.DUMMYFUNCTION("""COMPUTED_VALUE"""),44520.1365426736)</f>
        <v>44520.13654</v>
      </c>
      <c r="D8100" s="15">
        <f>IFERROR(__xludf.DUMMYFUNCTION("""COMPUTED_VALUE"""),1.067)</f>
        <v>1.067</v>
      </c>
      <c r="E8100" s="16">
        <f>IFERROR(__xludf.DUMMYFUNCTION("""COMPUTED_VALUE"""),67.0)</f>
        <v>67</v>
      </c>
      <c r="F8100" s="19" t="str">
        <f>IFERROR(__xludf.DUMMYFUNCTION("""COMPUTED_VALUE"""),"BLACK")</f>
        <v>BLACK</v>
      </c>
      <c r="G8100" s="20" t="str">
        <f>IFERROR(__xludf.DUMMYFUNCTION("""COMPUTED_VALUE"""),"Uncle Sams Cider (11/12/2021) 02")</f>
        <v>Uncle Sams Cider (11/12/2021) 02</v>
      </c>
      <c r="H8100" s="19"/>
    </row>
    <row r="8101">
      <c r="A8101" s="9"/>
      <c r="B8101" s="15"/>
      <c r="C8101" s="9">
        <f>IFERROR(__xludf.DUMMYFUNCTION("""COMPUTED_VALUE"""),44520.1261097569)</f>
        <v>44520.12611</v>
      </c>
      <c r="D8101" s="15">
        <f>IFERROR(__xludf.DUMMYFUNCTION("""COMPUTED_VALUE"""),1.067)</f>
        <v>1.067</v>
      </c>
      <c r="E8101" s="16">
        <f>IFERROR(__xludf.DUMMYFUNCTION("""COMPUTED_VALUE"""),67.0)</f>
        <v>67</v>
      </c>
      <c r="F8101" s="19" t="str">
        <f>IFERROR(__xludf.DUMMYFUNCTION("""COMPUTED_VALUE"""),"BLACK")</f>
        <v>BLACK</v>
      </c>
      <c r="G8101" s="20" t="str">
        <f>IFERROR(__xludf.DUMMYFUNCTION("""COMPUTED_VALUE"""),"Uncle Sams Cider (11/12/2021) 02")</f>
        <v>Uncle Sams Cider (11/12/2021) 02</v>
      </c>
      <c r="H8101" s="19"/>
    </row>
    <row r="8102">
      <c r="A8102" s="9"/>
      <c r="B8102" s="15"/>
      <c r="C8102" s="9">
        <f>IFERROR(__xludf.DUMMYFUNCTION("""COMPUTED_VALUE"""),44520.1156876041)</f>
        <v>44520.11569</v>
      </c>
      <c r="D8102" s="15">
        <f>IFERROR(__xludf.DUMMYFUNCTION("""COMPUTED_VALUE"""),1.068)</f>
        <v>1.068</v>
      </c>
      <c r="E8102" s="16">
        <f>IFERROR(__xludf.DUMMYFUNCTION("""COMPUTED_VALUE"""),67.0)</f>
        <v>67</v>
      </c>
      <c r="F8102" s="19" t="str">
        <f>IFERROR(__xludf.DUMMYFUNCTION("""COMPUTED_VALUE"""),"BLACK")</f>
        <v>BLACK</v>
      </c>
      <c r="G8102" s="20" t="str">
        <f>IFERROR(__xludf.DUMMYFUNCTION("""COMPUTED_VALUE"""),"Uncle Sams Cider (11/12/2021) 02")</f>
        <v>Uncle Sams Cider (11/12/2021) 02</v>
      </c>
      <c r="H8102" s="19"/>
    </row>
    <row r="8103">
      <c r="A8103" s="9"/>
      <c r="B8103" s="15"/>
      <c r="C8103" s="9">
        <f>IFERROR(__xludf.DUMMYFUNCTION("""COMPUTED_VALUE"""),44520.1052670486)</f>
        <v>44520.10527</v>
      </c>
      <c r="D8103" s="15">
        <f>IFERROR(__xludf.DUMMYFUNCTION("""COMPUTED_VALUE"""),1.068)</f>
        <v>1.068</v>
      </c>
      <c r="E8103" s="16">
        <f>IFERROR(__xludf.DUMMYFUNCTION("""COMPUTED_VALUE"""),67.0)</f>
        <v>67</v>
      </c>
      <c r="F8103" s="19" t="str">
        <f>IFERROR(__xludf.DUMMYFUNCTION("""COMPUTED_VALUE"""),"BLACK")</f>
        <v>BLACK</v>
      </c>
      <c r="G8103" s="20" t="str">
        <f>IFERROR(__xludf.DUMMYFUNCTION("""COMPUTED_VALUE"""),"Uncle Sams Cider (11/12/2021) 02")</f>
        <v>Uncle Sams Cider (11/12/2021) 02</v>
      </c>
      <c r="H8103" s="19"/>
    </row>
    <row r="8104">
      <c r="A8104" s="9"/>
      <c r="B8104" s="15"/>
      <c r="C8104" s="9">
        <f>IFERROR(__xludf.DUMMYFUNCTION("""COMPUTED_VALUE"""),44520.0948462615)</f>
        <v>44520.09485</v>
      </c>
      <c r="D8104" s="15">
        <f>IFERROR(__xludf.DUMMYFUNCTION("""COMPUTED_VALUE"""),1.068)</f>
        <v>1.068</v>
      </c>
      <c r="E8104" s="16">
        <f>IFERROR(__xludf.DUMMYFUNCTION("""COMPUTED_VALUE"""),67.0)</f>
        <v>67</v>
      </c>
      <c r="F8104" s="19" t="str">
        <f>IFERROR(__xludf.DUMMYFUNCTION("""COMPUTED_VALUE"""),"BLACK")</f>
        <v>BLACK</v>
      </c>
      <c r="G8104" s="20" t="str">
        <f>IFERROR(__xludf.DUMMYFUNCTION("""COMPUTED_VALUE"""),"Uncle Sams Cider (11/12/2021) 02")</f>
        <v>Uncle Sams Cider (11/12/2021) 02</v>
      </c>
      <c r="H8104" s="19"/>
    </row>
    <row r="8105">
      <c r="A8105" s="9"/>
      <c r="B8105" s="15"/>
      <c r="C8105" s="9">
        <f>IFERROR(__xludf.DUMMYFUNCTION("""COMPUTED_VALUE"""),44520.0844256712)</f>
        <v>44520.08443</v>
      </c>
      <c r="D8105" s="15">
        <f>IFERROR(__xludf.DUMMYFUNCTION("""COMPUTED_VALUE"""),1.068)</f>
        <v>1.068</v>
      </c>
      <c r="E8105" s="16">
        <f>IFERROR(__xludf.DUMMYFUNCTION("""COMPUTED_VALUE"""),67.0)</f>
        <v>67</v>
      </c>
      <c r="F8105" s="19" t="str">
        <f>IFERROR(__xludf.DUMMYFUNCTION("""COMPUTED_VALUE"""),"BLACK")</f>
        <v>BLACK</v>
      </c>
      <c r="G8105" s="20" t="str">
        <f>IFERROR(__xludf.DUMMYFUNCTION("""COMPUTED_VALUE"""),"Uncle Sams Cider (11/12/2021) 02")</f>
        <v>Uncle Sams Cider (11/12/2021) 02</v>
      </c>
      <c r="H8105" s="19"/>
    </row>
    <row r="8106">
      <c r="A8106" s="9"/>
      <c r="B8106" s="15"/>
      <c r="C8106" s="9">
        <f>IFERROR(__xludf.DUMMYFUNCTION("""COMPUTED_VALUE"""),44520.0740041435)</f>
        <v>44520.074</v>
      </c>
      <c r="D8106" s="15">
        <f>IFERROR(__xludf.DUMMYFUNCTION("""COMPUTED_VALUE"""),1.068)</f>
        <v>1.068</v>
      </c>
      <c r="E8106" s="16">
        <f>IFERROR(__xludf.DUMMYFUNCTION("""COMPUTED_VALUE"""),67.0)</f>
        <v>67</v>
      </c>
      <c r="F8106" s="19" t="str">
        <f>IFERROR(__xludf.DUMMYFUNCTION("""COMPUTED_VALUE"""),"BLACK")</f>
        <v>BLACK</v>
      </c>
      <c r="G8106" s="20" t="str">
        <f>IFERROR(__xludf.DUMMYFUNCTION("""COMPUTED_VALUE"""),"Uncle Sams Cider (11/12/2021) 02")</f>
        <v>Uncle Sams Cider (11/12/2021) 02</v>
      </c>
      <c r="H8106" s="19"/>
    </row>
    <row r="8107">
      <c r="A8107" s="9"/>
      <c r="B8107" s="15"/>
      <c r="C8107" s="9">
        <f>IFERROR(__xludf.DUMMYFUNCTION("""COMPUTED_VALUE"""),44520.0635827777)</f>
        <v>44520.06358</v>
      </c>
      <c r="D8107" s="15">
        <f>IFERROR(__xludf.DUMMYFUNCTION("""COMPUTED_VALUE"""),1.068)</f>
        <v>1.068</v>
      </c>
      <c r="E8107" s="16">
        <f>IFERROR(__xludf.DUMMYFUNCTION("""COMPUTED_VALUE"""),67.0)</f>
        <v>67</v>
      </c>
      <c r="F8107" s="19" t="str">
        <f>IFERROR(__xludf.DUMMYFUNCTION("""COMPUTED_VALUE"""),"BLACK")</f>
        <v>BLACK</v>
      </c>
      <c r="G8107" s="20" t="str">
        <f>IFERROR(__xludf.DUMMYFUNCTION("""COMPUTED_VALUE"""),"Uncle Sams Cider (11/12/2021) 02")</f>
        <v>Uncle Sams Cider (11/12/2021) 02</v>
      </c>
      <c r="H8107" s="19"/>
    </row>
    <row r="8108">
      <c r="A8108" s="9"/>
      <c r="B8108" s="15"/>
      <c r="C8108" s="9">
        <f>IFERROR(__xludf.DUMMYFUNCTION("""COMPUTED_VALUE"""),44520.0531613425)</f>
        <v>44520.05316</v>
      </c>
      <c r="D8108" s="15">
        <f>IFERROR(__xludf.DUMMYFUNCTION("""COMPUTED_VALUE"""),1.068)</f>
        <v>1.068</v>
      </c>
      <c r="E8108" s="16">
        <f>IFERROR(__xludf.DUMMYFUNCTION("""COMPUTED_VALUE"""),67.0)</f>
        <v>67</v>
      </c>
      <c r="F8108" s="19" t="str">
        <f>IFERROR(__xludf.DUMMYFUNCTION("""COMPUTED_VALUE"""),"BLACK")</f>
        <v>BLACK</v>
      </c>
      <c r="G8108" s="20" t="str">
        <f>IFERROR(__xludf.DUMMYFUNCTION("""COMPUTED_VALUE"""),"Uncle Sams Cider (11/12/2021) 02")</f>
        <v>Uncle Sams Cider (11/12/2021) 02</v>
      </c>
      <c r="H8108" s="19"/>
    </row>
    <row r="8109">
      <c r="A8109" s="9"/>
      <c r="B8109" s="15"/>
      <c r="C8109" s="9">
        <f>IFERROR(__xludf.DUMMYFUNCTION("""COMPUTED_VALUE"""),44520.0427386458)</f>
        <v>44520.04274</v>
      </c>
      <c r="D8109" s="15">
        <f>IFERROR(__xludf.DUMMYFUNCTION("""COMPUTED_VALUE"""),1.068)</f>
        <v>1.068</v>
      </c>
      <c r="E8109" s="16">
        <f>IFERROR(__xludf.DUMMYFUNCTION("""COMPUTED_VALUE"""),67.0)</f>
        <v>67</v>
      </c>
      <c r="F8109" s="19" t="str">
        <f>IFERROR(__xludf.DUMMYFUNCTION("""COMPUTED_VALUE"""),"BLACK")</f>
        <v>BLACK</v>
      </c>
      <c r="G8109" s="20" t="str">
        <f>IFERROR(__xludf.DUMMYFUNCTION("""COMPUTED_VALUE"""),"Uncle Sams Cider (11/12/2021) 02")</f>
        <v>Uncle Sams Cider (11/12/2021) 02</v>
      </c>
      <c r="H8109" s="19"/>
    </row>
    <row r="8110">
      <c r="A8110" s="9"/>
      <c r="B8110" s="15"/>
      <c r="C8110" s="9">
        <f>IFERROR(__xludf.DUMMYFUNCTION("""COMPUTED_VALUE"""),44520.0323037384)</f>
        <v>44520.0323</v>
      </c>
      <c r="D8110" s="15">
        <f>IFERROR(__xludf.DUMMYFUNCTION("""COMPUTED_VALUE"""),1.068)</f>
        <v>1.068</v>
      </c>
      <c r="E8110" s="16">
        <f>IFERROR(__xludf.DUMMYFUNCTION("""COMPUTED_VALUE"""),67.0)</f>
        <v>67</v>
      </c>
      <c r="F8110" s="19" t="str">
        <f>IFERROR(__xludf.DUMMYFUNCTION("""COMPUTED_VALUE"""),"BLACK")</f>
        <v>BLACK</v>
      </c>
      <c r="G8110" s="20" t="str">
        <f>IFERROR(__xludf.DUMMYFUNCTION("""COMPUTED_VALUE"""),"Uncle Sams Cider (11/12/2021) 02")</f>
        <v>Uncle Sams Cider (11/12/2021) 02</v>
      </c>
      <c r="H8110" s="19"/>
    </row>
    <row r="8111">
      <c r="A8111" s="9"/>
      <c r="B8111" s="15"/>
      <c r="C8111" s="9">
        <f>IFERROR(__xludf.DUMMYFUNCTION("""COMPUTED_VALUE"""),44520.0218835069)</f>
        <v>44520.02188</v>
      </c>
      <c r="D8111" s="15">
        <f>IFERROR(__xludf.DUMMYFUNCTION("""COMPUTED_VALUE"""),1.068)</f>
        <v>1.068</v>
      </c>
      <c r="E8111" s="16">
        <f>IFERROR(__xludf.DUMMYFUNCTION("""COMPUTED_VALUE"""),67.0)</f>
        <v>67</v>
      </c>
      <c r="F8111" s="19" t="str">
        <f>IFERROR(__xludf.DUMMYFUNCTION("""COMPUTED_VALUE"""),"BLACK")</f>
        <v>BLACK</v>
      </c>
      <c r="G8111" s="20" t="str">
        <f>IFERROR(__xludf.DUMMYFUNCTION("""COMPUTED_VALUE"""),"Uncle Sams Cider (11/12/2021) 02")</f>
        <v>Uncle Sams Cider (11/12/2021) 02</v>
      </c>
      <c r="H8111" s="19"/>
    </row>
    <row r="8112">
      <c r="A8112" s="9"/>
      <c r="B8112" s="15"/>
      <c r="C8112" s="9">
        <f>IFERROR(__xludf.DUMMYFUNCTION("""COMPUTED_VALUE"""),44520.0114612963)</f>
        <v>44520.01146</v>
      </c>
      <c r="D8112" s="15">
        <f>IFERROR(__xludf.DUMMYFUNCTION("""COMPUTED_VALUE"""),1.068)</f>
        <v>1.068</v>
      </c>
      <c r="E8112" s="16">
        <f>IFERROR(__xludf.DUMMYFUNCTION("""COMPUTED_VALUE"""),67.0)</f>
        <v>67</v>
      </c>
      <c r="F8112" s="19" t="str">
        <f>IFERROR(__xludf.DUMMYFUNCTION("""COMPUTED_VALUE"""),"BLACK")</f>
        <v>BLACK</v>
      </c>
      <c r="G8112" s="20" t="str">
        <f>IFERROR(__xludf.DUMMYFUNCTION("""COMPUTED_VALUE"""),"Uncle Sams Cider (11/12/2021) 02")</f>
        <v>Uncle Sams Cider (11/12/2021) 02</v>
      </c>
      <c r="H8112" s="19"/>
    </row>
    <row r="8113">
      <c r="A8113" s="9"/>
      <c r="B8113" s="15"/>
      <c r="C8113" s="9">
        <f>IFERROR(__xludf.DUMMYFUNCTION("""COMPUTED_VALUE"""),44520.0010399768)</f>
        <v>44520.00104</v>
      </c>
      <c r="D8113" s="15">
        <f>IFERROR(__xludf.DUMMYFUNCTION("""COMPUTED_VALUE"""),1.068)</f>
        <v>1.068</v>
      </c>
      <c r="E8113" s="16">
        <f>IFERROR(__xludf.DUMMYFUNCTION("""COMPUTED_VALUE"""),67.0)</f>
        <v>67</v>
      </c>
      <c r="F8113" s="19" t="str">
        <f>IFERROR(__xludf.DUMMYFUNCTION("""COMPUTED_VALUE"""),"BLACK")</f>
        <v>BLACK</v>
      </c>
      <c r="G8113" s="20" t="str">
        <f>IFERROR(__xludf.DUMMYFUNCTION("""COMPUTED_VALUE"""),"Uncle Sams Cider (11/12/2021) 02")</f>
        <v>Uncle Sams Cider (11/12/2021) 02</v>
      </c>
      <c r="H8113" s="19"/>
    </row>
    <row r="8114">
      <c r="A8114" s="9"/>
      <c r="B8114" s="15"/>
      <c r="C8114" s="9">
        <f>IFERROR(__xludf.DUMMYFUNCTION("""COMPUTED_VALUE"""),44519.9906187499)</f>
        <v>44519.99062</v>
      </c>
      <c r="D8114" s="15">
        <f>IFERROR(__xludf.DUMMYFUNCTION("""COMPUTED_VALUE"""),1.068)</f>
        <v>1.068</v>
      </c>
      <c r="E8114" s="16">
        <f>IFERROR(__xludf.DUMMYFUNCTION("""COMPUTED_VALUE"""),67.0)</f>
        <v>67</v>
      </c>
      <c r="F8114" s="19" t="str">
        <f>IFERROR(__xludf.DUMMYFUNCTION("""COMPUTED_VALUE"""),"BLACK")</f>
        <v>BLACK</v>
      </c>
      <c r="G8114" s="20" t="str">
        <f>IFERROR(__xludf.DUMMYFUNCTION("""COMPUTED_VALUE"""),"Uncle Sams Cider (11/12/2021) 02")</f>
        <v>Uncle Sams Cider (11/12/2021) 02</v>
      </c>
      <c r="H8114" s="19"/>
    </row>
    <row r="8115">
      <c r="A8115" s="9"/>
      <c r="B8115" s="15"/>
      <c r="C8115" s="9">
        <f>IFERROR(__xludf.DUMMYFUNCTION("""COMPUTED_VALUE"""),44519.9801963888)</f>
        <v>44519.9802</v>
      </c>
      <c r="D8115" s="15">
        <f>IFERROR(__xludf.DUMMYFUNCTION("""COMPUTED_VALUE"""),1.068)</f>
        <v>1.068</v>
      </c>
      <c r="E8115" s="16">
        <f>IFERROR(__xludf.DUMMYFUNCTION("""COMPUTED_VALUE"""),67.0)</f>
        <v>67</v>
      </c>
      <c r="F8115" s="19" t="str">
        <f>IFERROR(__xludf.DUMMYFUNCTION("""COMPUTED_VALUE"""),"BLACK")</f>
        <v>BLACK</v>
      </c>
      <c r="G8115" s="20" t="str">
        <f>IFERROR(__xludf.DUMMYFUNCTION("""COMPUTED_VALUE"""),"Uncle Sams Cider (11/12/2021) 02")</f>
        <v>Uncle Sams Cider (11/12/2021) 02</v>
      </c>
      <c r="H8115" s="19"/>
    </row>
    <row r="8116">
      <c r="A8116" s="9"/>
      <c r="B8116" s="15"/>
      <c r="C8116" s="9">
        <f>IFERROR(__xludf.DUMMYFUNCTION("""COMPUTED_VALUE"""),44519.9697517245)</f>
        <v>44519.96975</v>
      </c>
      <c r="D8116" s="15">
        <f>IFERROR(__xludf.DUMMYFUNCTION("""COMPUTED_VALUE"""),1.068)</f>
        <v>1.068</v>
      </c>
      <c r="E8116" s="16">
        <f>IFERROR(__xludf.DUMMYFUNCTION("""COMPUTED_VALUE"""),67.0)</f>
        <v>67</v>
      </c>
      <c r="F8116" s="19" t="str">
        <f>IFERROR(__xludf.DUMMYFUNCTION("""COMPUTED_VALUE"""),"BLACK")</f>
        <v>BLACK</v>
      </c>
      <c r="G8116" s="20" t="str">
        <f>IFERROR(__xludf.DUMMYFUNCTION("""COMPUTED_VALUE"""),"Uncle Sams Cider (11/12/2021) 02")</f>
        <v>Uncle Sams Cider (11/12/2021) 02</v>
      </c>
      <c r="H8116" s="19"/>
    </row>
    <row r="8117">
      <c r="A8117" s="9"/>
      <c r="B8117" s="15"/>
      <c r="C8117" s="9">
        <f>IFERROR(__xludf.DUMMYFUNCTION("""COMPUTED_VALUE"""),44519.9593305324)</f>
        <v>44519.95933</v>
      </c>
      <c r="D8117" s="15">
        <f>IFERROR(__xludf.DUMMYFUNCTION("""COMPUTED_VALUE"""),1.068)</f>
        <v>1.068</v>
      </c>
      <c r="E8117" s="16">
        <f>IFERROR(__xludf.DUMMYFUNCTION("""COMPUTED_VALUE"""),67.0)</f>
        <v>67</v>
      </c>
      <c r="F8117" s="19" t="str">
        <f>IFERROR(__xludf.DUMMYFUNCTION("""COMPUTED_VALUE"""),"BLACK")</f>
        <v>BLACK</v>
      </c>
      <c r="G8117" s="20" t="str">
        <f>IFERROR(__xludf.DUMMYFUNCTION("""COMPUTED_VALUE"""),"Uncle Sams Cider (11/12/2021) 02")</f>
        <v>Uncle Sams Cider (11/12/2021) 02</v>
      </c>
      <c r="H8117" s="19"/>
    </row>
    <row r="8118">
      <c r="A8118" s="9"/>
      <c r="B8118" s="15"/>
      <c r="C8118" s="9">
        <f>IFERROR(__xludf.DUMMYFUNCTION("""COMPUTED_VALUE"""),44519.9489097338)</f>
        <v>44519.94891</v>
      </c>
      <c r="D8118" s="15">
        <f>IFERROR(__xludf.DUMMYFUNCTION("""COMPUTED_VALUE"""),1.068)</f>
        <v>1.068</v>
      </c>
      <c r="E8118" s="16">
        <f>IFERROR(__xludf.DUMMYFUNCTION("""COMPUTED_VALUE"""),67.0)</f>
        <v>67</v>
      </c>
      <c r="F8118" s="19" t="str">
        <f>IFERROR(__xludf.DUMMYFUNCTION("""COMPUTED_VALUE"""),"BLACK")</f>
        <v>BLACK</v>
      </c>
      <c r="G8118" s="20" t="str">
        <f>IFERROR(__xludf.DUMMYFUNCTION("""COMPUTED_VALUE"""),"Uncle Sams Cider (11/12/2021) 02")</f>
        <v>Uncle Sams Cider (11/12/2021) 02</v>
      </c>
      <c r="H8118" s="19"/>
    </row>
    <row r="8119">
      <c r="A8119" s="9"/>
      <c r="B8119" s="15"/>
      <c r="C8119" s="9">
        <f>IFERROR(__xludf.DUMMYFUNCTION("""COMPUTED_VALUE"""),44519.9384887731)</f>
        <v>44519.93849</v>
      </c>
      <c r="D8119" s="15">
        <f>IFERROR(__xludf.DUMMYFUNCTION("""COMPUTED_VALUE"""),1.069)</f>
        <v>1.069</v>
      </c>
      <c r="E8119" s="16">
        <f>IFERROR(__xludf.DUMMYFUNCTION("""COMPUTED_VALUE"""),67.0)</f>
        <v>67</v>
      </c>
      <c r="F8119" s="19" t="str">
        <f>IFERROR(__xludf.DUMMYFUNCTION("""COMPUTED_VALUE"""),"BLACK")</f>
        <v>BLACK</v>
      </c>
      <c r="G8119" s="20" t="str">
        <f>IFERROR(__xludf.DUMMYFUNCTION("""COMPUTED_VALUE"""),"Uncle Sams Cider (11/12/2021) 02")</f>
        <v>Uncle Sams Cider (11/12/2021) 02</v>
      </c>
      <c r="H8119" s="19"/>
    </row>
    <row r="8120">
      <c r="A8120" s="9"/>
      <c r="B8120" s="15"/>
      <c r="C8120" s="9">
        <f>IFERROR(__xludf.DUMMYFUNCTION("""COMPUTED_VALUE"""),44519.928067824)</f>
        <v>44519.92807</v>
      </c>
      <c r="D8120" s="15">
        <f>IFERROR(__xludf.DUMMYFUNCTION("""COMPUTED_VALUE"""),1.069)</f>
        <v>1.069</v>
      </c>
      <c r="E8120" s="16">
        <f>IFERROR(__xludf.DUMMYFUNCTION("""COMPUTED_VALUE"""),67.0)</f>
        <v>67</v>
      </c>
      <c r="F8120" s="19" t="str">
        <f>IFERROR(__xludf.DUMMYFUNCTION("""COMPUTED_VALUE"""),"BLACK")</f>
        <v>BLACK</v>
      </c>
      <c r="G8120" s="20" t="str">
        <f>IFERROR(__xludf.DUMMYFUNCTION("""COMPUTED_VALUE"""),"Uncle Sams Cider (11/12/2021) 02")</f>
        <v>Uncle Sams Cider (11/12/2021) 02</v>
      </c>
      <c r="H8120" s="19"/>
    </row>
    <row r="8121">
      <c r="A8121" s="9"/>
      <c r="B8121" s="15"/>
      <c r="C8121" s="9">
        <f>IFERROR(__xludf.DUMMYFUNCTION("""COMPUTED_VALUE"""),44519.9176490393)</f>
        <v>44519.91765</v>
      </c>
      <c r="D8121" s="15">
        <f>IFERROR(__xludf.DUMMYFUNCTION("""COMPUTED_VALUE"""),1.069)</f>
        <v>1.069</v>
      </c>
      <c r="E8121" s="16">
        <f>IFERROR(__xludf.DUMMYFUNCTION("""COMPUTED_VALUE"""),67.0)</f>
        <v>67</v>
      </c>
      <c r="F8121" s="19" t="str">
        <f>IFERROR(__xludf.DUMMYFUNCTION("""COMPUTED_VALUE"""),"BLACK")</f>
        <v>BLACK</v>
      </c>
      <c r="G8121" s="20" t="str">
        <f>IFERROR(__xludf.DUMMYFUNCTION("""COMPUTED_VALUE"""),"Uncle Sams Cider (11/12/2021) 02")</f>
        <v>Uncle Sams Cider (11/12/2021) 02</v>
      </c>
      <c r="H8121" s="19"/>
    </row>
    <row r="8122">
      <c r="A8122" s="9"/>
      <c r="B8122" s="15"/>
      <c r="C8122" s="9">
        <f>IFERROR(__xludf.DUMMYFUNCTION("""COMPUTED_VALUE"""),44519.9072268055)</f>
        <v>44519.90723</v>
      </c>
      <c r="D8122" s="15">
        <f>IFERROR(__xludf.DUMMYFUNCTION("""COMPUTED_VALUE"""),1.069)</f>
        <v>1.069</v>
      </c>
      <c r="E8122" s="16">
        <f>IFERROR(__xludf.DUMMYFUNCTION("""COMPUTED_VALUE"""),67.0)</f>
        <v>67</v>
      </c>
      <c r="F8122" s="19" t="str">
        <f>IFERROR(__xludf.DUMMYFUNCTION("""COMPUTED_VALUE"""),"BLACK")</f>
        <v>BLACK</v>
      </c>
      <c r="G8122" s="20" t="str">
        <f>IFERROR(__xludf.DUMMYFUNCTION("""COMPUTED_VALUE"""),"Uncle Sams Cider (11/12/2021) 02")</f>
        <v>Uncle Sams Cider (11/12/2021) 02</v>
      </c>
      <c r="H8122" s="19"/>
    </row>
    <row r="8123">
      <c r="A8123" s="9"/>
      <c r="B8123" s="15"/>
      <c r="C8123" s="9">
        <f>IFERROR(__xludf.DUMMYFUNCTION("""COMPUTED_VALUE"""),44519.896795162)</f>
        <v>44519.8968</v>
      </c>
      <c r="D8123" s="15">
        <f>IFERROR(__xludf.DUMMYFUNCTION("""COMPUTED_VALUE"""),1.069)</f>
        <v>1.069</v>
      </c>
      <c r="E8123" s="16">
        <f>IFERROR(__xludf.DUMMYFUNCTION("""COMPUTED_VALUE"""),67.0)</f>
        <v>67</v>
      </c>
      <c r="F8123" s="19" t="str">
        <f>IFERROR(__xludf.DUMMYFUNCTION("""COMPUTED_VALUE"""),"BLACK")</f>
        <v>BLACK</v>
      </c>
      <c r="G8123" s="20" t="str">
        <f>IFERROR(__xludf.DUMMYFUNCTION("""COMPUTED_VALUE"""),"Uncle Sams Cider (11/12/2021) 02")</f>
        <v>Uncle Sams Cider (11/12/2021) 02</v>
      </c>
      <c r="H8123" s="19"/>
    </row>
    <row r="8124">
      <c r="A8124" s="9"/>
      <c r="B8124" s="15"/>
      <c r="C8124" s="9">
        <f>IFERROR(__xludf.DUMMYFUNCTION("""COMPUTED_VALUE"""),44519.8863733333)</f>
        <v>44519.88637</v>
      </c>
      <c r="D8124" s="15">
        <f>IFERROR(__xludf.DUMMYFUNCTION("""COMPUTED_VALUE"""),1.069)</f>
        <v>1.069</v>
      </c>
      <c r="E8124" s="16">
        <f>IFERROR(__xludf.DUMMYFUNCTION("""COMPUTED_VALUE"""),67.0)</f>
        <v>67</v>
      </c>
      <c r="F8124" s="19" t="str">
        <f>IFERROR(__xludf.DUMMYFUNCTION("""COMPUTED_VALUE"""),"BLACK")</f>
        <v>BLACK</v>
      </c>
      <c r="G8124" s="20" t="str">
        <f>IFERROR(__xludf.DUMMYFUNCTION("""COMPUTED_VALUE"""),"Uncle Sams Cider (11/12/2021) 02")</f>
        <v>Uncle Sams Cider (11/12/2021) 02</v>
      </c>
      <c r="H8124" s="19"/>
    </row>
    <row r="8125">
      <c r="A8125" s="9"/>
      <c r="B8125" s="15"/>
      <c r="C8125" s="9">
        <f>IFERROR(__xludf.DUMMYFUNCTION("""COMPUTED_VALUE"""),44519.8759522222)</f>
        <v>44519.87595</v>
      </c>
      <c r="D8125" s="15">
        <f>IFERROR(__xludf.DUMMYFUNCTION("""COMPUTED_VALUE"""),1.069)</f>
        <v>1.069</v>
      </c>
      <c r="E8125" s="16">
        <f>IFERROR(__xludf.DUMMYFUNCTION("""COMPUTED_VALUE"""),67.0)</f>
        <v>67</v>
      </c>
      <c r="F8125" s="19" t="str">
        <f>IFERROR(__xludf.DUMMYFUNCTION("""COMPUTED_VALUE"""),"BLACK")</f>
        <v>BLACK</v>
      </c>
      <c r="G8125" s="20" t="str">
        <f>IFERROR(__xludf.DUMMYFUNCTION("""COMPUTED_VALUE"""),"Uncle Sams Cider (11/12/2021) 02")</f>
        <v>Uncle Sams Cider (11/12/2021) 02</v>
      </c>
      <c r="H8125" s="19"/>
    </row>
    <row r="8126">
      <c r="A8126" s="9"/>
      <c r="B8126" s="15"/>
      <c r="C8126" s="9">
        <f>IFERROR(__xludf.DUMMYFUNCTION("""COMPUTED_VALUE"""),44519.865530868)</f>
        <v>44519.86553</v>
      </c>
      <c r="D8126" s="15">
        <f>IFERROR(__xludf.DUMMYFUNCTION("""COMPUTED_VALUE"""),1.069)</f>
        <v>1.069</v>
      </c>
      <c r="E8126" s="16">
        <f>IFERROR(__xludf.DUMMYFUNCTION("""COMPUTED_VALUE"""),66.0)</f>
        <v>66</v>
      </c>
      <c r="F8126" s="19" t="str">
        <f>IFERROR(__xludf.DUMMYFUNCTION("""COMPUTED_VALUE"""),"BLACK")</f>
        <v>BLACK</v>
      </c>
      <c r="G8126" s="20" t="str">
        <f>IFERROR(__xludf.DUMMYFUNCTION("""COMPUTED_VALUE"""),"Uncle Sams Cider (11/12/2021) 02")</f>
        <v>Uncle Sams Cider (11/12/2021) 02</v>
      </c>
      <c r="H8126" s="19"/>
    </row>
    <row r="8127">
      <c r="A8127" s="9"/>
      <c r="B8127" s="15"/>
      <c r="C8127" s="9">
        <f>IFERROR(__xludf.DUMMYFUNCTION("""COMPUTED_VALUE"""),44519.8551097916)</f>
        <v>44519.85511</v>
      </c>
      <c r="D8127" s="15">
        <f>IFERROR(__xludf.DUMMYFUNCTION("""COMPUTED_VALUE"""),1.069)</f>
        <v>1.069</v>
      </c>
      <c r="E8127" s="16">
        <f>IFERROR(__xludf.DUMMYFUNCTION("""COMPUTED_VALUE"""),67.0)</f>
        <v>67</v>
      </c>
      <c r="F8127" s="19" t="str">
        <f>IFERROR(__xludf.DUMMYFUNCTION("""COMPUTED_VALUE"""),"BLACK")</f>
        <v>BLACK</v>
      </c>
      <c r="G8127" s="20" t="str">
        <f>IFERROR(__xludf.DUMMYFUNCTION("""COMPUTED_VALUE"""),"Uncle Sams Cider (11/12/2021) 02")</f>
        <v>Uncle Sams Cider (11/12/2021) 02</v>
      </c>
      <c r="H8127" s="19"/>
    </row>
    <row r="8128">
      <c r="A8128" s="9"/>
      <c r="B8128" s="15"/>
      <c r="C8128" s="9">
        <f>IFERROR(__xludf.DUMMYFUNCTION("""COMPUTED_VALUE"""),44519.8446875462)</f>
        <v>44519.84469</v>
      </c>
      <c r="D8128" s="15">
        <f>IFERROR(__xludf.DUMMYFUNCTION("""COMPUTED_VALUE"""),1.069)</f>
        <v>1.069</v>
      </c>
      <c r="E8128" s="16">
        <f>IFERROR(__xludf.DUMMYFUNCTION("""COMPUTED_VALUE"""),67.0)</f>
        <v>67</v>
      </c>
      <c r="F8128" s="19" t="str">
        <f>IFERROR(__xludf.DUMMYFUNCTION("""COMPUTED_VALUE"""),"BLACK")</f>
        <v>BLACK</v>
      </c>
      <c r="G8128" s="20" t="str">
        <f>IFERROR(__xludf.DUMMYFUNCTION("""COMPUTED_VALUE"""),"Uncle Sams Cider (11/12/2021) 02")</f>
        <v>Uncle Sams Cider (11/12/2021) 02</v>
      </c>
      <c r="H8128" s="19"/>
    </row>
    <row r="8129">
      <c r="A8129" s="9"/>
      <c r="B8129" s="15"/>
      <c r="C8129" s="9">
        <f>IFERROR(__xludf.DUMMYFUNCTION("""COMPUTED_VALUE"""),44519.834266493)</f>
        <v>44519.83427</v>
      </c>
      <c r="D8129" s="15">
        <f>IFERROR(__xludf.DUMMYFUNCTION("""COMPUTED_VALUE"""),1.069)</f>
        <v>1.069</v>
      </c>
      <c r="E8129" s="16">
        <f>IFERROR(__xludf.DUMMYFUNCTION("""COMPUTED_VALUE"""),66.0)</f>
        <v>66</v>
      </c>
      <c r="F8129" s="19" t="str">
        <f>IFERROR(__xludf.DUMMYFUNCTION("""COMPUTED_VALUE"""),"BLACK")</f>
        <v>BLACK</v>
      </c>
      <c r="G8129" s="20" t="str">
        <f>IFERROR(__xludf.DUMMYFUNCTION("""COMPUTED_VALUE"""),"Uncle Sams Cider (11/12/2021) 02")</f>
        <v>Uncle Sams Cider (11/12/2021) 02</v>
      </c>
      <c r="H8129" s="19"/>
    </row>
    <row r="8130">
      <c r="A8130" s="9"/>
      <c r="B8130" s="15"/>
      <c r="C8130" s="9">
        <f>IFERROR(__xludf.DUMMYFUNCTION("""COMPUTED_VALUE"""),44519.8238337037)</f>
        <v>44519.82383</v>
      </c>
      <c r="D8130" s="15">
        <f>IFERROR(__xludf.DUMMYFUNCTION("""COMPUTED_VALUE"""),1.069)</f>
        <v>1.069</v>
      </c>
      <c r="E8130" s="16">
        <f>IFERROR(__xludf.DUMMYFUNCTION("""COMPUTED_VALUE"""),66.0)</f>
        <v>66</v>
      </c>
      <c r="F8130" s="19" t="str">
        <f>IFERROR(__xludf.DUMMYFUNCTION("""COMPUTED_VALUE"""),"BLACK")</f>
        <v>BLACK</v>
      </c>
      <c r="G8130" s="20" t="str">
        <f>IFERROR(__xludf.DUMMYFUNCTION("""COMPUTED_VALUE"""),"Uncle Sams Cider (11/12/2021) 02")</f>
        <v>Uncle Sams Cider (11/12/2021) 02</v>
      </c>
      <c r="H8130" s="19"/>
    </row>
    <row r="8131">
      <c r="A8131" s="9"/>
      <c r="B8131" s="15"/>
      <c r="C8131" s="9">
        <f>IFERROR(__xludf.DUMMYFUNCTION("""COMPUTED_VALUE"""),44519.8134132291)</f>
        <v>44519.81341</v>
      </c>
      <c r="D8131" s="15">
        <f>IFERROR(__xludf.DUMMYFUNCTION("""COMPUTED_VALUE"""),1.069)</f>
        <v>1.069</v>
      </c>
      <c r="E8131" s="16">
        <f>IFERROR(__xludf.DUMMYFUNCTION("""COMPUTED_VALUE"""),67.0)</f>
        <v>67</v>
      </c>
      <c r="F8131" s="19" t="str">
        <f>IFERROR(__xludf.DUMMYFUNCTION("""COMPUTED_VALUE"""),"BLACK")</f>
        <v>BLACK</v>
      </c>
      <c r="G8131" s="20" t="str">
        <f>IFERROR(__xludf.DUMMYFUNCTION("""COMPUTED_VALUE"""),"Uncle Sams Cider (11/12/2021) 02")</f>
        <v>Uncle Sams Cider (11/12/2021) 02</v>
      </c>
      <c r="H8131" s="19"/>
    </row>
    <row r="8132">
      <c r="A8132" s="9"/>
      <c r="B8132" s="15"/>
      <c r="C8132" s="9">
        <f>IFERROR(__xludf.DUMMYFUNCTION("""COMPUTED_VALUE"""),44519.8029917476)</f>
        <v>44519.80299</v>
      </c>
      <c r="D8132" s="15">
        <f>IFERROR(__xludf.DUMMYFUNCTION("""COMPUTED_VALUE"""),1.069)</f>
        <v>1.069</v>
      </c>
      <c r="E8132" s="16">
        <f>IFERROR(__xludf.DUMMYFUNCTION("""COMPUTED_VALUE"""),66.0)</f>
        <v>66</v>
      </c>
      <c r="F8132" s="19" t="str">
        <f>IFERROR(__xludf.DUMMYFUNCTION("""COMPUTED_VALUE"""),"BLACK")</f>
        <v>BLACK</v>
      </c>
      <c r="G8132" s="20" t="str">
        <f>IFERROR(__xludf.DUMMYFUNCTION("""COMPUTED_VALUE"""),"Uncle Sams Cider (11/12/2021) 02")</f>
        <v>Uncle Sams Cider (11/12/2021) 02</v>
      </c>
      <c r="H8132" s="19"/>
    </row>
    <row r="8133">
      <c r="A8133" s="9"/>
      <c r="B8133" s="15"/>
      <c r="C8133" s="9">
        <f>IFERROR(__xludf.DUMMYFUNCTION("""COMPUTED_VALUE"""),44519.7925713888)</f>
        <v>44519.79257</v>
      </c>
      <c r="D8133" s="15">
        <f>IFERROR(__xludf.DUMMYFUNCTION("""COMPUTED_VALUE"""),1.069)</f>
        <v>1.069</v>
      </c>
      <c r="E8133" s="16">
        <f>IFERROR(__xludf.DUMMYFUNCTION("""COMPUTED_VALUE"""),66.0)</f>
        <v>66</v>
      </c>
      <c r="F8133" s="19" t="str">
        <f>IFERROR(__xludf.DUMMYFUNCTION("""COMPUTED_VALUE"""),"BLACK")</f>
        <v>BLACK</v>
      </c>
      <c r="G8133" s="20" t="str">
        <f>IFERROR(__xludf.DUMMYFUNCTION("""COMPUTED_VALUE"""),"Uncle Sams Cider (11/12/2021) 02")</f>
        <v>Uncle Sams Cider (11/12/2021) 02</v>
      </c>
      <c r="H8133" s="19"/>
    </row>
    <row r="8134">
      <c r="A8134" s="9"/>
      <c r="B8134" s="15"/>
      <c r="C8134" s="9">
        <f>IFERROR(__xludf.DUMMYFUNCTION("""COMPUTED_VALUE"""),44519.7821511574)</f>
        <v>44519.78215</v>
      </c>
      <c r="D8134" s="15">
        <f>IFERROR(__xludf.DUMMYFUNCTION("""COMPUTED_VALUE"""),1.069)</f>
        <v>1.069</v>
      </c>
      <c r="E8134" s="16">
        <f>IFERROR(__xludf.DUMMYFUNCTION("""COMPUTED_VALUE"""),66.0)</f>
        <v>66</v>
      </c>
      <c r="F8134" s="19" t="str">
        <f>IFERROR(__xludf.DUMMYFUNCTION("""COMPUTED_VALUE"""),"BLACK")</f>
        <v>BLACK</v>
      </c>
      <c r="G8134" s="20" t="str">
        <f>IFERROR(__xludf.DUMMYFUNCTION("""COMPUTED_VALUE"""),"Uncle Sams Cider (11/12/2021) 02")</f>
        <v>Uncle Sams Cider (11/12/2021) 02</v>
      </c>
      <c r="H8134" s="19"/>
    </row>
    <row r="8135">
      <c r="A8135" s="9"/>
      <c r="B8135" s="15"/>
      <c r="C8135" s="9">
        <f>IFERROR(__xludf.DUMMYFUNCTION("""COMPUTED_VALUE"""),44519.7717180439)</f>
        <v>44519.77172</v>
      </c>
      <c r="D8135" s="15">
        <f>IFERROR(__xludf.DUMMYFUNCTION("""COMPUTED_VALUE"""),1.069)</f>
        <v>1.069</v>
      </c>
      <c r="E8135" s="16">
        <f>IFERROR(__xludf.DUMMYFUNCTION("""COMPUTED_VALUE"""),66.0)</f>
        <v>66</v>
      </c>
      <c r="F8135" s="19" t="str">
        <f>IFERROR(__xludf.DUMMYFUNCTION("""COMPUTED_VALUE"""),"BLACK")</f>
        <v>BLACK</v>
      </c>
      <c r="G8135" s="20" t="str">
        <f>IFERROR(__xludf.DUMMYFUNCTION("""COMPUTED_VALUE"""),"Uncle Sams Cider (11/12/2021) 02")</f>
        <v>Uncle Sams Cider (11/12/2021) 02</v>
      </c>
      <c r="H8135" s="19"/>
    </row>
    <row r="8136">
      <c r="A8136" s="9"/>
      <c r="B8136" s="15"/>
      <c r="C8136" s="9">
        <f>IFERROR(__xludf.DUMMYFUNCTION("""COMPUTED_VALUE"""),44519.7612853356)</f>
        <v>44519.76129</v>
      </c>
      <c r="D8136" s="15">
        <f>IFERROR(__xludf.DUMMYFUNCTION("""COMPUTED_VALUE"""),1.069)</f>
        <v>1.069</v>
      </c>
      <c r="E8136" s="16">
        <f>IFERROR(__xludf.DUMMYFUNCTION("""COMPUTED_VALUE"""),67.0)</f>
        <v>67</v>
      </c>
      <c r="F8136" s="19" t="str">
        <f>IFERROR(__xludf.DUMMYFUNCTION("""COMPUTED_VALUE"""),"BLACK")</f>
        <v>BLACK</v>
      </c>
      <c r="G8136" s="20" t="str">
        <f>IFERROR(__xludf.DUMMYFUNCTION("""COMPUTED_VALUE"""),"Uncle Sams Cider (11/12/2021) 02")</f>
        <v>Uncle Sams Cider (11/12/2021) 02</v>
      </c>
      <c r="H8136" s="19"/>
    </row>
    <row r="8137">
      <c r="A8137" s="9"/>
      <c r="B8137" s="15"/>
      <c r="C8137" s="9">
        <f>IFERROR(__xludf.DUMMYFUNCTION("""COMPUTED_VALUE"""),44519.7508395138)</f>
        <v>44519.75084</v>
      </c>
      <c r="D8137" s="15">
        <f>IFERROR(__xludf.DUMMYFUNCTION("""COMPUTED_VALUE"""),1.069)</f>
        <v>1.069</v>
      </c>
      <c r="E8137" s="16">
        <f>IFERROR(__xludf.DUMMYFUNCTION("""COMPUTED_VALUE"""),66.0)</f>
        <v>66</v>
      </c>
      <c r="F8137" s="19" t="str">
        <f>IFERROR(__xludf.DUMMYFUNCTION("""COMPUTED_VALUE"""),"BLACK")</f>
        <v>BLACK</v>
      </c>
      <c r="G8137" s="20" t="str">
        <f>IFERROR(__xludf.DUMMYFUNCTION("""COMPUTED_VALUE"""),"Uncle Sams Cider (11/12/2021) 02")</f>
        <v>Uncle Sams Cider (11/12/2021) 02</v>
      </c>
      <c r="H8137" s="19"/>
    </row>
    <row r="8138">
      <c r="A8138" s="9"/>
      <c r="B8138" s="15"/>
      <c r="C8138" s="9">
        <f>IFERROR(__xludf.DUMMYFUNCTION("""COMPUTED_VALUE"""),44519.7404183333)</f>
        <v>44519.74042</v>
      </c>
      <c r="D8138" s="15">
        <f>IFERROR(__xludf.DUMMYFUNCTION("""COMPUTED_VALUE"""),1.069)</f>
        <v>1.069</v>
      </c>
      <c r="E8138" s="16">
        <f>IFERROR(__xludf.DUMMYFUNCTION("""COMPUTED_VALUE"""),66.0)</f>
        <v>66</v>
      </c>
      <c r="F8138" s="19" t="str">
        <f>IFERROR(__xludf.DUMMYFUNCTION("""COMPUTED_VALUE"""),"BLACK")</f>
        <v>BLACK</v>
      </c>
      <c r="G8138" s="20" t="str">
        <f>IFERROR(__xludf.DUMMYFUNCTION("""COMPUTED_VALUE"""),"Uncle Sams Cider (11/12/2021) 02")</f>
        <v>Uncle Sams Cider (11/12/2021) 02</v>
      </c>
      <c r="H8138" s="19"/>
    </row>
    <row r="8139">
      <c r="A8139" s="9"/>
      <c r="B8139" s="15"/>
      <c r="C8139" s="9">
        <f>IFERROR(__xludf.DUMMYFUNCTION("""COMPUTED_VALUE"""),44519.7299738888)</f>
        <v>44519.72997</v>
      </c>
      <c r="D8139" s="15">
        <f>IFERROR(__xludf.DUMMYFUNCTION("""COMPUTED_VALUE"""),1.069)</f>
        <v>1.069</v>
      </c>
      <c r="E8139" s="16">
        <f>IFERROR(__xludf.DUMMYFUNCTION("""COMPUTED_VALUE"""),66.0)</f>
        <v>66</v>
      </c>
      <c r="F8139" s="19" t="str">
        <f>IFERROR(__xludf.DUMMYFUNCTION("""COMPUTED_VALUE"""),"BLACK")</f>
        <v>BLACK</v>
      </c>
      <c r="G8139" s="20" t="str">
        <f>IFERROR(__xludf.DUMMYFUNCTION("""COMPUTED_VALUE"""),"Uncle Sams Cider (11/12/2021) 02")</f>
        <v>Uncle Sams Cider (11/12/2021) 02</v>
      </c>
      <c r="H8139" s="19"/>
    </row>
    <row r="8140">
      <c r="A8140" s="9"/>
      <c r="B8140" s="15"/>
      <c r="C8140" s="9">
        <f>IFERROR(__xludf.DUMMYFUNCTION("""COMPUTED_VALUE"""),44519.7195543749)</f>
        <v>44519.71955</v>
      </c>
      <c r="D8140" s="15">
        <f>IFERROR(__xludf.DUMMYFUNCTION("""COMPUTED_VALUE"""),1.07)</f>
        <v>1.07</v>
      </c>
      <c r="E8140" s="16">
        <f>IFERROR(__xludf.DUMMYFUNCTION("""COMPUTED_VALUE"""),66.0)</f>
        <v>66</v>
      </c>
      <c r="F8140" s="19" t="str">
        <f>IFERROR(__xludf.DUMMYFUNCTION("""COMPUTED_VALUE"""),"BLACK")</f>
        <v>BLACK</v>
      </c>
      <c r="G8140" s="20" t="str">
        <f>IFERROR(__xludf.DUMMYFUNCTION("""COMPUTED_VALUE"""),"Uncle Sams Cider (11/12/2021) 02")</f>
        <v>Uncle Sams Cider (11/12/2021) 02</v>
      </c>
      <c r="H8140" s="19"/>
    </row>
    <row r="8141">
      <c r="A8141" s="9"/>
      <c r="B8141" s="15"/>
      <c r="C8141" s="9">
        <f>IFERROR(__xludf.DUMMYFUNCTION("""COMPUTED_VALUE"""),44519.7091323611)</f>
        <v>44519.70913</v>
      </c>
      <c r="D8141" s="15">
        <f>IFERROR(__xludf.DUMMYFUNCTION("""COMPUTED_VALUE"""),1.07)</f>
        <v>1.07</v>
      </c>
      <c r="E8141" s="16">
        <f>IFERROR(__xludf.DUMMYFUNCTION("""COMPUTED_VALUE"""),66.0)</f>
        <v>66</v>
      </c>
      <c r="F8141" s="19" t="str">
        <f>IFERROR(__xludf.DUMMYFUNCTION("""COMPUTED_VALUE"""),"BLACK")</f>
        <v>BLACK</v>
      </c>
      <c r="G8141" s="20" t="str">
        <f>IFERROR(__xludf.DUMMYFUNCTION("""COMPUTED_VALUE"""),"Uncle Sams Cider (11/12/2021) 02")</f>
        <v>Uncle Sams Cider (11/12/2021) 02</v>
      </c>
      <c r="H8141" s="19"/>
    </row>
    <row r="8142">
      <c r="A8142" s="9"/>
      <c r="B8142" s="15"/>
      <c r="C8142" s="9">
        <f>IFERROR(__xludf.DUMMYFUNCTION("""COMPUTED_VALUE"""),44519.6987112731)</f>
        <v>44519.69871</v>
      </c>
      <c r="D8142" s="15">
        <f>IFERROR(__xludf.DUMMYFUNCTION("""COMPUTED_VALUE"""),1.07)</f>
        <v>1.07</v>
      </c>
      <c r="E8142" s="16">
        <f>IFERROR(__xludf.DUMMYFUNCTION("""COMPUTED_VALUE"""),66.0)</f>
        <v>66</v>
      </c>
      <c r="F8142" s="19" t="str">
        <f>IFERROR(__xludf.DUMMYFUNCTION("""COMPUTED_VALUE"""),"BLACK")</f>
        <v>BLACK</v>
      </c>
      <c r="G8142" s="20" t="str">
        <f>IFERROR(__xludf.DUMMYFUNCTION("""COMPUTED_VALUE"""),"Uncle Sams Cider (11/12/2021) 02")</f>
        <v>Uncle Sams Cider (11/12/2021) 02</v>
      </c>
      <c r="H8142" s="19"/>
    </row>
    <row r="8143">
      <c r="A8143" s="9"/>
      <c r="B8143" s="15"/>
      <c r="C8143" s="9">
        <f>IFERROR(__xludf.DUMMYFUNCTION("""COMPUTED_VALUE"""),44519.688289618)</f>
        <v>44519.68829</v>
      </c>
      <c r="D8143" s="15">
        <f>IFERROR(__xludf.DUMMYFUNCTION("""COMPUTED_VALUE"""),1.07)</f>
        <v>1.07</v>
      </c>
      <c r="E8143" s="16">
        <f>IFERROR(__xludf.DUMMYFUNCTION("""COMPUTED_VALUE"""),66.0)</f>
        <v>66</v>
      </c>
      <c r="F8143" s="19" t="str">
        <f>IFERROR(__xludf.DUMMYFUNCTION("""COMPUTED_VALUE"""),"BLACK")</f>
        <v>BLACK</v>
      </c>
      <c r="G8143" s="20" t="str">
        <f>IFERROR(__xludf.DUMMYFUNCTION("""COMPUTED_VALUE"""),"Uncle Sams Cider (11/12/2021) 02")</f>
        <v>Uncle Sams Cider (11/12/2021) 02</v>
      </c>
      <c r="H8143" s="19"/>
    </row>
    <row r="8144">
      <c r="A8144" s="9"/>
      <c r="B8144" s="15"/>
      <c r="C8144" s="9">
        <f>IFERROR(__xludf.DUMMYFUNCTION("""COMPUTED_VALUE"""),44519.6778705208)</f>
        <v>44519.67787</v>
      </c>
      <c r="D8144" s="15">
        <f>IFERROR(__xludf.DUMMYFUNCTION("""COMPUTED_VALUE"""),1.07)</f>
        <v>1.07</v>
      </c>
      <c r="E8144" s="16">
        <f>IFERROR(__xludf.DUMMYFUNCTION("""COMPUTED_VALUE"""),66.0)</f>
        <v>66</v>
      </c>
      <c r="F8144" s="19" t="str">
        <f>IFERROR(__xludf.DUMMYFUNCTION("""COMPUTED_VALUE"""),"BLACK")</f>
        <v>BLACK</v>
      </c>
      <c r="G8144" s="20" t="str">
        <f>IFERROR(__xludf.DUMMYFUNCTION("""COMPUTED_VALUE"""),"Uncle Sams Cider (11/12/2021) 02")</f>
        <v>Uncle Sams Cider (11/12/2021) 02</v>
      </c>
      <c r="H8144" s="19"/>
    </row>
    <row r="8145">
      <c r="A8145" s="9"/>
      <c r="B8145" s="15"/>
      <c r="C8145" s="9">
        <f>IFERROR(__xludf.DUMMYFUNCTION("""COMPUTED_VALUE"""),44519.6674478125)</f>
        <v>44519.66745</v>
      </c>
      <c r="D8145" s="15">
        <f>IFERROR(__xludf.DUMMYFUNCTION("""COMPUTED_VALUE"""),1.07)</f>
        <v>1.07</v>
      </c>
      <c r="E8145" s="16">
        <f>IFERROR(__xludf.DUMMYFUNCTION("""COMPUTED_VALUE"""),66.0)</f>
        <v>66</v>
      </c>
      <c r="F8145" s="19" t="str">
        <f>IFERROR(__xludf.DUMMYFUNCTION("""COMPUTED_VALUE"""),"BLACK")</f>
        <v>BLACK</v>
      </c>
      <c r="G8145" s="20" t="str">
        <f>IFERROR(__xludf.DUMMYFUNCTION("""COMPUTED_VALUE"""),"Uncle Sams Cider (11/12/2021) 02")</f>
        <v>Uncle Sams Cider (11/12/2021) 02</v>
      </c>
      <c r="H8145" s="19"/>
    </row>
    <row r="8146">
      <c r="A8146" s="9"/>
      <c r="B8146" s="15"/>
      <c r="C8146" s="9">
        <f>IFERROR(__xludf.DUMMYFUNCTION("""COMPUTED_VALUE"""),44519.6570251736)</f>
        <v>44519.65703</v>
      </c>
      <c r="D8146" s="15">
        <f>IFERROR(__xludf.DUMMYFUNCTION("""COMPUTED_VALUE"""),1.07)</f>
        <v>1.07</v>
      </c>
      <c r="E8146" s="16">
        <f>IFERROR(__xludf.DUMMYFUNCTION("""COMPUTED_VALUE"""),66.0)</f>
        <v>66</v>
      </c>
      <c r="F8146" s="19" t="str">
        <f>IFERROR(__xludf.DUMMYFUNCTION("""COMPUTED_VALUE"""),"BLACK")</f>
        <v>BLACK</v>
      </c>
      <c r="G8146" s="20" t="str">
        <f>IFERROR(__xludf.DUMMYFUNCTION("""COMPUTED_VALUE"""),"Uncle Sams Cider (11/12/2021) 02")</f>
        <v>Uncle Sams Cider (11/12/2021) 02</v>
      </c>
      <c r="H8146" s="19"/>
    </row>
    <row r="8147">
      <c r="A8147" s="9"/>
      <c r="B8147" s="15"/>
      <c r="C8147" s="9">
        <f>IFERROR(__xludf.DUMMYFUNCTION("""COMPUTED_VALUE"""),44519.6466048842)</f>
        <v>44519.6466</v>
      </c>
      <c r="D8147" s="15">
        <f>IFERROR(__xludf.DUMMYFUNCTION("""COMPUTED_VALUE"""),1.07)</f>
        <v>1.07</v>
      </c>
      <c r="E8147" s="16">
        <f>IFERROR(__xludf.DUMMYFUNCTION("""COMPUTED_VALUE"""),66.0)</f>
        <v>66</v>
      </c>
      <c r="F8147" s="19" t="str">
        <f>IFERROR(__xludf.DUMMYFUNCTION("""COMPUTED_VALUE"""),"BLACK")</f>
        <v>BLACK</v>
      </c>
      <c r="G8147" s="20" t="str">
        <f>IFERROR(__xludf.DUMMYFUNCTION("""COMPUTED_VALUE"""),"Uncle Sams Cider (11/12/2021) 02")</f>
        <v>Uncle Sams Cider (11/12/2021) 02</v>
      </c>
      <c r="H8147" s="19"/>
    </row>
    <row r="8148">
      <c r="A8148" s="9"/>
      <c r="B8148" s="15"/>
      <c r="C8148" s="9">
        <f>IFERROR(__xludf.DUMMYFUNCTION("""COMPUTED_VALUE"""),44519.6361828703)</f>
        <v>44519.63618</v>
      </c>
      <c r="D8148" s="15">
        <f>IFERROR(__xludf.DUMMYFUNCTION("""COMPUTED_VALUE"""),1.07)</f>
        <v>1.07</v>
      </c>
      <c r="E8148" s="16">
        <f>IFERROR(__xludf.DUMMYFUNCTION("""COMPUTED_VALUE"""),66.0)</f>
        <v>66</v>
      </c>
      <c r="F8148" s="19" t="str">
        <f>IFERROR(__xludf.DUMMYFUNCTION("""COMPUTED_VALUE"""),"BLACK")</f>
        <v>BLACK</v>
      </c>
      <c r="G8148" s="20" t="str">
        <f>IFERROR(__xludf.DUMMYFUNCTION("""COMPUTED_VALUE"""),"Uncle Sams Cider (11/12/2021) 02")</f>
        <v>Uncle Sams Cider (11/12/2021) 02</v>
      </c>
      <c r="H8148" s="19"/>
    </row>
    <row r="8149">
      <c r="A8149" s="9"/>
      <c r="B8149" s="15"/>
      <c r="C8149" s="9">
        <f>IFERROR(__xludf.DUMMYFUNCTION("""COMPUTED_VALUE"""),44519.625762199)</f>
        <v>44519.62576</v>
      </c>
      <c r="D8149" s="15">
        <f>IFERROR(__xludf.DUMMYFUNCTION("""COMPUTED_VALUE"""),1.07)</f>
        <v>1.07</v>
      </c>
      <c r="E8149" s="16">
        <f>IFERROR(__xludf.DUMMYFUNCTION("""COMPUTED_VALUE"""),66.0)</f>
        <v>66</v>
      </c>
      <c r="F8149" s="19" t="str">
        <f>IFERROR(__xludf.DUMMYFUNCTION("""COMPUTED_VALUE"""),"BLACK")</f>
        <v>BLACK</v>
      </c>
      <c r="G8149" s="20" t="str">
        <f>IFERROR(__xludf.DUMMYFUNCTION("""COMPUTED_VALUE"""),"Uncle Sams Cider (11/12/2021) 02")</f>
        <v>Uncle Sams Cider (11/12/2021) 02</v>
      </c>
      <c r="H8149" s="19"/>
    </row>
    <row r="8150">
      <c r="A8150" s="9"/>
      <c r="B8150" s="15"/>
      <c r="C8150" s="9">
        <f>IFERROR(__xludf.DUMMYFUNCTION("""COMPUTED_VALUE"""),44519.6153404513)</f>
        <v>44519.61534</v>
      </c>
      <c r="D8150" s="15">
        <f>IFERROR(__xludf.DUMMYFUNCTION("""COMPUTED_VALUE"""),1.07)</f>
        <v>1.07</v>
      </c>
      <c r="E8150" s="16">
        <f>IFERROR(__xludf.DUMMYFUNCTION("""COMPUTED_VALUE"""),66.0)</f>
        <v>66</v>
      </c>
      <c r="F8150" s="19" t="str">
        <f>IFERROR(__xludf.DUMMYFUNCTION("""COMPUTED_VALUE"""),"BLACK")</f>
        <v>BLACK</v>
      </c>
      <c r="G8150" s="20" t="str">
        <f>IFERROR(__xludf.DUMMYFUNCTION("""COMPUTED_VALUE"""),"Uncle Sams Cider (11/12/2021) 02")</f>
        <v>Uncle Sams Cider (11/12/2021) 02</v>
      </c>
      <c r="H8150" s="19"/>
    </row>
    <row r="8151">
      <c r="A8151" s="9"/>
      <c r="B8151" s="15"/>
      <c r="C8151" s="9">
        <f>IFERROR(__xludf.DUMMYFUNCTION("""COMPUTED_VALUE"""),44519.6049190856)</f>
        <v>44519.60492</v>
      </c>
      <c r="D8151" s="15">
        <f>IFERROR(__xludf.DUMMYFUNCTION("""COMPUTED_VALUE"""),1.07)</f>
        <v>1.07</v>
      </c>
      <c r="E8151" s="16">
        <f>IFERROR(__xludf.DUMMYFUNCTION("""COMPUTED_VALUE"""),66.0)</f>
        <v>66</v>
      </c>
      <c r="F8151" s="19" t="str">
        <f>IFERROR(__xludf.DUMMYFUNCTION("""COMPUTED_VALUE"""),"BLACK")</f>
        <v>BLACK</v>
      </c>
      <c r="G8151" s="20" t="str">
        <f>IFERROR(__xludf.DUMMYFUNCTION("""COMPUTED_VALUE"""),"Uncle Sams Cider (11/12/2021) 02")</f>
        <v>Uncle Sams Cider (11/12/2021) 02</v>
      </c>
      <c r="H8151" s="19"/>
    </row>
    <row r="8152">
      <c r="A8152" s="9"/>
      <c r="B8152" s="15"/>
      <c r="C8152" s="9">
        <f>IFERROR(__xludf.DUMMYFUNCTION("""COMPUTED_VALUE"""),44519.5944991435)</f>
        <v>44519.5945</v>
      </c>
      <c r="D8152" s="15">
        <f>IFERROR(__xludf.DUMMYFUNCTION("""COMPUTED_VALUE"""),1.07)</f>
        <v>1.07</v>
      </c>
      <c r="E8152" s="16">
        <f>IFERROR(__xludf.DUMMYFUNCTION("""COMPUTED_VALUE"""),66.0)</f>
        <v>66</v>
      </c>
      <c r="F8152" s="19" t="str">
        <f>IFERROR(__xludf.DUMMYFUNCTION("""COMPUTED_VALUE"""),"BLACK")</f>
        <v>BLACK</v>
      </c>
      <c r="G8152" s="20" t="str">
        <f>IFERROR(__xludf.DUMMYFUNCTION("""COMPUTED_VALUE"""),"Uncle Sams Cider (11/12/2021) 02")</f>
        <v>Uncle Sams Cider (11/12/2021) 02</v>
      </c>
      <c r="H8152" s="19"/>
    </row>
    <row r="8153">
      <c r="A8153" s="9"/>
      <c r="B8153" s="15"/>
      <c r="C8153" s="9">
        <f>IFERROR(__xludf.DUMMYFUNCTION("""COMPUTED_VALUE"""),44519.5840813426)</f>
        <v>44519.58408</v>
      </c>
      <c r="D8153" s="15">
        <f>IFERROR(__xludf.DUMMYFUNCTION("""COMPUTED_VALUE"""),1.07)</f>
        <v>1.07</v>
      </c>
      <c r="E8153" s="16">
        <f>IFERROR(__xludf.DUMMYFUNCTION("""COMPUTED_VALUE"""),66.0)</f>
        <v>66</v>
      </c>
      <c r="F8153" s="19" t="str">
        <f>IFERROR(__xludf.DUMMYFUNCTION("""COMPUTED_VALUE"""),"BLACK")</f>
        <v>BLACK</v>
      </c>
      <c r="G8153" s="20" t="str">
        <f>IFERROR(__xludf.DUMMYFUNCTION("""COMPUTED_VALUE"""),"Uncle Sams Cider (11/12/2021) 02")</f>
        <v>Uncle Sams Cider (11/12/2021) 02</v>
      </c>
      <c r="H8153" s="19"/>
    </row>
    <row r="8154">
      <c r="A8154" s="9"/>
      <c r="B8154" s="15"/>
      <c r="C8154" s="9">
        <f>IFERROR(__xludf.DUMMYFUNCTION("""COMPUTED_VALUE"""),44519.5736476967)</f>
        <v>44519.57365</v>
      </c>
      <c r="D8154" s="15">
        <f>IFERROR(__xludf.DUMMYFUNCTION("""COMPUTED_VALUE"""),1.07)</f>
        <v>1.07</v>
      </c>
      <c r="E8154" s="16">
        <f>IFERROR(__xludf.DUMMYFUNCTION("""COMPUTED_VALUE"""),66.0)</f>
        <v>66</v>
      </c>
      <c r="F8154" s="19" t="str">
        <f>IFERROR(__xludf.DUMMYFUNCTION("""COMPUTED_VALUE"""),"BLACK")</f>
        <v>BLACK</v>
      </c>
      <c r="G8154" s="20" t="str">
        <f>IFERROR(__xludf.DUMMYFUNCTION("""COMPUTED_VALUE"""),"Uncle Sams Cider (11/12/2021) 02")</f>
        <v>Uncle Sams Cider (11/12/2021) 02</v>
      </c>
      <c r="H8154" s="19"/>
    </row>
    <row r="8155">
      <c r="A8155" s="9"/>
      <c r="B8155" s="15"/>
      <c r="C8155" s="9">
        <f>IFERROR(__xludf.DUMMYFUNCTION("""COMPUTED_VALUE"""),44519.5632258564)</f>
        <v>44519.56323</v>
      </c>
      <c r="D8155" s="15">
        <f>IFERROR(__xludf.DUMMYFUNCTION("""COMPUTED_VALUE"""),1.07)</f>
        <v>1.07</v>
      </c>
      <c r="E8155" s="16">
        <f>IFERROR(__xludf.DUMMYFUNCTION("""COMPUTED_VALUE"""),66.0)</f>
        <v>66</v>
      </c>
      <c r="F8155" s="19" t="str">
        <f>IFERROR(__xludf.DUMMYFUNCTION("""COMPUTED_VALUE"""),"BLACK")</f>
        <v>BLACK</v>
      </c>
      <c r="G8155" s="20" t="str">
        <f>IFERROR(__xludf.DUMMYFUNCTION("""COMPUTED_VALUE"""),"Uncle Sams Cider (11/12/2021) 02")</f>
        <v>Uncle Sams Cider (11/12/2021) 02</v>
      </c>
      <c r="H8155" s="19"/>
    </row>
    <row r="8156">
      <c r="A8156" s="9"/>
      <c r="B8156" s="15"/>
      <c r="C8156" s="9">
        <f>IFERROR(__xludf.DUMMYFUNCTION("""COMPUTED_VALUE"""),44519.5528049537)</f>
        <v>44519.5528</v>
      </c>
      <c r="D8156" s="15">
        <f>IFERROR(__xludf.DUMMYFUNCTION("""COMPUTED_VALUE"""),1.07)</f>
        <v>1.07</v>
      </c>
      <c r="E8156" s="16">
        <f>IFERROR(__xludf.DUMMYFUNCTION("""COMPUTED_VALUE"""),66.0)</f>
        <v>66</v>
      </c>
      <c r="F8156" s="19" t="str">
        <f>IFERROR(__xludf.DUMMYFUNCTION("""COMPUTED_VALUE"""),"BLACK")</f>
        <v>BLACK</v>
      </c>
      <c r="G8156" s="20" t="str">
        <f>IFERROR(__xludf.DUMMYFUNCTION("""COMPUTED_VALUE"""),"Uncle Sams Cider (11/12/2021) 02")</f>
        <v>Uncle Sams Cider (11/12/2021) 02</v>
      </c>
      <c r="H8156" s="19"/>
    </row>
    <row r="8157">
      <c r="A8157" s="9"/>
      <c r="B8157" s="15"/>
      <c r="C8157" s="9">
        <f>IFERROR(__xludf.DUMMYFUNCTION("""COMPUTED_VALUE"""),44519.542382905)</f>
        <v>44519.54238</v>
      </c>
      <c r="D8157" s="15">
        <f>IFERROR(__xludf.DUMMYFUNCTION("""COMPUTED_VALUE"""),1.07)</f>
        <v>1.07</v>
      </c>
      <c r="E8157" s="16">
        <f>IFERROR(__xludf.DUMMYFUNCTION("""COMPUTED_VALUE"""),66.0)</f>
        <v>66</v>
      </c>
      <c r="F8157" s="19" t="str">
        <f>IFERROR(__xludf.DUMMYFUNCTION("""COMPUTED_VALUE"""),"BLACK")</f>
        <v>BLACK</v>
      </c>
      <c r="G8157" s="20" t="str">
        <f>IFERROR(__xludf.DUMMYFUNCTION("""COMPUTED_VALUE"""),"Uncle Sams Cider (11/12/2021) 02")</f>
        <v>Uncle Sams Cider (11/12/2021) 02</v>
      </c>
      <c r="H8157" s="19"/>
    </row>
    <row r="8158">
      <c r="A8158" s="9"/>
      <c r="B8158" s="15"/>
      <c r="C8158" s="9">
        <f>IFERROR(__xludf.DUMMYFUNCTION("""COMPUTED_VALUE"""),44519.5319604745)</f>
        <v>44519.53196</v>
      </c>
      <c r="D8158" s="15">
        <f>IFERROR(__xludf.DUMMYFUNCTION("""COMPUTED_VALUE"""),1.071)</f>
        <v>1.071</v>
      </c>
      <c r="E8158" s="16">
        <f>IFERROR(__xludf.DUMMYFUNCTION("""COMPUTED_VALUE"""),66.0)</f>
        <v>66</v>
      </c>
      <c r="F8158" s="19" t="str">
        <f>IFERROR(__xludf.DUMMYFUNCTION("""COMPUTED_VALUE"""),"BLACK")</f>
        <v>BLACK</v>
      </c>
      <c r="G8158" s="20" t="str">
        <f>IFERROR(__xludf.DUMMYFUNCTION("""COMPUTED_VALUE"""),"Uncle Sams Cider (11/12/2021) 02")</f>
        <v>Uncle Sams Cider (11/12/2021) 02</v>
      </c>
      <c r="H8158" s="19"/>
    </row>
    <row r="8159">
      <c r="A8159" s="9"/>
      <c r="B8159" s="15"/>
      <c r="C8159" s="9">
        <f>IFERROR(__xludf.DUMMYFUNCTION("""COMPUTED_VALUE"""),44519.5215391898)</f>
        <v>44519.52154</v>
      </c>
      <c r="D8159" s="15">
        <f>IFERROR(__xludf.DUMMYFUNCTION("""COMPUTED_VALUE"""),1.071)</f>
        <v>1.071</v>
      </c>
      <c r="E8159" s="16">
        <f>IFERROR(__xludf.DUMMYFUNCTION("""COMPUTED_VALUE"""),66.0)</f>
        <v>66</v>
      </c>
      <c r="F8159" s="19" t="str">
        <f>IFERROR(__xludf.DUMMYFUNCTION("""COMPUTED_VALUE"""),"BLACK")</f>
        <v>BLACK</v>
      </c>
      <c r="G8159" s="20" t="str">
        <f>IFERROR(__xludf.DUMMYFUNCTION("""COMPUTED_VALUE"""),"Uncle Sams Cider (11/12/2021) 02")</f>
        <v>Uncle Sams Cider (11/12/2021) 02</v>
      </c>
      <c r="H8159" s="19"/>
    </row>
    <row r="8160">
      <c r="A8160" s="9"/>
      <c r="B8160" s="15"/>
      <c r="C8160" s="9">
        <f>IFERROR(__xludf.DUMMYFUNCTION("""COMPUTED_VALUE"""),44519.5111166319)</f>
        <v>44519.51112</v>
      </c>
      <c r="D8160" s="15">
        <f>IFERROR(__xludf.DUMMYFUNCTION("""COMPUTED_VALUE"""),1.071)</f>
        <v>1.071</v>
      </c>
      <c r="E8160" s="16">
        <f>IFERROR(__xludf.DUMMYFUNCTION("""COMPUTED_VALUE"""),66.0)</f>
        <v>66</v>
      </c>
      <c r="F8160" s="19" t="str">
        <f>IFERROR(__xludf.DUMMYFUNCTION("""COMPUTED_VALUE"""),"BLACK")</f>
        <v>BLACK</v>
      </c>
      <c r="G8160" s="20" t="str">
        <f>IFERROR(__xludf.DUMMYFUNCTION("""COMPUTED_VALUE"""),"Uncle Sams Cider (11/12/2021) 02")</f>
        <v>Uncle Sams Cider (11/12/2021) 02</v>
      </c>
      <c r="H8160" s="19"/>
    </row>
    <row r="8161">
      <c r="A8161" s="9"/>
      <c r="B8161" s="15"/>
      <c r="C8161" s="9">
        <f>IFERROR(__xludf.DUMMYFUNCTION("""COMPUTED_VALUE"""),44519.5006953819)</f>
        <v>44519.5007</v>
      </c>
      <c r="D8161" s="15">
        <f>IFERROR(__xludf.DUMMYFUNCTION("""COMPUTED_VALUE"""),1.071)</f>
        <v>1.071</v>
      </c>
      <c r="E8161" s="16">
        <f>IFERROR(__xludf.DUMMYFUNCTION("""COMPUTED_VALUE"""),66.0)</f>
        <v>66</v>
      </c>
      <c r="F8161" s="19" t="str">
        <f>IFERROR(__xludf.DUMMYFUNCTION("""COMPUTED_VALUE"""),"BLACK")</f>
        <v>BLACK</v>
      </c>
      <c r="G8161" s="20" t="str">
        <f>IFERROR(__xludf.DUMMYFUNCTION("""COMPUTED_VALUE"""),"Uncle Sams Cider (11/12/2021) 02")</f>
        <v>Uncle Sams Cider (11/12/2021) 02</v>
      </c>
      <c r="H8161" s="19"/>
    </row>
    <row r="8162">
      <c r="A8162" s="9"/>
      <c r="B8162" s="15"/>
      <c r="C8162" s="9">
        <f>IFERROR(__xludf.DUMMYFUNCTION("""COMPUTED_VALUE"""),44519.4902742824)</f>
        <v>44519.49027</v>
      </c>
      <c r="D8162" s="15">
        <f>IFERROR(__xludf.DUMMYFUNCTION("""COMPUTED_VALUE"""),1.071)</f>
        <v>1.071</v>
      </c>
      <c r="E8162" s="16">
        <f>IFERROR(__xludf.DUMMYFUNCTION("""COMPUTED_VALUE"""),66.0)</f>
        <v>66</v>
      </c>
      <c r="F8162" s="19" t="str">
        <f>IFERROR(__xludf.DUMMYFUNCTION("""COMPUTED_VALUE"""),"BLACK")</f>
        <v>BLACK</v>
      </c>
      <c r="G8162" s="20" t="str">
        <f>IFERROR(__xludf.DUMMYFUNCTION("""COMPUTED_VALUE"""),"Uncle Sams Cider (11/12/2021) 02")</f>
        <v>Uncle Sams Cider (11/12/2021) 02</v>
      </c>
      <c r="H8162" s="19"/>
    </row>
    <row r="8163">
      <c r="A8163" s="9"/>
      <c r="B8163" s="15"/>
      <c r="C8163" s="9">
        <f>IFERROR(__xludf.DUMMYFUNCTION("""COMPUTED_VALUE"""),44519.4798512037)</f>
        <v>44519.47985</v>
      </c>
      <c r="D8163" s="15">
        <f>IFERROR(__xludf.DUMMYFUNCTION("""COMPUTED_VALUE"""),1.071)</f>
        <v>1.071</v>
      </c>
      <c r="E8163" s="16">
        <f>IFERROR(__xludf.DUMMYFUNCTION("""COMPUTED_VALUE"""),66.0)</f>
        <v>66</v>
      </c>
      <c r="F8163" s="19" t="str">
        <f>IFERROR(__xludf.DUMMYFUNCTION("""COMPUTED_VALUE"""),"BLACK")</f>
        <v>BLACK</v>
      </c>
      <c r="G8163" s="20" t="str">
        <f>IFERROR(__xludf.DUMMYFUNCTION("""COMPUTED_VALUE"""),"Uncle Sams Cider (11/12/2021) 02")</f>
        <v>Uncle Sams Cider (11/12/2021) 02</v>
      </c>
      <c r="H8163" s="19"/>
    </row>
    <row r="8164">
      <c r="A8164" s="9"/>
      <c r="B8164" s="15"/>
      <c r="C8164" s="9">
        <f>IFERROR(__xludf.DUMMYFUNCTION("""COMPUTED_VALUE"""),44519.4694305439)</f>
        <v>44519.46943</v>
      </c>
      <c r="D8164" s="15">
        <f>IFERROR(__xludf.DUMMYFUNCTION("""COMPUTED_VALUE"""),1.071)</f>
        <v>1.071</v>
      </c>
      <c r="E8164" s="16">
        <f>IFERROR(__xludf.DUMMYFUNCTION("""COMPUTED_VALUE"""),66.0)</f>
        <v>66</v>
      </c>
      <c r="F8164" s="19" t="str">
        <f>IFERROR(__xludf.DUMMYFUNCTION("""COMPUTED_VALUE"""),"BLACK")</f>
        <v>BLACK</v>
      </c>
      <c r="G8164" s="20" t="str">
        <f>IFERROR(__xludf.DUMMYFUNCTION("""COMPUTED_VALUE"""),"Uncle Sams Cider (11/12/2021) 02")</f>
        <v>Uncle Sams Cider (11/12/2021) 02</v>
      </c>
      <c r="H8164" s="19"/>
    </row>
    <row r="8165">
      <c r="A8165" s="9"/>
      <c r="B8165" s="15"/>
      <c r="C8165" s="9">
        <f>IFERROR(__xludf.DUMMYFUNCTION("""COMPUTED_VALUE"""),44519.459010324)</f>
        <v>44519.45901</v>
      </c>
      <c r="D8165" s="15">
        <f>IFERROR(__xludf.DUMMYFUNCTION("""COMPUTED_VALUE"""),1.071)</f>
        <v>1.071</v>
      </c>
      <c r="E8165" s="16">
        <f>IFERROR(__xludf.DUMMYFUNCTION("""COMPUTED_VALUE"""),66.0)</f>
        <v>66</v>
      </c>
      <c r="F8165" s="19" t="str">
        <f>IFERROR(__xludf.DUMMYFUNCTION("""COMPUTED_VALUE"""),"BLACK")</f>
        <v>BLACK</v>
      </c>
      <c r="G8165" s="20" t="str">
        <f>IFERROR(__xludf.DUMMYFUNCTION("""COMPUTED_VALUE"""),"Uncle Sams Cider (11/12/2021) 02")</f>
        <v>Uncle Sams Cider (11/12/2021) 02</v>
      </c>
      <c r="H8165" s="19"/>
    </row>
    <row r="8166">
      <c r="A8166" s="9"/>
      <c r="B8166" s="15"/>
      <c r="C8166" s="9">
        <f>IFERROR(__xludf.DUMMYFUNCTION("""COMPUTED_VALUE"""),44519.4485900347)</f>
        <v>44519.44859</v>
      </c>
      <c r="D8166" s="15">
        <f>IFERROR(__xludf.DUMMYFUNCTION("""COMPUTED_VALUE"""),1.071)</f>
        <v>1.071</v>
      </c>
      <c r="E8166" s="16">
        <f>IFERROR(__xludf.DUMMYFUNCTION("""COMPUTED_VALUE"""),66.0)</f>
        <v>66</v>
      </c>
      <c r="F8166" s="19" t="str">
        <f>IFERROR(__xludf.DUMMYFUNCTION("""COMPUTED_VALUE"""),"BLACK")</f>
        <v>BLACK</v>
      </c>
      <c r="G8166" s="20" t="str">
        <f>IFERROR(__xludf.DUMMYFUNCTION("""COMPUTED_VALUE"""),"Uncle Sams Cider (11/12/2021) 02")</f>
        <v>Uncle Sams Cider (11/12/2021) 02</v>
      </c>
      <c r="H8166" s="19"/>
    </row>
    <row r="8167">
      <c r="A8167" s="9"/>
      <c r="B8167" s="15"/>
      <c r="C8167" s="9">
        <f>IFERROR(__xludf.DUMMYFUNCTION("""COMPUTED_VALUE"""),44519.4381679745)</f>
        <v>44519.43817</v>
      </c>
      <c r="D8167" s="15">
        <f>IFERROR(__xludf.DUMMYFUNCTION("""COMPUTED_VALUE"""),1.071)</f>
        <v>1.071</v>
      </c>
      <c r="E8167" s="16">
        <f>IFERROR(__xludf.DUMMYFUNCTION("""COMPUTED_VALUE"""),66.0)</f>
        <v>66</v>
      </c>
      <c r="F8167" s="19" t="str">
        <f>IFERROR(__xludf.DUMMYFUNCTION("""COMPUTED_VALUE"""),"BLACK")</f>
        <v>BLACK</v>
      </c>
      <c r="G8167" s="20" t="str">
        <f>IFERROR(__xludf.DUMMYFUNCTION("""COMPUTED_VALUE"""),"Uncle Sams Cider (11/12/2021) 02")</f>
        <v>Uncle Sams Cider (11/12/2021) 02</v>
      </c>
      <c r="H8167" s="19"/>
    </row>
    <row r="8168">
      <c r="A8168" s="9"/>
      <c r="B8168" s="15"/>
      <c r="C8168" s="9">
        <f>IFERROR(__xludf.DUMMYFUNCTION("""COMPUTED_VALUE"""),44519.4277248495)</f>
        <v>44519.42772</v>
      </c>
      <c r="D8168" s="15">
        <f>IFERROR(__xludf.DUMMYFUNCTION("""COMPUTED_VALUE"""),1.071)</f>
        <v>1.071</v>
      </c>
      <c r="E8168" s="16">
        <f>IFERROR(__xludf.DUMMYFUNCTION("""COMPUTED_VALUE"""),66.0)</f>
        <v>66</v>
      </c>
      <c r="F8168" s="19" t="str">
        <f>IFERROR(__xludf.DUMMYFUNCTION("""COMPUTED_VALUE"""),"BLACK")</f>
        <v>BLACK</v>
      </c>
      <c r="G8168" s="20" t="str">
        <f>IFERROR(__xludf.DUMMYFUNCTION("""COMPUTED_VALUE"""),"Uncle Sams Cider (11/12/2021) 02")</f>
        <v>Uncle Sams Cider (11/12/2021) 02</v>
      </c>
      <c r="H8168" s="19"/>
    </row>
    <row r="8169">
      <c r="A8169" s="9"/>
      <c r="B8169" s="15"/>
      <c r="C8169" s="9">
        <f>IFERROR(__xludf.DUMMYFUNCTION("""COMPUTED_VALUE"""),44519.417291574)</f>
        <v>44519.41729</v>
      </c>
      <c r="D8169" s="15">
        <f>IFERROR(__xludf.DUMMYFUNCTION("""COMPUTED_VALUE"""),1.071)</f>
        <v>1.071</v>
      </c>
      <c r="E8169" s="16">
        <f>IFERROR(__xludf.DUMMYFUNCTION("""COMPUTED_VALUE"""),66.0)</f>
        <v>66</v>
      </c>
      <c r="F8169" s="19" t="str">
        <f>IFERROR(__xludf.DUMMYFUNCTION("""COMPUTED_VALUE"""),"BLACK")</f>
        <v>BLACK</v>
      </c>
      <c r="G8169" s="20" t="str">
        <f>IFERROR(__xludf.DUMMYFUNCTION("""COMPUTED_VALUE"""),"Uncle Sams Cider (11/12/2021) 02")</f>
        <v>Uncle Sams Cider (11/12/2021) 02</v>
      </c>
      <c r="H8169" s="19"/>
    </row>
    <row r="8170">
      <c r="A8170" s="9"/>
      <c r="B8170" s="15"/>
      <c r="C8170" s="9">
        <f>IFERROR(__xludf.DUMMYFUNCTION("""COMPUTED_VALUE"""),44519.4068710532)</f>
        <v>44519.40687</v>
      </c>
      <c r="D8170" s="15">
        <f>IFERROR(__xludf.DUMMYFUNCTION("""COMPUTED_VALUE"""),1.071)</f>
        <v>1.071</v>
      </c>
      <c r="E8170" s="16">
        <f>IFERROR(__xludf.DUMMYFUNCTION("""COMPUTED_VALUE"""),66.0)</f>
        <v>66</v>
      </c>
      <c r="F8170" s="19" t="str">
        <f>IFERROR(__xludf.DUMMYFUNCTION("""COMPUTED_VALUE"""),"BLACK")</f>
        <v>BLACK</v>
      </c>
      <c r="G8170" s="20" t="str">
        <f>IFERROR(__xludf.DUMMYFUNCTION("""COMPUTED_VALUE"""),"Uncle Sams Cider (11/12/2021) 02")</f>
        <v>Uncle Sams Cider (11/12/2021) 02</v>
      </c>
      <c r="H8170" s="19"/>
    </row>
    <row r="8171">
      <c r="A8171" s="9"/>
      <c r="B8171" s="15"/>
      <c r="C8171" s="9">
        <f>IFERROR(__xludf.DUMMYFUNCTION("""COMPUTED_VALUE"""),44519.396450243)</f>
        <v>44519.39645</v>
      </c>
      <c r="D8171" s="15">
        <f>IFERROR(__xludf.DUMMYFUNCTION("""COMPUTED_VALUE"""),1.071)</f>
        <v>1.071</v>
      </c>
      <c r="E8171" s="16">
        <f>IFERROR(__xludf.DUMMYFUNCTION("""COMPUTED_VALUE"""),66.0)</f>
        <v>66</v>
      </c>
      <c r="F8171" s="19" t="str">
        <f>IFERROR(__xludf.DUMMYFUNCTION("""COMPUTED_VALUE"""),"BLACK")</f>
        <v>BLACK</v>
      </c>
      <c r="G8171" s="20" t="str">
        <f>IFERROR(__xludf.DUMMYFUNCTION("""COMPUTED_VALUE"""),"Uncle Sams Cider (11/12/2021) 02")</f>
        <v>Uncle Sams Cider (11/12/2021) 02</v>
      </c>
      <c r="H8171" s="19"/>
    </row>
    <row r="8172">
      <c r="A8172" s="9"/>
      <c r="B8172" s="15"/>
      <c r="C8172" s="9">
        <f>IFERROR(__xludf.DUMMYFUNCTION("""COMPUTED_VALUE"""),44519.3860294675)</f>
        <v>44519.38603</v>
      </c>
      <c r="D8172" s="15">
        <f>IFERROR(__xludf.DUMMYFUNCTION("""COMPUTED_VALUE"""),1.071)</f>
        <v>1.071</v>
      </c>
      <c r="E8172" s="16">
        <f>IFERROR(__xludf.DUMMYFUNCTION("""COMPUTED_VALUE"""),66.0)</f>
        <v>66</v>
      </c>
      <c r="F8172" s="19" t="str">
        <f>IFERROR(__xludf.DUMMYFUNCTION("""COMPUTED_VALUE"""),"BLACK")</f>
        <v>BLACK</v>
      </c>
      <c r="G8172" s="20" t="str">
        <f>IFERROR(__xludf.DUMMYFUNCTION("""COMPUTED_VALUE"""),"Uncle Sams Cider (11/12/2021) 02")</f>
        <v>Uncle Sams Cider (11/12/2021) 02</v>
      </c>
      <c r="H8172" s="19"/>
    </row>
    <row r="8173">
      <c r="A8173" s="9"/>
      <c r="B8173" s="15"/>
      <c r="C8173" s="9">
        <f>IFERROR(__xludf.DUMMYFUNCTION("""COMPUTED_VALUE"""),44519.3755960879)</f>
        <v>44519.3756</v>
      </c>
      <c r="D8173" s="15">
        <f>IFERROR(__xludf.DUMMYFUNCTION("""COMPUTED_VALUE"""),1.071)</f>
        <v>1.071</v>
      </c>
      <c r="E8173" s="16">
        <f>IFERROR(__xludf.DUMMYFUNCTION("""COMPUTED_VALUE"""),66.0)</f>
        <v>66</v>
      </c>
      <c r="F8173" s="19" t="str">
        <f>IFERROR(__xludf.DUMMYFUNCTION("""COMPUTED_VALUE"""),"BLACK")</f>
        <v>BLACK</v>
      </c>
      <c r="G8173" s="20" t="str">
        <f>IFERROR(__xludf.DUMMYFUNCTION("""COMPUTED_VALUE"""),"Uncle Sams Cider (11/12/2021) 02")</f>
        <v>Uncle Sams Cider (11/12/2021) 02</v>
      </c>
      <c r="H8173" s="19"/>
    </row>
    <row r="8174">
      <c r="A8174" s="9"/>
      <c r="B8174" s="15"/>
      <c r="C8174" s="9">
        <f>IFERROR(__xludf.DUMMYFUNCTION("""COMPUTED_VALUE"""),44519.3651740856)</f>
        <v>44519.36517</v>
      </c>
      <c r="D8174" s="15">
        <f>IFERROR(__xludf.DUMMYFUNCTION("""COMPUTED_VALUE"""),1.071)</f>
        <v>1.071</v>
      </c>
      <c r="E8174" s="16">
        <f>IFERROR(__xludf.DUMMYFUNCTION("""COMPUTED_VALUE"""),66.0)</f>
        <v>66</v>
      </c>
      <c r="F8174" s="19" t="str">
        <f>IFERROR(__xludf.DUMMYFUNCTION("""COMPUTED_VALUE"""),"BLACK")</f>
        <v>BLACK</v>
      </c>
      <c r="G8174" s="20" t="str">
        <f>IFERROR(__xludf.DUMMYFUNCTION("""COMPUTED_VALUE"""),"Uncle Sams Cider (11/12/2021) 02")</f>
        <v>Uncle Sams Cider (11/12/2021) 02</v>
      </c>
      <c r="H8174" s="19"/>
    </row>
    <row r="8175">
      <c r="A8175" s="9"/>
      <c r="B8175" s="15"/>
      <c r="C8175" s="9">
        <f>IFERROR(__xludf.DUMMYFUNCTION("""COMPUTED_VALUE"""),44519.3547416203)</f>
        <v>44519.35474</v>
      </c>
      <c r="D8175" s="15">
        <f>IFERROR(__xludf.DUMMYFUNCTION("""COMPUTED_VALUE"""),1.072)</f>
        <v>1.072</v>
      </c>
      <c r="E8175" s="16">
        <f>IFERROR(__xludf.DUMMYFUNCTION("""COMPUTED_VALUE"""),66.0)</f>
        <v>66</v>
      </c>
      <c r="F8175" s="19" t="str">
        <f>IFERROR(__xludf.DUMMYFUNCTION("""COMPUTED_VALUE"""),"BLACK")</f>
        <v>BLACK</v>
      </c>
      <c r="G8175" s="20" t="str">
        <f>IFERROR(__xludf.DUMMYFUNCTION("""COMPUTED_VALUE"""),"Uncle Sams Cider (11/12/2021) 02")</f>
        <v>Uncle Sams Cider (11/12/2021) 02</v>
      </c>
      <c r="H8175" s="19"/>
    </row>
    <row r="8176">
      <c r="A8176" s="9"/>
      <c r="B8176" s="15"/>
      <c r="C8176" s="9">
        <f>IFERROR(__xludf.DUMMYFUNCTION("""COMPUTED_VALUE"""),44519.3443210416)</f>
        <v>44519.34432</v>
      </c>
      <c r="D8176" s="15">
        <f>IFERROR(__xludf.DUMMYFUNCTION("""COMPUTED_VALUE"""),1.072)</f>
        <v>1.072</v>
      </c>
      <c r="E8176" s="16">
        <f>IFERROR(__xludf.DUMMYFUNCTION("""COMPUTED_VALUE"""),66.0)</f>
        <v>66</v>
      </c>
      <c r="F8176" s="19" t="str">
        <f>IFERROR(__xludf.DUMMYFUNCTION("""COMPUTED_VALUE"""),"BLACK")</f>
        <v>BLACK</v>
      </c>
      <c r="G8176" s="20" t="str">
        <f>IFERROR(__xludf.DUMMYFUNCTION("""COMPUTED_VALUE"""),"Uncle Sams Cider (11/12/2021) 02")</f>
        <v>Uncle Sams Cider (11/12/2021) 02</v>
      </c>
      <c r="H8176" s="19"/>
    </row>
    <row r="8177">
      <c r="A8177" s="9"/>
      <c r="B8177" s="15"/>
      <c r="C8177" s="9">
        <f>IFERROR(__xludf.DUMMYFUNCTION("""COMPUTED_VALUE"""),44519.3339000347)</f>
        <v>44519.3339</v>
      </c>
      <c r="D8177" s="15">
        <f>IFERROR(__xludf.DUMMYFUNCTION("""COMPUTED_VALUE"""),1.072)</f>
        <v>1.072</v>
      </c>
      <c r="E8177" s="16">
        <f>IFERROR(__xludf.DUMMYFUNCTION("""COMPUTED_VALUE"""),66.0)</f>
        <v>66</v>
      </c>
      <c r="F8177" s="19" t="str">
        <f>IFERROR(__xludf.DUMMYFUNCTION("""COMPUTED_VALUE"""),"BLACK")</f>
        <v>BLACK</v>
      </c>
      <c r="G8177" s="20" t="str">
        <f>IFERROR(__xludf.DUMMYFUNCTION("""COMPUTED_VALUE"""),"Uncle Sams Cider (11/12/2021) 02")</f>
        <v>Uncle Sams Cider (11/12/2021) 02</v>
      </c>
      <c r="H8177" s="19"/>
    </row>
    <row r="8178">
      <c r="A8178" s="9"/>
      <c r="B8178" s="15"/>
      <c r="C8178" s="9">
        <f>IFERROR(__xludf.DUMMYFUNCTION("""COMPUTED_VALUE"""),44519.3234803935)</f>
        <v>44519.32348</v>
      </c>
      <c r="D8178" s="15">
        <f>IFERROR(__xludf.DUMMYFUNCTION("""COMPUTED_VALUE"""),1.072)</f>
        <v>1.072</v>
      </c>
      <c r="E8178" s="16">
        <f>IFERROR(__xludf.DUMMYFUNCTION("""COMPUTED_VALUE"""),66.0)</f>
        <v>66</v>
      </c>
      <c r="F8178" s="19" t="str">
        <f>IFERROR(__xludf.DUMMYFUNCTION("""COMPUTED_VALUE"""),"BLACK")</f>
        <v>BLACK</v>
      </c>
      <c r="G8178" s="20" t="str">
        <f>IFERROR(__xludf.DUMMYFUNCTION("""COMPUTED_VALUE"""),"Uncle Sams Cider (11/12/2021) 02")</f>
        <v>Uncle Sams Cider (11/12/2021) 02</v>
      </c>
      <c r="H8178" s="19"/>
    </row>
    <row r="8179">
      <c r="A8179" s="9"/>
      <c r="B8179" s="15"/>
      <c r="C8179" s="9">
        <f>IFERROR(__xludf.DUMMYFUNCTION("""COMPUTED_VALUE"""),44519.313057118)</f>
        <v>44519.31306</v>
      </c>
      <c r="D8179" s="15">
        <f>IFERROR(__xludf.DUMMYFUNCTION("""COMPUTED_VALUE"""),1.072)</f>
        <v>1.072</v>
      </c>
      <c r="E8179" s="16">
        <f>IFERROR(__xludf.DUMMYFUNCTION("""COMPUTED_VALUE"""),66.0)</f>
        <v>66</v>
      </c>
      <c r="F8179" s="19" t="str">
        <f>IFERROR(__xludf.DUMMYFUNCTION("""COMPUTED_VALUE"""),"BLACK")</f>
        <v>BLACK</v>
      </c>
      <c r="G8179" s="20" t="str">
        <f>IFERROR(__xludf.DUMMYFUNCTION("""COMPUTED_VALUE"""),"Uncle Sams Cider (11/12/2021) 02")</f>
        <v>Uncle Sams Cider (11/12/2021) 02</v>
      </c>
      <c r="H8179" s="19"/>
    </row>
    <row r="8180">
      <c r="A8180" s="9"/>
      <c r="B8180" s="15"/>
      <c r="C8180" s="9">
        <f>IFERROR(__xludf.DUMMYFUNCTION("""COMPUTED_VALUE"""),44519.3026232986)</f>
        <v>44519.30262</v>
      </c>
      <c r="D8180" s="15">
        <f>IFERROR(__xludf.DUMMYFUNCTION("""COMPUTED_VALUE"""),1.072)</f>
        <v>1.072</v>
      </c>
      <c r="E8180" s="16">
        <f>IFERROR(__xludf.DUMMYFUNCTION("""COMPUTED_VALUE"""),66.0)</f>
        <v>66</v>
      </c>
      <c r="F8180" s="19" t="str">
        <f>IFERROR(__xludf.DUMMYFUNCTION("""COMPUTED_VALUE"""),"BLACK")</f>
        <v>BLACK</v>
      </c>
      <c r="G8180" s="20" t="str">
        <f>IFERROR(__xludf.DUMMYFUNCTION("""COMPUTED_VALUE"""),"Uncle Sams Cider (11/12/2021) 02")</f>
        <v>Uncle Sams Cider (11/12/2021) 02</v>
      </c>
      <c r="H8180" s="19"/>
    </row>
    <row r="8181">
      <c r="A8181" s="9"/>
      <c r="B8181" s="15"/>
      <c r="C8181" s="9">
        <f>IFERROR(__xludf.DUMMYFUNCTION("""COMPUTED_VALUE"""),44519.2922038541)</f>
        <v>44519.2922</v>
      </c>
      <c r="D8181" s="15">
        <f>IFERROR(__xludf.DUMMYFUNCTION("""COMPUTED_VALUE"""),1.072)</f>
        <v>1.072</v>
      </c>
      <c r="E8181" s="16">
        <f>IFERROR(__xludf.DUMMYFUNCTION("""COMPUTED_VALUE"""),66.0)</f>
        <v>66</v>
      </c>
      <c r="F8181" s="19" t="str">
        <f>IFERROR(__xludf.DUMMYFUNCTION("""COMPUTED_VALUE"""),"BLACK")</f>
        <v>BLACK</v>
      </c>
      <c r="G8181" s="20" t="str">
        <f>IFERROR(__xludf.DUMMYFUNCTION("""COMPUTED_VALUE"""),"Uncle Sams Cider (11/12/2021) 02")</f>
        <v>Uncle Sams Cider (11/12/2021) 02</v>
      </c>
      <c r="H8181" s="19"/>
    </row>
    <row r="8182">
      <c r="A8182" s="9"/>
      <c r="B8182" s="15"/>
      <c r="C8182" s="9">
        <f>IFERROR(__xludf.DUMMYFUNCTION("""COMPUTED_VALUE"""),44519.2817838773)</f>
        <v>44519.28178</v>
      </c>
      <c r="D8182" s="15">
        <f>IFERROR(__xludf.DUMMYFUNCTION("""COMPUTED_VALUE"""),1.072)</f>
        <v>1.072</v>
      </c>
      <c r="E8182" s="16">
        <f>IFERROR(__xludf.DUMMYFUNCTION("""COMPUTED_VALUE"""),66.0)</f>
        <v>66</v>
      </c>
      <c r="F8182" s="19" t="str">
        <f>IFERROR(__xludf.DUMMYFUNCTION("""COMPUTED_VALUE"""),"BLACK")</f>
        <v>BLACK</v>
      </c>
      <c r="G8182" s="20" t="str">
        <f>IFERROR(__xludf.DUMMYFUNCTION("""COMPUTED_VALUE"""),"Uncle Sams Cider (11/12/2021) 02")</f>
        <v>Uncle Sams Cider (11/12/2021) 02</v>
      </c>
      <c r="H8182" s="19"/>
    </row>
    <row r="8183">
      <c r="A8183" s="9"/>
      <c r="B8183" s="15"/>
      <c r="C8183" s="9">
        <f>IFERROR(__xludf.DUMMYFUNCTION("""COMPUTED_VALUE"""),44519.2713629166)</f>
        <v>44519.27136</v>
      </c>
      <c r="D8183" s="15">
        <f>IFERROR(__xludf.DUMMYFUNCTION("""COMPUTED_VALUE"""),1.072)</f>
        <v>1.072</v>
      </c>
      <c r="E8183" s="16">
        <f>IFERROR(__xludf.DUMMYFUNCTION("""COMPUTED_VALUE"""),66.0)</f>
        <v>66</v>
      </c>
      <c r="F8183" s="19" t="str">
        <f>IFERROR(__xludf.DUMMYFUNCTION("""COMPUTED_VALUE"""),"BLACK")</f>
        <v>BLACK</v>
      </c>
      <c r="G8183" s="20" t="str">
        <f>IFERROR(__xludf.DUMMYFUNCTION("""COMPUTED_VALUE"""),"Uncle Sams Cider (11/12/2021) 02")</f>
        <v>Uncle Sams Cider (11/12/2021) 02</v>
      </c>
      <c r="H8183" s="19"/>
    </row>
    <row r="8184">
      <c r="A8184" s="9"/>
      <c r="B8184" s="15"/>
      <c r="C8184" s="9">
        <f>IFERROR(__xludf.DUMMYFUNCTION("""COMPUTED_VALUE"""),44519.2609423495)</f>
        <v>44519.26094</v>
      </c>
      <c r="D8184" s="15">
        <f>IFERROR(__xludf.DUMMYFUNCTION("""COMPUTED_VALUE"""),1.072)</f>
        <v>1.072</v>
      </c>
      <c r="E8184" s="16">
        <f>IFERROR(__xludf.DUMMYFUNCTION("""COMPUTED_VALUE"""),66.0)</f>
        <v>66</v>
      </c>
      <c r="F8184" s="19" t="str">
        <f>IFERROR(__xludf.DUMMYFUNCTION("""COMPUTED_VALUE"""),"BLACK")</f>
        <v>BLACK</v>
      </c>
      <c r="G8184" s="20" t="str">
        <f>IFERROR(__xludf.DUMMYFUNCTION("""COMPUTED_VALUE"""),"Uncle Sams Cider (11/12/2021) 02")</f>
        <v>Uncle Sams Cider (11/12/2021) 02</v>
      </c>
      <c r="H8184" s="19"/>
    </row>
    <row r="8185">
      <c r="A8185" s="9"/>
      <c r="B8185" s="15"/>
      <c r="C8185" s="9">
        <f>IFERROR(__xludf.DUMMYFUNCTION("""COMPUTED_VALUE"""),44519.2505098842)</f>
        <v>44519.25051</v>
      </c>
      <c r="D8185" s="15">
        <f>IFERROR(__xludf.DUMMYFUNCTION("""COMPUTED_VALUE"""),1.072)</f>
        <v>1.072</v>
      </c>
      <c r="E8185" s="16">
        <f>IFERROR(__xludf.DUMMYFUNCTION("""COMPUTED_VALUE"""),66.0)</f>
        <v>66</v>
      </c>
      <c r="F8185" s="19" t="str">
        <f>IFERROR(__xludf.DUMMYFUNCTION("""COMPUTED_VALUE"""),"BLACK")</f>
        <v>BLACK</v>
      </c>
      <c r="G8185" s="20" t="str">
        <f>IFERROR(__xludf.DUMMYFUNCTION("""COMPUTED_VALUE"""),"Uncle Sams Cider (11/12/2021) 02")</f>
        <v>Uncle Sams Cider (11/12/2021) 02</v>
      </c>
      <c r="H8185" s="19"/>
    </row>
    <row r="8186">
      <c r="A8186" s="9"/>
      <c r="B8186" s="15"/>
      <c r="C8186" s="9">
        <f>IFERROR(__xludf.DUMMYFUNCTION("""COMPUTED_VALUE"""),44519.2400652893)</f>
        <v>44519.24007</v>
      </c>
      <c r="D8186" s="15">
        <f>IFERROR(__xludf.DUMMYFUNCTION("""COMPUTED_VALUE"""),1.072)</f>
        <v>1.072</v>
      </c>
      <c r="E8186" s="16">
        <f>IFERROR(__xludf.DUMMYFUNCTION("""COMPUTED_VALUE"""),66.0)</f>
        <v>66</v>
      </c>
      <c r="F8186" s="19" t="str">
        <f>IFERROR(__xludf.DUMMYFUNCTION("""COMPUTED_VALUE"""),"BLACK")</f>
        <v>BLACK</v>
      </c>
      <c r="G8186" s="20" t="str">
        <f>IFERROR(__xludf.DUMMYFUNCTION("""COMPUTED_VALUE"""),"Uncle Sams Cider (11/12/2021) 02")</f>
        <v>Uncle Sams Cider (11/12/2021) 02</v>
      </c>
      <c r="H8186" s="19"/>
    </row>
    <row r="8187">
      <c r="A8187" s="9"/>
      <c r="B8187" s="15"/>
      <c r="C8187" s="9">
        <f>IFERROR(__xludf.DUMMYFUNCTION("""COMPUTED_VALUE"""),44519.2296448958)</f>
        <v>44519.22964</v>
      </c>
      <c r="D8187" s="15">
        <f>IFERROR(__xludf.DUMMYFUNCTION("""COMPUTED_VALUE"""),1.072)</f>
        <v>1.072</v>
      </c>
      <c r="E8187" s="16">
        <f>IFERROR(__xludf.DUMMYFUNCTION("""COMPUTED_VALUE"""),66.0)</f>
        <v>66</v>
      </c>
      <c r="F8187" s="19" t="str">
        <f>IFERROR(__xludf.DUMMYFUNCTION("""COMPUTED_VALUE"""),"BLACK")</f>
        <v>BLACK</v>
      </c>
      <c r="G8187" s="20" t="str">
        <f>IFERROR(__xludf.DUMMYFUNCTION("""COMPUTED_VALUE"""),"Uncle Sams Cider (11/12/2021) 02")</f>
        <v>Uncle Sams Cider (11/12/2021) 02</v>
      </c>
      <c r="H8187" s="19"/>
    </row>
    <row r="8188">
      <c r="A8188" s="9"/>
      <c r="B8188" s="15"/>
      <c r="C8188" s="9">
        <f>IFERROR(__xludf.DUMMYFUNCTION("""COMPUTED_VALUE"""),44519.2192231365)</f>
        <v>44519.21922</v>
      </c>
      <c r="D8188" s="15">
        <f>IFERROR(__xludf.DUMMYFUNCTION("""COMPUTED_VALUE"""),1.072)</f>
        <v>1.072</v>
      </c>
      <c r="E8188" s="16">
        <f>IFERROR(__xludf.DUMMYFUNCTION("""COMPUTED_VALUE"""),66.0)</f>
        <v>66</v>
      </c>
      <c r="F8188" s="19" t="str">
        <f>IFERROR(__xludf.DUMMYFUNCTION("""COMPUTED_VALUE"""),"BLACK")</f>
        <v>BLACK</v>
      </c>
      <c r="G8188" s="20" t="str">
        <f>IFERROR(__xludf.DUMMYFUNCTION("""COMPUTED_VALUE"""),"Uncle Sams Cider (11/12/2021) 02")</f>
        <v>Uncle Sams Cider (11/12/2021) 02</v>
      </c>
      <c r="H8188" s="19"/>
    </row>
    <row r="8189">
      <c r="A8189" s="9"/>
      <c r="B8189" s="15"/>
      <c r="C8189" s="9">
        <f>IFERROR(__xludf.DUMMYFUNCTION("""COMPUTED_VALUE"""),44519.2088023842)</f>
        <v>44519.2088</v>
      </c>
      <c r="D8189" s="15">
        <f>IFERROR(__xludf.DUMMYFUNCTION("""COMPUTED_VALUE"""),1.072)</f>
        <v>1.072</v>
      </c>
      <c r="E8189" s="16">
        <f>IFERROR(__xludf.DUMMYFUNCTION("""COMPUTED_VALUE"""),66.0)</f>
        <v>66</v>
      </c>
      <c r="F8189" s="19" t="str">
        <f>IFERROR(__xludf.DUMMYFUNCTION("""COMPUTED_VALUE"""),"BLACK")</f>
        <v>BLACK</v>
      </c>
      <c r="G8189" s="20" t="str">
        <f>IFERROR(__xludf.DUMMYFUNCTION("""COMPUTED_VALUE"""),"Uncle Sams Cider (11/12/2021) 02")</f>
        <v>Uncle Sams Cider (11/12/2021) 02</v>
      </c>
      <c r="H8189" s="19"/>
    </row>
    <row r="8190">
      <c r="A8190" s="9"/>
      <c r="B8190" s="15"/>
      <c r="C8190" s="9">
        <f>IFERROR(__xludf.DUMMYFUNCTION("""COMPUTED_VALUE"""),44519.1983813888)</f>
        <v>44519.19838</v>
      </c>
      <c r="D8190" s="15">
        <f>IFERROR(__xludf.DUMMYFUNCTION("""COMPUTED_VALUE"""),1.072)</f>
        <v>1.072</v>
      </c>
      <c r="E8190" s="16">
        <f>IFERROR(__xludf.DUMMYFUNCTION("""COMPUTED_VALUE"""),66.0)</f>
        <v>66</v>
      </c>
      <c r="F8190" s="19" t="str">
        <f>IFERROR(__xludf.DUMMYFUNCTION("""COMPUTED_VALUE"""),"BLACK")</f>
        <v>BLACK</v>
      </c>
      <c r="G8190" s="20" t="str">
        <f>IFERROR(__xludf.DUMMYFUNCTION("""COMPUTED_VALUE"""),"Uncle Sams Cider (11/12/2021) 02")</f>
        <v>Uncle Sams Cider (11/12/2021) 02</v>
      </c>
      <c r="H8190" s="19"/>
    </row>
    <row r="8191">
      <c r="A8191" s="9"/>
      <c r="B8191" s="15"/>
      <c r="C8191" s="9">
        <f>IFERROR(__xludf.DUMMYFUNCTION("""COMPUTED_VALUE"""),44519.1879485879)</f>
        <v>44519.18795</v>
      </c>
      <c r="D8191" s="15">
        <f>IFERROR(__xludf.DUMMYFUNCTION("""COMPUTED_VALUE"""),1.072)</f>
        <v>1.072</v>
      </c>
      <c r="E8191" s="16">
        <f>IFERROR(__xludf.DUMMYFUNCTION("""COMPUTED_VALUE"""),66.0)</f>
        <v>66</v>
      </c>
      <c r="F8191" s="19" t="str">
        <f>IFERROR(__xludf.DUMMYFUNCTION("""COMPUTED_VALUE"""),"BLACK")</f>
        <v>BLACK</v>
      </c>
      <c r="G8191" s="20" t="str">
        <f>IFERROR(__xludf.DUMMYFUNCTION("""COMPUTED_VALUE"""),"Uncle Sams Cider (11/12/2021) 02")</f>
        <v>Uncle Sams Cider (11/12/2021) 02</v>
      </c>
      <c r="H8191" s="19"/>
    </row>
    <row r="8192">
      <c r="A8192" s="9"/>
      <c r="B8192" s="15"/>
      <c r="C8192" s="9">
        <f>IFERROR(__xludf.DUMMYFUNCTION("""COMPUTED_VALUE"""),44519.1775271296)</f>
        <v>44519.17753</v>
      </c>
      <c r="D8192" s="15">
        <f>IFERROR(__xludf.DUMMYFUNCTION("""COMPUTED_VALUE"""),1.072)</f>
        <v>1.072</v>
      </c>
      <c r="E8192" s="16">
        <f>IFERROR(__xludf.DUMMYFUNCTION("""COMPUTED_VALUE"""),66.0)</f>
        <v>66</v>
      </c>
      <c r="F8192" s="19" t="str">
        <f>IFERROR(__xludf.DUMMYFUNCTION("""COMPUTED_VALUE"""),"BLACK")</f>
        <v>BLACK</v>
      </c>
      <c r="G8192" s="20" t="str">
        <f>IFERROR(__xludf.DUMMYFUNCTION("""COMPUTED_VALUE"""),"Uncle Sams Cider (11/12/2021) 02")</f>
        <v>Uncle Sams Cider (11/12/2021) 02</v>
      </c>
      <c r="H8192" s="19"/>
    </row>
    <row r="8193">
      <c r="A8193" s="9"/>
      <c r="B8193" s="15"/>
      <c r="C8193" s="9">
        <f>IFERROR(__xludf.DUMMYFUNCTION("""COMPUTED_VALUE"""),44519.167105243)</f>
        <v>44519.16711</v>
      </c>
      <c r="D8193" s="15">
        <f>IFERROR(__xludf.DUMMYFUNCTION("""COMPUTED_VALUE"""),1.072)</f>
        <v>1.072</v>
      </c>
      <c r="E8193" s="16">
        <f>IFERROR(__xludf.DUMMYFUNCTION("""COMPUTED_VALUE"""),66.0)</f>
        <v>66</v>
      </c>
      <c r="F8193" s="19" t="str">
        <f>IFERROR(__xludf.DUMMYFUNCTION("""COMPUTED_VALUE"""),"BLACK")</f>
        <v>BLACK</v>
      </c>
      <c r="G8193" s="20" t="str">
        <f>IFERROR(__xludf.DUMMYFUNCTION("""COMPUTED_VALUE"""),"Uncle Sams Cider (11/12/2021) 02")</f>
        <v>Uncle Sams Cider (11/12/2021) 02</v>
      </c>
      <c r="H8193" s="19"/>
    </row>
    <row r="8194">
      <c r="A8194" s="9"/>
      <c r="B8194" s="15"/>
      <c r="C8194" s="9">
        <f>IFERROR(__xludf.DUMMYFUNCTION("""COMPUTED_VALUE"""),44519.1566844907)</f>
        <v>44519.15668</v>
      </c>
      <c r="D8194" s="15">
        <f>IFERROR(__xludf.DUMMYFUNCTION("""COMPUTED_VALUE"""),1.073)</f>
        <v>1.073</v>
      </c>
      <c r="E8194" s="16">
        <f>IFERROR(__xludf.DUMMYFUNCTION("""COMPUTED_VALUE"""),66.0)</f>
        <v>66</v>
      </c>
      <c r="F8194" s="19" t="str">
        <f>IFERROR(__xludf.DUMMYFUNCTION("""COMPUTED_VALUE"""),"BLACK")</f>
        <v>BLACK</v>
      </c>
      <c r="G8194" s="20" t="str">
        <f>IFERROR(__xludf.DUMMYFUNCTION("""COMPUTED_VALUE"""),"Uncle Sams Cider (11/12/2021) 02")</f>
        <v>Uncle Sams Cider (11/12/2021) 02</v>
      </c>
      <c r="H8194" s="19"/>
    </row>
    <row r="8195">
      <c r="A8195" s="9"/>
      <c r="B8195" s="15"/>
      <c r="C8195" s="9">
        <f>IFERROR(__xludf.DUMMYFUNCTION("""COMPUTED_VALUE"""),44519.1462632638)</f>
        <v>44519.14626</v>
      </c>
      <c r="D8195" s="15">
        <f>IFERROR(__xludf.DUMMYFUNCTION("""COMPUTED_VALUE"""),1.072)</f>
        <v>1.072</v>
      </c>
      <c r="E8195" s="16">
        <f>IFERROR(__xludf.DUMMYFUNCTION("""COMPUTED_VALUE"""),66.0)</f>
        <v>66</v>
      </c>
      <c r="F8195" s="19" t="str">
        <f>IFERROR(__xludf.DUMMYFUNCTION("""COMPUTED_VALUE"""),"BLACK")</f>
        <v>BLACK</v>
      </c>
      <c r="G8195" s="20" t="str">
        <f>IFERROR(__xludf.DUMMYFUNCTION("""COMPUTED_VALUE"""),"Uncle Sams Cider (11/12/2021) 02")</f>
        <v>Uncle Sams Cider (11/12/2021) 02</v>
      </c>
      <c r="H8195" s="19"/>
    </row>
    <row r="8196">
      <c r="A8196" s="9"/>
      <c r="B8196" s="15"/>
      <c r="C8196" s="9">
        <f>IFERROR(__xludf.DUMMYFUNCTION("""COMPUTED_VALUE"""),44519.1358407523)</f>
        <v>44519.13584</v>
      </c>
      <c r="D8196" s="15">
        <f>IFERROR(__xludf.DUMMYFUNCTION("""COMPUTED_VALUE"""),1.073)</f>
        <v>1.073</v>
      </c>
      <c r="E8196" s="16">
        <f>IFERROR(__xludf.DUMMYFUNCTION("""COMPUTED_VALUE"""),65.0)</f>
        <v>65</v>
      </c>
      <c r="F8196" s="19" t="str">
        <f>IFERROR(__xludf.DUMMYFUNCTION("""COMPUTED_VALUE"""),"BLACK")</f>
        <v>BLACK</v>
      </c>
      <c r="G8196" s="20" t="str">
        <f>IFERROR(__xludf.DUMMYFUNCTION("""COMPUTED_VALUE"""),"Uncle Sams Cider (11/12/2021) 02")</f>
        <v>Uncle Sams Cider (11/12/2021) 02</v>
      </c>
      <c r="H8196" s="19"/>
    </row>
    <row r="8197">
      <c r="A8197" s="9"/>
      <c r="B8197" s="15"/>
      <c r="C8197" s="9">
        <f>IFERROR(__xludf.DUMMYFUNCTION("""COMPUTED_VALUE"""),44519.125419537)</f>
        <v>44519.12542</v>
      </c>
      <c r="D8197" s="15">
        <f>IFERROR(__xludf.DUMMYFUNCTION("""COMPUTED_VALUE"""),1.072)</f>
        <v>1.072</v>
      </c>
      <c r="E8197" s="16">
        <f>IFERROR(__xludf.DUMMYFUNCTION("""COMPUTED_VALUE"""),65.0)</f>
        <v>65</v>
      </c>
      <c r="F8197" s="19" t="str">
        <f>IFERROR(__xludf.DUMMYFUNCTION("""COMPUTED_VALUE"""),"BLACK")</f>
        <v>BLACK</v>
      </c>
      <c r="G8197" s="20" t="str">
        <f>IFERROR(__xludf.DUMMYFUNCTION("""COMPUTED_VALUE"""),"Uncle Sams Cider (11/12/2021) 02")</f>
        <v>Uncle Sams Cider (11/12/2021) 02</v>
      </c>
      <c r="H8197" s="19"/>
    </row>
    <row r="8198">
      <c r="A8198" s="9"/>
      <c r="B8198" s="15"/>
      <c r="C8198" s="9">
        <f>IFERROR(__xludf.DUMMYFUNCTION("""COMPUTED_VALUE"""),44519.1149998148)</f>
        <v>44519.115</v>
      </c>
      <c r="D8198" s="15">
        <f>IFERROR(__xludf.DUMMYFUNCTION("""COMPUTED_VALUE"""),1.072)</f>
        <v>1.072</v>
      </c>
      <c r="E8198" s="16">
        <f>IFERROR(__xludf.DUMMYFUNCTION("""COMPUTED_VALUE"""),65.0)</f>
        <v>65</v>
      </c>
      <c r="F8198" s="19" t="str">
        <f>IFERROR(__xludf.DUMMYFUNCTION("""COMPUTED_VALUE"""),"BLACK")</f>
        <v>BLACK</v>
      </c>
      <c r="G8198" s="20" t="str">
        <f>IFERROR(__xludf.DUMMYFUNCTION("""COMPUTED_VALUE"""),"Uncle Sams Cider (11/12/2021) 02")</f>
        <v>Uncle Sams Cider (11/12/2021) 02</v>
      </c>
      <c r="H8198" s="19"/>
    </row>
    <row r="8199">
      <c r="A8199" s="9"/>
      <c r="B8199" s="15"/>
      <c r="C8199" s="9">
        <f>IFERROR(__xludf.DUMMYFUNCTION("""COMPUTED_VALUE"""),44519.1045798263)</f>
        <v>44519.10458</v>
      </c>
      <c r="D8199" s="15">
        <f>IFERROR(__xludf.DUMMYFUNCTION("""COMPUTED_VALUE"""),1.073)</f>
        <v>1.073</v>
      </c>
      <c r="E8199" s="16">
        <f>IFERROR(__xludf.DUMMYFUNCTION("""COMPUTED_VALUE"""),65.0)</f>
        <v>65</v>
      </c>
      <c r="F8199" s="19" t="str">
        <f>IFERROR(__xludf.DUMMYFUNCTION("""COMPUTED_VALUE"""),"BLACK")</f>
        <v>BLACK</v>
      </c>
      <c r="G8199" s="20" t="str">
        <f>IFERROR(__xludf.DUMMYFUNCTION("""COMPUTED_VALUE"""),"Uncle Sams Cider (11/12/2021) 02")</f>
        <v>Uncle Sams Cider (11/12/2021) 02</v>
      </c>
      <c r="H8199" s="19"/>
    </row>
    <row r="8200">
      <c r="A8200" s="9"/>
      <c r="B8200" s="15"/>
      <c r="C8200" s="9">
        <f>IFERROR(__xludf.DUMMYFUNCTION("""COMPUTED_VALUE"""),44519.0941475347)</f>
        <v>44519.09415</v>
      </c>
      <c r="D8200" s="15">
        <f>IFERROR(__xludf.DUMMYFUNCTION("""COMPUTED_VALUE"""),1.073)</f>
        <v>1.073</v>
      </c>
      <c r="E8200" s="16">
        <f>IFERROR(__xludf.DUMMYFUNCTION("""COMPUTED_VALUE"""),65.0)</f>
        <v>65</v>
      </c>
      <c r="F8200" s="19" t="str">
        <f>IFERROR(__xludf.DUMMYFUNCTION("""COMPUTED_VALUE"""),"BLACK")</f>
        <v>BLACK</v>
      </c>
      <c r="G8200" s="20" t="str">
        <f>IFERROR(__xludf.DUMMYFUNCTION("""COMPUTED_VALUE"""),"Uncle Sams Cider (11/12/2021) 02")</f>
        <v>Uncle Sams Cider (11/12/2021) 02</v>
      </c>
      <c r="H8200" s="19"/>
    </row>
    <row r="8201">
      <c r="A8201" s="9"/>
      <c r="B8201" s="15"/>
      <c r="C8201" s="9">
        <f>IFERROR(__xludf.DUMMYFUNCTION("""COMPUTED_VALUE"""),44519.0837271064)</f>
        <v>44519.08373</v>
      </c>
      <c r="D8201" s="15">
        <f>IFERROR(__xludf.DUMMYFUNCTION("""COMPUTED_VALUE"""),1.073)</f>
        <v>1.073</v>
      </c>
      <c r="E8201" s="16">
        <f>IFERROR(__xludf.DUMMYFUNCTION("""COMPUTED_VALUE"""),65.0)</f>
        <v>65</v>
      </c>
      <c r="F8201" s="19" t="str">
        <f>IFERROR(__xludf.DUMMYFUNCTION("""COMPUTED_VALUE"""),"BLACK")</f>
        <v>BLACK</v>
      </c>
      <c r="G8201" s="20" t="str">
        <f>IFERROR(__xludf.DUMMYFUNCTION("""COMPUTED_VALUE"""),"Uncle Sams Cider (11/12/2021) 02")</f>
        <v>Uncle Sams Cider (11/12/2021) 02</v>
      </c>
      <c r="H8201" s="19"/>
    </row>
    <row r="8202">
      <c r="A8202" s="9"/>
      <c r="B8202" s="15"/>
      <c r="C8202" s="9">
        <f>IFERROR(__xludf.DUMMYFUNCTION("""COMPUTED_VALUE"""),44519.0733051967)</f>
        <v>44519.07331</v>
      </c>
      <c r="D8202" s="15">
        <f>IFERROR(__xludf.DUMMYFUNCTION("""COMPUTED_VALUE"""),1.073)</f>
        <v>1.073</v>
      </c>
      <c r="E8202" s="16">
        <f>IFERROR(__xludf.DUMMYFUNCTION("""COMPUTED_VALUE"""),65.0)</f>
        <v>65</v>
      </c>
      <c r="F8202" s="19" t="str">
        <f>IFERROR(__xludf.DUMMYFUNCTION("""COMPUTED_VALUE"""),"BLACK")</f>
        <v>BLACK</v>
      </c>
      <c r="G8202" s="20" t="str">
        <f>IFERROR(__xludf.DUMMYFUNCTION("""COMPUTED_VALUE"""),"Uncle Sams Cider (11/12/2021) 02")</f>
        <v>Uncle Sams Cider (11/12/2021) 02</v>
      </c>
      <c r="H8202" s="19"/>
    </row>
    <row r="8203">
      <c r="A8203" s="9"/>
      <c r="B8203" s="15"/>
      <c r="C8203" s="9">
        <f>IFERROR(__xludf.DUMMYFUNCTION("""COMPUTED_VALUE"""),44519.0628624421)</f>
        <v>44519.06286</v>
      </c>
      <c r="D8203" s="15">
        <f>IFERROR(__xludf.DUMMYFUNCTION("""COMPUTED_VALUE"""),1.073)</f>
        <v>1.073</v>
      </c>
      <c r="E8203" s="16">
        <f>IFERROR(__xludf.DUMMYFUNCTION("""COMPUTED_VALUE"""),65.0)</f>
        <v>65</v>
      </c>
      <c r="F8203" s="19" t="str">
        <f>IFERROR(__xludf.DUMMYFUNCTION("""COMPUTED_VALUE"""),"BLACK")</f>
        <v>BLACK</v>
      </c>
      <c r="G8203" s="20" t="str">
        <f>IFERROR(__xludf.DUMMYFUNCTION("""COMPUTED_VALUE"""),"Uncle Sams Cider (11/12/2021) 02")</f>
        <v>Uncle Sams Cider (11/12/2021) 02</v>
      </c>
      <c r="H8203" s="19"/>
    </row>
    <row r="8204">
      <c r="A8204" s="9"/>
      <c r="B8204" s="15"/>
      <c r="C8204" s="9">
        <f>IFERROR(__xludf.DUMMYFUNCTION("""COMPUTED_VALUE"""),44519.0524414699)</f>
        <v>44519.05244</v>
      </c>
      <c r="D8204" s="15">
        <f>IFERROR(__xludf.DUMMYFUNCTION("""COMPUTED_VALUE"""),1.073)</f>
        <v>1.073</v>
      </c>
      <c r="E8204" s="16">
        <f>IFERROR(__xludf.DUMMYFUNCTION("""COMPUTED_VALUE"""),65.0)</f>
        <v>65</v>
      </c>
      <c r="F8204" s="19" t="str">
        <f>IFERROR(__xludf.DUMMYFUNCTION("""COMPUTED_VALUE"""),"BLACK")</f>
        <v>BLACK</v>
      </c>
      <c r="G8204" s="20" t="str">
        <f>IFERROR(__xludf.DUMMYFUNCTION("""COMPUTED_VALUE"""),"Uncle Sams Cider (11/12/2021) 02")</f>
        <v>Uncle Sams Cider (11/12/2021) 02</v>
      </c>
      <c r="H8204" s="19"/>
    </row>
    <row r="8205">
      <c r="A8205" s="9"/>
      <c r="B8205" s="15"/>
      <c r="C8205" s="9">
        <f>IFERROR(__xludf.DUMMYFUNCTION("""COMPUTED_VALUE"""),44519.0420202083)</f>
        <v>44519.04202</v>
      </c>
      <c r="D8205" s="15">
        <f>IFERROR(__xludf.DUMMYFUNCTION("""COMPUTED_VALUE"""),1.073)</f>
        <v>1.073</v>
      </c>
      <c r="E8205" s="16">
        <f>IFERROR(__xludf.DUMMYFUNCTION("""COMPUTED_VALUE"""),65.0)</f>
        <v>65</v>
      </c>
      <c r="F8205" s="19" t="str">
        <f>IFERROR(__xludf.DUMMYFUNCTION("""COMPUTED_VALUE"""),"BLACK")</f>
        <v>BLACK</v>
      </c>
      <c r="G8205" s="20" t="str">
        <f>IFERROR(__xludf.DUMMYFUNCTION("""COMPUTED_VALUE"""),"Uncle Sams Cider (11/12/2021) 02")</f>
        <v>Uncle Sams Cider (11/12/2021) 02</v>
      </c>
      <c r="H8205" s="19"/>
    </row>
    <row r="8206">
      <c r="A8206" s="9"/>
      <c r="B8206" s="15"/>
      <c r="C8206" s="9">
        <f>IFERROR(__xludf.DUMMYFUNCTION("""COMPUTED_VALUE"""),44519.0315983333)</f>
        <v>44519.0316</v>
      </c>
      <c r="D8206" s="15">
        <f>IFERROR(__xludf.DUMMYFUNCTION("""COMPUTED_VALUE"""),1.073)</f>
        <v>1.073</v>
      </c>
      <c r="E8206" s="16">
        <f>IFERROR(__xludf.DUMMYFUNCTION("""COMPUTED_VALUE"""),65.0)</f>
        <v>65</v>
      </c>
      <c r="F8206" s="19" t="str">
        <f>IFERROR(__xludf.DUMMYFUNCTION("""COMPUTED_VALUE"""),"BLACK")</f>
        <v>BLACK</v>
      </c>
      <c r="G8206" s="20" t="str">
        <f>IFERROR(__xludf.DUMMYFUNCTION("""COMPUTED_VALUE"""),"Uncle Sams Cider (11/12/2021) 02")</f>
        <v>Uncle Sams Cider (11/12/2021) 02</v>
      </c>
      <c r="H8206" s="19"/>
    </row>
    <row r="8207">
      <c r="A8207" s="9"/>
      <c r="B8207" s="15"/>
      <c r="C8207" s="9">
        <f>IFERROR(__xludf.DUMMYFUNCTION("""COMPUTED_VALUE"""),44519.0211792476)</f>
        <v>44519.02118</v>
      </c>
      <c r="D8207" s="15">
        <f>IFERROR(__xludf.DUMMYFUNCTION("""COMPUTED_VALUE"""),1.073)</f>
        <v>1.073</v>
      </c>
      <c r="E8207" s="16">
        <f>IFERROR(__xludf.DUMMYFUNCTION("""COMPUTED_VALUE"""),65.0)</f>
        <v>65</v>
      </c>
      <c r="F8207" s="19" t="str">
        <f>IFERROR(__xludf.DUMMYFUNCTION("""COMPUTED_VALUE"""),"BLACK")</f>
        <v>BLACK</v>
      </c>
      <c r="G8207" s="20" t="str">
        <f>IFERROR(__xludf.DUMMYFUNCTION("""COMPUTED_VALUE"""),"Uncle Sams Cider (11/12/2021) 02")</f>
        <v>Uncle Sams Cider (11/12/2021) 02</v>
      </c>
      <c r="H8207" s="19"/>
    </row>
    <row r="8208">
      <c r="A8208" s="9"/>
      <c r="B8208" s="15"/>
      <c r="C8208" s="9">
        <f>IFERROR(__xludf.DUMMYFUNCTION("""COMPUTED_VALUE"""),44519.0107580787)</f>
        <v>44519.01076</v>
      </c>
      <c r="D8208" s="15">
        <f>IFERROR(__xludf.DUMMYFUNCTION("""COMPUTED_VALUE"""),1.073)</f>
        <v>1.073</v>
      </c>
      <c r="E8208" s="16">
        <f>IFERROR(__xludf.DUMMYFUNCTION("""COMPUTED_VALUE"""),65.0)</f>
        <v>65</v>
      </c>
      <c r="F8208" s="19" t="str">
        <f>IFERROR(__xludf.DUMMYFUNCTION("""COMPUTED_VALUE"""),"BLACK")</f>
        <v>BLACK</v>
      </c>
      <c r="G8208" s="20" t="str">
        <f>IFERROR(__xludf.DUMMYFUNCTION("""COMPUTED_VALUE"""),"Uncle Sams Cider (11/12/2021) 02")</f>
        <v>Uncle Sams Cider (11/12/2021) 02</v>
      </c>
      <c r="H8208" s="19"/>
    </row>
    <row r="8209">
      <c r="A8209" s="9"/>
      <c r="B8209" s="15"/>
      <c r="C8209" s="9">
        <f>IFERROR(__xludf.DUMMYFUNCTION("""COMPUTED_VALUE"""),44519.0003244212)</f>
        <v>44519.00032</v>
      </c>
      <c r="D8209" s="15">
        <f>IFERROR(__xludf.DUMMYFUNCTION("""COMPUTED_VALUE"""),1.073)</f>
        <v>1.073</v>
      </c>
      <c r="E8209" s="16">
        <f>IFERROR(__xludf.DUMMYFUNCTION("""COMPUTED_VALUE"""),65.0)</f>
        <v>65</v>
      </c>
      <c r="F8209" s="19" t="str">
        <f>IFERROR(__xludf.DUMMYFUNCTION("""COMPUTED_VALUE"""),"BLACK")</f>
        <v>BLACK</v>
      </c>
      <c r="G8209" s="20" t="str">
        <f>IFERROR(__xludf.DUMMYFUNCTION("""COMPUTED_VALUE"""),"Uncle Sams Cider (11/12/2021) 02")</f>
        <v>Uncle Sams Cider (11/12/2021) 02</v>
      </c>
      <c r="H8209" s="19"/>
    </row>
    <row r="8210">
      <c r="A8210" s="9"/>
      <c r="B8210" s="15"/>
      <c r="C8210" s="9">
        <f>IFERROR(__xludf.DUMMYFUNCTION("""COMPUTED_VALUE"""),44518.9899032754)</f>
        <v>44518.9899</v>
      </c>
      <c r="D8210" s="15">
        <f>IFERROR(__xludf.DUMMYFUNCTION("""COMPUTED_VALUE"""),1.073)</f>
        <v>1.073</v>
      </c>
      <c r="E8210" s="16">
        <f>IFERROR(__xludf.DUMMYFUNCTION("""COMPUTED_VALUE"""),65.0)</f>
        <v>65</v>
      </c>
      <c r="F8210" s="19" t="str">
        <f>IFERROR(__xludf.DUMMYFUNCTION("""COMPUTED_VALUE"""),"BLACK")</f>
        <v>BLACK</v>
      </c>
      <c r="G8210" s="20" t="str">
        <f>IFERROR(__xludf.DUMMYFUNCTION("""COMPUTED_VALUE"""),"Uncle Sams Cider (11/12/2021) 02")</f>
        <v>Uncle Sams Cider (11/12/2021) 02</v>
      </c>
      <c r="H8210" s="19"/>
    </row>
    <row r="8211">
      <c r="A8211" s="9"/>
      <c r="B8211" s="15"/>
      <c r="C8211" s="9">
        <f>IFERROR(__xludf.DUMMYFUNCTION("""COMPUTED_VALUE"""),44518.9794828703)</f>
        <v>44518.97948</v>
      </c>
      <c r="D8211" s="15">
        <f>IFERROR(__xludf.DUMMYFUNCTION("""COMPUTED_VALUE"""),1.073)</f>
        <v>1.073</v>
      </c>
      <c r="E8211" s="16">
        <f>IFERROR(__xludf.DUMMYFUNCTION("""COMPUTED_VALUE"""),65.0)</f>
        <v>65</v>
      </c>
      <c r="F8211" s="19" t="str">
        <f>IFERROR(__xludf.DUMMYFUNCTION("""COMPUTED_VALUE"""),"BLACK")</f>
        <v>BLACK</v>
      </c>
      <c r="G8211" s="20" t="str">
        <f>IFERROR(__xludf.DUMMYFUNCTION("""COMPUTED_VALUE"""),"Uncle Sams Cider (11/12/2021) 02")</f>
        <v>Uncle Sams Cider (11/12/2021) 02</v>
      </c>
      <c r="H8211" s="19"/>
    </row>
    <row r="8212">
      <c r="A8212" s="9"/>
      <c r="B8212" s="15"/>
      <c r="C8212" s="9">
        <f>IFERROR(__xludf.DUMMYFUNCTION("""COMPUTED_VALUE"""),44518.9690510648)</f>
        <v>44518.96905</v>
      </c>
      <c r="D8212" s="15">
        <f>IFERROR(__xludf.DUMMYFUNCTION("""COMPUTED_VALUE"""),1.073)</f>
        <v>1.073</v>
      </c>
      <c r="E8212" s="16">
        <f>IFERROR(__xludf.DUMMYFUNCTION("""COMPUTED_VALUE"""),65.0)</f>
        <v>65</v>
      </c>
      <c r="F8212" s="19" t="str">
        <f>IFERROR(__xludf.DUMMYFUNCTION("""COMPUTED_VALUE"""),"BLACK")</f>
        <v>BLACK</v>
      </c>
      <c r="G8212" s="20" t="str">
        <f>IFERROR(__xludf.DUMMYFUNCTION("""COMPUTED_VALUE"""),"Uncle Sams Cider (11/12/2021) 02")</f>
        <v>Uncle Sams Cider (11/12/2021) 02</v>
      </c>
      <c r="H8212" s="19"/>
    </row>
    <row r="8213">
      <c r="A8213" s="9"/>
      <c r="B8213" s="15"/>
      <c r="C8213" s="9">
        <f>IFERROR(__xludf.DUMMYFUNCTION("""COMPUTED_VALUE"""),44518.958629618)</f>
        <v>44518.95863</v>
      </c>
      <c r="D8213" s="15">
        <f>IFERROR(__xludf.DUMMYFUNCTION("""COMPUTED_VALUE"""),1.073)</f>
        <v>1.073</v>
      </c>
      <c r="E8213" s="16">
        <f>IFERROR(__xludf.DUMMYFUNCTION("""COMPUTED_VALUE"""),65.0)</f>
        <v>65</v>
      </c>
      <c r="F8213" s="19" t="str">
        <f>IFERROR(__xludf.DUMMYFUNCTION("""COMPUTED_VALUE"""),"BLACK")</f>
        <v>BLACK</v>
      </c>
      <c r="G8213" s="20" t="str">
        <f>IFERROR(__xludf.DUMMYFUNCTION("""COMPUTED_VALUE"""),"Uncle Sams Cider (11/12/2021) 02")</f>
        <v>Uncle Sams Cider (11/12/2021) 02</v>
      </c>
      <c r="H8213" s="19"/>
    </row>
    <row r="8214">
      <c r="A8214" s="9"/>
      <c r="B8214" s="15"/>
      <c r="C8214" s="9">
        <f>IFERROR(__xludf.DUMMYFUNCTION("""COMPUTED_VALUE"""),44518.9482075925)</f>
        <v>44518.94821</v>
      </c>
      <c r="D8214" s="15">
        <f>IFERROR(__xludf.DUMMYFUNCTION("""COMPUTED_VALUE"""),1.073)</f>
        <v>1.073</v>
      </c>
      <c r="E8214" s="16">
        <f>IFERROR(__xludf.DUMMYFUNCTION("""COMPUTED_VALUE"""),65.0)</f>
        <v>65</v>
      </c>
      <c r="F8214" s="19" t="str">
        <f>IFERROR(__xludf.DUMMYFUNCTION("""COMPUTED_VALUE"""),"BLACK")</f>
        <v>BLACK</v>
      </c>
      <c r="G8214" s="20" t="str">
        <f>IFERROR(__xludf.DUMMYFUNCTION("""COMPUTED_VALUE"""),"Uncle Sams Cider (11/12/2021) 02")</f>
        <v>Uncle Sams Cider (11/12/2021) 02</v>
      </c>
      <c r="H8214" s="19"/>
    </row>
    <row r="8215">
      <c r="A8215" s="9"/>
      <c r="B8215" s="15"/>
      <c r="C8215" s="9">
        <f>IFERROR(__xludf.DUMMYFUNCTION("""COMPUTED_VALUE"""),44518.9377876967)</f>
        <v>44518.93779</v>
      </c>
      <c r="D8215" s="15">
        <f>IFERROR(__xludf.DUMMYFUNCTION("""COMPUTED_VALUE"""),1.073)</f>
        <v>1.073</v>
      </c>
      <c r="E8215" s="16">
        <f>IFERROR(__xludf.DUMMYFUNCTION("""COMPUTED_VALUE"""),65.0)</f>
        <v>65</v>
      </c>
      <c r="F8215" s="19" t="str">
        <f>IFERROR(__xludf.DUMMYFUNCTION("""COMPUTED_VALUE"""),"BLACK")</f>
        <v>BLACK</v>
      </c>
      <c r="G8215" s="20" t="str">
        <f>IFERROR(__xludf.DUMMYFUNCTION("""COMPUTED_VALUE"""),"Uncle Sams Cider (11/12/2021) 02")</f>
        <v>Uncle Sams Cider (11/12/2021) 02</v>
      </c>
      <c r="H8215" s="19"/>
    </row>
    <row r="8216">
      <c r="A8216" s="9"/>
      <c r="B8216" s="15"/>
      <c r="C8216" s="9">
        <f>IFERROR(__xludf.DUMMYFUNCTION("""COMPUTED_VALUE"""),44518.9273551273)</f>
        <v>44518.92736</v>
      </c>
      <c r="D8216" s="15">
        <f>IFERROR(__xludf.DUMMYFUNCTION("""COMPUTED_VALUE"""),1.073)</f>
        <v>1.073</v>
      </c>
      <c r="E8216" s="16">
        <f>IFERROR(__xludf.DUMMYFUNCTION("""COMPUTED_VALUE"""),65.0)</f>
        <v>65</v>
      </c>
      <c r="F8216" s="19" t="str">
        <f>IFERROR(__xludf.DUMMYFUNCTION("""COMPUTED_VALUE"""),"BLACK")</f>
        <v>BLACK</v>
      </c>
      <c r="G8216" s="20" t="str">
        <f>IFERROR(__xludf.DUMMYFUNCTION("""COMPUTED_VALUE"""),"Uncle Sams Cider (11/12/2021) 02")</f>
        <v>Uncle Sams Cider (11/12/2021) 02</v>
      </c>
      <c r="H8216" s="19"/>
    </row>
    <row r="8217">
      <c r="A8217" s="9"/>
      <c r="B8217" s="15"/>
      <c r="C8217" s="9">
        <f>IFERROR(__xludf.DUMMYFUNCTION("""COMPUTED_VALUE"""),44518.9169348495)</f>
        <v>44518.91693</v>
      </c>
      <c r="D8217" s="15">
        <f>IFERROR(__xludf.DUMMYFUNCTION("""COMPUTED_VALUE"""),1.074)</f>
        <v>1.074</v>
      </c>
      <c r="E8217" s="16">
        <f>IFERROR(__xludf.DUMMYFUNCTION("""COMPUTED_VALUE"""),65.0)</f>
        <v>65</v>
      </c>
      <c r="F8217" s="19" t="str">
        <f>IFERROR(__xludf.DUMMYFUNCTION("""COMPUTED_VALUE"""),"BLACK")</f>
        <v>BLACK</v>
      </c>
      <c r="G8217" s="20" t="str">
        <f>IFERROR(__xludf.DUMMYFUNCTION("""COMPUTED_VALUE"""),"Uncle Sams Cider (11/12/2021) 02")</f>
        <v>Uncle Sams Cider (11/12/2021) 02</v>
      </c>
      <c r="H8217" s="19"/>
    </row>
    <row r="8218">
      <c r="A8218" s="9"/>
      <c r="B8218" s="15"/>
      <c r="C8218" s="9">
        <f>IFERROR(__xludf.DUMMYFUNCTION("""COMPUTED_VALUE"""),44518.906513125)</f>
        <v>44518.90651</v>
      </c>
      <c r="D8218" s="15">
        <f>IFERROR(__xludf.DUMMYFUNCTION("""COMPUTED_VALUE"""),1.074)</f>
        <v>1.074</v>
      </c>
      <c r="E8218" s="16">
        <f>IFERROR(__xludf.DUMMYFUNCTION("""COMPUTED_VALUE"""),65.0)</f>
        <v>65</v>
      </c>
      <c r="F8218" s="19" t="str">
        <f>IFERROR(__xludf.DUMMYFUNCTION("""COMPUTED_VALUE"""),"BLACK")</f>
        <v>BLACK</v>
      </c>
      <c r="G8218" s="20" t="str">
        <f>IFERROR(__xludf.DUMMYFUNCTION("""COMPUTED_VALUE"""),"Uncle Sams Cider (11/12/2021) 02")</f>
        <v>Uncle Sams Cider (11/12/2021) 02</v>
      </c>
      <c r="H8218" s="19"/>
    </row>
    <row r="8219">
      <c r="A8219" s="9"/>
      <c r="B8219" s="15"/>
      <c r="C8219" s="9">
        <f>IFERROR(__xludf.DUMMYFUNCTION("""COMPUTED_VALUE"""),44518.8960914583)</f>
        <v>44518.89609</v>
      </c>
      <c r="D8219" s="15">
        <f>IFERROR(__xludf.DUMMYFUNCTION("""COMPUTED_VALUE"""),1.074)</f>
        <v>1.074</v>
      </c>
      <c r="E8219" s="16">
        <f>IFERROR(__xludf.DUMMYFUNCTION("""COMPUTED_VALUE"""),65.0)</f>
        <v>65</v>
      </c>
      <c r="F8219" s="19" t="str">
        <f>IFERROR(__xludf.DUMMYFUNCTION("""COMPUTED_VALUE"""),"BLACK")</f>
        <v>BLACK</v>
      </c>
      <c r="G8219" s="20" t="str">
        <f>IFERROR(__xludf.DUMMYFUNCTION("""COMPUTED_VALUE"""),"Uncle Sams Cider (11/12/2021) 02")</f>
        <v>Uncle Sams Cider (11/12/2021) 02</v>
      </c>
      <c r="H8219" s="19"/>
    </row>
    <row r="8220">
      <c r="A8220" s="9"/>
      <c r="B8220" s="15"/>
      <c r="C8220" s="9">
        <f>IFERROR(__xludf.DUMMYFUNCTION("""COMPUTED_VALUE"""),44518.8856697453)</f>
        <v>44518.88567</v>
      </c>
      <c r="D8220" s="15">
        <f>IFERROR(__xludf.DUMMYFUNCTION("""COMPUTED_VALUE"""),1.074)</f>
        <v>1.074</v>
      </c>
      <c r="E8220" s="16">
        <f>IFERROR(__xludf.DUMMYFUNCTION("""COMPUTED_VALUE"""),65.0)</f>
        <v>65</v>
      </c>
      <c r="F8220" s="19" t="str">
        <f>IFERROR(__xludf.DUMMYFUNCTION("""COMPUTED_VALUE"""),"BLACK")</f>
        <v>BLACK</v>
      </c>
      <c r="G8220" s="20" t="str">
        <f>IFERROR(__xludf.DUMMYFUNCTION("""COMPUTED_VALUE"""),"Uncle Sams Cider (11/12/2021) 02")</f>
        <v>Uncle Sams Cider (11/12/2021) 02</v>
      </c>
      <c r="H8220" s="19"/>
    </row>
    <row r="8221">
      <c r="A8221" s="9"/>
      <c r="B8221" s="15"/>
      <c r="C8221" s="9">
        <f>IFERROR(__xludf.DUMMYFUNCTION("""COMPUTED_VALUE"""),44518.8752495601)</f>
        <v>44518.87525</v>
      </c>
      <c r="D8221" s="15">
        <f>IFERROR(__xludf.DUMMYFUNCTION("""COMPUTED_VALUE"""),1.074)</f>
        <v>1.074</v>
      </c>
      <c r="E8221" s="16">
        <f>IFERROR(__xludf.DUMMYFUNCTION("""COMPUTED_VALUE"""),65.0)</f>
        <v>65</v>
      </c>
      <c r="F8221" s="19" t="str">
        <f>IFERROR(__xludf.DUMMYFUNCTION("""COMPUTED_VALUE"""),"BLACK")</f>
        <v>BLACK</v>
      </c>
      <c r="G8221" s="20" t="str">
        <f>IFERROR(__xludf.DUMMYFUNCTION("""COMPUTED_VALUE"""),"Uncle Sams Cider (11/12/2021) 02")</f>
        <v>Uncle Sams Cider (11/12/2021) 02</v>
      </c>
      <c r="H8221" s="19"/>
    </row>
    <row r="8222">
      <c r="A8222" s="9"/>
      <c r="B8222" s="15"/>
      <c r="C8222" s="9">
        <f>IFERROR(__xludf.DUMMYFUNCTION("""COMPUTED_VALUE"""),44518.8648279282)</f>
        <v>44518.86483</v>
      </c>
      <c r="D8222" s="15">
        <f>IFERROR(__xludf.DUMMYFUNCTION("""COMPUTED_VALUE"""),1.074)</f>
        <v>1.074</v>
      </c>
      <c r="E8222" s="16">
        <f>IFERROR(__xludf.DUMMYFUNCTION("""COMPUTED_VALUE"""),65.0)</f>
        <v>65</v>
      </c>
      <c r="F8222" s="19" t="str">
        <f>IFERROR(__xludf.DUMMYFUNCTION("""COMPUTED_VALUE"""),"BLACK")</f>
        <v>BLACK</v>
      </c>
      <c r="G8222" s="20" t="str">
        <f>IFERROR(__xludf.DUMMYFUNCTION("""COMPUTED_VALUE"""),"Uncle Sams Cider (11/12/2021) 02")</f>
        <v>Uncle Sams Cider (11/12/2021) 02</v>
      </c>
      <c r="H8222" s="19"/>
    </row>
    <row r="8223">
      <c r="A8223" s="9"/>
      <c r="B8223" s="15"/>
      <c r="C8223" s="9">
        <f>IFERROR(__xludf.DUMMYFUNCTION("""COMPUTED_VALUE"""),44518.8543823148)</f>
        <v>44518.85438</v>
      </c>
      <c r="D8223" s="15">
        <f>IFERROR(__xludf.DUMMYFUNCTION("""COMPUTED_VALUE"""),1.074)</f>
        <v>1.074</v>
      </c>
      <c r="E8223" s="16">
        <f>IFERROR(__xludf.DUMMYFUNCTION("""COMPUTED_VALUE"""),65.0)</f>
        <v>65</v>
      </c>
      <c r="F8223" s="19" t="str">
        <f>IFERROR(__xludf.DUMMYFUNCTION("""COMPUTED_VALUE"""),"BLACK")</f>
        <v>BLACK</v>
      </c>
      <c r="G8223" s="20" t="str">
        <f>IFERROR(__xludf.DUMMYFUNCTION("""COMPUTED_VALUE"""),"Uncle Sams Cider (11/12/2021) 02")</f>
        <v>Uncle Sams Cider (11/12/2021) 02</v>
      </c>
      <c r="H8223" s="19"/>
    </row>
    <row r="8224">
      <c r="A8224" s="9"/>
      <c r="B8224" s="15"/>
      <c r="C8224" s="9">
        <f>IFERROR(__xludf.DUMMYFUNCTION("""COMPUTED_VALUE"""),44518.8439625463)</f>
        <v>44518.84396</v>
      </c>
      <c r="D8224" s="15">
        <f>IFERROR(__xludf.DUMMYFUNCTION("""COMPUTED_VALUE"""),1.074)</f>
        <v>1.074</v>
      </c>
      <c r="E8224" s="16">
        <f>IFERROR(__xludf.DUMMYFUNCTION("""COMPUTED_VALUE"""),65.0)</f>
        <v>65</v>
      </c>
      <c r="F8224" s="19" t="str">
        <f>IFERROR(__xludf.DUMMYFUNCTION("""COMPUTED_VALUE"""),"BLACK")</f>
        <v>BLACK</v>
      </c>
      <c r="G8224" s="20" t="str">
        <f>IFERROR(__xludf.DUMMYFUNCTION("""COMPUTED_VALUE"""),"Uncle Sams Cider (11/12/2021) 02")</f>
        <v>Uncle Sams Cider (11/12/2021) 02</v>
      </c>
      <c r="H8224" s="19"/>
    </row>
    <row r="8225">
      <c r="A8225" s="9"/>
      <c r="B8225" s="15"/>
      <c r="C8225" s="9">
        <f>IFERROR(__xludf.DUMMYFUNCTION("""COMPUTED_VALUE"""),44518.8335396643)</f>
        <v>44518.83354</v>
      </c>
      <c r="D8225" s="15">
        <f>IFERROR(__xludf.DUMMYFUNCTION("""COMPUTED_VALUE"""),1.074)</f>
        <v>1.074</v>
      </c>
      <c r="E8225" s="16">
        <f>IFERROR(__xludf.DUMMYFUNCTION("""COMPUTED_VALUE"""),65.0)</f>
        <v>65</v>
      </c>
      <c r="F8225" s="19" t="str">
        <f>IFERROR(__xludf.DUMMYFUNCTION("""COMPUTED_VALUE"""),"BLACK")</f>
        <v>BLACK</v>
      </c>
      <c r="G8225" s="20" t="str">
        <f>IFERROR(__xludf.DUMMYFUNCTION("""COMPUTED_VALUE"""),"Uncle Sams Cider (11/12/2021) 02")</f>
        <v>Uncle Sams Cider (11/12/2021) 02</v>
      </c>
      <c r="H8225" s="19"/>
    </row>
    <row r="8226">
      <c r="A8226" s="9"/>
      <c r="B8226" s="15"/>
      <c r="C8226" s="9">
        <f>IFERROR(__xludf.DUMMYFUNCTION("""COMPUTED_VALUE"""),44518.823119456)</f>
        <v>44518.82312</v>
      </c>
      <c r="D8226" s="15">
        <f>IFERROR(__xludf.DUMMYFUNCTION("""COMPUTED_VALUE"""),1.074)</f>
        <v>1.074</v>
      </c>
      <c r="E8226" s="16">
        <f>IFERROR(__xludf.DUMMYFUNCTION("""COMPUTED_VALUE"""),65.0)</f>
        <v>65</v>
      </c>
      <c r="F8226" s="19" t="str">
        <f>IFERROR(__xludf.DUMMYFUNCTION("""COMPUTED_VALUE"""),"BLACK")</f>
        <v>BLACK</v>
      </c>
      <c r="G8226" s="20" t="str">
        <f>IFERROR(__xludf.DUMMYFUNCTION("""COMPUTED_VALUE"""),"Uncle Sams Cider (11/12/2021) 02")</f>
        <v>Uncle Sams Cider (11/12/2021) 02</v>
      </c>
      <c r="H8226" s="19"/>
    </row>
    <row r="8227">
      <c r="A8227" s="9"/>
      <c r="B8227" s="15"/>
      <c r="C8227" s="9">
        <f>IFERROR(__xludf.DUMMYFUNCTION("""COMPUTED_VALUE"""),44518.8126977893)</f>
        <v>44518.8127</v>
      </c>
      <c r="D8227" s="15">
        <f>IFERROR(__xludf.DUMMYFUNCTION("""COMPUTED_VALUE"""),1.074)</f>
        <v>1.074</v>
      </c>
      <c r="E8227" s="16">
        <f>IFERROR(__xludf.DUMMYFUNCTION("""COMPUTED_VALUE"""),65.0)</f>
        <v>65</v>
      </c>
      <c r="F8227" s="19" t="str">
        <f>IFERROR(__xludf.DUMMYFUNCTION("""COMPUTED_VALUE"""),"BLACK")</f>
        <v>BLACK</v>
      </c>
      <c r="G8227" s="20" t="str">
        <f>IFERROR(__xludf.DUMMYFUNCTION("""COMPUTED_VALUE"""),"Uncle Sams Cider (11/12/2021) 02")</f>
        <v>Uncle Sams Cider (11/12/2021) 02</v>
      </c>
      <c r="H8227" s="19"/>
    </row>
    <row r="8228">
      <c r="A8228" s="9"/>
      <c r="B8228" s="15"/>
      <c r="C8228" s="9">
        <f>IFERROR(__xludf.DUMMYFUNCTION("""COMPUTED_VALUE"""),44518.8022763541)</f>
        <v>44518.80228</v>
      </c>
      <c r="D8228" s="15">
        <f>IFERROR(__xludf.DUMMYFUNCTION("""COMPUTED_VALUE"""),1.074)</f>
        <v>1.074</v>
      </c>
      <c r="E8228" s="16">
        <f>IFERROR(__xludf.DUMMYFUNCTION("""COMPUTED_VALUE"""),65.0)</f>
        <v>65</v>
      </c>
      <c r="F8228" s="19" t="str">
        <f>IFERROR(__xludf.DUMMYFUNCTION("""COMPUTED_VALUE"""),"BLACK")</f>
        <v>BLACK</v>
      </c>
      <c r="G8228" s="20" t="str">
        <f>IFERROR(__xludf.DUMMYFUNCTION("""COMPUTED_VALUE"""),"Uncle Sams Cider (11/12/2021) 02")</f>
        <v>Uncle Sams Cider (11/12/2021) 02</v>
      </c>
      <c r="H8228" s="19"/>
    </row>
    <row r="8229">
      <c r="A8229" s="9"/>
      <c r="B8229" s="15"/>
      <c r="C8229" s="9">
        <f>IFERROR(__xludf.DUMMYFUNCTION("""COMPUTED_VALUE"""),44518.7918443055)</f>
        <v>44518.79184</v>
      </c>
      <c r="D8229" s="15">
        <f>IFERROR(__xludf.DUMMYFUNCTION("""COMPUTED_VALUE"""),1.074)</f>
        <v>1.074</v>
      </c>
      <c r="E8229" s="16">
        <f>IFERROR(__xludf.DUMMYFUNCTION("""COMPUTED_VALUE"""),65.0)</f>
        <v>65</v>
      </c>
      <c r="F8229" s="19" t="str">
        <f>IFERROR(__xludf.DUMMYFUNCTION("""COMPUTED_VALUE"""),"BLACK")</f>
        <v>BLACK</v>
      </c>
      <c r="G8229" s="20" t="str">
        <f>IFERROR(__xludf.DUMMYFUNCTION("""COMPUTED_VALUE"""),"Uncle Sams Cider (11/12/2021) 02")</f>
        <v>Uncle Sams Cider (11/12/2021) 02</v>
      </c>
      <c r="H8229" s="19"/>
    </row>
    <row r="8230">
      <c r="A8230" s="9"/>
      <c r="B8230" s="15"/>
      <c r="C8230" s="9">
        <f>IFERROR(__xludf.DUMMYFUNCTION("""COMPUTED_VALUE"""),44518.7814235069)</f>
        <v>44518.78142</v>
      </c>
      <c r="D8230" s="15">
        <f>IFERROR(__xludf.DUMMYFUNCTION("""COMPUTED_VALUE"""),1.074)</f>
        <v>1.074</v>
      </c>
      <c r="E8230" s="16">
        <f>IFERROR(__xludf.DUMMYFUNCTION("""COMPUTED_VALUE"""),65.0)</f>
        <v>65</v>
      </c>
      <c r="F8230" s="19" t="str">
        <f>IFERROR(__xludf.DUMMYFUNCTION("""COMPUTED_VALUE"""),"BLACK")</f>
        <v>BLACK</v>
      </c>
      <c r="G8230" s="20" t="str">
        <f>IFERROR(__xludf.DUMMYFUNCTION("""COMPUTED_VALUE"""),"Uncle Sams Cider (11/12/2021) 02")</f>
        <v>Uncle Sams Cider (11/12/2021) 02</v>
      </c>
      <c r="H8230" s="19"/>
    </row>
    <row r="8231">
      <c r="A8231" s="9"/>
      <c r="B8231" s="15"/>
      <c r="C8231" s="9">
        <f>IFERROR(__xludf.DUMMYFUNCTION("""COMPUTED_VALUE"""),44518.7710021064)</f>
        <v>44518.771</v>
      </c>
      <c r="D8231" s="15">
        <f>IFERROR(__xludf.DUMMYFUNCTION("""COMPUTED_VALUE"""),1.074)</f>
        <v>1.074</v>
      </c>
      <c r="E8231" s="16">
        <f>IFERROR(__xludf.DUMMYFUNCTION("""COMPUTED_VALUE"""),65.0)</f>
        <v>65</v>
      </c>
      <c r="F8231" s="19" t="str">
        <f>IFERROR(__xludf.DUMMYFUNCTION("""COMPUTED_VALUE"""),"BLACK")</f>
        <v>BLACK</v>
      </c>
      <c r="G8231" s="20" t="str">
        <f>IFERROR(__xludf.DUMMYFUNCTION("""COMPUTED_VALUE"""),"Uncle Sams Cider (11/12/2021) 02")</f>
        <v>Uncle Sams Cider (11/12/2021) 02</v>
      </c>
      <c r="H8231" s="19"/>
    </row>
    <row r="8232">
      <c r="A8232" s="9"/>
      <c r="B8232" s="15"/>
      <c r="C8232" s="9">
        <f>IFERROR(__xludf.DUMMYFUNCTION("""COMPUTED_VALUE"""),44518.7605809143)</f>
        <v>44518.76058</v>
      </c>
      <c r="D8232" s="15">
        <f>IFERROR(__xludf.DUMMYFUNCTION("""COMPUTED_VALUE"""),1.075)</f>
        <v>1.075</v>
      </c>
      <c r="E8232" s="16">
        <f>IFERROR(__xludf.DUMMYFUNCTION("""COMPUTED_VALUE"""),65.0)</f>
        <v>65</v>
      </c>
      <c r="F8232" s="19" t="str">
        <f>IFERROR(__xludf.DUMMYFUNCTION("""COMPUTED_VALUE"""),"BLACK")</f>
        <v>BLACK</v>
      </c>
      <c r="G8232" s="20" t="str">
        <f>IFERROR(__xludf.DUMMYFUNCTION("""COMPUTED_VALUE"""),"Uncle Sams Cider (11/12/2021) 02")</f>
        <v>Uncle Sams Cider (11/12/2021) 02</v>
      </c>
      <c r="H8232" s="19"/>
    </row>
    <row r="8233">
      <c r="A8233" s="9"/>
      <c r="B8233" s="15"/>
      <c r="C8233" s="9">
        <f>IFERROR(__xludf.DUMMYFUNCTION("""COMPUTED_VALUE"""),44518.7501601967)</f>
        <v>44518.75016</v>
      </c>
      <c r="D8233" s="15">
        <f>IFERROR(__xludf.DUMMYFUNCTION("""COMPUTED_VALUE"""),1.075)</f>
        <v>1.075</v>
      </c>
      <c r="E8233" s="16">
        <f>IFERROR(__xludf.DUMMYFUNCTION("""COMPUTED_VALUE"""),65.0)</f>
        <v>65</v>
      </c>
      <c r="F8233" s="19" t="str">
        <f>IFERROR(__xludf.DUMMYFUNCTION("""COMPUTED_VALUE"""),"BLACK")</f>
        <v>BLACK</v>
      </c>
      <c r="G8233" s="20" t="str">
        <f>IFERROR(__xludf.DUMMYFUNCTION("""COMPUTED_VALUE"""),"Uncle Sams Cider (11/12/2021) 02")</f>
        <v>Uncle Sams Cider (11/12/2021) 02</v>
      </c>
      <c r="H8233" s="19"/>
    </row>
    <row r="8234">
      <c r="A8234" s="9"/>
      <c r="B8234" s="15"/>
      <c r="C8234" s="9">
        <f>IFERROR(__xludf.DUMMYFUNCTION("""COMPUTED_VALUE"""),44518.7397403935)</f>
        <v>44518.73974</v>
      </c>
      <c r="D8234" s="15">
        <f>IFERROR(__xludf.DUMMYFUNCTION("""COMPUTED_VALUE"""),1.075)</f>
        <v>1.075</v>
      </c>
      <c r="E8234" s="16">
        <f>IFERROR(__xludf.DUMMYFUNCTION("""COMPUTED_VALUE"""),65.0)</f>
        <v>65</v>
      </c>
      <c r="F8234" s="19" t="str">
        <f>IFERROR(__xludf.DUMMYFUNCTION("""COMPUTED_VALUE"""),"BLACK")</f>
        <v>BLACK</v>
      </c>
      <c r="G8234" s="20" t="str">
        <f>IFERROR(__xludf.DUMMYFUNCTION("""COMPUTED_VALUE"""),"Uncle Sams Cider (11/12/2021) 02")</f>
        <v>Uncle Sams Cider (11/12/2021) 02</v>
      </c>
      <c r="H8234" s="19"/>
    </row>
    <row r="8235">
      <c r="A8235" s="9"/>
      <c r="B8235" s="15"/>
      <c r="C8235" s="9">
        <f>IFERROR(__xludf.DUMMYFUNCTION("""COMPUTED_VALUE"""),44518.7293078356)</f>
        <v>44518.72931</v>
      </c>
      <c r="D8235" s="15">
        <f>IFERROR(__xludf.DUMMYFUNCTION("""COMPUTED_VALUE"""),1.075)</f>
        <v>1.075</v>
      </c>
      <c r="E8235" s="16">
        <f>IFERROR(__xludf.DUMMYFUNCTION("""COMPUTED_VALUE"""),65.0)</f>
        <v>65</v>
      </c>
      <c r="F8235" s="19" t="str">
        <f>IFERROR(__xludf.DUMMYFUNCTION("""COMPUTED_VALUE"""),"BLACK")</f>
        <v>BLACK</v>
      </c>
      <c r="G8235" s="20" t="str">
        <f>IFERROR(__xludf.DUMMYFUNCTION("""COMPUTED_VALUE"""),"Uncle Sams Cider (11/12/2021) 02")</f>
        <v>Uncle Sams Cider (11/12/2021) 02</v>
      </c>
      <c r="H8235" s="19"/>
    </row>
    <row r="8236">
      <c r="A8236" s="9"/>
      <c r="B8236" s="15"/>
      <c r="C8236" s="9">
        <f>IFERROR(__xludf.DUMMYFUNCTION("""COMPUTED_VALUE"""),44518.7188867708)</f>
        <v>44518.71889</v>
      </c>
      <c r="D8236" s="15">
        <f>IFERROR(__xludf.DUMMYFUNCTION("""COMPUTED_VALUE"""),1.075)</f>
        <v>1.075</v>
      </c>
      <c r="E8236" s="16">
        <f>IFERROR(__xludf.DUMMYFUNCTION("""COMPUTED_VALUE"""),65.0)</f>
        <v>65</v>
      </c>
      <c r="F8236" s="19" t="str">
        <f>IFERROR(__xludf.DUMMYFUNCTION("""COMPUTED_VALUE"""),"BLACK")</f>
        <v>BLACK</v>
      </c>
      <c r="G8236" s="20" t="str">
        <f>IFERROR(__xludf.DUMMYFUNCTION("""COMPUTED_VALUE"""),"Uncle Sams Cider (11/12/2021) 02")</f>
        <v>Uncle Sams Cider (11/12/2021) 02</v>
      </c>
      <c r="H8236" s="19"/>
    </row>
    <row r="8237">
      <c r="A8237" s="9"/>
      <c r="B8237" s="15"/>
      <c r="C8237" s="9">
        <f>IFERROR(__xludf.DUMMYFUNCTION("""COMPUTED_VALUE"""),44518.7084648032)</f>
        <v>44518.70846</v>
      </c>
      <c r="D8237" s="15">
        <f>IFERROR(__xludf.DUMMYFUNCTION("""COMPUTED_VALUE"""),1.075)</f>
        <v>1.075</v>
      </c>
      <c r="E8237" s="16">
        <f>IFERROR(__xludf.DUMMYFUNCTION("""COMPUTED_VALUE"""),65.0)</f>
        <v>65</v>
      </c>
      <c r="F8237" s="19" t="str">
        <f>IFERROR(__xludf.DUMMYFUNCTION("""COMPUTED_VALUE"""),"BLACK")</f>
        <v>BLACK</v>
      </c>
      <c r="G8237" s="20" t="str">
        <f>IFERROR(__xludf.DUMMYFUNCTION("""COMPUTED_VALUE"""),"Uncle Sams Cider (11/12/2021) 02")</f>
        <v>Uncle Sams Cider (11/12/2021) 02</v>
      </c>
      <c r="H8237" s="19"/>
    </row>
    <row r="8238">
      <c r="A8238" s="9"/>
      <c r="B8238" s="15"/>
      <c r="C8238" s="9">
        <f>IFERROR(__xludf.DUMMYFUNCTION("""COMPUTED_VALUE"""),44518.6980189699)</f>
        <v>44518.69802</v>
      </c>
      <c r="D8238" s="15">
        <f>IFERROR(__xludf.DUMMYFUNCTION("""COMPUTED_VALUE"""),1.075)</f>
        <v>1.075</v>
      </c>
      <c r="E8238" s="16">
        <f>IFERROR(__xludf.DUMMYFUNCTION("""COMPUTED_VALUE"""),65.0)</f>
        <v>65</v>
      </c>
      <c r="F8238" s="19" t="str">
        <f>IFERROR(__xludf.DUMMYFUNCTION("""COMPUTED_VALUE"""),"BLACK")</f>
        <v>BLACK</v>
      </c>
      <c r="G8238" s="20" t="str">
        <f>IFERROR(__xludf.DUMMYFUNCTION("""COMPUTED_VALUE"""),"Uncle Sams Cider (11/12/2021) 02")</f>
        <v>Uncle Sams Cider (11/12/2021) 02</v>
      </c>
      <c r="H8238" s="19"/>
    </row>
    <row r="8239">
      <c r="A8239" s="9"/>
      <c r="B8239" s="15"/>
      <c r="C8239" s="9">
        <f>IFERROR(__xludf.DUMMYFUNCTION("""COMPUTED_VALUE"""),44518.687563449)</f>
        <v>44518.68756</v>
      </c>
      <c r="D8239" s="15">
        <f>IFERROR(__xludf.DUMMYFUNCTION("""COMPUTED_VALUE"""),1.075)</f>
        <v>1.075</v>
      </c>
      <c r="E8239" s="16">
        <f>IFERROR(__xludf.DUMMYFUNCTION("""COMPUTED_VALUE"""),65.0)</f>
        <v>65</v>
      </c>
      <c r="F8239" s="19" t="str">
        <f>IFERROR(__xludf.DUMMYFUNCTION("""COMPUTED_VALUE"""),"BLACK")</f>
        <v>BLACK</v>
      </c>
      <c r="G8239" s="20" t="str">
        <f>IFERROR(__xludf.DUMMYFUNCTION("""COMPUTED_VALUE"""),"Uncle Sams Cider (11/12/2021) 02")</f>
        <v>Uncle Sams Cider (11/12/2021) 02</v>
      </c>
      <c r="H8239" s="19"/>
    </row>
    <row r="8240">
      <c r="A8240" s="9"/>
      <c r="B8240" s="15"/>
      <c r="C8240" s="9">
        <f>IFERROR(__xludf.DUMMYFUNCTION("""COMPUTED_VALUE"""),44518.6771422685)</f>
        <v>44518.67714</v>
      </c>
      <c r="D8240" s="15">
        <f>IFERROR(__xludf.DUMMYFUNCTION("""COMPUTED_VALUE"""),1.075)</f>
        <v>1.075</v>
      </c>
      <c r="E8240" s="16">
        <f>IFERROR(__xludf.DUMMYFUNCTION("""COMPUTED_VALUE"""),65.0)</f>
        <v>65</v>
      </c>
      <c r="F8240" s="19" t="str">
        <f>IFERROR(__xludf.DUMMYFUNCTION("""COMPUTED_VALUE"""),"BLACK")</f>
        <v>BLACK</v>
      </c>
      <c r="G8240" s="20" t="str">
        <f>IFERROR(__xludf.DUMMYFUNCTION("""COMPUTED_VALUE"""),"Uncle Sams Cider (11/12/2021) 02")</f>
        <v>Uncle Sams Cider (11/12/2021) 02</v>
      </c>
      <c r="H8240" s="19"/>
    </row>
    <row r="8241">
      <c r="A8241" s="9"/>
      <c r="B8241" s="15"/>
      <c r="C8241" s="9">
        <f>IFERROR(__xludf.DUMMYFUNCTION("""COMPUTED_VALUE"""),44518.666720405)</f>
        <v>44518.66672</v>
      </c>
      <c r="D8241" s="15">
        <f>IFERROR(__xludf.DUMMYFUNCTION("""COMPUTED_VALUE"""),1.075)</f>
        <v>1.075</v>
      </c>
      <c r="E8241" s="16">
        <f>IFERROR(__xludf.DUMMYFUNCTION("""COMPUTED_VALUE"""),65.0)</f>
        <v>65</v>
      </c>
      <c r="F8241" s="19" t="str">
        <f>IFERROR(__xludf.DUMMYFUNCTION("""COMPUTED_VALUE"""),"BLACK")</f>
        <v>BLACK</v>
      </c>
      <c r="G8241" s="20" t="str">
        <f>IFERROR(__xludf.DUMMYFUNCTION("""COMPUTED_VALUE"""),"Uncle Sams Cider (11/12/2021) 02")</f>
        <v>Uncle Sams Cider (11/12/2021) 02</v>
      </c>
      <c r="H8241" s="19"/>
    </row>
    <row r="8242">
      <c r="A8242" s="9"/>
      <c r="B8242" s="15"/>
      <c r="C8242" s="9">
        <f>IFERROR(__xludf.DUMMYFUNCTION("""COMPUTED_VALUE"""),44518.6562888657)</f>
        <v>44518.65629</v>
      </c>
      <c r="D8242" s="15">
        <f>IFERROR(__xludf.DUMMYFUNCTION("""COMPUTED_VALUE"""),1.075)</f>
        <v>1.075</v>
      </c>
      <c r="E8242" s="16">
        <f>IFERROR(__xludf.DUMMYFUNCTION("""COMPUTED_VALUE"""),65.0)</f>
        <v>65</v>
      </c>
      <c r="F8242" s="19" t="str">
        <f>IFERROR(__xludf.DUMMYFUNCTION("""COMPUTED_VALUE"""),"BLACK")</f>
        <v>BLACK</v>
      </c>
      <c r="G8242" s="20" t="str">
        <f>IFERROR(__xludf.DUMMYFUNCTION("""COMPUTED_VALUE"""),"Uncle Sams Cider (11/12/2021) 02")</f>
        <v>Uncle Sams Cider (11/12/2021) 02</v>
      </c>
      <c r="H8242" s="19"/>
    </row>
    <row r="8243">
      <c r="A8243" s="9"/>
      <c r="B8243" s="15"/>
      <c r="C8243" s="9">
        <f>IFERROR(__xludf.DUMMYFUNCTION("""COMPUTED_VALUE"""),44518.645855949)</f>
        <v>44518.64586</v>
      </c>
      <c r="D8243" s="15">
        <f>IFERROR(__xludf.DUMMYFUNCTION("""COMPUTED_VALUE"""),1.075)</f>
        <v>1.075</v>
      </c>
      <c r="E8243" s="16">
        <f>IFERROR(__xludf.DUMMYFUNCTION("""COMPUTED_VALUE"""),65.0)</f>
        <v>65</v>
      </c>
      <c r="F8243" s="19" t="str">
        <f>IFERROR(__xludf.DUMMYFUNCTION("""COMPUTED_VALUE"""),"BLACK")</f>
        <v>BLACK</v>
      </c>
      <c r="G8243" s="20" t="str">
        <f>IFERROR(__xludf.DUMMYFUNCTION("""COMPUTED_VALUE"""),"Uncle Sams Cider (11/12/2021) 02")</f>
        <v>Uncle Sams Cider (11/12/2021) 02</v>
      </c>
      <c r="H8243" s="19"/>
    </row>
    <row r="8244">
      <c r="A8244" s="9"/>
      <c r="B8244" s="15"/>
      <c r="C8244" s="9">
        <f>IFERROR(__xludf.DUMMYFUNCTION("""COMPUTED_VALUE"""),44518.6354353935)</f>
        <v>44518.63544</v>
      </c>
      <c r="D8244" s="15">
        <f>IFERROR(__xludf.DUMMYFUNCTION("""COMPUTED_VALUE"""),1.075)</f>
        <v>1.075</v>
      </c>
      <c r="E8244" s="16">
        <f>IFERROR(__xludf.DUMMYFUNCTION("""COMPUTED_VALUE"""),65.0)</f>
        <v>65</v>
      </c>
      <c r="F8244" s="19" t="str">
        <f>IFERROR(__xludf.DUMMYFUNCTION("""COMPUTED_VALUE"""),"BLACK")</f>
        <v>BLACK</v>
      </c>
      <c r="G8244" s="20" t="str">
        <f>IFERROR(__xludf.DUMMYFUNCTION("""COMPUTED_VALUE"""),"Uncle Sams Cider (11/12/2021) 02")</f>
        <v>Uncle Sams Cider (11/12/2021) 02</v>
      </c>
      <c r="H8244" s="19"/>
    </row>
    <row r="8245">
      <c r="A8245" s="9"/>
      <c r="B8245" s="15"/>
      <c r="C8245" s="9">
        <f>IFERROR(__xludf.DUMMYFUNCTION("""COMPUTED_VALUE"""),44518.6250124652)</f>
        <v>44518.62501</v>
      </c>
      <c r="D8245" s="15">
        <f>IFERROR(__xludf.DUMMYFUNCTION("""COMPUTED_VALUE"""),1.075)</f>
        <v>1.075</v>
      </c>
      <c r="E8245" s="16">
        <f>IFERROR(__xludf.DUMMYFUNCTION("""COMPUTED_VALUE"""),65.0)</f>
        <v>65</v>
      </c>
      <c r="F8245" s="19" t="str">
        <f>IFERROR(__xludf.DUMMYFUNCTION("""COMPUTED_VALUE"""),"BLACK")</f>
        <v>BLACK</v>
      </c>
      <c r="G8245" s="20" t="str">
        <f>IFERROR(__xludf.DUMMYFUNCTION("""COMPUTED_VALUE"""),"Uncle Sams Cider (11/12/2021) 02")</f>
        <v>Uncle Sams Cider (11/12/2021) 02</v>
      </c>
      <c r="H8245" s="19"/>
    </row>
    <row r="8246">
      <c r="A8246" s="9"/>
      <c r="B8246" s="15"/>
      <c r="C8246" s="9">
        <f>IFERROR(__xludf.DUMMYFUNCTION("""COMPUTED_VALUE"""),44518.6145918865)</f>
        <v>44518.61459</v>
      </c>
      <c r="D8246" s="15">
        <f>IFERROR(__xludf.DUMMYFUNCTION("""COMPUTED_VALUE"""),1.075)</f>
        <v>1.075</v>
      </c>
      <c r="E8246" s="16">
        <f>IFERROR(__xludf.DUMMYFUNCTION("""COMPUTED_VALUE"""),65.0)</f>
        <v>65</v>
      </c>
      <c r="F8246" s="19" t="str">
        <f>IFERROR(__xludf.DUMMYFUNCTION("""COMPUTED_VALUE"""),"BLACK")</f>
        <v>BLACK</v>
      </c>
      <c r="G8246" s="20" t="str">
        <f>IFERROR(__xludf.DUMMYFUNCTION("""COMPUTED_VALUE"""),"Uncle Sams Cider (11/12/2021) 02")</f>
        <v>Uncle Sams Cider (11/12/2021) 02</v>
      </c>
      <c r="H8246" s="19"/>
    </row>
    <row r="8247">
      <c r="A8247" s="9"/>
      <c r="B8247" s="15"/>
      <c r="C8247" s="9">
        <f>IFERROR(__xludf.DUMMYFUNCTION("""COMPUTED_VALUE"""),44518.6041708564)</f>
        <v>44518.60417</v>
      </c>
      <c r="D8247" s="15">
        <f>IFERROR(__xludf.DUMMYFUNCTION("""COMPUTED_VALUE"""),1.075)</f>
        <v>1.075</v>
      </c>
      <c r="E8247" s="16">
        <f>IFERROR(__xludf.DUMMYFUNCTION("""COMPUTED_VALUE"""),65.0)</f>
        <v>65</v>
      </c>
      <c r="F8247" s="19" t="str">
        <f>IFERROR(__xludf.DUMMYFUNCTION("""COMPUTED_VALUE"""),"BLACK")</f>
        <v>BLACK</v>
      </c>
      <c r="G8247" s="20" t="str">
        <f>IFERROR(__xludf.DUMMYFUNCTION("""COMPUTED_VALUE"""),"Uncle Sams Cider (11/12/2021) 02")</f>
        <v>Uncle Sams Cider (11/12/2021) 02</v>
      </c>
      <c r="H8247" s="19"/>
    </row>
    <row r="8248">
      <c r="A8248" s="9"/>
      <c r="B8248" s="15"/>
      <c r="C8248" s="9">
        <f>IFERROR(__xludf.DUMMYFUNCTION("""COMPUTED_VALUE"""),44518.5937505439)</f>
        <v>44518.59375</v>
      </c>
      <c r="D8248" s="15">
        <f>IFERROR(__xludf.DUMMYFUNCTION("""COMPUTED_VALUE"""),1.075)</f>
        <v>1.075</v>
      </c>
      <c r="E8248" s="16">
        <f>IFERROR(__xludf.DUMMYFUNCTION("""COMPUTED_VALUE"""),65.0)</f>
        <v>65</v>
      </c>
      <c r="F8248" s="19" t="str">
        <f>IFERROR(__xludf.DUMMYFUNCTION("""COMPUTED_VALUE"""),"BLACK")</f>
        <v>BLACK</v>
      </c>
      <c r="G8248" s="20" t="str">
        <f>IFERROR(__xludf.DUMMYFUNCTION("""COMPUTED_VALUE"""),"Uncle Sams Cider (11/12/2021) 02")</f>
        <v>Uncle Sams Cider (11/12/2021) 02</v>
      </c>
      <c r="H8248" s="19"/>
    </row>
    <row r="8249">
      <c r="A8249" s="9"/>
      <c r="B8249" s="15"/>
      <c r="C8249" s="9">
        <f>IFERROR(__xludf.DUMMYFUNCTION("""COMPUTED_VALUE"""),44518.5833284722)</f>
        <v>44518.58333</v>
      </c>
      <c r="D8249" s="15">
        <f>IFERROR(__xludf.DUMMYFUNCTION("""COMPUTED_VALUE"""),1.075)</f>
        <v>1.075</v>
      </c>
      <c r="E8249" s="16">
        <f>IFERROR(__xludf.DUMMYFUNCTION("""COMPUTED_VALUE"""),65.0)</f>
        <v>65</v>
      </c>
      <c r="F8249" s="19" t="str">
        <f>IFERROR(__xludf.DUMMYFUNCTION("""COMPUTED_VALUE"""),"BLACK")</f>
        <v>BLACK</v>
      </c>
      <c r="G8249" s="20" t="str">
        <f>IFERROR(__xludf.DUMMYFUNCTION("""COMPUTED_VALUE"""),"Uncle Sams Cider (11/12/2021) 02")</f>
        <v>Uncle Sams Cider (11/12/2021) 02</v>
      </c>
      <c r="H8249" s="19"/>
    </row>
    <row r="8250">
      <c r="A8250" s="9"/>
      <c r="B8250" s="15"/>
      <c r="C8250" s="9">
        <f>IFERROR(__xludf.DUMMYFUNCTION("""COMPUTED_VALUE"""),44518.5729062499)</f>
        <v>44518.57291</v>
      </c>
      <c r="D8250" s="15">
        <f>IFERROR(__xludf.DUMMYFUNCTION("""COMPUTED_VALUE"""),1.075)</f>
        <v>1.075</v>
      </c>
      <c r="E8250" s="16">
        <f>IFERROR(__xludf.DUMMYFUNCTION("""COMPUTED_VALUE"""),65.0)</f>
        <v>65</v>
      </c>
      <c r="F8250" s="19" t="str">
        <f>IFERROR(__xludf.DUMMYFUNCTION("""COMPUTED_VALUE"""),"BLACK")</f>
        <v>BLACK</v>
      </c>
      <c r="G8250" s="20" t="str">
        <f>IFERROR(__xludf.DUMMYFUNCTION("""COMPUTED_VALUE"""),"Uncle Sams Cider (11/12/2021) 02")</f>
        <v>Uncle Sams Cider (11/12/2021) 02</v>
      </c>
      <c r="H8250" s="19"/>
    </row>
    <row r="8251">
      <c r="A8251" s="9"/>
      <c r="B8251" s="15"/>
      <c r="C8251" s="9">
        <f>IFERROR(__xludf.DUMMYFUNCTION("""COMPUTED_VALUE"""),44518.5624851273)</f>
        <v>44518.56249</v>
      </c>
      <c r="D8251" s="15">
        <f>IFERROR(__xludf.DUMMYFUNCTION("""COMPUTED_VALUE"""),1.075)</f>
        <v>1.075</v>
      </c>
      <c r="E8251" s="16">
        <f>IFERROR(__xludf.DUMMYFUNCTION("""COMPUTED_VALUE"""),65.0)</f>
        <v>65</v>
      </c>
      <c r="F8251" s="19" t="str">
        <f>IFERROR(__xludf.DUMMYFUNCTION("""COMPUTED_VALUE"""),"BLACK")</f>
        <v>BLACK</v>
      </c>
      <c r="G8251" s="20" t="str">
        <f>IFERROR(__xludf.DUMMYFUNCTION("""COMPUTED_VALUE"""),"Uncle Sams Cider (11/12/2021) 02")</f>
        <v>Uncle Sams Cider (11/12/2021) 02</v>
      </c>
      <c r="H8251" s="19"/>
    </row>
    <row r="8252">
      <c r="A8252" s="9"/>
      <c r="B8252" s="15"/>
      <c r="C8252" s="9">
        <f>IFERROR(__xludf.DUMMYFUNCTION("""COMPUTED_VALUE"""),44518.5520632754)</f>
        <v>44518.55206</v>
      </c>
      <c r="D8252" s="15">
        <f>IFERROR(__xludf.DUMMYFUNCTION("""COMPUTED_VALUE"""),1.075)</f>
        <v>1.075</v>
      </c>
      <c r="E8252" s="16">
        <f>IFERROR(__xludf.DUMMYFUNCTION("""COMPUTED_VALUE"""),66.0)</f>
        <v>66</v>
      </c>
      <c r="F8252" s="19" t="str">
        <f>IFERROR(__xludf.DUMMYFUNCTION("""COMPUTED_VALUE"""),"BLACK")</f>
        <v>BLACK</v>
      </c>
      <c r="G8252" s="20" t="str">
        <f>IFERROR(__xludf.DUMMYFUNCTION("""COMPUTED_VALUE"""),"Uncle Sams Cider (11/12/2021) 02")</f>
        <v>Uncle Sams Cider (11/12/2021) 02</v>
      </c>
      <c r="H8252" s="19"/>
    </row>
    <row r="8253">
      <c r="A8253" s="9"/>
      <c r="B8253" s="15"/>
      <c r="C8253" s="9">
        <f>IFERROR(__xludf.DUMMYFUNCTION("""COMPUTED_VALUE"""),44518.541642199)</f>
        <v>44518.54164</v>
      </c>
      <c r="D8253" s="15">
        <f>IFERROR(__xludf.DUMMYFUNCTION("""COMPUTED_VALUE"""),1.075)</f>
        <v>1.075</v>
      </c>
      <c r="E8253" s="16">
        <f>IFERROR(__xludf.DUMMYFUNCTION("""COMPUTED_VALUE"""),68.0)</f>
        <v>68</v>
      </c>
      <c r="F8253" s="19" t="str">
        <f>IFERROR(__xludf.DUMMYFUNCTION("""COMPUTED_VALUE"""),"BLACK")</f>
        <v>BLACK</v>
      </c>
      <c r="G8253" s="20" t="str">
        <f>IFERROR(__xludf.DUMMYFUNCTION("""COMPUTED_VALUE"""),"Uncle Sams Cider (11/12/2021) 02")</f>
        <v>Uncle Sams Cider (11/12/2021) 02</v>
      </c>
      <c r="H8253" s="19"/>
    </row>
    <row r="8254">
      <c r="A8254" s="9"/>
      <c r="B8254" s="15"/>
      <c r="C8254" s="9">
        <f>IFERROR(__xludf.DUMMYFUNCTION("""COMPUTED_VALUE"""),44518.5312225115)</f>
        <v>44518.53122</v>
      </c>
      <c r="D8254" s="15">
        <f>IFERROR(__xludf.DUMMYFUNCTION("""COMPUTED_VALUE"""),1.075)</f>
        <v>1.075</v>
      </c>
      <c r="E8254" s="16">
        <f>IFERROR(__xludf.DUMMYFUNCTION("""COMPUTED_VALUE"""),69.0)</f>
        <v>69</v>
      </c>
      <c r="F8254" s="19" t="str">
        <f>IFERROR(__xludf.DUMMYFUNCTION("""COMPUTED_VALUE"""),"BLACK")</f>
        <v>BLACK</v>
      </c>
      <c r="G8254" s="20" t="str">
        <f>IFERROR(__xludf.DUMMYFUNCTION("""COMPUTED_VALUE"""),"Uncle Sams Cider (11/12/2021) 02")</f>
        <v>Uncle Sams Cider (11/12/2021) 02</v>
      </c>
      <c r="H8254" s="19"/>
    </row>
    <row r="8255">
      <c r="A8255" s="9"/>
      <c r="B8255" s="15"/>
      <c r="C8255" s="9">
        <f>IFERROR(__xludf.DUMMYFUNCTION("""COMPUTED_VALUE"""),44518.5208023611)</f>
        <v>44518.5208</v>
      </c>
      <c r="D8255" s="15">
        <f>IFERROR(__xludf.DUMMYFUNCTION("""COMPUTED_VALUE"""),1.075)</f>
        <v>1.075</v>
      </c>
      <c r="E8255" s="16">
        <f>IFERROR(__xludf.DUMMYFUNCTION("""COMPUTED_VALUE"""),70.0)</f>
        <v>70</v>
      </c>
      <c r="F8255" s="19" t="str">
        <f>IFERROR(__xludf.DUMMYFUNCTION("""COMPUTED_VALUE"""),"BLACK")</f>
        <v>BLACK</v>
      </c>
      <c r="G8255" s="20" t="str">
        <f>IFERROR(__xludf.DUMMYFUNCTION("""COMPUTED_VALUE"""),"Uncle Sams Cider (11/12/2021) 02")</f>
        <v>Uncle Sams Cider (11/12/2021) 02</v>
      </c>
      <c r="H8255" s="19"/>
    </row>
    <row r="8256">
      <c r="A8256" s="9"/>
      <c r="B8256" s="15"/>
      <c r="C8256" s="9">
        <f>IFERROR(__xludf.DUMMYFUNCTION("""COMPUTED_VALUE"""),44518.5103825)</f>
        <v>44518.51038</v>
      </c>
      <c r="D8256" s="15">
        <f>IFERROR(__xludf.DUMMYFUNCTION("""COMPUTED_VALUE"""),1.075)</f>
        <v>1.075</v>
      </c>
      <c r="E8256" s="16">
        <f>IFERROR(__xludf.DUMMYFUNCTION("""COMPUTED_VALUE"""),70.0)</f>
        <v>70</v>
      </c>
      <c r="F8256" s="19" t="str">
        <f>IFERROR(__xludf.DUMMYFUNCTION("""COMPUTED_VALUE"""),"BLACK")</f>
        <v>BLACK</v>
      </c>
      <c r="G8256" s="20" t="str">
        <f>IFERROR(__xludf.DUMMYFUNCTION("""COMPUTED_VALUE"""),"Uncle Sams Cider (11/12/2021) 02")</f>
        <v>Uncle Sams Cider (11/12/2021) 02</v>
      </c>
      <c r="H8256" s="19"/>
    </row>
    <row r="8257">
      <c r="A8257" s="9"/>
      <c r="B8257" s="15"/>
      <c r="C8257" s="9">
        <f>IFERROR(__xludf.DUMMYFUNCTION("""COMPUTED_VALUE"""),44518.499959699)</f>
        <v>44518.49996</v>
      </c>
      <c r="D8257" s="15">
        <f>IFERROR(__xludf.DUMMYFUNCTION("""COMPUTED_VALUE"""),1.075)</f>
        <v>1.075</v>
      </c>
      <c r="E8257" s="16">
        <f>IFERROR(__xludf.DUMMYFUNCTION("""COMPUTED_VALUE"""),70.0)</f>
        <v>70</v>
      </c>
      <c r="F8257" s="19" t="str">
        <f>IFERROR(__xludf.DUMMYFUNCTION("""COMPUTED_VALUE"""),"BLACK")</f>
        <v>BLACK</v>
      </c>
      <c r="G8257" s="20" t="str">
        <f>IFERROR(__xludf.DUMMYFUNCTION("""COMPUTED_VALUE"""),"Uncle Sams Cider (11/12/2021) 02")</f>
        <v>Uncle Sams Cider (11/12/2021) 02</v>
      </c>
      <c r="H8257" s="19"/>
    </row>
    <row r="8258">
      <c r="A8258" s="9"/>
      <c r="B8258" s="15"/>
      <c r="C8258" s="9">
        <f>IFERROR(__xludf.DUMMYFUNCTION("""COMPUTED_VALUE"""),44518.4895393518)</f>
        <v>44518.48954</v>
      </c>
      <c r="D8258" s="15">
        <f>IFERROR(__xludf.DUMMYFUNCTION("""COMPUTED_VALUE"""),1.076)</f>
        <v>1.076</v>
      </c>
      <c r="E8258" s="16">
        <f>IFERROR(__xludf.DUMMYFUNCTION("""COMPUTED_VALUE"""),70.0)</f>
        <v>70</v>
      </c>
      <c r="F8258" s="19" t="str">
        <f>IFERROR(__xludf.DUMMYFUNCTION("""COMPUTED_VALUE"""),"BLACK")</f>
        <v>BLACK</v>
      </c>
      <c r="G8258" s="20" t="str">
        <f>IFERROR(__xludf.DUMMYFUNCTION("""COMPUTED_VALUE"""),"Uncle Sams Cider (11/12/2021) 02")</f>
        <v>Uncle Sams Cider (11/12/2021) 02</v>
      </c>
      <c r="H8258" s="19"/>
    </row>
    <row r="8259">
      <c r="A8259" s="9"/>
      <c r="B8259" s="15"/>
      <c r="C8259" s="9">
        <f>IFERROR(__xludf.DUMMYFUNCTION("""COMPUTED_VALUE"""),44518.4791190277)</f>
        <v>44518.47912</v>
      </c>
      <c r="D8259" s="15">
        <f>IFERROR(__xludf.DUMMYFUNCTION("""COMPUTED_VALUE"""),1.076)</f>
        <v>1.076</v>
      </c>
      <c r="E8259" s="16">
        <f>IFERROR(__xludf.DUMMYFUNCTION("""COMPUTED_VALUE"""),70.0)</f>
        <v>70</v>
      </c>
      <c r="F8259" s="19" t="str">
        <f>IFERROR(__xludf.DUMMYFUNCTION("""COMPUTED_VALUE"""),"BLACK")</f>
        <v>BLACK</v>
      </c>
      <c r="G8259" s="20" t="str">
        <f>IFERROR(__xludf.DUMMYFUNCTION("""COMPUTED_VALUE"""),"Uncle Sams Cider (11/12/2021) 02")</f>
        <v>Uncle Sams Cider (11/12/2021) 02</v>
      </c>
      <c r="H8259" s="19"/>
    </row>
    <row r="8260">
      <c r="A8260" s="9"/>
      <c r="B8260" s="15"/>
      <c r="C8260" s="9">
        <f>IFERROR(__xludf.DUMMYFUNCTION("""COMPUTED_VALUE"""),44518.4686982986)</f>
        <v>44518.4687</v>
      </c>
      <c r="D8260" s="15">
        <f>IFERROR(__xludf.DUMMYFUNCTION("""COMPUTED_VALUE"""),1.076)</f>
        <v>1.076</v>
      </c>
      <c r="E8260" s="16">
        <f>IFERROR(__xludf.DUMMYFUNCTION("""COMPUTED_VALUE"""),69.0)</f>
        <v>69</v>
      </c>
      <c r="F8260" s="19" t="str">
        <f>IFERROR(__xludf.DUMMYFUNCTION("""COMPUTED_VALUE"""),"BLACK")</f>
        <v>BLACK</v>
      </c>
      <c r="G8260" s="20" t="str">
        <f>IFERROR(__xludf.DUMMYFUNCTION("""COMPUTED_VALUE"""),"Uncle Sams Cider (11/12/2021) 02")</f>
        <v>Uncle Sams Cider (11/12/2021) 02</v>
      </c>
      <c r="H8260" s="19"/>
    </row>
    <row r="8261">
      <c r="A8261" s="9"/>
      <c r="B8261" s="15"/>
      <c r="C8261" s="9">
        <f>IFERROR(__xludf.DUMMYFUNCTION("""COMPUTED_VALUE"""),44518.4582768865)</f>
        <v>44518.45828</v>
      </c>
      <c r="D8261" s="15">
        <f>IFERROR(__xludf.DUMMYFUNCTION("""COMPUTED_VALUE"""),1.076)</f>
        <v>1.076</v>
      </c>
      <c r="E8261" s="16">
        <f>IFERROR(__xludf.DUMMYFUNCTION("""COMPUTED_VALUE"""),69.0)</f>
        <v>69</v>
      </c>
      <c r="F8261" s="19" t="str">
        <f>IFERROR(__xludf.DUMMYFUNCTION("""COMPUTED_VALUE"""),"BLACK")</f>
        <v>BLACK</v>
      </c>
      <c r="G8261" s="20" t="str">
        <f>IFERROR(__xludf.DUMMYFUNCTION("""COMPUTED_VALUE"""),"Uncle Sams Cider (11/12/2021) 02")</f>
        <v>Uncle Sams Cider (11/12/2021) 02</v>
      </c>
      <c r="H8261" s="19"/>
    </row>
    <row r="8262">
      <c r="A8262" s="9"/>
      <c r="B8262" s="15"/>
      <c r="C8262" s="9">
        <f>IFERROR(__xludf.DUMMYFUNCTION("""COMPUTED_VALUE"""),44518.4478571759)</f>
        <v>44518.44786</v>
      </c>
      <c r="D8262" s="15">
        <f>IFERROR(__xludf.DUMMYFUNCTION("""COMPUTED_VALUE"""),1.076)</f>
        <v>1.076</v>
      </c>
      <c r="E8262" s="16">
        <f>IFERROR(__xludf.DUMMYFUNCTION("""COMPUTED_VALUE"""),69.0)</f>
        <v>69</v>
      </c>
      <c r="F8262" s="19" t="str">
        <f>IFERROR(__xludf.DUMMYFUNCTION("""COMPUTED_VALUE"""),"BLACK")</f>
        <v>BLACK</v>
      </c>
      <c r="G8262" s="20" t="str">
        <f>IFERROR(__xludf.DUMMYFUNCTION("""COMPUTED_VALUE"""),"Uncle Sams Cider (11/12/2021) 02")</f>
        <v>Uncle Sams Cider (11/12/2021) 02</v>
      </c>
      <c r="H8262" s="19"/>
    </row>
    <row r="8263">
      <c r="A8263" s="9"/>
      <c r="B8263" s="15"/>
      <c r="C8263" s="9">
        <f>IFERROR(__xludf.DUMMYFUNCTION("""COMPUTED_VALUE"""),44518.4374355671)</f>
        <v>44518.43744</v>
      </c>
      <c r="D8263" s="15">
        <f>IFERROR(__xludf.DUMMYFUNCTION("""COMPUTED_VALUE"""),1.076)</f>
        <v>1.076</v>
      </c>
      <c r="E8263" s="16">
        <f>IFERROR(__xludf.DUMMYFUNCTION("""COMPUTED_VALUE"""),70.0)</f>
        <v>70</v>
      </c>
      <c r="F8263" s="19" t="str">
        <f>IFERROR(__xludf.DUMMYFUNCTION("""COMPUTED_VALUE"""),"BLACK")</f>
        <v>BLACK</v>
      </c>
      <c r="G8263" s="20" t="str">
        <f>IFERROR(__xludf.DUMMYFUNCTION("""COMPUTED_VALUE"""),"Uncle Sams Cider (11/12/2021) 02")</f>
        <v>Uncle Sams Cider (11/12/2021) 02</v>
      </c>
      <c r="H8263" s="19"/>
    </row>
    <row r="8264">
      <c r="A8264" s="9"/>
      <c r="B8264" s="15"/>
      <c r="C8264" s="9">
        <f>IFERROR(__xludf.DUMMYFUNCTION("""COMPUTED_VALUE"""),44518.4270141088)</f>
        <v>44518.42701</v>
      </c>
      <c r="D8264" s="15">
        <f>IFERROR(__xludf.DUMMYFUNCTION("""COMPUTED_VALUE"""),1.076)</f>
        <v>1.076</v>
      </c>
      <c r="E8264" s="16">
        <f>IFERROR(__xludf.DUMMYFUNCTION("""COMPUTED_VALUE"""),69.0)</f>
        <v>69</v>
      </c>
      <c r="F8264" s="19" t="str">
        <f>IFERROR(__xludf.DUMMYFUNCTION("""COMPUTED_VALUE"""),"BLACK")</f>
        <v>BLACK</v>
      </c>
      <c r="G8264" s="20" t="str">
        <f>IFERROR(__xludf.DUMMYFUNCTION("""COMPUTED_VALUE"""),"Uncle Sams Cider (11/12/2021) 02")</f>
        <v>Uncle Sams Cider (11/12/2021) 02</v>
      </c>
      <c r="H8264" s="19"/>
    </row>
    <row r="8265">
      <c r="A8265" s="9"/>
      <c r="B8265" s="15"/>
      <c r="C8265" s="9">
        <f>IFERROR(__xludf.DUMMYFUNCTION("""COMPUTED_VALUE"""),44518.4165905671)</f>
        <v>44518.41659</v>
      </c>
      <c r="D8265" s="15">
        <f>IFERROR(__xludf.DUMMYFUNCTION("""COMPUTED_VALUE"""),1.076)</f>
        <v>1.076</v>
      </c>
      <c r="E8265" s="16">
        <f>IFERROR(__xludf.DUMMYFUNCTION("""COMPUTED_VALUE"""),69.0)</f>
        <v>69</v>
      </c>
      <c r="F8265" s="19" t="str">
        <f>IFERROR(__xludf.DUMMYFUNCTION("""COMPUTED_VALUE"""),"BLACK")</f>
        <v>BLACK</v>
      </c>
      <c r="G8265" s="20" t="str">
        <f>IFERROR(__xludf.DUMMYFUNCTION("""COMPUTED_VALUE"""),"Uncle Sams Cider (11/12/2021) 02")</f>
        <v>Uncle Sams Cider (11/12/2021) 02</v>
      </c>
      <c r="H8265" s="19"/>
    </row>
    <row r="8266">
      <c r="A8266" s="9"/>
      <c r="B8266" s="15"/>
      <c r="C8266" s="9">
        <f>IFERROR(__xludf.DUMMYFUNCTION("""COMPUTED_VALUE"""),44518.4061694212)</f>
        <v>44518.40617</v>
      </c>
      <c r="D8266" s="15">
        <f>IFERROR(__xludf.DUMMYFUNCTION("""COMPUTED_VALUE"""),1.076)</f>
        <v>1.076</v>
      </c>
      <c r="E8266" s="16">
        <f>IFERROR(__xludf.DUMMYFUNCTION("""COMPUTED_VALUE"""),69.0)</f>
        <v>69</v>
      </c>
      <c r="F8266" s="19" t="str">
        <f>IFERROR(__xludf.DUMMYFUNCTION("""COMPUTED_VALUE"""),"BLACK")</f>
        <v>BLACK</v>
      </c>
      <c r="G8266" s="20" t="str">
        <f>IFERROR(__xludf.DUMMYFUNCTION("""COMPUTED_VALUE"""),"Uncle Sams Cider (11/12/2021) 02")</f>
        <v>Uncle Sams Cider (11/12/2021) 02</v>
      </c>
      <c r="H8266" s="19"/>
    </row>
    <row r="8267">
      <c r="A8267" s="9"/>
      <c r="B8267" s="15"/>
      <c r="C8267" s="9">
        <f>IFERROR(__xludf.DUMMYFUNCTION("""COMPUTED_VALUE"""),44518.3957498611)</f>
        <v>44518.39575</v>
      </c>
      <c r="D8267" s="15">
        <f>IFERROR(__xludf.DUMMYFUNCTION("""COMPUTED_VALUE"""),1.076)</f>
        <v>1.076</v>
      </c>
      <c r="E8267" s="16">
        <f>IFERROR(__xludf.DUMMYFUNCTION("""COMPUTED_VALUE"""),69.0)</f>
        <v>69</v>
      </c>
      <c r="F8267" s="19" t="str">
        <f>IFERROR(__xludf.DUMMYFUNCTION("""COMPUTED_VALUE"""),"BLACK")</f>
        <v>BLACK</v>
      </c>
      <c r="G8267" s="20" t="str">
        <f>IFERROR(__xludf.DUMMYFUNCTION("""COMPUTED_VALUE"""),"Uncle Sams Cider (11/12/2021) 02")</f>
        <v>Uncle Sams Cider (11/12/2021) 02</v>
      </c>
      <c r="H8267" s="19"/>
    </row>
    <row r="8268">
      <c r="A8268" s="9"/>
      <c r="B8268" s="15"/>
      <c r="C8268" s="9">
        <f>IFERROR(__xludf.DUMMYFUNCTION("""COMPUTED_VALUE"""),44518.3853293055)</f>
        <v>44518.38533</v>
      </c>
      <c r="D8268" s="15">
        <f>IFERROR(__xludf.DUMMYFUNCTION("""COMPUTED_VALUE"""),1.076)</f>
        <v>1.076</v>
      </c>
      <c r="E8268" s="16">
        <f>IFERROR(__xludf.DUMMYFUNCTION("""COMPUTED_VALUE"""),69.0)</f>
        <v>69</v>
      </c>
      <c r="F8268" s="19" t="str">
        <f>IFERROR(__xludf.DUMMYFUNCTION("""COMPUTED_VALUE"""),"BLACK")</f>
        <v>BLACK</v>
      </c>
      <c r="G8268" s="20" t="str">
        <f>IFERROR(__xludf.DUMMYFUNCTION("""COMPUTED_VALUE"""),"Uncle Sams Cider (11/12/2021) 02")</f>
        <v>Uncle Sams Cider (11/12/2021) 02</v>
      </c>
      <c r="H8268" s="19"/>
    </row>
    <row r="8269">
      <c r="A8269" s="9"/>
      <c r="B8269" s="15"/>
      <c r="C8269" s="9">
        <f>IFERROR(__xludf.DUMMYFUNCTION("""COMPUTED_VALUE"""),44518.3749076273)</f>
        <v>44518.37491</v>
      </c>
      <c r="D8269" s="15">
        <f>IFERROR(__xludf.DUMMYFUNCTION("""COMPUTED_VALUE"""),1.076)</f>
        <v>1.076</v>
      </c>
      <c r="E8269" s="16">
        <f>IFERROR(__xludf.DUMMYFUNCTION("""COMPUTED_VALUE"""),69.0)</f>
        <v>69</v>
      </c>
      <c r="F8269" s="19" t="str">
        <f>IFERROR(__xludf.DUMMYFUNCTION("""COMPUTED_VALUE"""),"BLACK")</f>
        <v>BLACK</v>
      </c>
      <c r="G8269" s="20" t="str">
        <f>IFERROR(__xludf.DUMMYFUNCTION("""COMPUTED_VALUE"""),"Uncle Sams Cider (11/12/2021) 02")</f>
        <v>Uncle Sams Cider (11/12/2021) 02</v>
      </c>
      <c r="H8269" s="19"/>
    </row>
    <row r="8270">
      <c r="A8270" s="9"/>
      <c r="B8270" s="15"/>
      <c r="C8270" s="9">
        <f>IFERROR(__xludf.DUMMYFUNCTION("""COMPUTED_VALUE"""),44518.3644761226)</f>
        <v>44518.36448</v>
      </c>
      <c r="D8270" s="15">
        <f>IFERROR(__xludf.DUMMYFUNCTION("""COMPUTED_VALUE"""),1.076)</f>
        <v>1.076</v>
      </c>
      <c r="E8270" s="16">
        <f>IFERROR(__xludf.DUMMYFUNCTION("""COMPUTED_VALUE"""),69.0)</f>
        <v>69</v>
      </c>
      <c r="F8270" s="19" t="str">
        <f>IFERROR(__xludf.DUMMYFUNCTION("""COMPUTED_VALUE"""),"BLACK")</f>
        <v>BLACK</v>
      </c>
      <c r="G8270" s="20" t="str">
        <f>IFERROR(__xludf.DUMMYFUNCTION("""COMPUTED_VALUE"""),"Uncle Sams Cider (11/12/2021) 02")</f>
        <v>Uncle Sams Cider (11/12/2021) 02</v>
      </c>
      <c r="H8270" s="19"/>
    </row>
    <row r="8271">
      <c r="A8271" s="9"/>
      <c r="B8271" s="15"/>
      <c r="C8271" s="9">
        <f>IFERROR(__xludf.DUMMYFUNCTION("""COMPUTED_VALUE"""),44518.3540441203)</f>
        <v>44518.35404</v>
      </c>
      <c r="D8271" s="15">
        <f>IFERROR(__xludf.DUMMYFUNCTION("""COMPUTED_VALUE"""),1.077)</f>
        <v>1.077</v>
      </c>
      <c r="E8271" s="16">
        <f>IFERROR(__xludf.DUMMYFUNCTION("""COMPUTED_VALUE"""),69.0)</f>
        <v>69</v>
      </c>
      <c r="F8271" s="19" t="str">
        <f>IFERROR(__xludf.DUMMYFUNCTION("""COMPUTED_VALUE"""),"BLACK")</f>
        <v>BLACK</v>
      </c>
      <c r="G8271" s="20" t="str">
        <f>IFERROR(__xludf.DUMMYFUNCTION("""COMPUTED_VALUE"""),"Uncle Sams Cider (11/12/2021) 02")</f>
        <v>Uncle Sams Cider (11/12/2021) 02</v>
      </c>
      <c r="H8271" s="19"/>
    </row>
    <row r="8272">
      <c r="A8272" s="9"/>
      <c r="B8272" s="15"/>
      <c r="C8272" s="9">
        <f>IFERROR(__xludf.DUMMYFUNCTION("""COMPUTED_VALUE"""),44518.3436228356)</f>
        <v>44518.34362</v>
      </c>
      <c r="D8272" s="15">
        <f>IFERROR(__xludf.DUMMYFUNCTION("""COMPUTED_VALUE"""),1.076)</f>
        <v>1.076</v>
      </c>
      <c r="E8272" s="16">
        <f>IFERROR(__xludf.DUMMYFUNCTION("""COMPUTED_VALUE"""),69.0)</f>
        <v>69</v>
      </c>
      <c r="F8272" s="19" t="str">
        <f>IFERROR(__xludf.DUMMYFUNCTION("""COMPUTED_VALUE"""),"BLACK")</f>
        <v>BLACK</v>
      </c>
      <c r="G8272" s="20" t="str">
        <f>IFERROR(__xludf.DUMMYFUNCTION("""COMPUTED_VALUE"""),"Uncle Sams Cider (11/12/2021) 02")</f>
        <v>Uncle Sams Cider (11/12/2021) 02</v>
      </c>
      <c r="H8272" s="19"/>
    </row>
    <row r="8273">
      <c r="A8273" s="9"/>
      <c r="B8273" s="15"/>
      <c r="C8273" s="9">
        <f>IFERROR(__xludf.DUMMYFUNCTION("""COMPUTED_VALUE"""),44518.3332021296)</f>
        <v>44518.3332</v>
      </c>
      <c r="D8273" s="15">
        <f>IFERROR(__xludf.DUMMYFUNCTION("""COMPUTED_VALUE"""),1.077)</f>
        <v>1.077</v>
      </c>
      <c r="E8273" s="16">
        <f>IFERROR(__xludf.DUMMYFUNCTION("""COMPUTED_VALUE"""),69.0)</f>
        <v>69</v>
      </c>
      <c r="F8273" s="19" t="str">
        <f>IFERROR(__xludf.DUMMYFUNCTION("""COMPUTED_VALUE"""),"BLACK")</f>
        <v>BLACK</v>
      </c>
      <c r="G8273" s="20" t="str">
        <f>IFERROR(__xludf.DUMMYFUNCTION("""COMPUTED_VALUE"""),"Uncle Sams Cider (11/12/2021) 02")</f>
        <v>Uncle Sams Cider (11/12/2021) 02</v>
      </c>
      <c r="H8273" s="19"/>
    </row>
    <row r="8274">
      <c r="A8274" s="9"/>
      <c r="B8274" s="15"/>
      <c r="C8274" s="9">
        <f>IFERROR(__xludf.DUMMYFUNCTION("""COMPUTED_VALUE"""),44518.3227700925)</f>
        <v>44518.32277</v>
      </c>
      <c r="D8274" s="15">
        <f>IFERROR(__xludf.DUMMYFUNCTION("""COMPUTED_VALUE"""),1.077)</f>
        <v>1.077</v>
      </c>
      <c r="E8274" s="16">
        <f>IFERROR(__xludf.DUMMYFUNCTION("""COMPUTED_VALUE"""),69.0)</f>
        <v>69</v>
      </c>
      <c r="F8274" s="19" t="str">
        <f>IFERROR(__xludf.DUMMYFUNCTION("""COMPUTED_VALUE"""),"BLACK")</f>
        <v>BLACK</v>
      </c>
      <c r="G8274" s="20" t="str">
        <f>IFERROR(__xludf.DUMMYFUNCTION("""COMPUTED_VALUE"""),"Uncle Sams Cider (11/12/2021) 02")</f>
        <v>Uncle Sams Cider (11/12/2021) 02</v>
      </c>
      <c r="H8274" s="19"/>
    </row>
    <row r="8275">
      <c r="A8275" s="9"/>
      <c r="B8275" s="15"/>
      <c r="C8275" s="9">
        <f>IFERROR(__xludf.DUMMYFUNCTION("""COMPUTED_VALUE"""),44518.3123266319)</f>
        <v>44518.31233</v>
      </c>
      <c r="D8275" s="15">
        <f>IFERROR(__xludf.DUMMYFUNCTION("""COMPUTED_VALUE"""),1.077)</f>
        <v>1.077</v>
      </c>
      <c r="E8275" s="16">
        <f>IFERROR(__xludf.DUMMYFUNCTION("""COMPUTED_VALUE"""),69.0)</f>
        <v>69</v>
      </c>
      <c r="F8275" s="19" t="str">
        <f>IFERROR(__xludf.DUMMYFUNCTION("""COMPUTED_VALUE"""),"BLACK")</f>
        <v>BLACK</v>
      </c>
      <c r="G8275" s="20" t="str">
        <f>IFERROR(__xludf.DUMMYFUNCTION("""COMPUTED_VALUE"""),"Uncle Sams Cider (11/12/2021) 02")</f>
        <v>Uncle Sams Cider (11/12/2021) 02</v>
      </c>
      <c r="H8275" s="19"/>
    </row>
    <row r="8276">
      <c r="A8276" s="9"/>
      <c r="B8276" s="15"/>
      <c r="C8276" s="9">
        <f>IFERROR(__xludf.DUMMYFUNCTION("""COMPUTED_VALUE"""),44518.3019063657)</f>
        <v>44518.30191</v>
      </c>
      <c r="D8276" s="15">
        <f>IFERROR(__xludf.DUMMYFUNCTION("""COMPUTED_VALUE"""),1.077)</f>
        <v>1.077</v>
      </c>
      <c r="E8276" s="16">
        <f>IFERROR(__xludf.DUMMYFUNCTION("""COMPUTED_VALUE"""),69.0)</f>
        <v>69</v>
      </c>
      <c r="F8276" s="19" t="str">
        <f>IFERROR(__xludf.DUMMYFUNCTION("""COMPUTED_VALUE"""),"BLACK")</f>
        <v>BLACK</v>
      </c>
      <c r="G8276" s="20" t="str">
        <f>IFERROR(__xludf.DUMMYFUNCTION("""COMPUTED_VALUE"""),"Uncle Sams Cider (11/12/2021) 02")</f>
        <v>Uncle Sams Cider (11/12/2021) 02</v>
      </c>
      <c r="H8276" s="19"/>
    </row>
    <row r="8277">
      <c r="A8277" s="9"/>
      <c r="B8277" s="15"/>
      <c r="C8277" s="9">
        <f>IFERROR(__xludf.DUMMYFUNCTION("""COMPUTED_VALUE"""),44518.2914382638)</f>
        <v>44518.29144</v>
      </c>
      <c r="D8277" s="15">
        <f>IFERROR(__xludf.DUMMYFUNCTION("""COMPUTED_VALUE"""),1.077)</f>
        <v>1.077</v>
      </c>
      <c r="E8277" s="16">
        <f>IFERROR(__xludf.DUMMYFUNCTION("""COMPUTED_VALUE"""),69.0)</f>
        <v>69</v>
      </c>
      <c r="F8277" s="19" t="str">
        <f>IFERROR(__xludf.DUMMYFUNCTION("""COMPUTED_VALUE"""),"BLACK")</f>
        <v>BLACK</v>
      </c>
      <c r="G8277" s="20" t="str">
        <f>IFERROR(__xludf.DUMMYFUNCTION("""COMPUTED_VALUE"""),"Uncle Sams Cider (11/12/2021) 02")</f>
        <v>Uncle Sams Cider (11/12/2021) 02</v>
      </c>
      <c r="H8277" s="19"/>
    </row>
    <row r="8278">
      <c r="A8278" s="9"/>
      <c r="B8278" s="15"/>
      <c r="C8278" s="9">
        <f>IFERROR(__xludf.DUMMYFUNCTION("""COMPUTED_VALUE"""),44518.2810174421)</f>
        <v>44518.28102</v>
      </c>
      <c r="D8278" s="15">
        <f>IFERROR(__xludf.DUMMYFUNCTION("""COMPUTED_VALUE"""),1.077)</f>
        <v>1.077</v>
      </c>
      <c r="E8278" s="16">
        <f>IFERROR(__xludf.DUMMYFUNCTION("""COMPUTED_VALUE"""),69.0)</f>
        <v>69</v>
      </c>
      <c r="F8278" s="19" t="str">
        <f>IFERROR(__xludf.DUMMYFUNCTION("""COMPUTED_VALUE"""),"BLACK")</f>
        <v>BLACK</v>
      </c>
      <c r="G8278" s="20" t="str">
        <f>IFERROR(__xludf.DUMMYFUNCTION("""COMPUTED_VALUE"""),"Uncle Sams Cider (11/12/2021) 02")</f>
        <v>Uncle Sams Cider (11/12/2021) 02</v>
      </c>
      <c r="H8278" s="19"/>
    </row>
    <row r="8279">
      <c r="A8279" s="9"/>
      <c r="B8279" s="15"/>
      <c r="C8279" s="9">
        <f>IFERROR(__xludf.DUMMYFUNCTION("""COMPUTED_VALUE"""),44518.2705838194)</f>
        <v>44518.27058</v>
      </c>
      <c r="D8279" s="15">
        <f>IFERROR(__xludf.DUMMYFUNCTION("""COMPUTED_VALUE"""),1.077)</f>
        <v>1.077</v>
      </c>
      <c r="E8279" s="16">
        <f>IFERROR(__xludf.DUMMYFUNCTION("""COMPUTED_VALUE"""),69.0)</f>
        <v>69</v>
      </c>
      <c r="F8279" s="19" t="str">
        <f>IFERROR(__xludf.DUMMYFUNCTION("""COMPUTED_VALUE"""),"BLACK")</f>
        <v>BLACK</v>
      </c>
      <c r="G8279" s="20" t="str">
        <f>IFERROR(__xludf.DUMMYFUNCTION("""COMPUTED_VALUE"""),"Uncle Sams Cider (11/12/2021) 02")</f>
        <v>Uncle Sams Cider (11/12/2021) 02</v>
      </c>
      <c r="H8279" s="19"/>
    </row>
    <row r="8280">
      <c r="A8280" s="9"/>
      <c r="B8280" s="15"/>
      <c r="C8280" s="9">
        <f>IFERROR(__xludf.DUMMYFUNCTION("""COMPUTED_VALUE"""),44518.2601644097)</f>
        <v>44518.26016</v>
      </c>
      <c r="D8280" s="15">
        <f>IFERROR(__xludf.DUMMYFUNCTION("""COMPUTED_VALUE"""),1.077)</f>
        <v>1.077</v>
      </c>
      <c r="E8280" s="16">
        <f>IFERROR(__xludf.DUMMYFUNCTION("""COMPUTED_VALUE"""),69.0)</f>
        <v>69</v>
      </c>
      <c r="F8280" s="19" t="str">
        <f>IFERROR(__xludf.DUMMYFUNCTION("""COMPUTED_VALUE"""),"BLACK")</f>
        <v>BLACK</v>
      </c>
      <c r="G8280" s="20" t="str">
        <f>IFERROR(__xludf.DUMMYFUNCTION("""COMPUTED_VALUE"""),"Uncle Sams Cider (11/12/2021) 02")</f>
        <v>Uncle Sams Cider (11/12/2021) 02</v>
      </c>
      <c r="H8280" s="19"/>
    </row>
    <row r="8281">
      <c r="A8281" s="9"/>
      <c r="B8281" s="15"/>
      <c r="C8281" s="9">
        <f>IFERROR(__xludf.DUMMYFUNCTION("""COMPUTED_VALUE"""),44518.2497330092)</f>
        <v>44518.24973</v>
      </c>
      <c r="D8281" s="15">
        <f>IFERROR(__xludf.DUMMYFUNCTION("""COMPUTED_VALUE"""),1.077)</f>
        <v>1.077</v>
      </c>
      <c r="E8281" s="16">
        <f>IFERROR(__xludf.DUMMYFUNCTION("""COMPUTED_VALUE"""),69.0)</f>
        <v>69</v>
      </c>
      <c r="F8281" s="19" t="str">
        <f>IFERROR(__xludf.DUMMYFUNCTION("""COMPUTED_VALUE"""),"BLACK")</f>
        <v>BLACK</v>
      </c>
      <c r="G8281" s="20" t="str">
        <f>IFERROR(__xludf.DUMMYFUNCTION("""COMPUTED_VALUE"""),"Uncle Sams Cider (11/12/2021) 02")</f>
        <v>Uncle Sams Cider (11/12/2021) 02</v>
      </c>
      <c r="H8281" s="19"/>
    </row>
    <row r="8282">
      <c r="A8282" s="9"/>
      <c r="B8282" s="15"/>
      <c r="C8282" s="9">
        <f>IFERROR(__xludf.DUMMYFUNCTION("""COMPUTED_VALUE"""),44518.2393115393)</f>
        <v>44518.23931</v>
      </c>
      <c r="D8282" s="15">
        <f>IFERROR(__xludf.DUMMYFUNCTION("""COMPUTED_VALUE"""),1.077)</f>
        <v>1.077</v>
      </c>
      <c r="E8282" s="16">
        <f>IFERROR(__xludf.DUMMYFUNCTION("""COMPUTED_VALUE"""),69.0)</f>
        <v>69</v>
      </c>
      <c r="F8282" s="19" t="str">
        <f>IFERROR(__xludf.DUMMYFUNCTION("""COMPUTED_VALUE"""),"BLACK")</f>
        <v>BLACK</v>
      </c>
      <c r="G8282" s="20" t="str">
        <f>IFERROR(__xludf.DUMMYFUNCTION("""COMPUTED_VALUE"""),"Uncle Sams Cider (11/12/2021) 02")</f>
        <v>Uncle Sams Cider (11/12/2021) 02</v>
      </c>
      <c r="H8282" s="19"/>
    </row>
    <row r="8283">
      <c r="A8283" s="9"/>
      <c r="B8283" s="15"/>
      <c r="C8283" s="9">
        <f>IFERROR(__xludf.DUMMYFUNCTION("""COMPUTED_VALUE"""),44518.2288888888)</f>
        <v>44518.22889</v>
      </c>
      <c r="D8283" s="15">
        <f>IFERROR(__xludf.DUMMYFUNCTION("""COMPUTED_VALUE"""),1.077)</f>
        <v>1.077</v>
      </c>
      <c r="E8283" s="16">
        <f>IFERROR(__xludf.DUMMYFUNCTION("""COMPUTED_VALUE"""),69.0)</f>
        <v>69</v>
      </c>
      <c r="F8283" s="19" t="str">
        <f>IFERROR(__xludf.DUMMYFUNCTION("""COMPUTED_VALUE"""),"BLACK")</f>
        <v>BLACK</v>
      </c>
      <c r="G8283" s="20" t="str">
        <f>IFERROR(__xludf.DUMMYFUNCTION("""COMPUTED_VALUE"""),"Uncle Sams Cider (11/12/2021) 02")</f>
        <v>Uncle Sams Cider (11/12/2021) 02</v>
      </c>
      <c r="H8283" s="19"/>
    </row>
    <row r="8284">
      <c r="A8284" s="9"/>
      <c r="B8284" s="15"/>
      <c r="C8284" s="9">
        <f>IFERROR(__xludf.DUMMYFUNCTION("""COMPUTED_VALUE"""),44518.218467824)</f>
        <v>44518.21847</v>
      </c>
      <c r="D8284" s="15">
        <f>IFERROR(__xludf.DUMMYFUNCTION("""COMPUTED_VALUE"""),1.078)</f>
        <v>1.078</v>
      </c>
      <c r="E8284" s="16">
        <f>IFERROR(__xludf.DUMMYFUNCTION("""COMPUTED_VALUE"""),69.0)</f>
        <v>69</v>
      </c>
      <c r="F8284" s="19" t="str">
        <f>IFERROR(__xludf.DUMMYFUNCTION("""COMPUTED_VALUE"""),"BLACK")</f>
        <v>BLACK</v>
      </c>
      <c r="G8284" s="20" t="str">
        <f>IFERROR(__xludf.DUMMYFUNCTION("""COMPUTED_VALUE"""),"Uncle Sams Cider (11/12/2021) 02")</f>
        <v>Uncle Sams Cider (11/12/2021) 02</v>
      </c>
      <c r="H8284" s="19"/>
    </row>
    <row r="8285">
      <c r="A8285" s="9"/>
      <c r="B8285" s="15"/>
      <c r="C8285" s="9">
        <f>IFERROR(__xludf.DUMMYFUNCTION("""COMPUTED_VALUE"""),44518.208045625)</f>
        <v>44518.20805</v>
      </c>
      <c r="D8285" s="15">
        <f>IFERROR(__xludf.DUMMYFUNCTION("""COMPUTED_VALUE"""),1.077)</f>
        <v>1.077</v>
      </c>
      <c r="E8285" s="16">
        <f>IFERROR(__xludf.DUMMYFUNCTION("""COMPUTED_VALUE"""),69.0)</f>
        <v>69</v>
      </c>
      <c r="F8285" s="19" t="str">
        <f>IFERROR(__xludf.DUMMYFUNCTION("""COMPUTED_VALUE"""),"BLACK")</f>
        <v>BLACK</v>
      </c>
      <c r="G8285" s="20" t="str">
        <f>IFERROR(__xludf.DUMMYFUNCTION("""COMPUTED_VALUE"""),"Uncle Sams Cider (11/12/2021) 02")</f>
        <v>Uncle Sams Cider (11/12/2021) 02</v>
      </c>
      <c r="H8285" s="19"/>
    </row>
    <row r="8286">
      <c r="A8286" s="9"/>
      <c r="B8286" s="15"/>
      <c r="C8286" s="9">
        <f>IFERROR(__xludf.DUMMYFUNCTION("""COMPUTED_VALUE"""),44518.1976237268)</f>
        <v>44518.19762</v>
      </c>
      <c r="D8286" s="15">
        <f>IFERROR(__xludf.DUMMYFUNCTION("""COMPUTED_VALUE"""),1.078)</f>
        <v>1.078</v>
      </c>
      <c r="E8286" s="16">
        <f>IFERROR(__xludf.DUMMYFUNCTION("""COMPUTED_VALUE"""),69.0)</f>
        <v>69</v>
      </c>
      <c r="F8286" s="19" t="str">
        <f>IFERROR(__xludf.DUMMYFUNCTION("""COMPUTED_VALUE"""),"BLACK")</f>
        <v>BLACK</v>
      </c>
      <c r="G8286" s="20" t="str">
        <f>IFERROR(__xludf.DUMMYFUNCTION("""COMPUTED_VALUE"""),"Uncle Sams Cider (11/12/2021) 02")</f>
        <v>Uncle Sams Cider (11/12/2021) 02</v>
      </c>
      <c r="H8286" s="19"/>
    </row>
    <row r="8287">
      <c r="A8287" s="9"/>
      <c r="B8287" s="15"/>
      <c r="C8287" s="9">
        <f>IFERROR(__xludf.DUMMYFUNCTION("""COMPUTED_VALUE"""),44518.1872018981)</f>
        <v>44518.1872</v>
      </c>
      <c r="D8287" s="15">
        <f>IFERROR(__xludf.DUMMYFUNCTION("""COMPUTED_VALUE"""),1.077)</f>
        <v>1.077</v>
      </c>
      <c r="E8287" s="16">
        <f>IFERROR(__xludf.DUMMYFUNCTION("""COMPUTED_VALUE"""),69.0)</f>
        <v>69</v>
      </c>
      <c r="F8287" s="19" t="str">
        <f>IFERROR(__xludf.DUMMYFUNCTION("""COMPUTED_VALUE"""),"BLACK")</f>
        <v>BLACK</v>
      </c>
      <c r="G8287" s="20" t="str">
        <f>IFERROR(__xludf.DUMMYFUNCTION("""COMPUTED_VALUE"""),"Uncle Sams Cider (11/12/2021) 02")</f>
        <v>Uncle Sams Cider (11/12/2021) 02</v>
      </c>
      <c r="H8287" s="19"/>
    </row>
    <row r="8288">
      <c r="A8288" s="9"/>
      <c r="B8288" s="15"/>
      <c r="C8288" s="9">
        <f>IFERROR(__xludf.DUMMYFUNCTION("""COMPUTED_VALUE"""),44518.1767705555)</f>
        <v>44518.17677</v>
      </c>
      <c r="D8288" s="15">
        <f>IFERROR(__xludf.DUMMYFUNCTION("""COMPUTED_VALUE"""),1.078)</f>
        <v>1.078</v>
      </c>
      <c r="E8288" s="16">
        <f>IFERROR(__xludf.DUMMYFUNCTION("""COMPUTED_VALUE"""),69.0)</f>
        <v>69</v>
      </c>
      <c r="F8288" s="19" t="str">
        <f>IFERROR(__xludf.DUMMYFUNCTION("""COMPUTED_VALUE"""),"BLACK")</f>
        <v>BLACK</v>
      </c>
      <c r="G8288" s="20" t="str">
        <f>IFERROR(__xludf.DUMMYFUNCTION("""COMPUTED_VALUE"""),"Uncle Sams Cider (11/12/2021) 02")</f>
        <v>Uncle Sams Cider (11/12/2021) 02</v>
      </c>
      <c r="H8288" s="19"/>
    </row>
    <row r="8289">
      <c r="A8289" s="9"/>
      <c r="B8289" s="15"/>
      <c r="C8289" s="9">
        <f>IFERROR(__xludf.DUMMYFUNCTION("""COMPUTED_VALUE"""),44518.1663267824)</f>
        <v>44518.16633</v>
      </c>
      <c r="D8289" s="15">
        <f>IFERROR(__xludf.DUMMYFUNCTION("""COMPUTED_VALUE"""),1.078)</f>
        <v>1.078</v>
      </c>
      <c r="E8289" s="16">
        <f>IFERROR(__xludf.DUMMYFUNCTION("""COMPUTED_VALUE"""),69.0)</f>
        <v>69</v>
      </c>
      <c r="F8289" s="19" t="str">
        <f>IFERROR(__xludf.DUMMYFUNCTION("""COMPUTED_VALUE"""),"BLACK")</f>
        <v>BLACK</v>
      </c>
      <c r="G8289" s="20" t="str">
        <f>IFERROR(__xludf.DUMMYFUNCTION("""COMPUTED_VALUE"""),"Uncle Sams Cider (11/12/2021) 02")</f>
        <v>Uncle Sams Cider (11/12/2021) 02</v>
      </c>
      <c r="H8289" s="19"/>
    </row>
    <row r="8290">
      <c r="A8290" s="9"/>
      <c r="B8290" s="15"/>
      <c r="C8290" s="9">
        <f>IFERROR(__xludf.DUMMYFUNCTION("""COMPUTED_VALUE"""),44518.1558933796)</f>
        <v>44518.15589</v>
      </c>
      <c r="D8290" s="15">
        <f>IFERROR(__xludf.DUMMYFUNCTION("""COMPUTED_VALUE"""),1.078)</f>
        <v>1.078</v>
      </c>
      <c r="E8290" s="16">
        <f>IFERROR(__xludf.DUMMYFUNCTION("""COMPUTED_VALUE"""),69.0)</f>
        <v>69</v>
      </c>
      <c r="F8290" s="19" t="str">
        <f>IFERROR(__xludf.DUMMYFUNCTION("""COMPUTED_VALUE"""),"BLACK")</f>
        <v>BLACK</v>
      </c>
      <c r="G8290" s="20" t="str">
        <f>IFERROR(__xludf.DUMMYFUNCTION("""COMPUTED_VALUE"""),"Uncle Sams Cider (11/12/2021) 02")</f>
        <v>Uncle Sams Cider (11/12/2021) 02</v>
      </c>
      <c r="H8290" s="19"/>
    </row>
    <row r="8291">
      <c r="A8291" s="9"/>
      <c r="B8291" s="15"/>
      <c r="C8291" s="9">
        <f>IFERROR(__xludf.DUMMYFUNCTION("""COMPUTED_VALUE"""),44518.1454721527)</f>
        <v>44518.14547</v>
      </c>
      <c r="D8291" s="15">
        <f>IFERROR(__xludf.DUMMYFUNCTION("""COMPUTED_VALUE"""),1.078)</f>
        <v>1.078</v>
      </c>
      <c r="E8291" s="16">
        <f>IFERROR(__xludf.DUMMYFUNCTION("""COMPUTED_VALUE"""),69.0)</f>
        <v>69</v>
      </c>
      <c r="F8291" s="19" t="str">
        <f>IFERROR(__xludf.DUMMYFUNCTION("""COMPUTED_VALUE"""),"BLACK")</f>
        <v>BLACK</v>
      </c>
      <c r="G8291" s="20" t="str">
        <f>IFERROR(__xludf.DUMMYFUNCTION("""COMPUTED_VALUE"""),"Uncle Sams Cider (11/12/2021) 02")</f>
        <v>Uncle Sams Cider (11/12/2021) 02</v>
      </c>
      <c r="H8291" s="19"/>
    </row>
    <row r="8292">
      <c r="A8292" s="9"/>
      <c r="B8292" s="15"/>
      <c r="C8292" s="9">
        <f>IFERROR(__xludf.DUMMYFUNCTION("""COMPUTED_VALUE"""),44518.13505228)</f>
        <v>44518.13505</v>
      </c>
      <c r="D8292" s="15">
        <f>IFERROR(__xludf.DUMMYFUNCTION("""COMPUTED_VALUE"""),1.078)</f>
        <v>1.078</v>
      </c>
      <c r="E8292" s="16">
        <f>IFERROR(__xludf.DUMMYFUNCTION("""COMPUTED_VALUE"""),69.0)</f>
        <v>69</v>
      </c>
      <c r="F8292" s="19" t="str">
        <f>IFERROR(__xludf.DUMMYFUNCTION("""COMPUTED_VALUE"""),"BLACK")</f>
        <v>BLACK</v>
      </c>
      <c r="G8292" s="20" t="str">
        <f>IFERROR(__xludf.DUMMYFUNCTION("""COMPUTED_VALUE"""),"Uncle Sams Cider (11/12/2021) 02")</f>
        <v>Uncle Sams Cider (11/12/2021) 02</v>
      </c>
      <c r="H8292" s="19"/>
    </row>
    <row r="8293">
      <c r="A8293" s="9"/>
      <c r="B8293" s="15"/>
      <c r="C8293" s="9">
        <f>IFERROR(__xludf.DUMMYFUNCTION("""COMPUTED_VALUE"""),44518.1246295138)</f>
        <v>44518.12463</v>
      </c>
      <c r="D8293" s="15">
        <f>IFERROR(__xludf.DUMMYFUNCTION("""COMPUTED_VALUE"""),1.078)</f>
        <v>1.078</v>
      </c>
      <c r="E8293" s="16">
        <f>IFERROR(__xludf.DUMMYFUNCTION("""COMPUTED_VALUE"""),69.0)</f>
        <v>69</v>
      </c>
      <c r="F8293" s="19" t="str">
        <f>IFERROR(__xludf.DUMMYFUNCTION("""COMPUTED_VALUE"""),"BLACK")</f>
        <v>BLACK</v>
      </c>
      <c r="G8293" s="20" t="str">
        <f>IFERROR(__xludf.DUMMYFUNCTION("""COMPUTED_VALUE"""),"Uncle Sams Cider (11/12/2021) 02")</f>
        <v>Uncle Sams Cider (11/12/2021) 02</v>
      </c>
      <c r="H8293" s="19"/>
    </row>
    <row r="8294">
      <c r="A8294" s="9"/>
      <c r="B8294" s="15"/>
      <c r="C8294" s="9">
        <f>IFERROR(__xludf.DUMMYFUNCTION("""COMPUTED_VALUE"""),44518.1142072453)</f>
        <v>44518.11421</v>
      </c>
      <c r="D8294" s="15">
        <f>IFERROR(__xludf.DUMMYFUNCTION("""COMPUTED_VALUE"""),1.078)</f>
        <v>1.078</v>
      </c>
      <c r="E8294" s="16">
        <f>IFERROR(__xludf.DUMMYFUNCTION("""COMPUTED_VALUE"""),69.0)</f>
        <v>69</v>
      </c>
      <c r="F8294" s="19" t="str">
        <f>IFERROR(__xludf.DUMMYFUNCTION("""COMPUTED_VALUE"""),"BLACK")</f>
        <v>BLACK</v>
      </c>
      <c r="G8294" s="20" t="str">
        <f>IFERROR(__xludf.DUMMYFUNCTION("""COMPUTED_VALUE"""),"Uncle Sams Cider (11/12/2021) 02")</f>
        <v>Uncle Sams Cider (11/12/2021) 02</v>
      </c>
      <c r="H8294" s="19"/>
    </row>
    <row r="8295">
      <c r="A8295" s="9"/>
      <c r="B8295" s="15"/>
      <c r="C8295" s="9">
        <f>IFERROR(__xludf.DUMMYFUNCTION("""COMPUTED_VALUE"""),44518.1037862731)</f>
        <v>44518.10379</v>
      </c>
      <c r="D8295" s="15">
        <f>IFERROR(__xludf.DUMMYFUNCTION("""COMPUTED_VALUE"""),1.078)</f>
        <v>1.078</v>
      </c>
      <c r="E8295" s="16">
        <f>IFERROR(__xludf.DUMMYFUNCTION("""COMPUTED_VALUE"""),69.0)</f>
        <v>69</v>
      </c>
      <c r="F8295" s="19" t="str">
        <f>IFERROR(__xludf.DUMMYFUNCTION("""COMPUTED_VALUE"""),"BLACK")</f>
        <v>BLACK</v>
      </c>
      <c r="G8295" s="20" t="str">
        <f>IFERROR(__xludf.DUMMYFUNCTION("""COMPUTED_VALUE"""),"Uncle Sams Cider (11/12/2021) 02")</f>
        <v>Uncle Sams Cider (11/12/2021) 02</v>
      </c>
      <c r="H8295" s="19"/>
    </row>
    <row r="8296">
      <c r="A8296" s="9"/>
      <c r="B8296" s="15"/>
      <c r="C8296" s="9">
        <f>IFERROR(__xludf.DUMMYFUNCTION("""COMPUTED_VALUE"""),44518.093365625)</f>
        <v>44518.09337</v>
      </c>
      <c r="D8296" s="15">
        <f>IFERROR(__xludf.DUMMYFUNCTION("""COMPUTED_VALUE"""),1.078)</f>
        <v>1.078</v>
      </c>
      <c r="E8296" s="16">
        <f>IFERROR(__xludf.DUMMYFUNCTION("""COMPUTED_VALUE"""),69.0)</f>
        <v>69</v>
      </c>
      <c r="F8296" s="19" t="str">
        <f>IFERROR(__xludf.DUMMYFUNCTION("""COMPUTED_VALUE"""),"BLACK")</f>
        <v>BLACK</v>
      </c>
      <c r="G8296" s="20" t="str">
        <f>IFERROR(__xludf.DUMMYFUNCTION("""COMPUTED_VALUE"""),"Uncle Sams Cider (11/12/2021) 02")</f>
        <v>Uncle Sams Cider (11/12/2021) 02</v>
      </c>
      <c r="H8296" s="19"/>
    </row>
    <row r="8297">
      <c r="A8297" s="9"/>
      <c r="B8297" s="15"/>
      <c r="C8297" s="9">
        <f>IFERROR(__xludf.DUMMYFUNCTION("""COMPUTED_VALUE"""),44518.08293228)</f>
        <v>44518.08293</v>
      </c>
      <c r="D8297" s="15">
        <f>IFERROR(__xludf.DUMMYFUNCTION("""COMPUTED_VALUE"""),1.078)</f>
        <v>1.078</v>
      </c>
      <c r="E8297" s="16">
        <f>IFERROR(__xludf.DUMMYFUNCTION("""COMPUTED_VALUE"""),69.0)</f>
        <v>69</v>
      </c>
      <c r="F8297" s="19" t="str">
        <f>IFERROR(__xludf.DUMMYFUNCTION("""COMPUTED_VALUE"""),"BLACK")</f>
        <v>BLACK</v>
      </c>
      <c r="G8297" s="20" t="str">
        <f>IFERROR(__xludf.DUMMYFUNCTION("""COMPUTED_VALUE"""),"Uncle Sams Cider (11/12/2021) 02")</f>
        <v>Uncle Sams Cider (11/12/2021) 02</v>
      </c>
      <c r="H8297" s="19"/>
    </row>
    <row r="8298">
      <c r="A8298" s="9"/>
      <c r="B8298" s="15"/>
      <c r="C8298" s="9">
        <f>IFERROR(__xludf.DUMMYFUNCTION("""COMPUTED_VALUE"""),44518.0724761805)</f>
        <v>44518.07248</v>
      </c>
      <c r="D8298" s="15">
        <f>IFERROR(__xludf.DUMMYFUNCTION("""COMPUTED_VALUE"""),1.078)</f>
        <v>1.078</v>
      </c>
      <c r="E8298" s="16">
        <f>IFERROR(__xludf.DUMMYFUNCTION("""COMPUTED_VALUE"""),69.0)</f>
        <v>69</v>
      </c>
      <c r="F8298" s="19" t="str">
        <f>IFERROR(__xludf.DUMMYFUNCTION("""COMPUTED_VALUE"""),"BLACK")</f>
        <v>BLACK</v>
      </c>
      <c r="G8298" s="20" t="str">
        <f>IFERROR(__xludf.DUMMYFUNCTION("""COMPUTED_VALUE"""),"Uncle Sams Cider (11/12/2021) 02")</f>
        <v>Uncle Sams Cider (11/12/2021) 02</v>
      </c>
      <c r="H8298" s="19"/>
    </row>
    <row r="8299">
      <c r="A8299" s="9"/>
      <c r="B8299" s="15"/>
      <c r="C8299" s="9">
        <f>IFERROR(__xludf.DUMMYFUNCTION("""COMPUTED_VALUE"""),44518.0620554166)</f>
        <v>44518.06206</v>
      </c>
      <c r="D8299" s="15">
        <f>IFERROR(__xludf.DUMMYFUNCTION("""COMPUTED_VALUE"""),1.078)</f>
        <v>1.078</v>
      </c>
      <c r="E8299" s="16">
        <f>IFERROR(__xludf.DUMMYFUNCTION("""COMPUTED_VALUE"""),69.0)</f>
        <v>69</v>
      </c>
      <c r="F8299" s="19" t="str">
        <f>IFERROR(__xludf.DUMMYFUNCTION("""COMPUTED_VALUE"""),"BLACK")</f>
        <v>BLACK</v>
      </c>
      <c r="G8299" s="20" t="str">
        <f>IFERROR(__xludf.DUMMYFUNCTION("""COMPUTED_VALUE"""),"Uncle Sams Cider (11/12/2021) 02")</f>
        <v>Uncle Sams Cider (11/12/2021) 02</v>
      </c>
      <c r="H8299" s="19"/>
    </row>
    <row r="8300">
      <c r="A8300" s="9"/>
      <c r="B8300" s="15"/>
      <c r="C8300" s="9">
        <f>IFERROR(__xludf.DUMMYFUNCTION("""COMPUTED_VALUE"""),44518.0516345254)</f>
        <v>44518.05163</v>
      </c>
      <c r="D8300" s="15">
        <f>IFERROR(__xludf.DUMMYFUNCTION("""COMPUTED_VALUE"""),1.078)</f>
        <v>1.078</v>
      </c>
      <c r="E8300" s="16">
        <f>IFERROR(__xludf.DUMMYFUNCTION("""COMPUTED_VALUE"""),69.0)</f>
        <v>69</v>
      </c>
      <c r="F8300" s="19" t="str">
        <f>IFERROR(__xludf.DUMMYFUNCTION("""COMPUTED_VALUE"""),"BLACK")</f>
        <v>BLACK</v>
      </c>
      <c r="G8300" s="20" t="str">
        <f>IFERROR(__xludf.DUMMYFUNCTION("""COMPUTED_VALUE"""),"Uncle Sams Cider (11/12/2021) 02")</f>
        <v>Uncle Sams Cider (11/12/2021) 02</v>
      </c>
      <c r="H8300" s="19"/>
    </row>
    <row r="8301">
      <c r="A8301" s="9"/>
      <c r="B8301" s="15"/>
      <c r="C8301" s="9">
        <f>IFERROR(__xludf.DUMMYFUNCTION("""COMPUTED_VALUE"""),44518.041213993)</f>
        <v>44518.04121</v>
      </c>
      <c r="D8301" s="15">
        <f>IFERROR(__xludf.DUMMYFUNCTION("""COMPUTED_VALUE"""),1.079)</f>
        <v>1.079</v>
      </c>
      <c r="E8301" s="16">
        <f>IFERROR(__xludf.DUMMYFUNCTION("""COMPUTED_VALUE"""),69.0)</f>
        <v>69</v>
      </c>
      <c r="F8301" s="19" t="str">
        <f>IFERROR(__xludf.DUMMYFUNCTION("""COMPUTED_VALUE"""),"BLACK")</f>
        <v>BLACK</v>
      </c>
      <c r="G8301" s="20" t="str">
        <f>IFERROR(__xludf.DUMMYFUNCTION("""COMPUTED_VALUE"""),"Uncle Sams Cider (11/12/2021) 02")</f>
        <v>Uncle Sams Cider (11/12/2021) 02</v>
      </c>
      <c r="H8301" s="19"/>
    </row>
    <row r="8302">
      <c r="A8302" s="9"/>
      <c r="B8302" s="15"/>
      <c r="C8302" s="9">
        <f>IFERROR(__xludf.DUMMYFUNCTION("""COMPUTED_VALUE"""),44518.0307928472)</f>
        <v>44518.03079</v>
      </c>
      <c r="D8302" s="15">
        <f>IFERROR(__xludf.DUMMYFUNCTION("""COMPUTED_VALUE"""),1.079)</f>
        <v>1.079</v>
      </c>
      <c r="E8302" s="16">
        <f>IFERROR(__xludf.DUMMYFUNCTION("""COMPUTED_VALUE"""),69.0)</f>
        <v>69</v>
      </c>
      <c r="F8302" s="19" t="str">
        <f>IFERROR(__xludf.DUMMYFUNCTION("""COMPUTED_VALUE"""),"BLACK")</f>
        <v>BLACK</v>
      </c>
      <c r="G8302" s="20" t="str">
        <f>IFERROR(__xludf.DUMMYFUNCTION("""COMPUTED_VALUE"""),"Uncle Sams Cider (11/12/2021) 02")</f>
        <v>Uncle Sams Cider (11/12/2021) 02</v>
      </c>
      <c r="H8302" s="19"/>
    </row>
    <row r="8303">
      <c r="A8303" s="9"/>
      <c r="B8303" s="15"/>
      <c r="C8303" s="9">
        <f>IFERROR(__xludf.DUMMYFUNCTION("""COMPUTED_VALUE"""),44518.020370324)</f>
        <v>44518.02037</v>
      </c>
      <c r="D8303" s="15">
        <f>IFERROR(__xludf.DUMMYFUNCTION("""COMPUTED_VALUE"""),1.079)</f>
        <v>1.079</v>
      </c>
      <c r="E8303" s="16">
        <f>IFERROR(__xludf.DUMMYFUNCTION("""COMPUTED_VALUE"""),69.0)</f>
        <v>69</v>
      </c>
      <c r="F8303" s="19" t="str">
        <f>IFERROR(__xludf.DUMMYFUNCTION("""COMPUTED_VALUE"""),"BLACK")</f>
        <v>BLACK</v>
      </c>
      <c r="G8303" s="20" t="str">
        <f>IFERROR(__xludf.DUMMYFUNCTION("""COMPUTED_VALUE"""),"Uncle Sams Cider (11/12/2021) 02")</f>
        <v>Uncle Sams Cider (11/12/2021) 02</v>
      </c>
      <c r="H8303" s="19"/>
    </row>
    <row r="8304">
      <c r="A8304" s="9"/>
      <c r="B8304" s="15"/>
      <c r="C8304" s="9">
        <f>IFERROR(__xludf.DUMMYFUNCTION("""COMPUTED_VALUE"""),44518.0099492013)</f>
        <v>44518.00995</v>
      </c>
      <c r="D8304" s="15">
        <f>IFERROR(__xludf.DUMMYFUNCTION("""COMPUTED_VALUE"""),1.079)</f>
        <v>1.079</v>
      </c>
      <c r="E8304" s="16">
        <f>IFERROR(__xludf.DUMMYFUNCTION("""COMPUTED_VALUE"""),69.0)</f>
        <v>69</v>
      </c>
      <c r="F8304" s="19" t="str">
        <f>IFERROR(__xludf.DUMMYFUNCTION("""COMPUTED_VALUE"""),"BLACK")</f>
        <v>BLACK</v>
      </c>
      <c r="G8304" s="20" t="str">
        <f>IFERROR(__xludf.DUMMYFUNCTION("""COMPUTED_VALUE"""),"Uncle Sams Cider (11/12/2021) 02")</f>
        <v>Uncle Sams Cider (11/12/2021) 02</v>
      </c>
      <c r="H8304" s="19"/>
    </row>
    <row r="8305">
      <c r="A8305" s="9"/>
      <c r="B8305" s="15"/>
      <c r="C8305" s="9">
        <f>IFERROR(__xludf.DUMMYFUNCTION("""COMPUTED_VALUE"""),44517.9995277777)</f>
        <v>44517.99953</v>
      </c>
      <c r="D8305" s="15">
        <f>IFERROR(__xludf.DUMMYFUNCTION("""COMPUTED_VALUE"""),1.079)</f>
        <v>1.079</v>
      </c>
      <c r="E8305" s="16">
        <f>IFERROR(__xludf.DUMMYFUNCTION("""COMPUTED_VALUE"""),69.0)</f>
        <v>69</v>
      </c>
      <c r="F8305" s="19" t="str">
        <f>IFERROR(__xludf.DUMMYFUNCTION("""COMPUTED_VALUE"""),"BLACK")</f>
        <v>BLACK</v>
      </c>
      <c r="G8305" s="20" t="str">
        <f>IFERROR(__xludf.DUMMYFUNCTION("""COMPUTED_VALUE"""),"Uncle Sams Cider (11/12/2021) 02")</f>
        <v>Uncle Sams Cider (11/12/2021) 02</v>
      </c>
      <c r="H8305" s="19"/>
    </row>
    <row r="8306">
      <c r="A8306" s="9"/>
      <c r="B8306" s="15"/>
      <c r="C8306" s="9">
        <f>IFERROR(__xludf.DUMMYFUNCTION("""COMPUTED_VALUE"""),44517.9891075578)</f>
        <v>44517.98911</v>
      </c>
      <c r="D8306" s="15">
        <f>IFERROR(__xludf.DUMMYFUNCTION("""COMPUTED_VALUE"""),1.079)</f>
        <v>1.079</v>
      </c>
      <c r="E8306" s="16">
        <f>IFERROR(__xludf.DUMMYFUNCTION("""COMPUTED_VALUE"""),69.0)</f>
        <v>69</v>
      </c>
      <c r="F8306" s="19" t="str">
        <f>IFERROR(__xludf.DUMMYFUNCTION("""COMPUTED_VALUE"""),"BLACK")</f>
        <v>BLACK</v>
      </c>
      <c r="G8306" s="20" t="str">
        <f>IFERROR(__xludf.DUMMYFUNCTION("""COMPUTED_VALUE"""),"Uncle Sams Cider (11/12/2021) 02")</f>
        <v>Uncle Sams Cider (11/12/2021) 02</v>
      </c>
      <c r="H8306" s="19"/>
    </row>
    <row r="8307">
      <c r="A8307" s="9"/>
      <c r="B8307" s="15"/>
      <c r="C8307" s="9">
        <f>IFERROR(__xludf.DUMMYFUNCTION("""COMPUTED_VALUE"""),44517.9786748842)</f>
        <v>44517.97867</v>
      </c>
      <c r="D8307" s="15">
        <f>IFERROR(__xludf.DUMMYFUNCTION("""COMPUTED_VALUE"""),1.079)</f>
        <v>1.079</v>
      </c>
      <c r="E8307" s="16">
        <f>IFERROR(__xludf.DUMMYFUNCTION("""COMPUTED_VALUE"""),69.0)</f>
        <v>69</v>
      </c>
      <c r="F8307" s="19" t="str">
        <f>IFERROR(__xludf.DUMMYFUNCTION("""COMPUTED_VALUE"""),"BLACK")</f>
        <v>BLACK</v>
      </c>
      <c r="G8307" s="20" t="str">
        <f>IFERROR(__xludf.DUMMYFUNCTION("""COMPUTED_VALUE"""),"Uncle Sams Cider (11/12/2021) 02")</f>
        <v>Uncle Sams Cider (11/12/2021) 02</v>
      </c>
      <c r="H8307" s="19"/>
    </row>
    <row r="8308">
      <c r="A8308" s="9"/>
      <c r="B8308" s="15"/>
      <c r="C8308" s="9">
        <f>IFERROR(__xludf.DUMMYFUNCTION("""COMPUTED_VALUE"""),44517.9682535532)</f>
        <v>44517.96825</v>
      </c>
      <c r="D8308" s="15">
        <f>IFERROR(__xludf.DUMMYFUNCTION("""COMPUTED_VALUE"""),1.079)</f>
        <v>1.079</v>
      </c>
      <c r="E8308" s="16">
        <f>IFERROR(__xludf.DUMMYFUNCTION("""COMPUTED_VALUE"""),69.0)</f>
        <v>69</v>
      </c>
      <c r="F8308" s="19" t="str">
        <f>IFERROR(__xludf.DUMMYFUNCTION("""COMPUTED_VALUE"""),"BLACK")</f>
        <v>BLACK</v>
      </c>
      <c r="G8308" s="20" t="str">
        <f>IFERROR(__xludf.DUMMYFUNCTION("""COMPUTED_VALUE"""),"Uncle Sams Cider (11/12/2021) 02")</f>
        <v>Uncle Sams Cider (11/12/2021) 02</v>
      </c>
      <c r="H8308" s="19"/>
    </row>
    <row r="8309">
      <c r="A8309" s="9"/>
      <c r="B8309" s="15"/>
      <c r="C8309" s="9">
        <f>IFERROR(__xludf.DUMMYFUNCTION("""COMPUTED_VALUE"""),44517.9578207638)</f>
        <v>44517.95782</v>
      </c>
      <c r="D8309" s="15">
        <f>IFERROR(__xludf.DUMMYFUNCTION("""COMPUTED_VALUE"""),1.079)</f>
        <v>1.079</v>
      </c>
      <c r="E8309" s="16">
        <f>IFERROR(__xludf.DUMMYFUNCTION("""COMPUTED_VALUE"""),69.0)</f>
        <v>69</v>
      </c>
      <c r="F8309" s="19" t="str">
        <f>IFERROR(__xludf.DUMMYFUNCTION("""COMPUTED_VALUE"""),"BLACK")</f>
        <v>BLACK</v>
      </c>
      <c r="G8309" s="20" t="str">
        <f>IFERROR(__xludf.DUMMYFUNCTION("""COMPUTED_VALUE"""),"Uncle Sams Cider (11/12/2021) 02")</f>
        <v>Uncle Sams Cider (11/12/2021) 02</v>
      </c>
      <c r="H8309" s="19"/>
    </row>
    <row r="8310">
      <c r="A8310" s="9"/>
      <c r="B8310" s="15"/>
      <c r="C8310" s="9">
        <f>IFERROR(__xludf.DUMMYFUNCTION("""COMPUTED_VALUE"""),44517.9473987037)</f>
        <v>44517.9474</v>
      </c>
      <c r="D8310" s="15">
        <f>IFERROR(__xludf.DUMMYFUNCTION("""COMPUTED_VALUE"""),1.079)</f>
        <v>1.079</v>
      </c>
      <c r="E8310" s="16">
        <f>IFERROR(__xludf.DUMMYFUNCTION("""COMPUTED_VALUE"""),69.0)</f>
        <v>69</v>
      </c>
      <c r="F8310" s="19" t="str">
        <f>IFERROR(__xludf.DUMMYFUNCTION("""COMPUTED_VALUE"""),"BLACK")</f>
        <v>BLACK</v>
      </c>
      <c r="G8310" s="20" t="str">
        <f>IFERROR(__xludf.DUMMYFUNCTION("""COMPUTED_VALUE"""),"Uncle Sams Cider (11/12/2021) 02")</f>
        <v>Uncle Sams Cider (11/12/2021) 02</v>
      </c>
      <c r="H8310" s="19"/>
    </row>
    <row r="8311">
      <c r="A8311" s="9"/>
      <c r="B8311" s="15"/>
      <c r="C8311" s="9">
        <f>IFERROR(__xludf.DUMMYFUNCTION("""COMPUTED_VALUE"""),44517.9369783912)</f>
        <v>44517.93698</v>
      </c>
      <c r="D8311" s="15">
        <f>IFERROR(__xludf.DUMMYFUNCTION("""COMPUTED_VALUE"""),1.08)</f>
        <v>1.08</v>
      </c>
      <c r="E8311" s="16">
        <f>IFERROR(__xludf.DUMMYFUNCTION("""COMPUTED_VALUE"""),69.0)</f>
        <v>69</v>
      </c>
      <c r="F8311" s="19" t="str">
        <f>IFERROR(__xludf.DUMMYFUNCTION("""COMPUTED_VALUE"""),"BLACK")</f>
        <v>BLACK</v>
      </c>
      <c r="G8311" s="20" t="str">
        <f>IFERROR(__xludf.DUMMYFUNCTION("""COMPUTED_VALUE"""),"Uncle Sams Cider (11/12/2021) 02")</f>
        <v>Uncle Sams Cider (11/12/2021) 02</v>
      </c>
      <c r="H8311" s="19"/>
    </row>
    <row r="8312">
      <c r="A8312" s="9"/>
      <c r="B8312" s="15"/>
      <c r="C8312" s="9">
        <f>IFERROR(__xludf.DUMMYFUNCTION("""COMPUTED_VALUE"""),44517.9265484027)</f>
        <v>44517.92655</v>
      </c>
      <c r="D8312" s="15">
        <f>IFERROR(__xludf.DUMMYFUNCTION("""COMPUTED_VALUE"""),1.079)</f>
        <v>1.079</v>
      </c>
      <c r="E8312" s="16">
        <f>IFERROR(__xludf.DUMMYFUNCTION("""COMPUTED_VALUE"""),69.0)</f>
        <v>69</v>
      </c>
      <c r="F8312" s="19" t="str">
        <f>IFERROR(__xludf.DUMMYFUNCTION("""COMPUTED_VALUE"""),"BLACK")</f>
        <v>BLACK</v>
      </c>
      <c r="G8312" s="20" t="str">
        <f>IFERROR(__xludf.DUMMYFUNCTION("""COMPUTED_VALUE"""),"Uncle Sams Cider (11/12/2021) 02")</f>
        <v>Uncle Sams Cider (11/12/2021) 02</v>
      </c>
      <c r="H8312" s="19"/>
    </row>
    <row r="8313">
      <c r="A8313" s="9"/>
      <c r="B8313" s="15"/>
      <c r="C8313" s="9">
        <f>IFERROR(__xludf.DUMMYFUNCTION("""COMPUTED_VALUE"""),44517.916128206)</f>
        <v>44517.91613</v>
      </c>
      <c r="D8313" s="15">
        <f>IFERROR(__xludf.DUMMYFUNCTION("""COMPUTED_VALUE"""),1.079)</f>
        <v>1.079</v>
      </c>
      <c r="E8313" s="16">
        <f>IFERROR(__xludf.DUMMYFUNCTION("""COMPUTED_VALUE"""),69.0)</f>
        <v>69</v>
      </c>
      <c r="F8313" s="19" t="str">
        <f>IFERROR(__xludf.DUMMYFUNCTION("""COMPUTED_VALUE"""),"BLACK")</f>
        <v>BLACK</v>
      </c>
      <c r="G8313" s="20" t="str">
        <f>IFERROR(__xludf.DUMMYFUNCTION("""COMPUTED_VALUE"""),"Uncle Sams Cider (11/12/2021) 02")</f>
        <v>Uncle Sams Cider (11/12/2021) 02</v>
      </c>
      <c r="H8313" s="19"/>
    </row>
    <row r="8314">
      <c r="A8314" s="9"/>
      <c r="B8314" s="15"/>
      <c r="C8314" s="9">
        <f>IFERROR(__xludf.DUMMYFUNCTION("""COMPUTED_VALUE"""),44517.9057067361)</f>
        <v>44517.90571</v>
      </c>
      <c r="D8314" s="15">
        <f>IFERROR(__xludf.DUMMYFUNCTION("""COMPUTED_VALUE"""),1.079)</f>
        <v>1.079</v>
      </c>
      <c r="E8314" s="16">
        <f>IFERROR(__xludf.DUMMYFUNCTION("""COMPUTED_VALUE"""),69.0)</f>
        <v>69</v>
      </c>
      <c r="F8314" s="19" t="str">
        <f>IFERROR(__xludf.DUMMYFUNCTION("""COMPUTED_VALUE"""),"BLACK")</f>
        <v>BLACK</v>
      </c>
      <c r="G8314" s="20" t="str">
        <f>IFERROR(__xludf.DUMMYFUNCTION("""COMPUTED_VALUE"""),"Uncle Sams Cider (11/12/2021) 02")</f>
        <v>Uncle Sams Cider (11/12/2021) 02</v>
      </c>
      <c r="H8314" s="19"/>
    </row>
    <row r="8315">
      <c r="A8315" s="9"/>
      <c r="B8315" s="15"/>
      <c r="C8315" s="9">
        <f>IFERROR(__xludf.DUMMYFUNCTION("""COMPUTED_VALUE"""),44517.8952876041)</f>
        <v>44517.89529</v>
      </c>
      <c r="D8315" s="15">
        <f>IFERROR(__xludf.DUMMYFUNCTION("""COMPUTED_VALUE"""),1.079)</f>
        <v>1.079</v>
      </c>
      <c r="E8315" s="16">
        <f>IFERROR(__xludf.DUMMYFUNCTION("""COMPUTED_VALUE"""),69.0)</f>
        <v>69</v>
      </c>
      <c r="F8315" s="19" t="str">
        <f>IFERROR(__xludf.DUMMYFUNCTION("""COMPUTED_VALUE"""),"BLACK")</f>
        <v>BLACK</v>
      </c>
      <c r="G8315" s="20" t="str">
        <f>IFERROR(__xludf.DUMMYFUNCTION("""COMPUTED_VALUE"""),"Uncle Sams Cider (11/12/2021) 02")</f>
        <v>Uncle Sams Cider (11/12/2021) 02</v>
      </c>
      <c r="H8315" s="19"/>
    </row>
    <row r="8316">
      <c r="A8316" s="9"/>
      <c r="B8316" s="15"/>
      <c r="C8316" s="9">
        <f>IFERROR(__xludf.DUMMYFUNCTION("""COMPUTED_VALUE"""),44517.884865868)</f>
        <v>44517.88487</v>
      </c>
      <c r="D8316" s="15">
        <f>IFERROR(__xludf.DUMMYFUNCTION("""COMPUTED_VALUE"""),1.08)</f>
        <v>1.08</v>
      </c>
      <c r="E8316" s="16">
        <f>IFERROR(__xludf.DUMMYFUNCTION("""COMPUTED_VALUE"""),69.0)</f>
        <v>69</v>
      </c>
      <c r="F8316" s="19" t="str">
        <f>IFERROR(__xludf.DUMMYFUNCTION("""COMPUTED_VALUE"""),"BLACK")</f>
        <v>BLACK</v>
      </c>
      <c r="G8316" s="20" t="str">
        <f>IFERROR(__xludf.DUMMYFUNCTION("""COMPUTED_VALUE"""),"Uncle Sams Cider (11/12/2021) 02")</f>
        <v>Uncle Sams Cider (11/12/2021) 02</v>
      </c>
      <c r="H8316" s="19"/>
    </row>
    <row r="8317">
      <c r="A8317" s="9"/>
      <c r="B8317" s="15"/>
      <c r="C8317" s="9">
        <f>IFERROR(__xludf.DUMMYFUNCTION("""COMPUTED_VALUE"""),44517.8744318287)</f>
        <v>44517.87443</v>
      </c>
      <c r="D8317" s="15">
        <f>IFERROR(__xludf.DUMMYFUNCTION("""COMPUTED_VALUE"""),1.079)</f>
        <v>1.079</v>
      </c>
      <c r="E8317" s="16">
        <f>IFERROR(__xludf.DUMMYFUNCTION("""COMPUTED_VALUE"""),69.0)</f>
        <v>69</v>
      </c>
      <c r="F8317" s="19" t="str">
        <f>IFERROR(__xludf.DUMMYFUNCTION("""COMPUTED_VALUE"""),"BLACK")</f>
        <v>BLACK</v>
      </c>
      <c r="G8317" s="20" t="str">
        <f>IFERROR(__xludf.DUMMYFUNCTION("""COMPUTED_VALUE"""),"Uncle Sams Cider (11/12/2021) 02")</f>
        <v>Uncle Sams Cider (11/12/2021) 02</v>
      </c>
      <c r="H8317" s="19"/>
    </row>
    <row r="8318">
      <c r="A8318" s="9"/>
      <c r="B8318" s="15"/>
      <c r="C8318" s="9">
        <f>IFERROR(__xludf.DUMMYFUNCTION("""COMPUTED_VALUE"""),44517.8639971875)</f>
        <v>44517.864</v>
      </c>
      <c r="D8318" s="15">
        <f>IFERROR(__xludf.DUMMYFUNCTION("""COMPUTED_VALUE"""),1.08)</f>
        <v>1.08</v>
      </c>
      <c r="E8318" s="16">
        <f>IFERROR(__xludf.DUMMYFUNCTION("""COMPUTED_VALUE"""),69.0)</f>
        <v>69</v>
      </c>
      <c r="F8318" s="19" t="str">
        <f>IFERROR(__xludf.DUMMYFUNCTION("""COMPUTED_VALUE"""),"BLACK")</f>
        <v>BLACK</v>
      </c>
      <c r="G8318" s="20" t="str">
        <f>IFERROR(__xludf.DUMMYFUNCTION("""COMPUTED_VALUE"""),"Uncle Sams Cider (11/12/2021) 02")</f>
        <v>Uncle Sams Cider (11/12/2021) 02</v>
      </c>
      <c r="H8318" s="19"/>
    </row>
    <row r="8319">
      <c r="A8319" s="9"/>
      <c r="B8319" s="15"/>
      <c r="C8319" s="9">
        <f>IFERROR(__xludf.DUMMYFUNCTION("""COMPUTED_VALUE"""),44517.8535777662)</f>
        <v>44517.85358</v>
      </c>
      <c r="D8319" s="15">
        <f>IFERROR(__xludf.DUMMYFUNCTION("""COMPUTED_VALUE"""),1.08)</f>
        <v>1.08</v>
      </c>
      <c r="E8319" s="16">
        <f>IFERROR(__xludf.DUMMYFUNCTION("""COMPUTED_VALUE"""),69.0)</f>
        <v>69</v>
      </c>
      <c r="F8319" s="19" t="str">
        <f>IFERROR(__xludf.DUMMYFUNCTION("""COMPUTED_VALUE"""),"BLACK")</f>
        <v>BLACK</v>
      </c>
      <c r="G8319" s="20" t="str">
        <f>IFERROR(__xludf.DUMMYFUNCTION("""COMPUTED_VALUE"""),"Uncle Sams Cider (11/12/2021) 02")</f>
        <v>Uncle Sams Cider (11/12/2021) 02</v>
      </c>
      <c r="H8319" s="19"/>
    </row>
    <row r="8320">
      <c r="A8320" s="9"/>
      <c r="B8320" s="15"/>
      <c r="C8320" s="9">
        <f>IFERROR(__xludf.DUMMYFUNCTION("""COMPUTED_VALUE"""),44517.8431577199)</f>
        <v>44517.84316</v>
      </c>
      <c r="D8320" s="15">
        <f>IFERROR(__xludf.DUMMYFUNCTION("""COMPUTED_VALUE"""),1.08)</f>
        <v>1.08</v>
      </c>
      <c r="E8320" s="16">
        <f>IFERROR(__xludf.DUMMYFUNCTION("""COMPUTED_VALUE"""),69.0)</f>
        <v>69</v>
      </c>
      <c r="F8320" s="19" t="str">
        <f>IFERROR(__xludf.DUMMYFUNCTION("""COMPUTED_VALUE"""),"BLACK")</f>
        <v>BLACK</v>
      </c>
      <c r="G8320" s="20" t="str">
        <f>IFERROR(__xludf.DUMMYFUNCTION("""COMPUTED_VALUE"""),"Uncle Sams Cider (11/12/2021) 02")</f>
        <v>Uncle Sams Cider (11/12/2021) 02</v>
      </c>
      <c r="H8320" s="19"/>
    </row>
    <row r="8321">
      <c r="A8321" s="9"/>
      <c r="B8321" s="15"/>
      <c r="C8321" s="9">
        <f>IFERROR(__xludf.DUMMYFUNCTION("""COMPUTED_VALUE"""),44517.8327366435)</f>
        <v>44517.83274</v>
      </c>
      <c r="D8321" s="15">
        <f>IFERROR(__xludf.DUMMYFUNCTION("""COMPUTED_VALUE"""),1.08)</f>
        <v>1.08</v>
      </c>
      <c r="E8321" s="16">
        <f>IFERROR(__xludf.DUMMYFUNCTION("""COMPUTED_VALUE"""),69.0)</f>
        <v>69</v>
      </c>
      <c r="F8321" s="19" t="str">
        <f>IFERROR(__xludf.DUMMYFUNCTION("""COMPUTED_VALUE"""),"BLACK")</f>
        <v>BLACK</v>
      </c>
      <c r="G8321" s="20" t="str">
        <f>IFERROR(__xludf.DUMMYFUNCTION("""COMPUTED_VALUE"""),"Uncle Sams Cider (11/12/2021) 02")</f>
        <v>Uncle Sams Cider (11/12/2021) 02</v>
      </c>
      <c r="H8321" s="19"/>
    </row>
    <row r="8322">
      <c r="A8322" s="9"/>
      <c r="B8322" s="15"/>
      <c r="C8322" s="9">
        <f>IFERROR(__xludf.DUMMYFUNCTION("""COMPUTED_VALUE"""),44517.8223147453)</f>
        <v>44517.82231</v>
      </c>
      <c r="D8322" s="15">
        <f>IFERROR(__xludf.DUMMYFUNCTION("""COMPUTED_VALUE"""),1.08)</f>
        <v>1.08</v>
      </c>
      <c r="E8322" s="16">
        <f>IFERROR(__xludf.DUMMYFUNCTION("""COMPUTED_VALUE"""),69.0)</f>
        <v>69</v>
      </c>
      <c r="F8322" s="19" t="str">
        <f>IFERROR(__xludf.DUMMYFUNCTION("""COMPUTED_VALUE"""),"BLACK")</f>
        <v>BLACK</v>
      </c>
      <c r="G8322" s="20" t="str">
        <f>IFERROR(__xludf.DUMMYFUNCTION("""COMPUTED_VALUE"""),"Uncle Sams Cider (11/12/2021) 02")</f>
        <v>Uncle Sams Cider (11/12/2021) 02</v>
      </c>
      <c r="H8322" s="19"/>
    </row>
    <row r="8323">
      <c r="A8323" s="9"/>
      <c r="B8323" s="15"/>
      <c r="C8323" s="9">
        <f>IFERROR(__xludf.DUMMYFUNCTION("""COMPUTED_VALUE"""),44517.8118946643)</f>
        <v>44517.81189</v>
      </c>
      <c r="D8323" s="15">
        <f>IFERROR(__xludf.DUMMYFUNCTION("""COMPUTED_VALUE"""),1.08)</f>
        <v>1.08</v>
      </c>
      <c r="E8323" s="16">
        <f>IFERROR(__xludf.DUMMYFUNCTION("""COMPUTED_VALUE"""),69.0)</f>
        <v>69</v>
      </c>
      <c r="F8323" s="19" t="str">
        <f>IFERROR(__xludf.DUMMYFUNCTION("""COMPUTED_VALUE"""),"BLACK")</f>
        <v>BLACK</v>
      </c>
      <c r="G8323" s="20" t="str">
        <f>IFERROR(__xludf.DUMMYFUNCTION("""COMPUTED_VALUE"""),"Uncle Sams Cider (11/12/2021) 02")</f>
        <v>Uncle Sams Cider (11/12/2021) 02</v>
      </c>
      <c r="H8323" s="19"/>
    </row>
    <row r="8324">
      <c r="A8324" s="9"/>
      <c r="B8324" s="15"/>
      <c r="C8324" s="9">
        <f>IFERROR(__xludf.DUMMYFUNCTION("""COMPUTED_VALUE"""),44517.8014734259)</f>
        <v>44517.80147</v>
      </c>
      <c r="D8324" s="15">
        <f>IFERROR(__xludf.DUMMYFUNCTION("""COMPUTED_VALUE"""),1.08)</f>
        <v>1.08</v>
      </c>
      <c r="E8324" s="16">
        <f>IFERROR(__xludf.DUMMYFUNCTION("""COMPUTED_VALUE"""),69.0)</f>
        <v>69</v>
      </c>
      <c r="F8324" s="19" t="str">
        <f>IFERROR(__xludf.DUMMYFUNCTION("""COMPUTED_VALUE"""),"BLACK")</f>
        <v>BLACK</v>
      </c>
      <c r="G8324" s="20" t="str">
        <f>IFERROR(__xludf.DUMMYFUNCTION("""COMPUTED_VALUE"""),"Uncle Sams Cider (11/12/2021) 02")</f>
        <v>Uncle Sams Cider (11/12/2021) 02</v>
      </c>
      <c r="H8324" s="19"/>
    </row>
    <row r="8325">
      <c r="A8325" s="9"/>
      <c r="B8325" s="15"/>
      <c r="C8325" s="9">
        <f>IFERROR(__xludf.DUMMYFUNCTION("""COMPUTED_VALUE"""),44517.7910529861)</f>
        <v>44517.79105</v>
      </c>
      <c r="D8325" s="15">
        <f>IFERROR(__xludf.DUMMYFUNCTION("""COMPUTED_VALUE"""),1.08)</f>
        <v>1.08</v>
      </c>
      <c r="E8325" s="16">
        <f>IFERROR(__xludf.DUMMYFUNCTION("""COMPUTED_VALUE"""),69.0)</f>
        <v>69</v>
      </c>
      <c r="F8325" s="19" t="str">
        <f>IFERROR(__xludf.DUMMYFUNCTION("""COMPUTED_VALUE"""),"BLACK")</f>
        <v>BLACK</v>
      </c>
      <c r="G8325" s="20" t="str">
        <f>IFERROR(__xludf.DUMMYFUNCTION("""COMPUTED_VALUE"""),"Uncle Sams Cider (11/12/2021) 02")</f>
        <v>Uncle Sams Cider (11/12/2021) 02</v>
      </c>
      <c r="H8325" s="19"/>
    </row>
    <row r="8326">
      <c r="A8326" s="9"/>
      <c r="B8326" s="15"/>
      <c r="C8326" s="9">
        <f>IFERROR(__xludf.DUMMYFUNCTION("""COMPUTED_VALUE"""),44517.7806210763)</f>
        <v>44517.78062</v>
      </c>
      <c r="D8326" s="15">
        <f>IFERROR(__xludf.DUMMYFUNCTION("""COMPUTED_VALUE"""),1.08)</f>
        <v>1.08</v>
      </c>
      <c r="E8326" s="16">
        <f>IFERROR(__xludf.DUMMYFUNCTION("""COMPUTED_VALUE"""),69.0)</f>
        <v>69</v>
      </c>
      <c r="F8326" s="19" t="str">
        <f>IFERROR(__xludf.DUMMYFUNCTION("""COMPUTED_VALUE"""),"BLACK")</f>
        <v>BLACK</v>
      </c>
      <c r="G8326" s="20" t="str">
        <f>IFERROR(__xludf.DUMMYFUNCTION("""COMPUTED_VALUE"""),"Uncle Sams Cider (11/12/2021) 02")</f>
        <v>Uncle Sams Cider (11/12/2021) 02</v>
      </c>
      <c r="H8326" s="19"/>
    </row>
    <row r="8327">
      <c r="A8327" s="9"/>
      <c r="B8327" s="15"/>
      <c r="C8327" s="9">
        <f>IFERROR(__xludf.DUMMYFUNCTION("""COMPUTED_VALUE"""),44517.7701875462)</f>
        <v>44517.77019</v>
      </c>
      <c r="D8327" s="15">
        <f>IFERROR(__xludf.DUMMYFUNCTION("""COMPUTED_VALUE"""),1.08)</f>
        <v>1.08</v>
      </c>
      <c r="E8327" s="16">
        <f>IFERROR(__xludf.DUMMYFUNCTION("""COMPUTED_VALUE"""),69.0)</f>
        <v>69</v>
      </c>
      <c r="F8327" s="19" t="str">
        <f>IFERROR(__xludf.DUMMYFUNCTION("""COMPUTED_VALUE"""),"BLACK")</f>
        <v>BLACK</v>
      </c>
      <c r="G8327" s="20" t="str">
        <f>IFERROR(__xludf.DUMMYFUNCTION("""COMPUTED_VALUE"""),"Uncle Sams Cider (11/12/2021) 02")</f>
        <v>Uncle Sams Cider (11/12/2021) 02</v>
      </c>
      <c r="H8327" s="19"/>
    </row>
    <row r="8328">
      <c r="A8328" s="9"/>
      <c r="B8328" s="15"/>
      <c r="C8328" s="9">
        <f>IFERROR(__xludf.DUMMYFUNCTION("""COMPUTED_VALUE"""),44517.759753125)</f>
        <v>44517.75975</v>
      </c>
      <c r="D8328" s="15">
        <f>IFERROR(__xludf.DUMMYFUNCTION("""COMPUTED_VALUE"""),1.081)</f>
        <v>1.081</v>
      </c>
      <c r="E8328" s="16">
        <f>IFERROR(__xludf.DUMMYFUNCTION("""COMPUTED_VALUE"""),69.0)</f>
        <v>69</v>
      </c>
      <c r="F8328" s="19" t="str">
        <f>IFERROR(__xludf.DUMMYFUNCTION("""COMPUTED_VALUE"""),"BLACK")</f>
        <v>BLACK</v>
      </c>
      <c r="G8328" s="20" t="str">
        <f>IFERROR(__xludf.DUMMYFUNCTION("""COMPUTED_VALUE"""),"Uncle Sams Cider (11/12/2021) 02")</f>
        <v>Uncle Sams Cider (11/12/2021) 02</v>
      </c>
      <c r="H8328" s="19"/>
    </row>
    <row r="8329">
      <c r="A8329" s="9"/>
      <c r="B8329" s="15"/>
      <c r="C8329" s="9">
        <f>IFERROR(__xludf.DUMMYFUNCTION("""COMPUTED_VALUE"""),44517.7493307754)</f>
        <v>44517.74933</v>
      </c>
      <c r="D8329" s="15">
        <f>IFERROR(__xludf.DUMMYFUNCTION("""COMPUTED_VALUE"""),1.081)</f>
        <v>1.081</v>
      </c>
      <c r="E8329" s="16">
        <f>IFERROR(__xludf.DUMMYFUNCTION("""COMPUTED_VALUE"""),69.0)</f>
        <v>69</v>
      </c>
      <c r="F8329" s="19" t="str">
        <f>IFERROR(__xludf.DUMMYFUNCTION("""COMPUTED_VALUE"""),"BLACK")</f>
        <v>BLACK</v>
      </c>
      <c r="G8329" s="20" t="str">
        <f>IFERROR(__xludf.DUMMYFUNCTION("""COMPUTED_VALUE"""),"Uncle Sams Cider (11/12/2021) 02")</f>
        <v>Uncle Sams Cider (11/12/2021) 02</v>
      </c>
      <c r="H8329" s="19"/>
    </row>
    <row r="8330">
      <c r="A8330" s="9"/>
      <c r="B8330" s="15"/>
      <c r="C8330" s="9">
        <f>IFERROR(__xludf.DUMMYFUNCTION("""COMPUTED_VALUE"""),44517.7388988194)</f>
        <v>44517.7389</v>
      </c>
      <c r="D8330" s="15">
        <f>IFERROR(__xludf.DUMMYFUNCTION("""COMPUTED_VALUE"""),1.08)</f>
        <v>1.08</v>
      </c>
      <c r="E8330" s="16">
        <f>IFERROR(__xludf.DUMMYFUNCTION("""COMPUTED_VALUE"""),69.0)</f>
        <v>69</v>
      </c>
      <c r="F8330" s="19" t="str">
        <f>IFERROR(__xludf.DUMMYFUNCTION("""COMPUTED_VALUE"""),"BLACK")</f>
        <v>BLACK</v>
      </c>
      <c r="G8330" s="20" t="str">
        <f>IFERROR(__xludf.DUMMYFUNCTION("""COMPUTED_VALUE"""),"Uncle Sams Cider (11/12/2021) 02")</f>
        <v>Uncle Sams Cider (11/12/2021) 02</v>
      </c>
      <c r="H8330" s="19"/>
    </row>
    <row r="8331">
      <c r="A8331" s="9"/>
      <c r="B8331" s="15"/>
      <c r="C8331" s="9">
        <f>IFERROR(__xludf.DUMMYFUNCTION("""COMPUTED_VALUE"""),44517.7284769907)</f>
        <v>44517.72848</v>
      </c>
      <c r="D8331" s="15">
        <f>IFERROR(__xludf.DUMMYFUNCTION("""COMPUTED_VALUE"""),1.081)</f>
        <v>1.081</v>
      </c>
      <c r="E8331" s="16">
        <f>IFERROR(__xludf.DUMMYFUNCTION("""COMPUTED_VALUE"""),69.0)</f>
        <v>69</v>
      </c>
      <c r="F8331" s="19" t="str">
        <f>IFERROR(__xludf.DUMMYFUNCTION("""COMPUTED_VALUE"""),"BLACK")</f>
        <v>BLACK</v>
      </c>
      <c r="G8331" s="20" t="str">
        <f>IFERROR(__xludf.DUMMYFUNCTION("""COMPUTED_VALUE"""),"Uncle Sams Cider (11/12/2021) 02")</f>
        <v>Uncle Sams Cider (11/12/2021) 02</v>
      </c>
      <c r="H8331" s="19"/>
    </row>
    <row r="8332">
      <c r="A8332" s="9"/>
      <c r="B8332" s="15"/>
      <c r="C8332" s="9">
        <f>IFERROR(__xludf.DUMMYFUNCTION("""COMPUTED_VALUE"""),44517.7180431018)</f>
        <v>44517.71804</v>
      </c>
      <c r="D8332" s="15">
        <f>IFERROR(__xludf.DUMMYFUNCTION("""COMPUTED_VALUE"""),1.081)</f>
        <v>1.081</v>
      </c>
      <c r="E8332" s="16">
        <f>IFERROR(__xludf.DUMMYFUNCTION("""COMPUTED_VALUE"""),69.0)</f>
        <v>69</v>
      </c>
      <c r="F8332" s="19" t="str">
        <f>IFERROR(__xludf.DUMMYFUNCTION("""COMPUTED_VALUE"""),"BLACK")</f>
        <v>BLACK</v>
      </c>
      <c r="G8332" s="20" t="str">
        <f>IFERROR(__xludf.DUMMYFUNCTION("""COMPUTED_VALUE"""),"Uncle Sams Cider (11/12/2021) 02")</f>
        <v>Uncle Sams Cider (11/12/2021) 02</v>
      </c>
      <c r="H8332" s="19"/>
    </row>
    <row r="8333">
      <c r="A8333" s="9"/>
      <c r="B8333" s="15"/>
      <c r="C8333" s="9">
        <f>IFERROR(__xludf.DUMMYFUNCTION("""COMPUTED_VALUE"""),44517.707622743)</f>
        <v>44517.70762</v>
      </c>
      <c r="D8333" s="15">
        <f>IFERROR(__xludf.DUMMYFUNCTION("""COMPUTED_VALUE"""),1.081)</f>
        <v>1.081</v>
      </c>
      <c r="E8333" s="16">
        <f>IFERROR(__xludf.DUMMYFUNCTION("""COMPUTED_VALUE"""),69.0)</f>
        <v>69</v>
      </c>
      <c r="F8333" s="19" t="str">
        <f>IFERROR(__xludf.DUMMYFUNCTION("""COMPUTED_VALUE"""),"BLACK")</f>
        <v>BLACK</v>
      </c>
      <c r="G8333" s="20" t="str">
        <f>IFERROR(__xludf.DUMMYFUNCTION("""COMPUTED_VALUE"""),"Uncle Sams Cider (11/12/2021) 02")</f>
        <v>Uncle Sams Cider (11/12/2021) 02</v>
      </c>
      <c r="H8333" s="19"/>
    </row>
    <row r="8334">
      <c r="A8334" s="9"/>
      <c r="B8334" s="15"/>
      <c r="C8334" s="9">
        <f>IFERROR(__xludf.DUMMYFUNCTION("""COMPUTED_VALUE"""),44517.6972020601)</f>
        <v>44517.6972</v>
      </c>
      <c r="D8334" s="15">
        <f>IFERROR(__xludf.DUMMYFUNCTION("""COMPUTED_VALUE"""),1.081)</f>
        <v>1.081</v>
      </c>
      <c r="E8334" s="16">
        <f>IFERROR(__xludf.DUMMYFUNCTION("""COMPUTED_VALUE"""),69.0)</f>
        <v>69</v>
      </c>
      <c r="F8334" s="19" t="str">
        <f>IFERROR(__xludf.DUMMYFUNCTION("""COMPUTED_VALUE"""),"BLACK")</f>
        <v>BLACK</v>
      </c>
      <c r="G8334" s="20" t="str">
        <f>IFERROR(__xludf.DUMMYFUNCTION("""COMPUTED_VALUE"""),"Uncle Sams Cider (11/12/2021) 02")</f>
        <v>Uncle Sams Cider (11/12/2021) 02</v>
      </c>
      <c r="H8334" s="19"/>
    </row>
    <row r="8335">
      <c r="A8335" s="9"/>
      <c r="B8335" s="15"/>
      <c r="C8335" s="9">
        <f>IFERROR(__xludf.DUMMYFUNCTION("""COMPUTED_VALUE"""),44517.6867803125)</f>
        <v>44517.68678</v>
      </c>
      <c r="D8335" s="15">
        <f>IFERROR(__xludf.DUMMYFUNCTION("""COMPUTED_VALUE"""),1.081)</f>
        <v>1.081</v>
      </c>
      <c r="E8335" s="16">
        <f>IFERROR(__xludf.DUMMYFUNCTION("""COMPUTED_VALUE"""),69.0)</f>
        <v>69</v>
      </c>
      <c r="F8335" s="19" t="str">
        <f>IFERROR(__xludf.DUMMYFUNCTION("""COMPUTED_VALUE"""),"BLACK")</f>
        <v>BLACK</v>
      </c>
      <c r="G8335" s="20" t="str">
        <f>IFERROR(__xludf.DUMMYFUNCTION("""COMPUTED_VALUE"""),"Uncle Sams Cider (11/12/2021) 02")</f>
        <v>Uncle Sams Cider (11/12/2021) 02</v>
      </c>
      <c r="H8335" s="19"/>
    </row>
    <row r="8336">
      <c r="A8336" s="9"/>
      <c r="B8336" s="15"/>
      <c r="C8336" s="9">
        <f>IFERROR(__xludf.DUMMYFUNCTION("""COMPUTED_VALUE"""),44517.6763579398)</f>
        <v>44517.67636</v>
      </c>
      <c r="D8336" s="15">
        <f>IFERROR(__xludf.DUMMYFUNCTION("""COMPUTED_VALUE"""),1.081)</f>
        <v>1.081</v>
      </c>
      <c r="E8336" s="16">
        <f>IFERROR(__xludf.DUMMYFUNCTION("""COMPUTED_VALUE"""),69.0)</f>
        <v>69</v>
      </c>
      <c r="F8336" s="19" t="str">
        <f>IFERROR(__xludf.DUMMYFUNCTION("""COMPUTED_VALUE"""),"BLACK")</f>
        <v>BLACK</v>
      </c>
      <c r="G8336" s="20" t="str">
        <f>IFERROR(__xludf.DUMMYFUNCTION("""COMPUTED_VALUE"""),"Uncle Sams Cider (11/12/2021) 02")</f>
        <v>Uncle Sams Cider (11/12/2021) 02</v>
      </c>
      <c r="H8336" s="19"/>
    </row>
    <row r="8337">
      <c r="A8337" s="9"/>
      <c r="B8337" s="15"/>
      <c r="C8337" s="9">
        <f>IFERROR(__xludf.DUMMYFUNCTION("""COMPUTED_VALUE"""),44517.6659365509)</f>
        <v>44517.66594</v>
      </c>
      <c r="D8337" s="15">
        <f>IFERROR(__xludf.DUMMYFUNCTION("""COMPUTED_VALUE"""),1.081)</f>
        <v>1.081</v>
      </c>
      <c r="E8337" s="16">
        <f>IFERROR(__xludf.DUMMYFUNCTION("""COMPUTED_VALUE"""),69.0)</f>
        <v>69</v>
      </c>
      <c r="F8337" s="19" t="str">
        <f>IFERROR(__xludf.DUMMYFUNCTION("""COMPUTED_VALUE"""),"BLACK")</f>
        <v>BLACK</v>
      </c>
      <c r="G8337" s="20" t="str">
        <f>IFERROR(__xludf.DUMMYFUNCTION("""COMPUTED_VALUE"""),"Uncle Sams Cider (11/12/2021) 02")</f>
        <v>Uncle Sams Cider (11/12/2021) 02</v>
      </c>
      <c r="H8337" s="19"/>
    </row>
    <row r="8338">
      <c r="A8338" s="9"/>
      <c r="B8338" s="15"/>
      <c r="C8338" s="9">
        <f>IFERROR(__xludf.DUMMYFUNCTION("""COMPUTED_VALUE"""),44517.655514456)</f>
        <v>44517.65551</v>
      </c>
      <c r="D8338" s="15">
        <f>IFERROR(__xludf.DUMMYFUNCTION("""COMPUTED_VALUE"""),1.081)</f>
        <v>1.081</v>
      </c>
      <c r="E8338" s="16">
        <f>IFERROR(__xludf.DUMMYFUNCTION("""COMPUTED_VALUE"""),69.0)</f>
        <v>69</v>
      </c>
      <c r="F8338" s="19" t="str">
        <f>IFERROR(__xludf.DUMMYFUNCTION("""COMPUTED_VALUE"""),"BLACK")</f>
        <v>BLACK</v>
      </c>
      <c r="G8338" s="20" t="str">
        <f>IFERROR(__xludf.DUMMYFUNCTION("""COMPUTED_VALUE"""),"Uncle Sams Cider (11/12/2021) 02")</f>
        <v>Uncle Sams Cider (11/12/2021) 02</v>
      </c>
      <c r="H8338" s="19"/>
    </row>
    <row r="8339">
      <c r="A8339" s="9"/>
      <c r="B8339" s="15"/>
      <c r="C8339" s="9">
        <f>IFERROR(__xludf.DUMMYFUNCTION("""COMPUTED_VALUE"""),44517.6450938773)</f>
        <v>44517.64509</v>
      </c>
      <c r="D8339" s="15">
        <f>IFERROR(__xludf.DUMMYFUNCTION("""COMPUTED_VALUE"""),1.081)</f>
        <v>1.081</v>
      </c>
      <c r="E8339" s="16">
        <f>IFERROR(__xludf.DUMMYFUNCTION("""COMPUTED_VALUE"""),69.0)</f>
        <v>69</v>
      </c>
      <c r="F8339" s="19" t="str">
        <f>IFERROR(__xludf.DUMMYFUNCTION("""COMPUTED_VALUE"""),"BLACK")</f>
        <v>BLACK</v>
      </c>
      <c r="G8339" s="20" t="str">
        <f>IFERROR(__xludf.DUMMYFUNCTION("""COMPUTED_VALUE"""),"Uncle Sams Cider (11/12/2021) 02")</f>
        <v>Uncle Sams Cider (11/12/2021) 02</v>
      </c>
      <c r="H8339" s="19"/>
    </row>
    <row r="8340">
      <c r="A8340" s="9"/>
      <c r="B8340" s="15"/>
      <c r="C8340" s="9">
        <f>IFERROR(__xludf.DUMMYFUNCTION("""COMPUTED_VALUE"""),44517.6346718287)</f>
        <v>44517.63467</v>
      </c>
      <c r="D8340" s="15">
        <f>IFERROR(__xludf.DUMMYFUNCTION("""COMPUTED_VALUE"""),1.081)</f>
        <v>1.081</v>
      </c>
      <c r="E8340" s="16">
        <f>IFERROR(__xludf.DUMMYFUNCTION("""COMPUTED_VALUE"""),69.0)</f>
        <v>69</v>
      </c>
      <c r="F8340" s="19" t="str">
        <f>IFERROR(__xludf.DUMMYFUNCTION("""COMPUTED_VALUE"""),"BLACK")</f>
        <v>BLACK</v>
      </c>
      <c r="G8340" s="20" t="str">
        <f>IFERROR(__xludf.DUMMYFUNCTION("""COMPUTED_VALUE"""),"Uncle Sams Cider (11/12/2021) 02")</f>
        <v>Uncle Sams Cider (11/12/2021) 02</v>
      </c>
      <c r="H8340" s="19"/>
    </row>
    <row r="8341">
      <c r="A8341" s="9"/>
      <c r="B8341" s="15"/>
      <c r="C8341" s="9">
        <f>IFERROR(__xludf.DUMMYFUNCTION("""COMPUTED_VALUE"""),44517.6242495601)</f>
        <v>44517.62425</v>
      </c>
      <c r="D8341" s="15">
        <f>IFERROR(__xludf.DUMMYFUNCTION("""COMPUTED_VALUE"""),1.081)</f>
        <v>1.081</v>
      </c>
      <c r="E8341" s="16">
        <f>IFERROR(__xludf.DUMMYFUNCTION("""COMPUTED_VALUE"""),69.0)</f>
        <v>69</v>
      </c>
      <c r="F8341" s="19" t="str">
        <f>IFERROR(__xludf.DUMMYFUNCTION("""COMPUTED_VALUE"""),"BLACK")</f>
        <v>BLACK</v>
      </c>
      <c r="G8341" s="20" t="str">
        <f>IFERROR(__xludf.DUMMYFUNCTION("""COMPUTED_VALUE"""),"Uncle Sams Cider (11/12/2021) 02")</f>
        <v>Uncle Sams Cider (11/12/2021) 02</v>
      </c>
      <c r="H8341" s="19"/>
    </row>
    <row r="8342">
      <c r="A8342" s="9"/>
      <c r="B8342" s="15"/>
      <c r="C8342" s="9">
        <f>IFERROR(__xludf.DUMMYFUNCTION("""COMPUTED_VALUE"""),44517.6138291319)</f>
        <v>44517.61383</v>
      </c>
      <c r="D8342" s="15">
        <f>IFERROR(__xludf.DUMMYFUNCTION("""COMPUTED_VALUE"""),1.081)</f>
        <v>1.081</v>
      </c>
      <c r="E8342" s="16">
        <f>IFERROR(__xludf.DUMMYFUNCTION("""COMPUTED_VALUE"""),69.0)</f>
        <v>69</v>
      </c>
      <c r="F8342" s="19" t="str">
        <f>IFERROR(__xludf.DUMMYFUNCTION("""COMPUTED_VALUE"""),"BLACK")</f>
        <v>BLACK</v>
      </c>
      <c r="G8342" s="20" t="str">
        <f>IFERROR(__xludf.DUMMYFUNCTION("""COMPUTED_VALUE"""),"Uncle Sams Cider (11/12/2021) 02")</f>
        <v>Uncle Sams Cider (11/12/2021) 02</v>
      </c>
      <c r="H8342" s="19"/>
    </row>
    <row r="8343">
      <c r="A8343" s="9"/>
      <c r="B8343" s="15"/>
      <c r="C8343" s="9">
        <f>IFERROR(__xludf.DUMMYFUNCTION("""COMPUTED_VALUE"""),44517.6033973263)</f>
        <v>44517.6034</v>
      </c>
      <c r="D8343" s="15">
        <f>IFERROR(__xludf.DUMMYFUNCTION("""COMPUTED_VALUE"""),1.081)</f>
        <v>1.081</v>
      </c>
      <c r="E8343" s="16">
        <f>IFERROR(__xludf.DUMMYFUNCTION("""COMPUTED_VALUE"""),69.0)</f>
        <v>69</v>
      </c>
      <c r="F8343" s="19" t="str">
        <f>IFERROR(__xludf.DUMMYFUNCTION("""COMPUTED_VALUE"""),"BLACK")</f>
        <v>BLACK</v>
      </c>
      <c r="G8343" s="20" t="str">
        <f>IFERROR(__xludf.DUMMYFUNCTION("""COMPUTED_VALUE"""),"Uncle Sams Cider (11/12/2021) 02")</f>
        <v>Uncle Sams Cider (11/12/2021) 02</v>
      </c>
      <c r="H8343" s="19"/>
    </row>
    <row r="8344">
      <c r="A8344" s="9"/>
      <c r="B8344" s="15"/>
      <c r="C8344" s="9">
        <f>IFERROR(__xludf.DUMMYFUNCTION("""COMPUTED_VALUE"""),44517.5929640972)</f>
        <v>44517.59296</v>
      </c>
      <c r="D8344" s="15">
        <f>IFERROR(__xludf.DUMMYFUNCTION("""COMPUTED_VALUE"""),1.081)</f>
        <v>1.081</v>
      </c>
      <c r="E8344" s="16">
        <f>IFERROR(__xludf.DUMMYFUNCTION("""COMPUTED_VALUE"""),69.0)</f>
        <v>69</v>
      </c>
      <c r="F8344" s="19" t="str">
        <f>IFERROR(__xludf.DUMMYFUNCTION("""COMPUTED_VALUE"""),"BLACK")</f>
        <v>BLACK</v>
      </c>
      <c r="G8344" s="20" t="str">
        <f>IFERROR(__xludf.DUMMYFUNCTION("""COMPUTED_VALUE"""),"Uncle Sams Cider (11/12/2021) 02")</f>
        <v>Uncle Sams Cider (11/12/2021) 02</v>
      </c>
      <c r="H8344" s="19"/>
    </row>
    <row r="8345">
      <c r="A8345" s="9"/>
      <c r="B8345" s="15"/>
      <c r="C8345" s="9">
        <f>IFERROR(__xludf.DUMMYFUNCTION("""COMPUTED_VALUE"""),44517.5825435995)</f>
        <v>44517.58254</v>
      </c>
      <c r="D8345" s="15">
        <f>IFERROR(__xludf.DUMMYFUNCTION("""COMPUTED_VALUE"""),1.082)</f>
        <v>1.082</v>
      </c>
      <c r="E8345" s="16">
        <f>IFERROR(__xludf.DUMMYFUNCTION("""COMPUTED_VALUE"""),69.0)</f>
        <v>69</v>
      </c>
      <c r="F8345" s="19" t="str">
        <f>IFERROR(__xludf.DUMMYFUNCTION("""COMPUTED_VALUE"""),"BLACK")</f>
        <v>BLACK</v>
      </c>
      <c r="G8345" s="20" t="str">
        <f>IFERROR(__xludf.DUMMYFUNCTION("""COMPUTED_VALUE"""),"Uncle Sams Cider (11/12/2021) 02")</f>
        <v>Uncle Sams Cider (11/12/2021) 02</v>
      </c>
      <c r="H8345" s="19"/>
    </row>
    <row r="8346">
      <c r="A8346" s="9"/>
      <c r="B8346" s="15"/>
      <c r="C8346" s="9">
        <f>IFERROR(__xludf.DUMMYFUNCTION("""COMPUTED_VALUE"""),44517.5721217939)</f>
        <v>44517.57212</v>
      </c>
      <c r="D8346" s="15">
        <f>IFERROR(__xludf.DUMMYFUNCTION("""COMPUTED_VALUE"""),1.081)</f>
        <v>1.081</v>
      </c>
      <c r="E8346" s="16">
        <f>IFERROR(__xludf.DUMMYFUNCTION("""COMPUTED_VALUE"""),69.0)</f>
        <v>69</v>
      </c>
      <c r="F8346" s="19" t="str">
        <f>IFERROR(__xludf.DUMMYFUNCTION("""COMPUTED_VALUE"""),"BLACK")</f>
        <v>BLACK</v>
      </c>
      <c r="G8346" s="20" t="str">
        <f>IFERROR(__xludf.DUMMYFUNCTION("""COMPUTED_VALUE"""),"Uncle Sams Cider (11/12/2021) 02")</f>
        <v>Uncle Sams Cider (11/12/2021) 02</v>
      </c>
      <c r="H8346" s="19"/>
    </row>
    <row r="8347">
      <c r="A8347" s="9"/>
      <c r="B8347" s="15"/>
      <c r="C8347" s="9">
        <f>IFERROR(__xludf.DUMMYFUNCTION("""COMPUTED_VALUE"""),44517.5617012963)</f>
        <v>44517.5617</v>
      </c>
      <c r="D8347" s="15">
        <f>IFERROR(__xludf.DUMMYFUNCTION("""COMPUTED_VALUE"""),1.082)</f>
        <v>1.082</v>
      </c>
      <c r="E8347" s="16">
        <f>IFERROR(__xludf.DUMMYFUNCTION("""COMPUTED_VALUE"""),69.0)</f>
        <v>69</v>
      </c>
      <c r="F8347" s="19" t="str">
        <f>IFERROR(__xludf.DUMMYFUNCTION("""COMPUTED_VALUE"""),"BLACK")</f>
        <v>BLACK</v>
      </c>
      <c r="G8347" s="20" t="str">
        <f>IFERROR(__xludf.DUMMYFUNCTION("""COMPUTED_VALUE"""),"Uncle Sams Cider (11/12/2021) 02")</f>
        <v>Uncle Sams Cider (11/12/2021) 02</v>
      </c>
      <c r="H8347" s="19"/>
    </row>
    <row r="8348">
      <c r="A8348" s="9"/>
      <c r="B8348" s="15"/>
      <c r="C8348" s="9">
        <f>IFERROR(__xludf.DUMMYFUNCTION("""COMPUTED_VALUE"""),44517.5512810532)</f>
        <v>44517.55128</v>
      </c>
      <c r="D8348" s="15">
        <f>IFERROR(__xludf.DUMMYFUNCTION("""COMPUTED_VALUE"""),1.082)</f>
        <v>1.082</v>
      </c>
      <c r="E8348" s="16">
        <f>IFERROR(__xludf.DUMMYFUNCTION("""COMPUTED_VALUE"""),69.0)</f>
        <v>69</v>
      </c>
      <c r="F8348" s="19" t="str">
        <f>IFERROR(__xludf.DUMMYFUNCTION("""COMPUTED_VALUE"""),"BLACK")</f>
        <v>BLACK</v>
      </c>
      <c r="G8348" s="20" t="str">
        <f>IFERROR(__xludf.DUMMYFUNCTION("""COMPUTED_VALUE"""),"Uncle Sams Cider (11/12/2021) 02")</f>
        <v>Uncle Sams Cider (11/12/2021) 02</v>
      </c>
      <c r="H8348" s="19"/>
    </row>
    <row r="8349">
      <c r="A8349" s="9"/>
      <c r="B8349" s="15"/>
      <c r="C8349" s="9">
        <f>IFERROR(__xludf.DUMMYFUNCTION("""COMPUTED_VALUE"""),44517.5408469791)</f>
        <v>44517.54085</v>
      </c>
      <c r="D8349" s="15">
        <f>IFERROR(__xludf.DUMMYFUNCTION("""COMPUTED_VALUE"""),1.082)</f>
        <v>1.082</v>
      </c>
      <c r="E8349" s="16">
        <f>IFERROR(__xludf.DUMMYFUNCTION("""COMPUTED_VALUE"""),69.0)</f>
        <v>69</v>
      </c>
      <c r="F8349" s="19" t="str">
        <f>IFERROR(__xludf.DUMMYFUNCTION("""COMPUTED_VALUE"""),"BLACK")</f>
        <v>BLACK</v>
      </c>
      <c r="G8349" s="20" t="str">
        <f>IFERROR(__xludf.DUMMYFUNCTION("""COMPUTED_VALUE"""),"Uncle Sams Cider (11/12/2021) 02")</f>
        <v>Uncle Sams Cider (11/12/2021) 02</v>
      </c>
      <c r="H8349" s="19"/>
    </row>
    <row r="8350">
      <c r="A8350" s="9"/>
      <c r="B8350" s="15"/>
      <c r="C8350" s="9">
        <f>IFERROR(__xludf.DUMMYFUNCTION("""COMPUTED_VALUE"""),44517.5304255787)</f>
        <v>44517.53043</v>
      </c>
      <c r="D8350" s="15">
        <f>IFERROR(__xludf.DUMMYFUNCTION("""COMPUTED_VALUE"""),1.082)</f>
        <v>1.082</v>
      </c>
      <c r="E8350" s="16">
        <f>IFERROR(__xludf.DUMMYFUNCTION("""COMPUTED_VALUE"""),69.0)</f>
        <v>69</v>
      </c>
      <c r="F8350" s="19" t="str">
        <f>IFERROR(__xludf.DUMMYFUNCTION("""COMPUTED_VALUE"""),"BLACK")</f>
        <v>BLACK</v>
      </c>
      <c r="G8350" s="20" t="str">
        <f>IFERROR(__xludf.DUMMYFUNCTION("""COMPUTED_VALUE"""),"Uncle Sams Cider (11/12/2021) 02")</f>
        <v>Uncle Sams Cider (11/12/2021) 02</v>
      </c>
      <c r="H8350" s="19"/>
    </row>
    <row r="8351">
      <c r="A8351" s="9"/>
      <c r="B8351" s="15"/>
      <c r="C8351" s="9">
        <f>IFERROR(__xludf.DUMMYFUNCTION("""COMPUTED_VALUE"""),44517.5200040625)</f>
        <v>44517.52</v>
      </c>
      <c r="D8351" s="15">
        <f>IFERROR(__xludf.DUMMYFUNCTION("""COMPUTED_VALUE"""),1.082)</f>
        <v>1.082</v>
      </c>
      <c r="E8351" s="16">
        <f>IFERROR(__xludf.DUMMYFUNCTION("""COMPUTED_VALUE"""),69.0)</f>
        <v>69</v>
      </c>
      <c r="F8351" s="19" t="str">
        <f>IFERROR(__xludf.DUMMYFUNCTION("""COMPUTED_VALUE"""),"BLACK")</f>
        <v>BLACK</v>
      </c>
      <c r="G8351" s="20" t="str">
        <f>IFERROR(__xludf.DUMMYFUNCTION("""COMPUTED_VALUE"""),"Uncle Sams Cider (11/12/2021) 02")</f>
        <v>Uncle Sams Cider (11/12/2021) 02</v>
      </c>
      <c r="H8351" s="19"/>
    </row>
    <row r="8352">
      <c r="A8352" s="9"/>
      <c r="B8352" s="15"/>
      <c r="C8352" s="9">
        <f>IFERROR(__xludf.DUMMYFUNCTION("""COMPUTED_VALUE"""),44517.5095806828)</f>
        <v>44517.50958</v>
      </c>
      <c r="D8352" s="15">
        <f>IFERROR(__xludf.DUMMYFUNCTION("""COMPUTED_VALUE"""),1.082)</f>
        <v>1.082</v>
      </c>
      <c r="E8352" s="16">
        <f>IFERROR(__xludf.DUMMYFUNCTION("""COMPUTED_VALUE"""),69.0)</f>
        <v>69</v>
      </c>
      <c r="F8352" s="19" t="str">
        <f>IFERROR(__xludf.DUMMYFUNCTION("""COMPUTED_VALUE"""),"BLACK")</f>
        <v>BLACK</v>
      </c>
      <c r="G8352" s="20" t="str">
        <f>IFERROR(__xludf.DUMMYFUNCTION("""COMPUTED_VALUE"""),"Uncle Sams Cider (11/12/2021) 02")</f>
        <v>Uncle Sams Cider (11/12/2021) 02</v>
      </c>
      <c r="H8352" s="19"/>
    </row>
    <row r="8353">
      <c r="A8353" s="9"/>
      <c r="B8353" s="15"/>
      <c r="C8353" s="9">
        <f>IFERROR(__xludf.DUMMYFUNCTION("""COMPUTED_VALUE"""),44517.4991598842)</f>
        <v>44517.49916</v>
      </c>
      <c r="D8353" s="15">
        <f>IFERROR(__xludf.DUMMYFUNCTION("""COMPUTED_VALUE"""),1.082)</f>
        <v>1.082</v>
      </c>
      <c r="E8353" s="16">
        <f>IFERROR(__xludf.DUMMYFUNCTION("""COMPUTED_VALUE"""),69.0)</f>
        <v>69</v>
      </c>
      <c r="F8353" s="19" t="str">
        <f>IFERROR(__xludf.DUMMYFUNCTION("""COMPUTED_VALUE"""),"BLACK")</f>
        <v>BLACK</v>
      </c>
      <c r="G8353" s="20" t="str">
        <f>IFERROR(__xludf.DUMMYFUNCTION("""COMPUTED_VALUE"""),"Uncle Sams Cider (11/12/2021) 02")</f>
        <v>Uncle Sams Cider (11/12/2021) 02</v>
      </c>
      <c r="H8353" s="19"/>
    </row>
    <row r="8354">
      <c r="A8354" s="9"/>
      <c r="B8354" s="15"/>
      <c r="C8354" s="9">
        <f>IFERROR(__xludf.DUMMYFUNCTION("""COMPUTED_VALUE"""),44517.4887384953)</f>
        <v>44517.48874</v>
      </c>
      <c r="D8354" s="15">
        <f>IFERROR(__xludf.DUMMYFUNCTION("""COMPUTED_VALUE"""),1.082)</f>
        <v>1.082</v>
      </c>
      <c r="E8354" s="16">
        <f>IFERROR(__xludf.DUMMYFUNCTION("""COMPUTED_VALUE"""),69.0)</f>
        <v>69</v>
      </c>
      <c r="F8354" s="19" t="str">
        <f>IFERROR(__xludf.DUMMYFUNCTION("""COMPUTED_VALUE"""),"BLACK")</f>
        <v>BLACK</v>
      </c>
      <c r="G8354" s="20" t="str">
        <f>IFERROR(__xludf.DUMMYFUNCTION("""COMPUTED_VALUE"""),"Uncle Sams Cider (11/12/2021) 02")</f>
        <v>Uncle Sams Cider (11/12/2021) 02</v>
      </c>
      <c r="H8354" s="19"/>
    </row>
    <row r="8355">
      <c r="A8355" s="9"/>
      <c r="B8355" s="15"/>
      <c r="C8355" s="9">
        <f>IFERROR(__xludf.DUMMYFUNCTION("""COMPUTED_VALUE"""),44517.4783166203)</f>
        <v>44517.47832</v>
      </c>
      <c r="D8355" s="15">
        <f>IFERROR(__xludf.DUMMYFUNCTION("""COMPUTED_VALUE"""),1.082)</f>
        <v>1.082</v>
      </c>
      <c r="E8355" s="16">
        <f>IFERROR(__xludf.DUMMYFUNCTION("""COMPUTED_VALUE"""),69.0)</f>
        <v>69</v>
      </c>
      <c r="F8355" s="19" t="str">
        <f>IFERROR(__xludf.DUMMYFUNCTION("""COMPUTED_VALUE"""),"BLACK")</f>
        <v>BLACK</v>
      </c>
      <c r="G8355" s="20" t="str">
        <f>IFERROR(__xludf.DUMMYFUNCTION("""COMPUTED_VALUE"""),"Uncle Sams Cider (11/12/2021) 02")</f>
        <v>Uncle Sams Cider (11/12/2021) 02</v>
      </c>
      <c r="H8355" s="19"/>
    </row>
    <row r="8356">
      <c r="A8356" s="9"/>
      <c r="B8356" s="15"/>
      <c r="C8356" s="9">
        <f>IFERROR(__xludf.DUMMYFUNCTION("""COMPUTED_VALUE"""),44517.4678968402)</f>
        <v>44517.4679</v>
      </c>
      <c r="D8356" s="15">
        <f>IFERROR(__xludf.DUMMYFUNCTION("""COMPUTED_VALUE"""),1.082)</f>
        <v>1.082</v>
      </c>
      <c r="E8356" s="16">
        <f>IFERROR(__xludf.DUMMYFUNCTION("""COMPUTED_VALUE"""),69.0)</f>
        <v>69</v>
      </c>
      <c r="F8356" s="19" t="str">
        <f>IFERROR(__xludf.DUMMYFUNCTION("""COMPUTED_VALUE"""),"BLACK")</f>
        <v>BLACK</v>
      </c>
      <c r="G8356" s="20" t="str">
        <f>IFERROR(__xludf.DUMMYFUNCTION("""COMPUTED_VALUE"""),"Uncle Sams Cider (11/12/2021) 02")</f>
        <v>Uncle Sams Cider (11/12/2021) 02</v>
      </c>
      <c r="H8356" s="19"/>
    </row>
    <row r="8357">
      <c r="A8357" s="9"/>
      <c r="B8357" s="15"/>
      <c r="C8357" s="9">
        <f>IFERROR(__xludf.DUMMYFUNCTION("""COMPUTED_VALUE"""),44517.4574775)</f>
        <v>44517.45748</v>
      </c>
      <c r="D8357" s="15">
        <f>IFERROR(__xludf.DUMMYFUNCTION("""COMPUTED_VALUE"""),1.082)</f>
        <v>1.082</v>
      </c>
      <c r="E8357" s="16">
        <f>IFERROR(__xludf.DUMMYFUNCTION("""COMPUTED_VALUE"""),69.0)</f>
        <v>69</v>
      </c>
      <c r="F8357" s="19" t="str">
        <f>IFERROR(__xludf.DUMMYFUNCTION("""COMPUTED_VALUE"""),"BLACK")</f>
        <v>BLACK</v>
      </c>
      <c r="G8357" s="20" t="str">
        <f>IFERROR(__xludf.DUMMYFUNCTION("""COMPUTED_VALUE"""),"Uncle Sams Cider (11/12/2021) 02")</f>
        <v>Uncle Sams Cider (11/12/2021) 02</v>
      </c>
      <c r="H8357" s="19"/>
    </row>
    <row r="8358">
      <c r="A8358" s="9"/>
      <c r="B8358" s="15"/>
      <c r="C8358" s="9">
        <f>IFERROR(__xludf.DUMMYFUNCTION("""COMPUTED_VALUE"""),44517.4470580671)</f>
        <v>44517.44706</v>
      </c>
      <c r="D8358" s="15">
        <f>IFERROR(__xludf.DUMMYFUNCTION("""COMPUTED_VALUE"""),1.082)</f>
        <v>1.082</v>
      </c>
      <c r="E8358" s="16">
        <f>IFERROR(__xludf.DUMMYFUNCTION("""COMPUTED_VALUE"""),69.0)</f>
        <v>69</v>
      </c>
      <c r="F8358" s="19" t="str">
        <f>IFERROR(__xludf.DUMMYFUNCTION("""COMPUTED_VALUE"""),"BLACK")</f>
        <v>BLACK</v>
      </c>
      <c r="G8358" s="20" t="str">
        <f>IFERROR(__xludf.DUMMYFUNCTION("""COMPUTED_VALUE"""),"Uncle Sams Cider (11/12/2021) 02")</f>
        <v>Uncle Sams Cider (11/12/2021) 02</v>
      </c>
      <c r="H8358" s="19"/>
    </row>
    <row r="8359">
      <c r="A8359" s="9"/>
      <c r="B8359" s="15"/>
      <c r="C8359" s="9">
        <f>IFERROR(__xludf.DUMMYFUNCTION("""COMPUTED_VALUE"""),44517.43663603)</f>
        <v>44517.43664</v>
      </c>
      <c r="D8359" s="15">
        <f>IFERROR(__xludf.DUMMYFUNCTION("""COMPUTED_VALUE"""),1.082)</f>
        <v>1.082</v>
      </c>
      <c r="E8359" s="16">
        <f>IFERROR(__xludf.DUMMYFUNCTION("""COMPUTED_VALUE"""),68.0)</f>
        <v>68</v>
      </c>
      <c r="F8359" s="19" t="str">
        <f>IFERROR(__xludf.DUMMYFUNCTION("""COMPUTED_VALUE"""),"BLACK")</f>
        <v>BLACK</v>
      </c>
      <c r="G8359" s="20" t="str">
        <f>IFERROR(__xludf.DUMMYFUNCTION("""COMPUTED_VALUE"""),"Uncle Sams Cider (11/12/2021) 02")</f>
        <v>Uncle Sams Cider (11/12/2021) 02</v>
      </c>
      <c r="H8359" s="19"/>
    </row>
    <row r="8360">
      <c r="A8360" s="9"/>
      <c r="B8360" s="15"/>
      <c r="C8360" s="9">
        <f>IFERROR(__xludf.DUMMYFUNCTION("""COMPUTED_VALUE"""),44517.4262023958)</f>
        <v>44517.4262</v>
      </c>
      <c r="D8360" s="15">
        <f>IFERROR(__xludf.DUMMYFUNCTION("""COMPUTED_VALUE"""),1.082)</f>
        <v>1.082</v>
      </c>
      <c r="E8360" s="16">
        <f>IFERROR(__xludf.DUMMYFUNCTION("""COMPUTED_VALUE"""),69.0)</f>
        <v>69</v>
      </c>
      <c r="F8360" s="19" t="str">
        <f>IFERROR(__xludf.DUMMYFUNCTION("""COMPUTED_VALUE"""),"BLACK")</f>
        <v>BLACK</v>
      </c>
      <c r="G8360" s="20" t="str">
        <f>IFERROR(__xludf.DUMMYFUNCTION("""COMPUTED_VALUE"""),"Uncle Sams Cider (11/12/2021) 02")</f>
        <v>Uncle Sams Cider (11/12/2021) 02</v>
      </c>
      <c r="H8360" s="19"/>
    </row>
    <row r="8361">
      <c r="A8361" s="9"/>
      <c r="B8361" s="15"/>
      <c r="C8361" s="9">
        <f>IFERROR(__xludf.DUMMYFUNCTION("""COMPUTED_VALUE"""),44517.4157795486)</f>
        <v>44517.41578</v>
      </c>
      <c r="D8361" s="15">
        <f>IFERROR(__xludf.DUMMYFUNCTION("""COMPUTED_VALUE"""),1.082)</f>
        <v>1.082</v>
      </c>
      <c r="E8361" s="16">
        <f>IFERROR(__xludf.DUMMYFUNCTION("""COMPUTED_VALUE"""),68.0)</f>
        <v>68</v>
      </c>
      <c r="F8361" s="19" t="str">
        <f>IFERROR(__xludf.DUMMYFUNCTION("""COMPUTED_VALUE"""),"BLACK")</f>
        <v>BLACK</v>
      </c>
      <c r="G8361" s="20" t="str">
        <f>IFERROR(__xludf.DUMMYFUNCTION("""COMPUTED_VALUE"""),"Uncle Sams Cider (11/12/2021) 02")</f>
        <v>Uncle Sams Cider (11/12/2021) 02</v>
      </c>
      <c r="H8361" s="19"/>
    </row>
    <row r="8362">
      <c r="A8362" s="9"/>
      <c r="B8362" s="15"/>
      <c r="C8362" s="9">
        <f>IFERROR(__xludf.DUMMYFUNCTION("""COMPUTED_VALUE"""),44517.4053571412)</f>
        <v>44517.40536</v>
      </c>
      <c r="D8362" s="15">
        <f>IFERROR(__xludf.DUMMYFUNCTION("""COMPUTED_VALUE"""),1.082)</f>
        <v>1.082</v>
      </c>
      <c r="E8362" s="16">
        <f>IFERROR(__xludf.DUMMYFUNCTION("""COMPUTED_VALUE"""),69.0)</f>
        <v>69</v>
      </c>
      <c r="F8362" s="19" t="str">
        <f>IFERROR(__xludf.DUMMYFUNCTION("""COMPUTED_VALUE"""),"BLACK")</f>
        <v>BLACK</v>
      </c>
      <c r="G8362" s="20" t="str">
        <f>IFERROR(__xludf.DUMMYFUNCTION("""COMPUTED_VALUE"""),"Uncle Sams Cider (11/12/2021) 02")</f>
        <v>Uncle Sams Cider (11/12/2021) 02</v>
      </c>
      <c r="H8362" s="19"/>
    </row>
    <row r="8363">
      <c r="A8363" s="9"/>
      <c r="B8363" s="15"/>
      <c r="C8363" s="9">
        <f>IFERROR(__xludf.DUMMYFUNCTION("""COMPUTED_VALUE"""),44517.3949355671)</f>
        <v>44517.39494</v>
      </c>
      <c r="D8363" s="15">
        <f>IFERROR(__xludf.DUMMYFUNCTION("""COMPUTED_VALUE"""),1.082)</f>
        <v>1.082</v>
      </c>
      <c r="E8363" s="16">
        <f>IFERROR(__xludf.DUMMYFUNCTION("""COMPUTED_VALUE"""),68.0)</f>
        <v>68</v>
      </c>
      <c r="F8363" s="19" t="str">
        <f>IFERROR(__xludf.DUMMYFUNCTION("""COMPUTED_VALUE"""),"BLACK")</f>
        <v>BLACK</v>
      </c>
      <c r="G8363" s="20" t="str">
        <f>IFERROR(__xludf.DUMMYFUNCTION("""COMPUTED_VALUE"""),"Uncle Sams Cider (11/12/2021) 02")</f>
        <v>Uncle Sams Cider (11/12/2021) 02</v>
      </c>
      <c r="H8363" s="19"/>
    </row>
    <row r="8364">
      <c r="A8364" s="9"/>
      <c r="B8364" s="15"/>
      <c r="C8364" s="9">
        <f>IFERROR(__xludf.DUMMYFUNCTION("""COMPUTED_VALUE"""),44517.3844920717)</f>
        <v>44517.38449</v>
      </c>
      <c r="D8364" s="15">
        <f>IFERROR(__xludf.DUMMYFUNCTION("""COMPUTED_VALUE"""),1.083)</f>
        <v>1.083</v>
      </c>
      <c r="E8364" s="16">
        <f>IFERROR(__xludf.DUMMYFUNCTION("""COMPUTED_VALUE"""),69.0)</f>
        <v>69</v>
      </c>
      <c r="F8364" s="19" t="str">
        <f>IFERROR(__xludf.DUMMYFUNCTION("""COMPUTED_VALUE"""),"BLACK")</f>
        <v>BLACK</v>
      </c>
      <c r="G8364" s="20" t="str">
        <f>IFERROR(__xludf.DUMMYFUNCTION("""COMPUTED_VALUE"""),"Uncle Sams Cider (11/12/2021) 02")</f>
        <v>Uncle Sams Cider (11/12/2021) 02</v>
      </c>
      <c r="H8364" s="19"/>
    </row>
    <row r="8365">
      <c r="A8365" s="9"/>
      <c r="B8365" s="15"/>
      <c r="C8365" s="9">
        <f>IFERROR(__xludf.DUMMYFUNCTION("""COMPUTED_VALUE"""),44517.3740703009)</f>
        <v>44517.37407</v>
      </c>
      <c r="D8365" s="15">
        <f>IFERROR(__xludf.DUMMYFUNCTION("""COMPUTED_VALUE"""),1.083)</f>
        <v>1.083</v>
      </c>
      <c r="E8365" s="16">
        <f>IFERROR(__xludf.DUMMYFUNCTION("""COMPUTED_VALUE"""),68.0)</f>
        <v>68</v>
      </c>
      <c r="F8365" s="19" t="str">
        <f>IFERROR(__xludf.DUMMYFUNCTION("""COMPUTED_VALUE"""),"BLACK")</f>
        <v>BLACK</v>
      </c>
      <c r="G8365" s="20" t="str">
        <f>IFERROR(__xludf.DUMMYFUNCTION("""COMPUTED_VALUE"""),"Uncle Sams Cider (11/12/2021) 02")</f>
        <v>Uncle Sams Cider (11/12/2021) 02</v>
      </c>
      <c r="H8365" s="19"/>
    </row>
    <row r="8366">
      <c r="A8366" s="9"/>
      <c r="B8366" s="15"/>
      <c r="C8366" s="9">
        <f>IFERROR(__xludf.DUMMYFUNCTION("""COMPUTED_VALUE"""),44517.3636459837)</f>
        <v>44517.36365</v>
      </c>
      <c r="D8366" s="15">
        <f>IFERROR(__xludf.DUMMYFUNCTION("""COMPUTED_VALUE"""),1.083)</f>
        <v>1.083</v>
      </c>
      <c r="E8366" s="16">
        <f>IFERROR(__xludf.DUMMYFUNCTION("""COMPUTED_VALUE"""),69.0)</f>
        <v>69</v>
      </c>
      <c r="F8366" s="19" t="str">
        <f>IFERROR(__xludf.DUMMYFUNCTION("""COMPUTED_VALUE"""),"BLACK")</f>
        <v>BLACK</v>
      </c>
      <c r="G8366" s="20" t="str">
        <f>IFERROR(__xludf.DUMMYFUNCTION("""COMPUTED_VALUE"""),"Uncle Sams Cider (11/12/2021) 02")</f>
        <v>Uncle Sams Cider (11/12/2021) 02</v>
      </c>
      <c r="H8366" s="19"/>
    </row>
    <row r="8367">
      <c r="A8367" s="9"/>
      <c r="B8367" s="15"/>
      <c r="C8367" s="9">
        <f>IFERROR(__xludf.DUMMYFUNCTION("""COMPUTED_VALUE"""),44517.3532250231)</f>
        <v>44517.35323</v>
      </c>
      <c r="D8367" s="15">
        <f>IFERROR(__xludf.DUMMYFUNCTION("""COMPUTED_VALUE"""),1.083)</f>
        <v>1.083</v>
      </c>
      <c r="E8367" s="16">
        <f>IFERROR(__xludf.DUMMYFUNCTION("""COMPUTED_VALUE"""),68.0)</f>
        <v>68</v>
      </c>
      <c r="F8367" s="19" t="str">
        <f>IFERROR(__xludf.DUMMYFUNCTION("""COMPUTED_VALUE"""),"BLACK")</f>
        <v>BLACK</v>
      </c>
      <c r="G8367" s="20" t="str">
        <f>IFERROR(__xludf.DUMMYFUNCTION("""COMPUTED_VALUE"""),"Uncle Sams Cider (11/12/2021) 02")</f>
        <v>Uncle Sams Cider (11/12/2021) 02</v>
      </c>
      <c r="H8367" s="19"/>
    </row>
    <row r="8368">
      <c r="A8368" s="9"/>
      <c r="B8368" s="15"/>
      <c r="C8368" s="9">
        <f>IFERROR(__xludf.DUMMYFUNCTION("""COMPUTED_VALUE"""),44517.3428043287)</f>
        <v>44517.3428</v>
      </c>
      <c r="D8368" s="15">
        <f>IFERROR(__xludf.DUMMYFUNCTION("""COMPUTED_VALUE"""),1.083)</f>
        <v>1.083</v>
      </c>
      <c r="E8368" s="16">
        <f>IFERROR(__xludf.DUMMYFUNCTION("""COMPUTED_VALUE"""),68.0)</f>
        <v>68</v>
      </c>
      <c r="F8368" s="19" t="str">
        <f>IFERROR(__xludf.DUMMYFUNCTION("""COMPUTED_VALUE"""),"BLACK")</f>
        <v>BLACK</v>
      </c>
      <c r="G8368" s="20" t="str">
        <f>IFERROR(__xludf.DUMMYFUNCTION("""COMPUTED_VALUE"""),"Uncle Sams Cider (11/12/2021) 02")</f>
        <v>Uncle Sams Cider (11/12/2021) 02</v>
      </c>
      <c r="H8368" s="19"/>
    </row>
    <row r="8369">
      <c r="A8369" s="9"/>
      <c r="B8369" s="15"/>
      <c r="C8369" s="9">
        <f>IFERROR(__xludf.DUMMYFUNCTION("""COMPUTED_VALUE"""),44517.3323817013)</f>
        <v>44517.33238</v>
      </c>
      <c r="D8369" s="15">
        <f>IFERROR(__xludf.DUMMYFUNCTION("""COMPUTED_VALUE"""),1.083)</f>
        <v>1.083</v>
      </c>
      <c r="E8369" s="16">
        <f>IFERROR(__xludf.DUMMYFUNCTION("""COMPUTED_VALUE"""),68.0)</f>
        <v>68</v>
      </c>
      <c r="F8369" s="19" t="str">
        <f>IFERROR(__xludf.DUMMYFUNCTION("""COMPUTED_VALUE"""),"BLACK")</f>
        <v>BLACK</v>
      </c>
      <c r="G8369" s="20" t="str">
        <f>IFERROR(__xludf.DUMMYFUNCTION("""COMPUTED_VALUE"""),"Uncle Sams Cider (11/12/2021) 02")</f>
        <v>Uncle Sams Cider (11/12/2021) 02</v>
      </c>
      <c r="H8369" s="19"/>
    </row>
    <row r="8370">
      <c r="A8370" s="9"/>
      <c r="B8370" s="15"/>
      <c r="C8370" s="9">
        <f>IFERROR(__xludf.DUMMYFUNCTION("""COMPUTED_VALUE"""),44517.3219591319)</f>
        <v>44517.32196</v>
      </c>
      <c r="D8370" s="15">
        <f>IFERROR(__xludf.DUMMYFUNCTION("""COMPUTED_VALUE"""),1.083)</f>
        <v>1.083</v>
      </c>
      <c r="E8370" s="16">
        <f>IFERROR(__xludf.DUMMYFUNCTION("""COMPUTED_VALUE"""),68.0)</f>
        <v>68</v>
      </c>
      <c r="F8370" s="19" t="str">
        <f>IFERROR(__xludf.DUMMYFUNCTION("""COMPUTED_VALUE"""),"BLACK")</f>
        <v>BLACK</v>
      </c>
      <c r="G8370" s="20" t="str">
        <f>IFERROR(__xludf.DUMMYFUNCTION("""COMPUTED_VALUE"""),"Uncle Sams Cider (11/12/2021) 02")</f>
        <v>Uncle Sams Cider (11/12/2021) 02</v>
      </c>
      <c r="H8370" s="19"/>
    </row>
    <row r="8371">
      <c r="A8371" s="9"/>
      <c r="B8371" s="15"/>
      <c r="C8371" s="9">
        <f>IFERROR(__xludf.DUMMYFUNCTION("""COMPUTED_VALUE"""),44517.3115247106)</f>
        <v>44517.31152</v>
      </c>
      <c r="D8371" s="15">
        <f>IFERROR(__xludf.DUMMYFUNCTION("""COMPUTED_VALUE"""),1.083)</f>
        <v>1.083</v>
      </c>
      <c r="E8371" s="16">
        <f>IFERROR(__xludf.DUMMYFUNCTION("""COMPUTED_VALUE"""),68.0)</f>
        <v>68</v>
      </c>
      <c r="F8371" s="19" t="str">
        <f>IFERROR(__xludf.DUMMYFUNCTION("""COMPUTED_VALUE"""),"BLACK")</f>
        <v>BLACK</v>
      </c>
      <c r="G8371" s="20" t="str">
        <f>IFERROR(__xludf.DUMMYFUNCTION("""COMPUTED_VALUE"""),"Uncle Sams Cider (11/12/2021) 02")</f>
        <v>Uncle Sams Cider (11/12/2021) 02</v>
      </c>
      <c r="H8371" s="19"/>
    </row>
    <row r="8372">
      <c r="A8372" s="9"/>
      <c r="B8372" s="15"/>
      <c r="C8372" s="9">
        <f>IFERROR(__xludf.DUMMYFUNCTION("""COMPUTED_VALUE"""),44517.3011033912)</f>
        <v>44517.3011</v>
      </c>
      <c r="D8372" s="15">
        <f>IFERROR(__xludf.DUMMYFUNCTION("""COMPUTED_VALUE"""),1.083)</f>
        <v>1.083</v>
      </c>
      <c r="E8372" s="16">
        <f>IFERROR(__xludf.DUMMYFUNCTION("""COMPUTED_VALUE"""),68.0)</f>
        <v>68</v>
      </c>
      <c r="F8372" s="19" t="str">
        <f>IFERROR(__xludf.DUMMYFUNCTION("""COMPUTED_VALUE"""),"BLACK")</f>
        <v>BLACK</v>
      </c>
      <c r="G8372" s="20" t="str">
        <f>IFERROR(__xludf.DUMMYFUNCTION("""COMPUTED_VALUE"""),"Uncle Sams Cider (11/12/2021) 02")</f>
        <v>Uncle Sams Cider (11/12/2021) 02</v>
      </c>
      <c r="H8372" s="19"/>
    </row>
    <row r="8373">
      <c r="A8373" s="9"/>
      <c r="B8373" s="15"/>
      <c r="C8373" s="9">
        <f>IFERROR(__xludf.DUMMYFUNCTION("""COMPUTED_VALUE"""),44517.2906701736)</f>
        <v>44517.29067</v>
      </c>
      <c r="D8373" s="15">
        <f>IFERROR(__xludf.DUMMYFUNCTION("""COMPUTED_VALUE"""),1.083)</f>
        <v>1.083</v>
      </c>
      <c r="E8373" s="16">
        <f>IFERROR(__xludf.DUMMYFUNCTION("""COMPUTED_VALUE"""),68.0)</f>
        <v>68</v>
      </c>
      <c r="F8373" s="19" t="str">
        <f>IFERROR(__xludf.DUMMYFUNCTION("""COMPUTED_VALUE"""),"BLACK")</f>
        <v>BLACK</v>
      </c>
      <c r="G8373" s="20" t="str">
        <f>IFERROR(__xludf.DUMMYFUNCTION("""COMPUTED_VALUE"""),"Uncle Sams Cider (11/12/2021) 02")</f>
        <v>Uncle Sams Cider (11/12/2021) 02</v>
      </c>
      <c r="H8373" s="19"/>
    </row>
    <row r="8374">
      <c r="A8374" s="9"/>
      <c r="B8374" s="15"/>
      <c r="C8374" s="9">
        <f>IFERROR(__xludf.DUMMYFUNCTION("""COMPUTED_VALUE"""),44517.2802477199)</f>
        <v>44517.28025</v>
      </c>
      <c r="D8374" s="15">
        <f>IFERROR(__xludf.DUMMYFUNCTION("""COMPUTED_VALUE"""),1.084)</f>
        <v>1.084</v>
      </c>
      <c r="E8374" s="16">
        <f>IFERROR(__xludf.DUMMYFUNCTION("""COMPUTED_VALUE"""),68.0)</f>
        <v>68</v>
      </c>
      <c r="F8374" s="19" t="str">
        <f>IFERROR(__xludf.DUMMYFUNCTION("""COMPUTED_VALUE"""),"BLACK")</f>
        <v>BLACK</v>
      </c>
      <c r="G8374" s="20" t="str">
        <f>IFERROR(__xludf.DUMMYFUNCTION("""COMPUTED_VALUE"""),"Uncle Sams Cider (11/12/2021) 02")</f>
        <v>Uncle Sams Cider (11/12/2021) 02</v>
      </c>
      <c r="H8374" s="19"/>
    </row>
    <row r="8375">
      <c r="A8375" s="9"/>
      <c r="B8375" s="15"/>
      <c r="C8375" s="9">
        <f>IFERROR(__xludf.DUMMYFUNCTION("""COMPUTED_VALUE"""),44517.2698277662)</f>
        <v>44517.26983</v>
      </c>
      <c r="D8375" s="15">
        <f>IFERROR(__xludf.DUMMYFUNCTION("""COMPUTED_VALUE"""),1.083)</f>
        <v>1.083</v>
      </c>
      <c r="E8375" s="16">
        <f>IFERROR(__xludf.DUMMYFUNCTION("""COMPUTED_VALUE"""),68.0)</f>
        <v>68</v>
      </c>
      <c r="F8375" s="19" t="str">
        <f>IFERROR(__xludf.DUMMYFUNCTION("""COMPUTED_VALUE"""),"BLACK")</f>
        <v>BLACK</v>
      </c>
      <c r="G8375" s="20" t="str">
        <f>IFERROR(__xludf.DUMMYFUNCTION("""COMPUTED_VALUE"""),"Uncle Sams Cider (11/12/2021) 02")</f>
        <v>Uncle Sams Cider (11/12/2021) 02</v>
      </c>
      <c r="H8375" s="19"/>
    </row>
    <row r="8376">
      <c r="A8376" s="9"/>
      <c r="B8376" s="15"/>
      <c r="C8376" s="9">
        <f>IFERROR(__xludf.DUMMYFUNCTION("""COMPUTED_VALUE"""),44517.2593948842)</f>
        <v>44517.25939</v>
      </c>
      <c r="D8376" s="15">
        <f>IFERROR(__xludf.DUMMYFUNCTION("""COMPUTED_VALUE"""),1.084)</f>
        <v>1.084</v>
      </c>
      <c r="E8376" s="16">
        <f>IFERROR(__xludf.DUMMYFUNCTION("""COMPUTED_VALUE"""),68.0)</f>
        <v>68</v>
      </c>
      <c r="F8376" s="19" t="str">
        <f>IFERROR(__xludf.DUMMYFUNCTION("""COMPUTED_VALUE"""),"BLACK")</f>
        <v>BLACK</v>
      </c>
      <c r="G8376" s="20" t="str">
        <f>IFERROR(__xludf.DUMMYFUNCTION("""COMPUTED_VALUE"""),"Uncle Sams Cider (11/12/2021) 02")</f>
        <v>Uncle Sams Cider (11/12/2021) 02</v>
      </c>
      <c r="H8376" s="19"/>
    </row>
    <row r="8377">
      <c r="A8377" s="9"/>
      <c r="B8377" s="15"/>
      <c r="C8377" s="9">
        <f>IFERROR(__xludf.DUMMYFUNCTION("""COMPUTED_VALUE"""),44517.2489737499)</f>
        <v>44517.24897</v>
      </c>
      <c r="D8377" s="15">
        <f>IFERROR(__xludf.DUMMYFUNCTION("""COMPUTED_VALUE"""),1.083)</f>
        <v>1.083</v>
      </c>
      <c r="E8377" s="16">
        <f>IFERROR(__xludf.DUMMYFUNCTION("""COMPUTED_VALUE"""),68.0)</f>
        <v>68</v>
      </c>
      <c r="F8377" s="19" t="str">
        <f>IFERROR(__xludf.DUMMYFUNCTION("""COMPUTED_VALUE"""),"BLACK")</f>
        <v>BLACK</v>
      </c>
      <c r="G8377" s="20" t="str">
        <f>IFERROR(__xludf.DUMMYFUNCTION("""COMPUTED_VALUE"""),"Uncle Sams Cider (11/12/2021) 02")</f>
        <v>Uncle Sams Cider (11/12/2021) 02</v>
      </c>
      <c r="H8377" s="19"/>
    </row>
    <row r="8378">
      <c r="A8378" s="9"/>
      <c r="B8378" s="15"/>
      <c r="C8378" s="9">
        <f>IFERROR(__xludf.DUMMYFUNCTION("""COMPUTED_VALUE"""),44517.2385530324)</f>
        <v>44517.23855</v>
      </c>
      <c r="D8378" s="15">
        <f>IFERROR(__xludf.DUMMYFUNCTION("""COMPUTED_VALUE"""),1.084)</f>
        <v>1.084</v>
      </c>
      <c r="E8378" s="16">
        <f>IFERROR(__xludf.DUMMYFUNCTION("""COMPUTED_VALUE"""),68.0)</f>
        <v>68</v>
      </c>
      <c r="F8378" s="19" t="str">
        <f>IFERROR(__xludf.DUMMYFUNCTION("""COMPUTED_VALUE"""),"BLACK")</f>
        <v>BLACK</v>
      </c>
      <c r="G8378" s="20" t="str">
        <f>IFERROR(__xludf.DUMMYFUNCTION("""COMPUTED_VALUE"""),"Uncle Sams Cider (11/12/2021) 02")</f>
        <v>Uncle Sams Cider (11/12/2021) 02</v>
      </c>
      <c r="H8378" s="19"/>
    </row>
    <row r="8379">
      <c r="A8379" s="9"/>
      <c r="B8379" s="15"/>
      <c r="C8379" s="9">
        <f>IFERROR(__xludf.DUMMYFUNCTION("""COMPUTED_VALUE"""),44517.2281315856)</f>
        <v>44517.22813</v>
      </c>
      <c r="D8379" s="15">
        <f>IFERROR(__xludf.DUMMYFUNCTION("""COMPUTED_VALUE"""),1.084)</f>
        <v>1.084</v>
      </c>
      <c r="E8379" s="16">
        <f>IFERROR(__xludf.DUMMYFUNCTION("""COMPUTED_VALUE"""),68.0)</f>
        <v>68</v>
      </c>
      <c r="F8379" s="19" t="str">
        <f>IFERROR(__xludf.DUMMYFUNCTION("""COMPUTED_VALUE"""),"BLACK")</f>
        <v>BLACK</v>
      </c>
      <c r="G8379" s="20" t="str">
        <f>IFERROR(__xludf.DUMMYFUNCTION("""COMPUTED_VALUE"""),"Uncle Sams Cider (11/12/2021) 02")</f>
        <v>Uncle Sams Cider (11/12/2021) 02</v>
      </c>
      <c r="H8379" s="19"/>
    </row>
    <row r="8380">
      <c r="A8380" s="9"/>
      <c r="B8380" s="15"/>
      <c r="C8380" s="9">
        <f>IFERROR(__xludf.DUMMYFUNCTION("""COMPUTED_VALUE"""),44517.2177105787)</f>
        <v>44517.21771</v>
      </c>
      <c r="D8380" s="15">
        <f>IFERROR(__xludf.DUMMYFUNCTION("""COMPUTED_VALUE"""),1.084)</f>
        <v>1.084</v>
      </c>
      <c r="E8380" s="16">
        <f>IFERROR(__xludf.DUMMYFUNCTION("""COMPUTED_VALUE"""),68.0)</f>
        <v>68</v>
      </c>
      <c r="F8380" s="19" t="str">
        <f>IFERROR(__xludf.DUMMYFUNCTION("""COMPUTED_VALUE"""),"BLACK")</f>
        <v>BLACK</v>
      </c>
      <c r="G8380" s="20" t="str">
        <f>IFERROR(__xludf.DUMMYFUNCTION("""COMPUTED_VALUE"""),"Uncle Sams Cider (11/12/2021) 02")</f>
        <v>Uncle Sams Cider (11/12/2021) 02</v>
      </c>
      <c r="H8380" s="19"/>
    </row>
    <row r="8381">
      <c r="A8381" s="9"/>
      <c r="B8381" s="15"/>
      <c r="C8381" s="9">
        <f>IFERROR(__xludf.DUMMYFUNCTION("""COMPUTED_VALUE"""),44517.2072896296)</f>
        <v>44517.20729</v>
      </c>
      <c r="D8381" s="15">
        <f>IFERROR(__xludf.DUMMYFUNCTION("""COMPUTED_VALUE"""),1.084)</f>
        <v>1.084</v>
      </c>
      <c r="E8381" s="16">
        <f>IFERROR(__xludf.DUMMYFUNCTION("""COMPUTED_VALUE"""),68.0)</f>
        <v>68</v>
      </c>
      <c r="F8381" s="19" t="str">
        <f>IFERROR(__xludf.DUMMYFUNCTION("""COMPUTED_VALUE"""),"BLACK")</f>
        <v>BLACK</v>
      </c>
      <c r="G8381" s="20" t="str">
        <f>IFERROR(__xludf.DUMMYFUNCTION("""COMPUTED_VALUE"""),"Uncle Sams Cider (11/12/2021) 02")</f>
        <v>Uncle Sams Cider (11/12/2021) 02</v>
      </c>
      <c r="H8381" s="19"/>
    </row>
    <row r="8382">
      <c r="A8382" s="9"/>
      <c r="B8382" s="15"/>
      <c r="C8382" s="9">
        <f>IFERROR(__xludf.DUMMYFUNCTION("""COMPUTED_VALUE"""),44517.1968565277)</f>
        <v>44517.19686</v>
      </c>
      <c r="D8382" s="15">
        <f>IFERROR(__xludf.DUMMYFUNCTION("""COMPUTED_VALUE"""),1.084)</f>
        <v>1.084</v>
      </c>
      <c r="E8382" s="16">
        <f>IFERROR(__xludf.DUMMYFUNCTION("""COMPUTED_VALUE"""),68.0)</f>
        <v>68</v>
      </c>
      <c r="F8382" s="19" t="str">
        <f>IFERROR(__xludf.DUMMYFUNCTION("""COMPUTED_VALUE"""),"BLACK")</f>
        <v>BLACK</v>
      </c>
      <c r="G8382" s="20" t="str">
        <f>IFERROR(__xludf.DUMMYFUNCTION("""COMPUTED_VALUE"""),"Uncle Sams Cider (11/12/2021) 02")</f>
        <v>Uncle Sams Cider (11/12/2021) 02</v>
      </c>
      <c r="H8382" s="19"/>
    </row>
    <row r="8383">
      <c r="A8383" s="9"/>
      <c r="B8383" s="15"/>
      <c r="C8383" s="9">
        <f>IFERROR(__xludf.DUMMYFUNCTION("""COMPUTED_VALUE"""),44517.186435324)</f>
        <v>44517.18644</v>
      </c>
      <c r="D8383" s="15">
        <f>IFERROR(__xludf.DUMMYFUNCTION("""COMPUTED_VALUE"""),1.084)</f>
        <v>1.084</v>
      </c>
      <c r="E8383" s="16">
        <f>IFERROR(__xludf.DUMMYFUNCTION("""COMPUTED_VALUE"""),68.0)</f>
        <v>68</v>
      </c>
      <c r="F8383" s="19" t="str">
        <f>IFERROR(__xludf.DUMMYFUNCTION("""COMPUTED_VALUE"""),"BLACK")</f>
        <v>BLACK</v>
      </c>
      <c r="G8383" s="20" t="str">
        <f>IFERROR(__xludf.DUMMYFUNCTION("""COMPUTED_VALUE"""),"Uncle Sams Cider (11/12/2021) 02")</f>
        <v>Uncle Sams Cider (11/12/2021) 02</v>
      </c>
      <c r="H8383" s="19"/>
    </row>
    <row r="8384">
      <c r="A8384" s="9"/>
      <c r="B8384" s="15"/>
      <c r="C8384" s="9">
        <f>IFERROR(__xludf.DUMMYFUNCTION("""COMPUTED_VALUE"""),44517.1760142708)</f>
        <v>44517.17601</v>
      </c>
      <c r="D8384" s="15">
        <f>IFERROR(__xludf.DUMMYFUNCTION("""COMPUTED_VALUE"""),1.084)</f>
        <v>1.084</v>
      </c>
      <c r="E8384" s="16">
        <f>IFERROR(__xludf.DUMMYFUNCTION("""COMPUTED_VALUE"""),68.0)</f>
        <v>68</v>
      </c>
      <c r="F8384" s="19" t="str">
        <f>IFERROR(__xludf.DUMMYFUNCTION("""COMPUTED_VALUE"""),"BLACK")</f>
        <v>BLACK</v>
      </c>
      <c r="G8384" s="20" t="str">
        <f>IFERROR(__xludf.DUMMYFUNCTION("""COMPUTED_VALUE"""),"Uncle Sams Cider (11/12/2021) 02")</f>
        <v>Uncle Sams Cider (11/12/2021) 02</v>
      </c>
      <c r="H8384" s="19"/>
    </row>
    <row r="8385">
      <c r="A8385" s="9"/>
      <c r="B8385" s="15"/>
      <c r="C8385" s="9">
        <f>IFERROR(__xludf.DUMMYFUNCTION("""COMPUTED_VALUE"""),44517.165591331)</f>
        <v>44517.16559</v>
      </c>
      <c r="D8385" s="15">
        <f>IFERROR(__xludf.DUMMYFUNCTION("""COMPUTED_VALUE"""),1.084)</f>
        <v>1.084</v>
      </c>
      <c r="E8385" s="16">
        <f>IFERROR(__xludf.DUMMYFUNCTION("""COMPUTED_VALUE"""),68.0)</f>
        <v>68</v>
      </c>
      <c r="F8385" s="19" t="str">
        <f>IFERROR(__xludf.DUMMYFUNCTION("""COMPUTED_VALUE"""),"BLACK")</f>
        <v>BLACK</v>
      </c>
      <c r="G8385" s="20" t="str">
        <f>IFERROR(__xludf.DUMMYFUNCTION("""COMPUTED_VALUE"""),"Uncle Sams Cider (11/12/2021) 02")</f>
        <v>Uncle Sams Cider (11/12/2021) 02</v>
      </c>
      <c r="H8385" s="19"/>
    </row>
    <row r="8386">
      <c r="A8386" s="9"/>
      <c r="B8386" s="15"/>
      <c r="C8386" s="9">
        <f>IFERROR(__xludf.DUMMYFUNCTION("""COMPUTED_VALUE"""),44517.1551692476)</f>
        <v>44517.15517</v>
      </c>
      <c r="D8386" s="15">
        <f>IFERROR(__xludf.DUMMYFUNCTION("""COMPUTED_VALUE"""),1.084)</f>
        <v>1.084</v>
      </c>
      <c r="E8386" s="16">
        <f>IFERROR(__xludf.DUMMYFUNCTION("""COMPUTED_VALUE"""),68.0)</f>
        <v>68</v>
      </c>
      <c r="F8386" s="19" t="str">
        <f>IFERROR(__xludf.DUMMYFUNCTION("""COMPUTED_VALUE"""),"BLACK")</f>
        <v>BLACK</v>
      </c>
      <c r="G8386" s="20" t="str">
        <f>IFERROR(__xludf.DUMMYFUNCTION("""COMPUTED_VALUE"""),"Uncle Sams Cider (11/12/2021) 02")</f>
        <v>Uncle Sams Cider (11/12/2021) 02</v>
      </c>
      <c r="H8386" s="19"/>
    </row>
    <row r="8387">
      <c r="A8387" s="9"/>
      <c r="B8387" s="15"/>
      <c r="C8387" s="9">
        <f>IFERROR(__xludf.DUMMYFUNCTION("""COMPUTED_VALUE"""),44517.1447478935)</f>
        <v>44517.14475</v>
      </c>
      <c r="D8387" s="15">
        <f>IFERROR(__xludf.DUMMYFUNCTION("""COMPUTED_VALUE"""),1.084)</f>
        <v>1.084</v>
      </c>
      <c r="E8387" s="16">
        <f>IFERROR(__xludf.DUMMYFUNCTION("""COMPUTED_VALUE"""),68.0)</f>
        <v>68</v>
      </c>
      <c r="F8387" s="19" t="str">
        <f>IFERROR(__xludf.DUMMYFUNCTION("""COMPUTED_VALUE"""),"BLACK")</f>
        <v>BLACK</v>
      </c>
      <c r="G8387" s="20" t="str">
        <f>IFERROR(__xludf.DUMMYFUNCTION("""COMPUTED_VALUE"""),"Uncle Sams Cider (11/12/2021) 02")</f>
        <v>Uncle Sams Cider (11/12/2021) 02</v>
      </c>
      <c r="H8387" s="19"/>
    </row>
    <row r="8388">
      <c r="A8388" s="9"/>
      <c r="B8388" s="15"/>
      <c r="C8388" s="9">
        <f>IFERROR(__xludf.DUMMYFUNCTION("""COMPUTED_VALUE"""),44517.1343278356)</f>
        <v>44517.13433</v>
      </c>
      <c r="D8388" s="15">
        <f>IFERROR(__xludf.DUMMYFUNCTION("""COMPUTED_VALUE"""),1.084)</f>
        <v>1.084</v>
      </c>
      <c r="E8388" s="16">
        <f>IFERROR(__xludf.DUMMYFUNCTION("""COMPUTED_VALUE"""),68.0)</f>
        <v>68</v>
      </c>
      <c r="F8388" s="19" t="str">
        <f>IFERROR(__xludf.DUMMYFUNCTION("""COMPUTED_VALUE"""),"BLACK")</f>
        <v>BLACK</v>
      </c>
      <c r="G8388" s="20" t="str">
        <f>IFERROR(__xludf.DUMMYFUNCTION("""COMPUTED_VALUE"""),"Uncle Sams Cider (11/12/2021) 02")</f>
        <v>Uncle Sams Cider (11/12/2021) 02</v>
      </c>
      <c r="H8388" s="19"/>
    </row>
    <row r="8389">
      <c r="A8389" s="9"/>
      <c r="B8389" s="15"/>
      <c r="C8389" s="9">
        <f>IFERROR(__xludf.DUMMYFUNCTION("""COMPUTED_VALUE"""),44517.1239068634)</f>
        <v>44517.12391</v>
      </c>
      <c r="D8389" s="15">
        <f>IFERROR(__xludf.DUMMYFUNCTION("""COMPUTED_VALUE"""),1.084)</f>
        <v>1.084</v>
      </c>
      <c r="E8389" s="16">
        <f>IFERROR(__xludf.DUMMYFUNCTION("""COMPUTED_VALUE"""),68.0)</f>
        <v>68</v>
      </c>
      <c r="F8389" s="19" t="str">
        <f>IFERROR(__xludf.DUMMYFUNCTION("""COMPUTED_VALUE"""),"BLACK")</f>
        <v>BLACK</v>
      </c>
      <c r="G8389" s="20" t="str">
        <f>IFERROR(__xludf.DUMMYFUNCTION("""COMPUTED_VALUE"""),"Uncle Sams Cider (11/12/2021) 02")</f>
        <v>Uncle Sams Cider (11/12/2021) 02</v>
      </c>
      <c r="H8389" s="19"/>
    </row>
    <row r="8390">
      <c r="A8390" s="9"/>
      <c r="B8390" s="15"/>
      <c r="C8390" s="9">
        <f>IFERROR(__xludf.DUMMYFUNCTION("""COMPUTED_VALUE"""),44517.1134859374)</f>
        <v>44517.11349</v>
      </c>
      <c r="D8390" s="15">
        <f>IFERROR(__xludf.DUMMYFUNCTION("""COMPUTED_VALUE"""),1.084)</f>
        <v>1.084</v>
      </c>
      <c r="E8390" s="16">
        <f>IFERROR(__xludf.DUMMYFUNCTION("""COMPUTED_VALUE"""),68.0)</f>
        <v>68</v>
      </c>
      <c r="F8390" s="19" t="str">
        <f>IFERROR(__xludf.DUMMYFUNCTION("""COMPUTED_VALUE"""),"BLACK")</f>
        <v>BLACK</v>
      </c>
      <c r="G8390" s="20" t="str">
        <f>IFERROR(__xludf.DUMMYFUNCTION("""COMPUTED_VALUE"""),"Uncle Sams Cider (11/12/2021) 02")</f>
        <v>Uncle Sams Cider (11/12/2021) 02</v>
      </c>
      <c r="H8390" s="19"/>
    </row>
    <row r="8391">
      <c r="A8391" s="9"/>
      <c r="B8391" s="15"/>
      <c r="C8391" s="9">
        <f>IFERROR(__xludf.DUMMYFUNCTION("""COMPUTED_VALUE"""),44517.1030536921)</f>
        <v>44517.10305</v>
      </c>
      <c r="D8391" s="15">
        <f>IFERROR(__xludf.DUMMYFUNCTION("""COMPUTED_VALUE"""),1.084)</f>
        <v>1.084</v>
      </c>
      <c r="E8391" s="16">
        <f>IFERROR(__xludf.DUMMYFUNCTION("""COMPUTED_VALUE"""),68.0)</f>
        <v>68</v>
      </c>
      <c r="F8391" s="19" t="str">
        <f>IFERROR(__xludf.DUMMYFUNCTION("""COMPUTED_VALUE"""),"BLACK")</f>
        <v>BLACK</v>
      </c>
      <c r="G8391" s="20" t="str">
        <f>IFERROR(__xludf.DUMMYFUNCTION("""COMPUTED_VALUE"""),"Uncle Sams Cider (11/12/2021) 02")</f>
        <v>Uncle Sams Cider (11/12/2021) 02</v>
      </c>
      <c r="H8391" s="19"/>
    </row>
    <row r="8392">
      <c r="A8392" s="9"/>
      <c r="B8392" s="15"/>
      <c r="C8392" s="9">
        <f>IFERROR(__xludf.DUMMYFUNCTION("""COMPUTED_VALUE"""),44517.0926203587)</f>
        <v>44517.09262</v>
      </c>
      <c r="D8392" s="15">
        <f>IFERROR(__xludf.DUMMYFUNCTION("""COMPUTED_VALUE"""),1.085)</f>
        <v>1.085</v>
      </c>
      <c r="E8392" s="16">
        <f>IFERROR(__xludf.DUMMYFUNCTION("""COMPUTED_VALUE"""),68.0)</f>
        <v>68</v>
      </c>
      <c r="F8392" s="19" t="str">
        <f>IFERROR(__xludf.DUMMYFUNCTION("""COMPUTED_VALUE"""),"BLACK")</f>
        <v>BLACK</v>
      </c>
      <c r="G8392" s="20" t="str">
        <f>IFERROR(__xludf.DUMMYFUNCTION("""COMPUTED_VALUE"""),"Uncle Sams Cider (11/12/2021) 02")</f>
        <v>Uncle Sams Cider (11/12/2021) 02</v>
      </c>
      <c r="H8392" s="19"/>
    </row>
    <row r="8393">
      <c r="A8393" s="9"/>
      <c r="B8393" s="15"/>
      <c r="C8393" s="9">
        <f>IFERROR(__xludf.DUMMYFUNCTION("""COMPUTED_VALUE"""),44517.0821995023)</f>
        <v>44517.0822</v>
      </c>
      <c r="D8393" s="15">
        <f>IFERROR(__xludf.DUMMYFUNCTION("""COMPUTED_VALUE"""),1.085)</f>
        <v>1.085</v>
      </c>
      <c r="E8393" s="16">
        <f>IFERROR(__xludf.DUMMYFUNCTION("""COMPUTED_VALUE"""),68.0)</f>
        <v>68</v>
      </c>
      <c r="F8393" s="19" t="str">
        <f>IFERROR(__xludf.DUMMYFUNCTION("""COMPUTED_VALUE"""),"BLACK")</f>
        <v>BLACK</v>
      </c>
      <c r="G8393" s="20" t="str">
        <f>IFERROR(__xludf.DUMMYFUNCTION("""COMPUTED_VALUE"""),"Uncle Sams Cider (11/12/2021) 02")</f>
        <v>Uncle Sams Cider (11/12/2021) 02</v>
      </c>
      <c r="H8393" s="19"/>
    </row>
    <row r="8394">
      <c r="A8394" s="9"/>
      <c r="B8394" s="15"/>
      <c r="C8394" s="9">
        <f>IFERROR(__xludf.DUMMYFUNCTION("""COMPUTED_VALUE"""),44517.0717776504)</f>
        <v>44517.07178</v>
      </c>
      <c r="D8394" s="15">
        <f>IFERROR(__xludf.DUMMYFUNCTION("""COMPUTED_VALUE"""),1.085)</f>
        <v>1.085</v>
      </c>
      <c r="E8394" s="16">
        <f>IFERROR(__xludf.DUMMYFUNCTION("""COMPUTED_VALUE"""),68.0)</f>
        <v>68</v>
      </c>
      <c r="F8394" s="19" t="str">
        <f>IFERROR(__xludf.DUMMYFUNCTION("""COMPUTED_VALUE"""),"BLACK")</f>
        <v>BLACK</v>
      </c>
      <c r="G8394" s="20" t="str">
        <f>IFERROR(__xludf.DUMMYFUNCTION("""COMPUTED_VALUE"""),"Uncle Sams Cider (11/12/2021) 02")</f>
        <v>Uncle Sams Cider (11/12/2021) 02</v>
      </c>
      <c r="H8394" s="19"/>
    </row>
    <row r="8395">
      <c r="A8395" s="9"/>
      <c r="B8395" s="15"/>
      <c r="C8395" s="9">
        <f>IFERROR(__xludf.DUMMYFUNCTION("""COMPUTED_VALUE"""),44517.0613562384)</f>
        <v>44517.06136</v>
      </c>
      <c r="D8395" s="15">
        <f>IFERROR(__xludf.DUMMYFUNCTION("""COMPUTED_VALUE"""),1.085)</f>
        <v>1.085</v>
      </c>
      <c r="E8395" s="16">
        <f>IFERROR(__xludf.DUMMYFUNCTION("""COMPUTED_VALUE"""),68.0)</f>
        <v>68</v>
      </c>
      <c r="F8395" s="19" t="str">
        <f>IFERROR(__xludf.DUMMYFUNCTION("""COMPUTED_VALUE"""),"BLACK")</f>
        <v>BLACK</v>
      </c>
      <c r="G8395" s="20" t="str">
        <f>IFERROR(__xludf.DUMMYFUNCTION("""COMPUTED_VALUE"""),"Uncle Sams Cider (11/12/2021) 02")</f>
        <v>Uncle Sams Cider (11/12/2021) 02</v>
      </c>
      <c r="H8395" s="19"/>
    </row>
    <row r="8396">
      <c r="A8396" s="9"/>
      <c r="B8396" s="15"/>
      <c r="C8396" s="9">
        <f>IFERROR(__xludf.DUMMYFUNCTION("""COMPUTED_VALUE"""),44517.0509337615)</f>
        <v>44517.05093</v>
      </c>
      <c r="D8396" s="15">
        <f>IFERROR(__xludf.DUMMYFUNCTION("""COMPUTED_VALUE"""),1.085)</f>
        <v>1.085</v>
      </c>
      <c r="E8396" s="16">
        <f>IFERROR(__xludf.DUMMYFUNCTION("""COMPUTED_VALUE"""),68.0)</f>
        <v>68</v>
      </c>
      <c r="F8396" s="19" t="str">
        <f>IFERROR(__xludf.DUMMYFUNCTION("""COMPUTED_VALUE"""),"BLACK")</f>
        <v>BLACK</v>
      </c>
      <c r="G8396" s="20" t="str">
        <f>IFERROR(__xludf.DUMMYFUNCTION("""COMPUTED_VALUE"""),"Uncle Sams Cider (11/12/2021) 02")</f>
        <v>Uncle Sams Cider (11/12/2021) 02</v>
      </c>
      <c r="H8396" s="19"/>
    </row>
    <row r="8397">
      <c r="A8397" s="9"/>
      <c r="B8397" s="15"/>
      <c r="C8397" s="9">
        <f>IFERROR(__xludf.DUMMYFUNCTION("""COMPUTED_VALUE"""),44517.040512118)</f>
        <v>44517.04051</v>
      </c>
      <c r="D8397" s="15">
        <f>IFERROR(__xludf.DUMMYFUNCTION("""COMPUTED_VALUE"""),1.085)</f>
        <v>1.085</v>
      </c>
      <c r="E8397" s="16">
        <f>IFERROR(__xludf.DUMMYFUNCTION("""COMPUTED_VALUE"""),68.0)</f>
        <v>68</v>
      </c>
      <c r="F8397" s="19" t="str">
        <f>IFERROR(__xludf.DUMMYFUNCTION("""COMPUTED_VALUE"""),"BLACK")</f>
        <v>BLACK</v>
      </c>
      <c r="G8397" s="20" t="str">
        <f>IFERROR(__xludf.DUMMYFUNCTION("""COMPUTED_VALUE"""),"Uncle Sams Cider (11/12/2021) 02")</f>
        <v>Uncle Sams Cider (11/12/2021) 02</v>
      </c>
      <c r="H8397" s="19"/>
    </row>
    <row r="8398">
      <c r="A8398" s="9"/>
      <c r="B8398" s="15"/>
      <c r="C8398" s="9">
        <f>IFERROR(__xludf.DUMMYFUNCTION("""COMPUTED_VALUE"""),44517.0300556249)</f>
        <v>44517.03006</v>
      </c>
      <c r="D8398" s="15">
        <f>IFERROR(__xludf.DUMMYFUNCTION("""COMPUTED_VALUE"""),1.085)</f>
        <v>1.085</v>
      </c>
      <c r="E8398" s="16">
        <f>IFERROR(__xludf.DUMMYFUNCTION("""COMPUTED_VALUE"""),68.0)</f>
        <v>68</v>
      </c>
      <c r="F8398" s="19" t="str">
        <f>IFERROR(__xludf.DUMMYFUNCTION("""COMPUTED_VALUE"""),"BLACK")</f>
        <v>BLACK</v>
      </c>
      <c r="G8398" s="20" t="str">
        <f>IFERROR(__xludf.DUMMYFUNCTION("""COMPUTED_VALUE"""),"Uncle Sams Cider (11/12/2021) 02")</f>
        <v>Uncle Sams Cider (11/12/2021) 02</v>
      </c>
      <c r="H8398" s="19"/>
    </row>
    <row r="8399">
      <c r="A8399" s="9"/>
      <c r="B8399" s="15"/>
      <c r="C8399" s="9">
        <f>IFERROR(__xludf.DUMMYFUNCTION("""COMPUTED_VALUE"""),44517.0196351273)</f>
        <v>44517.01964</v>
      </c>
      <c r="D8399" s="15">
        <f>IFERROR(__xludf.DUMMYFUNCTION("""COMPUTED_VALUE"""),1.085)</f>
        <v>1.085</v>
      </c>
      <c r="E8399" s="16">
        <f>IFERROR(__xludf.DUMMYFUNCTION("""COMPUTED_VALUE"""),68.0)</f>
        <v>68</v>
      </c>
      <c r="F8399" s="19" t="str">
        <f>IFERROR(__xludf.DUMMYFUNCTION("""COMPUTED_VALUE"""),"BLACK")</f>
        <v>BLACK</v>
      </c>
      <c r="G8399" s="20" t="str">
        <f>IFERROR(__xludf.DUMMYFUNCTION("""COMPUTED_VALUE"""),"Uncle Sams Cider (11/12/2021) 02")</f>
        <v>Uncle Sams Cider (11/12/2021) 02</v>
      </c>
      <c r="H8399" s="19"/>
    </row>
    <row r="8400">
      <c r="A8400" s="9"/>
      <c r="B8400" s="15"/>
      <c r="C8400" s="9">
        <f>IFERROR(__xludf.DUMMYFUNCTION("""COMPUTED_VALUE"""),44517.0092139699)</f>
        <v>44517.00921</v>
      </c>
      <c r="D8400" s="15">
        <f>IFERROR(__xludf.DUMMYFUNCTION("""COMPUTED_VALUE"""),1.085)</f>
        <v>1.085</v>
      </c>
      <c r="E8400" s="16">
        <f>IFERROR(__xludf.DUMMYFUNCTION("""COMPUTED_VALUE"""),68.0)</f>
        <v>68</v>
      </c>
      <c r="F8400" s="19" t="str">
        <f>IFERROR(__xludf.DUMMYFUNCTION("""COMPUTED_VALUE"""),"BLACK")</f>
        <v>BLACK</v>
      </c>
      <c r="G8400" s="20" t="str">
        <f>IFERROR(__xludf.DUMMYFUNCTION("""COMPUTED_VALUE"""),"Uncle Sams Cider (11/12/2021) 02")</f>
        <v>Uncle Sams Cider (11/12/2021) 02</v>
      </c>
      <c r="H8400" s="19"/>
    </row>
    <row r="8401">
      <c r="A8401" s="9"/>
      <c r="B8401" s="15"/>
      <c r="C8401" s="9">
        <f>IFERROR(__xludf.DUMMYFUNCTION("""COMPUTED_VALUE"""),44516.998793449)</f>
        <v>44516.99879</v>
      </c>
      <c r="D8401" s="15">
        <f>IFERROR(__xludf.DUMMYFUNCTION("""COMPUTED_VALUE"""),1.085)</f>
        <v>1.085</v>
      </c>
      <c r="E8401" s="16">
        <f>IFERROR(__xludf.DUMMYFUNCTION("""COMPUTED_VALUE"""),68.0)</f>
        <v>68</v>
      </c>
      <c r="F8401" s="19" t="str">
        <f>IFERROR(__xludf.DUMMYFUNCTION("""COMPUTED_VALUE"""),"BLACK")</f>
        <v>BLACK</v>
      </c>
      <c r="G8401" s="20" t="str">
        <f>IFERROR(__xludf.DUMMYFUNCTION("""COMPUTED_VALUE"""),"Uncle Sams Cider (11/12/2021) 02")</f>
        <v>Uncle Sams Cider (11/12/2021) 02</v>
      </c>
      <c r="H8401" s="19"/>
    </row>
    <row r="8402">
      <c r="A8402" s="9"/>
      <c r="B8402" s="15"/>
      <c r="C8402" s="9">
        <f>IFERROR(__xludf.DUMMYFUNCTION("""COMPUTED_VALUE"""),44516.9883717245)</f>
        <v>44516.98837</v>
      </c>
      <c r="D8402" s="15">
        <f>IFERROR(__xludf.DUMMYFUNCTION("""COMPUTED_VALUE"""),1.085)</f>
        <v>1.085</v>
      </c>
      <c r="E8402" s="16">
        <f>IFERROR(__xludf.DUMMYFUNCTION("""COMPUTED_VALUE"""),68.0)</f>
        <v>68</v>
      </c>
      <c r="F8402" s="19" t="str">
        <f>IFERROR(__xludf.DUMMYFUNCTION("""COMPUTED_VALUE"""),"BLACK")</f>
        <v>BLACK</v>
      </c>
      <c r="G8402" s="20" t="str">
        <f>IFERROR(__xludf.DUMMYFUNCTION("""COMPUTED_VALUE"""),"Uncle Sams Cider (11/12/2021) 02")</f>
        <v>Uncle Sams Cider (11/12/2021) 02</v>
      </c>
      <c r="H8402" s="19"/>
    </row>
    <row r="8403">
      <c r="A8403" s="9"/>
      <c r="B8403" s="15"/>
      <c r="C8403" s="9">
        <f>IFERROR(__xludf.DUMMYFUNCTION("""COMPUTED_VALUE"""),44516.9779495254)</f>
        <v>44516.97795</v>
      </c>
      <c r="D8403" s="15">
        <f>IFERROR(__xludf.DUMMYFUNCTION("""COMPUTED_VALUE"""),1.085)</f>
        <v>1.085</v>
      </c>
      <c r="E8403" s="16">
        <f>IFERROR(__xludf.DUMMYFUNCTION("""COMPUTED_VALUE"""),68.0)</f>
        <v>68</v>
      </c>
      <c r="F8403" s="19" t="str">
        <f>IFERROR(__xludf.DUMMYFUNCTION("""COMPUTED_VALUE"""),"BLACK")</f>
        <v>BLACK</v>
      </c>
      <c r="G8403" s="20" t="str">
        <f>IFERROR(__xludf.DUMMYFUNCTION("""COMPUTED_VALUE"""),"Uncle Sams Cider (11/12/2021) 02")</f>
        <v>Uncle Sams Cider (11/12/2021) 02</v>
      </c>
      <c r="H8403" s="19"/>
    </row>
    <row r="8404">
      <c r="A8404" s="9"/>
      <c r="B8404" s="15"/>
      <c r="C8404" s="9">
        <f>IFERROR(__xludf.DUMMYFUNCTION("""COMPUTED_VALUE"""),44516.9675276388)</f>
        <v>44516.96753</v>
      </c>
      <c r="D8404" s="15">
        <f>IFERROR(__xludf.DUMMYFUNCTION("""COMPUTED_VALUE"""),1.085)</f>
        <v>1.085</v>
      </c>
      <c r="E8404" s="16">
        <f>IFERROR(__xludf.DUMMYFUNCTION("""COMPUTED_VALUE"""),68.0)</f>
        <v>68</v>
      </c>
      <c r="F8404" s="19" t="str">
        <f>IFERROR(__xludf.DUMMYFUNCTION("""COMPUTED_VALUE"""),"BLACK")</f>
        <v>BLACK</v>
      </c>
      <c r="G8404" s="20" t="str">
        <f>IFERROR(__xludf.DUMMYFUNCTION("""COMPUTED_VALUE"""),"Uncle Sams Cider (11/12/2021) 02")</f>
        <v>Uncle Sams Cider (11/12/2021) 02</v>
      </c>
      <c r="H8404" s="19"/>
    </row>
    <row r="8405">
      <c r="A8405" s="9"/>
      <c r="B8405" s="15"/>
      <c r="C8405" s="9">
        <f>IFERROR(__xludf.DUMMYFUNCTION("""COMPUTED_VALUE"""),44516.9570818402)</f>
        <v>44516.95708</v>
      </c>
      <c r="D8405" s="15">
        <f>IFERROR(__xludf.DUMMYFUNCTION("""COMPUTED_VALUE"""),1.085)</f>
        <v>1.085</v>
      </c>
      <c r="E8405" s="16">
        <f>IFERROR(__xludf.DUMMYFUNCTION("""COMPUTED_VALUE"""),68.0)</f>
        <v>68</v>
      </c>
      <c r="F8405" s="19" t="str">
        <f>IFERROR(__xludf.DUMMYFUNCTION("""COMPUTED_VALUE"""),"BLACK")</f>
        <v>BLACK</v>
      </c>
      <c r="G8405" s="20" t="str">
        <f>IFERROR(__xludf.DUMMYFUNCTION("""COMPUTED_VALUE"""),"Uncle Sams Cider (11/12/2021) 02")</f>
        <v>Uncle Sams Cider (11/12/2021) 02</v>
      </c>
      <c r="H8405" s="19"/>
    </row>
    <row r="8406">
      <c r="A8406" s="9"/>
      <c r="B8406" s="15"/>
      <c r="C8406" s="9">
        <f>IFERROR(__xludf.DUMMYFUNCTION("""COMPUTED_VALUE"""),44516.9466610416)</f>
        <v>44516.94666</v>
      </c>
      <c r="D8406" s="15">
        <f>IFERROR(__xludf.DUMMYFUNCTION("""COMPUTED_VALUE"""),1.086)</f>
        <v>1.086</v>
      </c>
      <c r="E8406" s="16">
        <f>IFERROR(__xludf.DUMMYFUNCTION("""COMPUTED_VALUE"""),68.0)</f>
        <v>68</v>
      </c>
      <c r="F8406" s="19" t="str">
        <f>IFERROR(__xludf.DUMMYFUNCTION("""COMPUTED_VALUE"""),"BLACK")</f>
        <v>BLACK</v>
      </c>
      <c r="G8406" s="20" t="str">
        <f>IFERROR(__xludf.DUMMYFUNCTION("""COMPUTED_VALUE"""),"Uncle Sams Cider (11/12/2021) 02")</f>
        <v>Uncle Sams Cider (11/12/2021) 02</v>
      </c>
      <c r="H8406" s="19"/>
    </row>
    <row r="8407">
      <c r="A8407" s="9"/>
      <c r="B8407" s="15"/>
      <c r="C8407" s="9">
        <f>IFERROR(__xludf.DUMMYFUNCTION("""COMPUTED_VALUE"""),44516.9362405324)</f>
        <v>44516.93624</v>
      </c>
      <c r="D8407" s="15">
        <f>IFERROR(__xludf.DUMMYFUNCTION("""COMPUTED_VALUE"""),1.086)</f>
        <v>1.086</v>
      </c>
      <c r="E8407" s="16">
        <f>IFERROR(__xludf.DUMMYFUNCTION("""COMPUTED_VALUE"""),68.0)</f>
        <v>68</v>
      </c>
      <c r="F8407" s="19" t="str">
        <f>IFERROR(__xludf.DUMMYFUNCTION("""COMPUTED_VALUE"""),"BLACK")</f>
        <v>BLACK</v>
      </c>
      <c r="G8407" s="20" t="str">
        <f>IFERROR(__xludf.DUMMYFUNCTION("""COMPUTED_VALUE"""),"Uncle Sams Cider (11/12/2021) 02")</f>
        <v>Uncle Sams Cider (11/12/2021) 02</v>
      </c>
      <c r="H8407" s="19"/>
    </row>
    <row r="8408">
      <c r="A8408" s="9"/>
      <c r="B8408" s="15"/>
      <c r="C8408" s="9">
        <f>IFERROR(__xludf.DUMMYFUNCTION("""COMPUTED_VALUE"""),44516.9258207754)</f>
        <v>44516.92582</v>
      </c>
      <c r="D8408" s="15">
        <f>IFERROR(__xludf.DUMMYFUNCTION("""COMPUTED_VALUE"""),1.086)</f>
        <v>1.086</v>
      </c>
      <c r="E8408" s="16">
        <f>IFERROR(__xludf.DUMMYFUNCTION("""COMPUTED_VALUE"""),68.0)</f>
        <v>68</v>
      </c>
      <c r="F8408" s="19" t="str">
        <f>IFERROR(__xludf.DUMMYFUNCTION("""COMPUTED_VALUE"""),"BLACK")</f>
        <v>BLACK</v>
      </c>
      <c r="G8408" s="20" t="str">
        <f>IFERROR(__xludf.DUMMYFUNCTION("""COMPUTED_VALUE"""),"Uncle Sams Cider (11/12/2021) 02")</f>
        <v>Uncle Sams Cider (11/12/2021) 02</v>
      </c>
      <c r="H8408" s="19"/>
    </row>
    <row r="8409">
      <c r="A8409" s="9"/>
      <c r="B8409" s="15"/>
      <c r="C8409" s="9">
        <f>IFERROR(__xludf.DUMMYFUNCTION("""COMPUTED_VALUE"""),44516.9153992129)</f>
        <v>44516.9154</v>
      </c>
      <c r="D8409" s="15">
        <f>IFERROR(__xludf.DUMMYFUNCTION("""COMPUTED_VALUE"""),1.086)</f>
        <v>1.086</v>
      </c>
      <c r="E8409" s="16">
        <f>IFERROR(__xludf.DUMMYFUNCTION("""COMPUTED_VALUE"""),68.0)</f>
        <v>68</v>
      </c>
      <c r="F8409" s="19" t="str">
        <f>IFERROR(__xludf.DUMMYFUNCTION("""COMPUTED_VALUE"""),"BLACK")</f>
        <v>BLACK</v>
      </c>
      <c r="G8409" s="20" t="str">
        <f>IFERROR(__xludf.DUMMYFUNCTION("""COMPUTED_VALUE"""),"Uncle Sams Cider (11/12/2021) 02")</f>
        <v>Uncle Sams Cider (11/12/2021) 02</v>
      </c>
      <c r="H8409" s="19"/>
    </row>
    <row r="8410">
      <c r="A8410" s="9"/>
      <c r="B8410" s="15"/>
      <c r="C8410" s="9">
        <f>IFERROR(__xludf.DUMMYFUNCTION("""COMPUTED_VALUE"""),44516.9049774305)</f>
        <v>44516.90498</v>
      </c>
      <c r="D8410" s="15">
        <f>IFERROR(__xludf.DUMMYFUNCTION("""COMPUTED_VALUE"""),1.086)</f>
        <v>1.086</v>
      </c>
      <c r="E8410" s="16">
        <f>IFERROR(__xludf.DUMMYFUNCTION("""COMPUTED_VALUE"""),68.0)</f>
        <v>68</v>
      </c>
      <c r="F8410" s="19" t="str">
        <f>IFERROR(__xludf.DUMMYFUNCTION("""COMPUTED_VALUE"""),"BLACK")</f>
        <v>BLACK</v>
      </c>
      <c r="G8410" s="20" t="str">
        <f>IFERROR(__xludf.DUMMYFUNCTION("""COMPUTED_VALUE"""),"Uncle Sams Cider (11/12/2021) 02")</f>
        <v>Uncle Sams Cider (11/12/2021) 02</v>
      </c>
      <c r="H8410" s="19"/>
    </row>
    <row r="8411">
      <c r="A8411" s="9"/>
      <c r="B8411" s="15"/>
      <c r="C8411" s="9">
        <f>IFERROR(__xludf.DUMMYFUNCTION("""COMPUTED_VALUE"""),44516.8945552314)</f>
        <v>44516.89456</v>
      </c>
      <c r="D8411" s="15">
        <f>IFERROR(__xludf.DUMMYFUNCTION("""COMPUTED_VALUE"""),1.086)</f>
        <v>1.086</v>
      </c>
      <c r="E8411" s="16">
        <f>IFERROR(__xludf.DUMMYFUNCTION("""COMPUTED_VALUE"""),68.0)</f>
        <v>68</v>
      </c>
      <c r="F8411" s="19" t="str">
        <f>IFERROR(__xludf.DUMMYFUNCTION("""COMPUTED_VALUE"""),"BLACK")</f>
        <v>BLACK</v>
      </c>
      <c r="G8411" s="20" t="str">
        <f>IFERROR(__xludf.DUMMYFUNCTION("""COMPUTED_VALUE"""),"Uncle Sams Cider (11/12/2021) 02")</f>
        <v>Uncle Sams Cider (11/12/2021) 02</v>
      </c>
      <c r="H8411" s="19"/>
    </row>
    <row r="8412">
      <c r="A8412" s="9"/>
      <c r="B8412" s="15"/>
      <c r="C8412" s="9">
        <f>IFERROR(__xludf.DUMMYFUNCTION("""COMPUTED_VALUE"""),44516.8841328935)</f>
        <v>44516.88413</v>
      </c>
      <c r="D8412" s="15">
        <f>IFERROR(__xludf.DUMMYFUNCTION("""COMPUTED_VALUE"""),1.086)</f>
        <v>1.086</v>
      </c>
      <c r="E8412" s="16">
        <f>IFERROR(__xludf.DUMMYFUNCTION("""COMPUTED_VALUE"""),68.0)</f>
        <v>68</v>
      </c>
      <c r="F8412" s="19" t="str">
        <f>IFERROR(__xludf.DUMMYFUNCTION("""COMPUTED_VALUE"""),"BLACK")</f>
        <v>BLACK</v>
      </c>
      <c r="G8412" s="20" t="str">
        <f>IFERROR(__xludf.DUMMYFUNCTION("""COMPUTED_VALUE"""),"Uncle Sams Cider (11/12/2021) 02")</f>
        <v>Uncle Sams Cider (11/12/2021) 02</v>
      </c>
      <c r="H8412" s="19"/>
    </row>
    <row r="8413">
      <c r="A8413" s="9"/>
      <c r="B8413" s="15"/>
      <c r="C8413" s="9">
        <f>IFERROR(__xludf.DUMMYFUNCTION("""COMPUTED_VALUE"""),44516.8737105787)</f>
        <v>44516.87371</v>
      </c>
      <c r="D8413" s="15">
        <f>IFERROR(__xludf.DUMMYFUNCTION("""COMPUTED_VALUE"""),1.086)</f>
        <v>1.086</v>
      </c>
      <c r="E8413" s="16">
        <f>IFERROR(__xludf.DUMMYFUNCTION("""COMPUTED_VALUE"""),68.0)</f>
        <v>68</v>
      </c>
      <c r="F8413" s="19" t="str">
        <f>IFERROR(__xludf.DUMMYFUNCTION("""COMPUTED_VALUE"""),"BLACK")</f>
        <v>BLACK</v>
      </c>
      <c r="G8413" s="20" t="str">
        <f>IFERROR(__xludf.DUMMYFUNCTION("""COMPUTED_VALUE"""),"Uncle Sams Cider (11/12/2021) 02")</f>
        <v>Uncle Sams Cider (11/12/2021) 02</v>
      </c>
      <c r="H8413" s="19"/>
    </row>
    <row r="8414">
      <c r="A8414" s="9"/>
      <c r="B8414" s="15"/>
      <c r="C8414" s="9">
        <f>IFERROR(__xludf.DUMMYFUNCTION("""COMPUTED_VALUE"""),44516.8632892013)</f>
        <v>44516.86329</v>
      </c>
      <c r="D8414" s="15">
        <f>IFERROR(__xludf.DUMMYFUNCTION("""COMPUTED_VALUE"""),1.086)</f>
        <v>1.086</v>
      </c>
      <c r="E8414" s="16">
        <f>IFERROR(__xludf.DUMMYFUNCTION("""COMPUTED_VALUE"""),68.0)</f>
        <v>68</v>
      </c>
      <c r="F8414" s="19" t="str">
        <f>IFERROR(__xludf.DUMMYFUNCTION("""COMPUTED_VALUE"""),"BLACK")</f>
        <v>BLACK</v>
      </c>
      <c r="G8414" s="20" t="str">
        <f>IFERROR(__xludf.DUMMYFUNCTION("""COMPUTED_VALUE"""),"Uncle Sams Cider (11/12/2021) 02")</f>
        <v>Uncle Sams Cider (11/12/2021) 02</v>
      </c>
      <c r="H8414" s="19"/>
    </row>
    <row r="8415">
      <c r="A8415" s="9"/>
      <c r="B8415" s="15"/>
      <c r="C8415" s="9">
        <f>IFERROR(__xludf.DUMMYFUNCTION("""COMPUTED_VALUE"""),44516.8528665046)</f>
        <v>44516.85287</v>
      </c>
      <c r="D8415" s="15">
        <f>IFERROR(__xludf.DUMMYFUNCTION("""COMPUTED_VALUE"""),1.086)</f>
        <v>1.086</v>
      </c>
      <c r="E8415" s="16">
        <f>IFERROR(__xludf.DUMMYFUNCTION("""COMPUTED_VALUE"""),68.0)</f>
        <v>68</v>
      </c>
      <c r="F8415" s="19" t="str">
        <f>IFERROR(__xludf.DUMMYFUNCTION("""COMPUTED_VALUE"""),"BLACK")</f>
        <v>BLACK</v>
      </c>
      <c r="G8415" s="20" t="str">
        <f>IFERROR(__xludf.DUMMYFUNCTION("""COMPUTED_VALUE"""),"Uncle Sams Cider (11/12/2021) 02")</f>
        <v>Uncle Sams Cider (11/12/2021) 02</v>
      </c>
      <c r="H8415" s="19"/>
    </row>
    <row r="8416">
      <c r="A8416" s="9"/>
      <c r="B8416" s="15"/>
      <c r="C8416" s="9">
        <f>IFERROR(__xludf.DUMMYFUNCTION("""COMPUTED_VALUE"""),44516.8424463541)</f>
        <v>44516.84245</v>
      </c>
      <c r="D8416" s="15">
        <f>IFERROR(__xludf.DUMMYFUNCTION("""COMPUTED_VALUE"""),1.086)</f>
        <v>1.086</v>
      </c>
      <c r="E8416" s="16">
        <f>IFERROR(__xludf.DUMMYFUNCTION("""COMPUTED_VALUE"""),68.0)</f>
        <v>68</v>
      </c>
      <c r="F8416" s="19" t="str">
        <f>IFERROR(__xludf.DUMMYFUNCTION("""COMPUTED_VALUE"""),"BLACK")</f>
        <v>BLACK</v>
      </c>
      <c r="G8416" s="20" t="str">
        <f>IFERROR(__xludf.DUMMYFUNCTION("""COMPUTED_VALUE"""),"Uncle Sams Cider (11/12/2021) 02")</f>
        <v>Uncle Sams Cider (11/12/2021) 02</v>
      </c>
      <c r="H8416" s="19"/>
    </row>
    <row r="8417">
      <c r="A8417" s="9"/>
      <c r="B8417" s="15"/>
      <c r="C8417" s="9">
        <f>IFERROR(__xludf.DUMMYFUNCTION("""COMPUTED_VALUE"""),44516.8320133449)</f>
        <v>44516.83201</v>
      </c>
      <c r="D8417" s="15">
        <f>IFERROR(__xludf.DUMMYFUNCTION("""COMPUTED_VALUE"""),1.086)</f>
        <v>1.086</v>
      </c>
      <c r="E8417" s="16">
        <f>IFERROR(__xludf.DUMMYFUNCTION("""COMPUTED_VALUE"""),68.0)</f>
        <v>68</v>
      </c>
      <c r="F8417" s="19" t="str">
        <f>IFERROR(__xludf.DUMMYFUNCTION("""COMPUTED_VALUE"""),"BLACK")</f>
        <v>BLACK</v>
      </c>
      <c r="G8417" s="20" t="str">
        <f>IFERROR(__xludf.DUMMYFUNCTION("""COMPUTED_VALUE"""),"Uncle Sams Cider (11/12/2021) 02")</f>
        <v>Uncle Sams Cider (11/12/2021) 02</v>
      </c>
      <c r="H8417" s="19"/>
    </row>
    <row r="8418">
      <c r="A8418" s="9"/>
      <c r="B8418" s="15"/>
      <c r="C8418" s="9">
        <f>IFERROR(__xludf.DUMMYFUNCTION("""COMPUTED_VALUE"""),44516.8215921296)</f>
        <v>44516.82159</v>
      </c>
      <c r="D8418" s="15">
        <f>IFERROR(__xludf.DUMMYFUNCTION("""COMPUTED_VALUE"""),1.086)</f>
        <v>1.086</v>
      </c>
      <c r="E8418" s="16">
        <f>IFERROR(__xludf.DUMMYFUNCTION("""COMPUTED_VALUE"""),68.0)</f>
        <v>68</v>
      </c>
      <c r="F8418" s="19" t="str">
        <f>IFERROR(__xludf.DUMMYFUNCTION("""COMPUTED_VALUE"""),"BLACK")</f>
        <v>BLACK</v>
      </c>
      <c r="G8418" s="20" t="str">
        <f>IFERROR(__xludf.DUMMYFUNCTION("""COMPUTED_VALUE"""),"Uncle Sams Cider (11/12/2021) 02")</f>
        <v>Uncle Sams Cider (11/12/2021) 02</v>
      </c>
      <c r="H8418" s="19"/>
    </row>
    <row r="8419">
      <c r="A8419" s="9"/>
      <c r="B8419" s="15"/>
      <c r="C8419" s="9">
        <f>IFERROR(__xludf.DUMMYFUNCTION("""COMPUTED_VALUE"""),44516.8111467592)</f>
        <v>44516.81115</v>
      </c>
      <c r="D8419" s="15">
        <f>IFERROR(__xludf.DUMMYFUNCTION("""COMPUTED_VALUE"""),1.086)</f>
        <v>1.086</v>
      </c>
      <c r="E8419" s="16">
        <f>IFERROR(__xludf.DUMMYFUNCTION("""COMPUTED_VALUE"""),68.0)</f>
        <v>68</v>
      </c>
      <c r="F8419" s="19" t="str">
        <f>IFERROR(__xludf.DUMMYFUNCTION("""COMPUTED_VALUE"""),"BLACK")</f>
        <v>BLACK</v>
      </c>
      <c r="G8419" s="20" t="str">
        <f>IFERROR(__xludf.DUMMYFUNCTION("""COMPUTED_VALUE"""),"Uncle Sams Cider (11/12/2021) 02")</f>
        <v>Uncle Sams Cider (11/12/2021) 02</v>
      </c>
      <c r="H8419" s="19"/>
    </row>
    <row r="8420">
      <c r="A8420" s="9"/>
      <c r="B8420" s="15"/>
      <c r="C8420" s="9">
        <f>IFERROR(__xludf.DUMMYFUNCTION("""COMPUTED_VALUE"""),44516.8007229976)</f>
        <v>44516.80072</v>
      </c>
      <c r="D8420" s="15">
        <f>IFERROR(__xludf.DUMMYFUNCTION("""COMPUTED_VALUE"""),1.087)</f>
        <v>1.087</v>
      </c>
      <c r="E8420" s="16">
        <f>IFERROR(__xludf.DUMMYFUNCTION("""COMPUTED_VALUE"""),68.0)</f>
        <v>68</v>
      </c>
      <c r="F8420" s="19" t="str">
        <f>IFERROR(__xludf.DUMMYFUNCTION("""COMPUTED_VALUE"""),"BLACK")</f>
        <v>BLACK</v>
      </c>
      <c r="G8420" s="20" t="str">
        <f>IFERROR(__xludf.DUMMYFUNCTION("""COMPUTED_VALUE"""),"Uncle Sams Cider (11/12/2021) 02")</f>
        <v>Uncle Sams Cider (11/12/2021) 02</v>
      </c>
      <c r="H8420" s="19"/>
    </row>
    <row r="8421">
      <c r="A8421" s="9"/>
      <c r="B8421" s="15"/>
      <c r="C8421" s="9">
        <f>IFERROR(__xludf.DUMMYFUNCTION("""COMPUTED_VALUE"""),44516.7902998958)</f>
        <v>44516.7903</v>
      </c>
      <c r="D8421" s="15">
        <f>IFERROR(__xludf.DUMMYFUNCTION("""COMPUTED_VALUE"""),1.086)</f>
        <v>1.086</v>
      </c>
      <c r="E8421" s="16">
        <f>IFERROR(__xludf.DUMMYFUNCTION("""COMPUTED_VALUE"""),68.0)</f>
        <v>68</v>
      </c>
      <c r="F8421" s="19" t="str">
        <f>IFERROR(__xludf.DUMMYFUNCTION("""COMPUTED_VALUE"""),"BLACK")</f>
        <v>BLACK</v>
      </c>
      <c r="G8421" s="20" t="str">
        <f>IFERROR(__xludf.DUMMYFUNCTION("""COMPUTED_VALUE"""),"Uncle Sams Cider (11/12/2021) 02")</f>
        <v>Uncle Sams Cider (11/12/2021) 02</v>
      </c>
      <c r="H8421" s="19"/>
    </row>
    <row r="8422">
      <c r="A8422" s="9"/>
      <c r="B8422" s="15"/>
      <c r="C8422" s="9">
        <f>IFERROR(__xludf.DUMMYFUNCTION("""COMPUTED_VALUE"""),44516.7798664814)</f>
        <v>44516.77987</v>
      </c>
      <c r="D8422" s="15">
        <f>IFERROR(__xludf.DUMMYFUNCTION("""COMPUTED_VALUE"""),1.087)</f>
        <v>1.087</v>
      </c>
      <c r="E8422" s="16">
        <f>IFERROR(__xludf.DUMMYFUNCTION("""COMPUTED_VALUE"""),68.0)</f>
        <v>68</v>
      </c>
      <c r="F8422" s="19" t="str">
        <f>IFERROR(__xludf.DUMMYFUNCTION("""COMPUTED_VALUE"""),"BLACK")</f>
        <v>BLACK</v>
      </c>
      <c r="G8422" s="20" t="str">
        <f>IFERROR(__xludf.DUMMYFUNCTION("""COMPUTED_VALUE"""),"Uncle Sams Cider (11/12/2021) 02")</f>
        <v>Uncle Sams Cider (11/12/2021) 02</v>
      </c>
      <c r="H8422" s="19"/>
    </row>
    <row r="8423">
      <c r="A8423" s="9"/>
      <c r="B8423" s="15"/>
      <c r="C8423" s="9">
        <f>IFERROR(__xludf.DUMMYFUNCTION("""COMPUTED_VALUE"""),44516.7694455902)</f>
        <v>44516.76945</v>
      </c>
      <c r="D8423" s="15">
        <f>IFERROR(__xludf.DUMMYFUNCTION("""COMPUTED_VALUE"""),1.087)</f>
        <v>1.087</v>
      </c>
      <c r="E8423" s="16">
        <f>IFERROR(__xludf.DUMMYFUNCTION("""COMPUTED_VALUE"""),68.0)</f>
        <v>68</v>
      </c>
      <c r="F8423" s="19" t="str">
        <f>IFERROR(__xludf.DUMMYFUNCTION("""COMPUTED_VALUE"""),"BLACK")</f>
        <v>BLACK</v>
      </c>
      <c r="G8423" s="20" t="str">
        <f>IFERROR(__xludf.DUMMYFUNCTION("""COMPUTED_VALUE"""),"Uncle Sams Cider (11/12/2021) 02")</f>
        <v>Uncle Sams Cider (11/12/2021) 02</v>
      </c>
      <c r="H8423" s="19"/>
    </row>
    <row r="8424">
      <c r="A8424" s="9"/>
      <c r="B8424" s="15"/>
      <c r="C8424" s="9">
        <f>IFERROR(__xludf.DUMMYFUNCTION("""COMPUTED_VALUE"""),44516.7590247569)</f>
        <v>44516.75902</v>
      </c>
      <c r="D8424" s="15">
        <f>IFERROR(__xludf.DUMMYFUNCTION("""COMPUTED_VALUE"""),1.087)</f>
        <v>1.087</v>
      </c>
      <c r="E8424" s="16">
        <f>IFERROR(__xludf.DUMMYFUNCTION("""COMPUTED_VALUE"""),68.0)</f>
        <v>68</v>
      </c>
      <c r="F8424" s="19" t="str">
        <f>IFERROR(__xludf.DUMMYFUNCTION("""COMPUTED_VALUE"""),"BLACK")</f>
        <v>BLACK</v>
      </c>
      <c r="G8424" s="20" t="str">
        <f>IFERROR(__xludf.DUMMYFUNCTION("""COMPUTED_VALUE"""),"Uncle Sams Cider (11/12/2021) 02")</f>
        <v>Uncle Sams Cider (11/12/2021) 02</v>
      </c>
      <c r="H8424" s="19"/>
    </row>
    <row r="8425">
      <c r="A8425" s="9"/>
      <c r="B8425" s="15"/>
      <c r="C8425" s="9">
        <f>IFERROR(__xludf.DUMMYFUNCTION("""COMPUTED_VALUE"""),44516.7486023958)</f>
        <v>44516.7486</v>
      </c>
      <c r="D8425" s="15">
        <f>IFERROR(__xludf.DUMMYFUNCTION("""COMPUTED_VALUE"""),1.087)</f>
        <v>1.087</v>
      </c>
      <c r="E8425" s="16">
        <f>IFERROR(__xludf.DUMMYFUNCTION("""COMPUTED_VALUE"""),68.0)</f>
        <v>68</v>
      </c>
      <c r="F8425" s="19" t="str">
        <f>IFERROR(__xludf.DUMMYFUNCTION("""COMPUTED_VALUE"""),"BLACK")</f>
        <v>BLACK</v>
      </c>
      <c r="G8425" s="20" t="str">
        <f>IFERROR(__xludf.DUMMYFUNCTION("""COMPUTED_VALUE"""),"Uncle Sams Cider (11/12/2021) 02")</f>
        <v>Uncle Sams Cider (11/12/2021) 02</v>
      </c>
      <c r="H8425" s="19"/>
    </row>
    <row r="8426">
      <c r="A8426" s="9"/>
      <c r="B8426" s="15"/>
      <c r="C8426" s="9">
        <f>IFERROR(__xludf.DUMMYFUNCTION("""COMPUTED_VALUE"""),44516.73818103)</f>
        <v>44516.73818</v>
      </c>
      <c r="D8426" s="15">
        <f>IFERROR(__xludf.DUMMYFUNCTION("""COMPUTED_VALUE"""),1.087)</f>
        <v>1.087</v>
      </c>
      <c r="E8426" s="16">
        <f>IFERROR(__xludf.DUMMYFUNCTION("""COMPUTED_VALUE"""),68.0)</f>
        <v>68</v>
      </c>
      <c r="F8426" s="19" t="str">
        <f>IFERROR(__xludf.DUMMYFUNCTION("""COMPUTED_VALUE"""),"BLACK")</f>
        <v>BLACK</v>
      </c>
      <c r="G8426" s="20" t="str">
        <f>IFERROR(__xludf.DUMMYFUNCTION("""COMPUTED_VALUE"""),"Uncle Sams Cider (11/12/2021) 02")</f>
        <v>Uncle Sams Cider (11/12/2021) 02</v>
      </c>
      <c r="H8426" s="19"/>
    </row>
    <row r="8427">
      <c r="A8427" s="9"/>
      <c r="B8427" s="15"/>
      <c r="C8427" s="9">
        <f>IFERROR(__xludf.DUMMYFUNCTION("""COMPUTED_VALUE"""),44516.7277613194)</f>
        <v>44516.72776</v>
      </c>
      <c r="D8427" s="15">
        <f>IFERROR(__xludf.DUMMYFUNCTION("""COMPUTED_VALUE"""),1.087)</f>
        <v>1.087</v>
      </c>
      <c r="E8427" s="16">
        <f>IFERROR(__xludf.DUMMYFUNCTION("""COMPUTED_VALUE"""),68.0)</f>
        <v>68</v>
      </c>
      <c r="F8427" s="19" t="str">
        <f>IFERROR(__xludf.DUMMYFUNCTION("""COMPUTED_VALUE"""),"BLACK")</f>
        <v>BLACK</v>
      </c>
      <c r="G8427" s="20" t="str">
        <f>IFERROR(__xludf.DUMMYFUNCTION("""COMPUTED_VALUE"""),"Uncle Sams Cider (11/12/2021) 02")</f>
        <v>Uncle Sams Cider (11/12/2021) 02</v>
      </c>
      <c r="H8427" s="19"/>
    </row>
    <row r="8428">
      <c r="A8428" s="9"/>
      <c r="B8428" s="15"/>
      <c r="C8428" s="9">
        <f>IFERROR(__xludf.DUMMYFUNCTION("""COMPUTED_VALUE"""),44516.7173400347)</f>
        <v>44516.71734</v>
      </c>
      <c r="D8428" s="15">
        <f>IFERROR(__xludf.DUMMYFUNCTION("""COMPUTED_VALUE"""),1.087)</f>
        <v>1.087</v>
      </c>
      <c r="E8428" s="16">
        <f>IFERROR(__xludf.DUMMYFUNCTION("""COMPUTED_VALUE"""),68.0)</f>
        <v>68</v>
      </c>
      <c r="F8428" s="19" t="str">
        <f>IFERROR(__xludf.DUMMYFUNCTION("""COMPUTED_VALUE"""),"BLACK")</f>
        <v>BLACK</v>
      </c>
      <c r="G8428" s="20" t="str">
        <f>IFERROR(__xludf.DUMMYFUNCTION("""COMPUTED_VALUE"""),"Uncle Sams Cider (11/12/2021) 02")</f>
        <v>Uncle Sams Cider (11/12/2021) 02</v>
      </c>
      <c r="H8428" s="19"/>
    </row>
    <row r="8429">
      <c r="A8429" s="9"/>
      <c r="B8429" s="15"/>
      <c r="C8429" s="9">
        <f>IFERROR(__xludf.DUMMYFUNCTION("""COMPUTED_VALUE"""),44516.706908912)</f>
        <v>44516.70691</v>
      </c>
      <c r="D8429" s="15">
        <f>IFERROR(__xludf.DUMMYFUNCTION("""COMPUTED_VALUE"""),1.087)</f>
        <v>1.087</v>
      </c>
      <c r="E8429" s="16">
        <f>IFERROR(__xludf.DUMMYFUNCTION("""COMPUTED_VALUE"""),68.0)</f>
        <v>68</v>
      </c>
      <c r="F8429" s="19" t="str">
        <f>IFERROR(__xludf.DUMMYFUNCTION("""COMPUTED_VALUE"""),"BLACK")</f>
        <v>BLACK</v>
      </c>
      <c r="G8429" s="20" t="str">
        <f>IFERROR(__xludf.DUMMYFUNCTION("""COMPUTED_VALUE"""),"Uncle Sams Cider (11/12/2021) 02")</f>
        <v>Uncle Sams Cider (11/12/2021) 02</v>
      </c>
      <c r="H8429" s="19"/>
    </row>
    <row r="8430">
      <c r="A8430" s="9"/>
      <c r="B8430" s="15"/>
      <c r="C8430" s="9">
        <f>IFERROR(__xludf.DUMMYFUNCTION("""COMPUTED_VALUE"""),44516.6964872685)</f>
        <v>44516.69649</v>
      </c>
      <c r="D8430" s="15">
        <f>IFERROR(__xludf.DUMMYFUNCTION("""COMPUTED_VALUE"""),1.088)</f>
        <v>1.088</v>
      </c>
      <c r="E8430" s="16">
        <f>IFERROR(__xludf.DUMMYFUNCTION("""COMPUTED_VALUE"""),68.0)</f>
        <v>68</v>
      </c>
      <c r="F8430" s="19" t="str">
        <f>IFERROR(__xludf.DUMMYFUNCTION("""COMPUTED_VALUE"""),"BLACK")</f>
        <v>BLACK</v>
      </c>
      <c r="G8430" s="20" t="str">
        <f>IFERROR(__xludf.DUMMYFUNCTION("""COMPUTED_VALUE"""),"Uncle Sams Cider (11/12/2021) 02")</f>
        <v>Uncle Sams Cider (11/12/2021) 02</v>
      </c>
      <c r="H8430" s="19"/>
    </row>
    <row r="8431">
      <c r="A8431" s="9"/>
      <c r="B8431" s="15"/>
      <c r="C8431" s="9">
        <f>IFERROR(__xludf.DUMMYFUNCTION("""COMPUTED_VALUE"""),44516.6860656828)</f>
        <v>44516.68607</v>
      </c>
      <c r="D8431" s="15">
        <f>IFERROR(__xludf.DUMMYFUNCTION("""COMPUTED_VALUE"""),1.088)</f>
        <v>1.088</v>
      </c>
      <c r="E8431" s="16">
        <f>IFERROR(__xludf.DUMMYFUNCTION("""COMPUTED_VALUE"""),68.0)</f>
        <v>68</v>
      </c>
      <c r="F8431" s="19" t="str">
        <f>IFERROR(__xludf.DUMMYFUNCTION("""COMPUTED_VALUE"""),"BLACK")</f>
        <v>BLACK</v>
      </c>
      <c r="G8431" s="20" t="str">
        <f>IFERROR(__xludf.DUMMYFUNCTION("""COMPUTED_VALUE"""),"Uncle Sams Cider (11/12/2021) 02")</f>
        <v>Uncle Sams Cider (11/12/2021) 02</v>
      </c>
      <c r="H8431" s="19"/>
    </row>
    <row r="8432">
      <c r="A8432" s="9"/>
      <c r="B8432" s="15"/>
      <c r="C8432" s="9">
        <f>IFERROR(__xludf.DUMMYFUNCTION("""COMPUTED_VALUE"""),44516.6756441087)</f>
        <v>44516.67564</v>
      </c>
      <c r="D8432" s="15">
        <f>IFERROR(__xludf.DUMMYFUNCTION("""COMPUTED_VALUE"""),1.088)</f>
        <v>1.088</v>
      </c>
      <c r="E8432" s="16">
        <f>IFERROR(__xludf.DUMMYFUNCTION("""COMPUTED_VALUE"""),68.0)</f>
        <v>68</v>
      </c>
      <c r="F8432" s="19" t="str">
        <f>IFERROR(__xludf.DUMMYFUNCTION("""COMPUTED_VALUE"""),"BLACK")</f>
        <v>BLACK</v>
      </c>
      <c r="G8432" s="20" t="str">
        <f>IFERROR(__xludf.DUMMYFUNCTION("""COMPUTED_VALUE"""),"Uncle Sams Cider (11/12/2021) 02")</f>
        <v>Uncle Sams Cider (11/12/2021) 02</v>
      </c>
      <c r="H8432" s="19"/>
    </row>
    <row r="8433">
      <c r="A8433" s="9"/>
      <c r="B8433" s="15"/>
      <c r="C8433" s="9">
        <f>IFERROR(__xludf.DUMMYFUNCTION("""COMPUTED_VALUE"""),44516.6652223263)</f>
        <v>44516.66522</v>
      </c>
      <c r="D8433" s="15">
        <f>IFERROR(__xludf.DUMMYFUNCTION("""COMPUTED_VALUE"""),1.087)</f>
        <v>1.087</v>
      </c>
      <c r="E8433" s="16">
        <f>IFERROR(__xludf.DUMMYFUNCTION("""COMPUTED_VALUE"""),68.0)</f>
        <v>68</v>
      </c>
      <c r="F8433" s="19" t="str">
        <f>IFERROR(__xludf.DUMMYFUNCTION("""COMPUTED_VALUE"""),"BLACK")</f>
        <v>BLACK</v>
      </c>
      <c r="G8433" s="20" t="str">
        <f>IFERROR(__xludf.DUMMYFUNCTION("""COMPUTED_VALUE"""),"Uncle Sams Cider (11/12/2021) 02")</f>
        <v>Uncle Sams Cider (11/12/2021) 02</v>
      </c>
      <c r="H8433" s="19"/>
    </row>
    <row r="8434">
      <c r="A8434" s="9"/>
      <c r="B8434" s="15"/>
      <c r="C8434" s="9">
        <f>IFERROR(__xludf.DUMMYFUNCTION("""COMPUTED_VALUE"""),44516.6548002083)</f>
        <v>44516.6548</v>
      </c>
      <c r="D8434" s="15">
        <f>IFERROR(__xludf.DUMMYFUNCTION("""COMPUTED_VALUE"""),1.088)</f>
        <v>1.088</v>
      </c>
      <c r="E8434" s="16">
        <f>IFERROR(__xludf.DUMMYFUNCTION("""COMPUTED_VALUE"""),68.0)</f>
        <v>68</v>
      </c>
      <c r="F8434" s="19" t="str">
        <f>IFERROR(__xludf.DUMMYFUNCTION("""COMPUTED_VALUE"""),"BLACK")</f>
        <v>BLACK</v>
      </c>
      <c r="G8434" s="20" t="str">
        <f>IFERROR(__xludf.DUMMYFUNCTION("""COMPUTED_VALUE"""),"Uncle Sams Cider (11/12/2021) 02")</f>
        <v>Uncle Sams Cider (11/12/2021) 02</v>
      </c>
      <c r="H8434" s="19"/>
    </row>
    <row r="8435">
      <c r="A8435" s="9"/>
      <c r="B8435" s="15"/>
      <c r="C8435" s="9">
        <f>IFERROR(__xludf.DUMMYFUNCTION("""COMPUTED_VALUE"""),44516.6443799884)</f>
        <v>44516.64438</v>
      </c>
      <c r="D8435" s="15">
        <f>IFERROR(__xludf.DUMMYFUNCTION("""COMPUTED_VALUE"""),1.088)</f>
        <v>1.088</v>
      </c>
      <c r="E8435" s="16">
        <f>IFERROR(__xludf.DUMMYFUNCTION("""COMPUTED_VALUE"""),68.0)</f>
        <v>68</v>
      </c>
      <c r="F8435" s="19" t="str">
        <f>IFERROR(__xludf.DUMMYFUNCTION("""COMPUTED_VALUE"""),"BLACK")</f>
        <v>BLACK</v>
      </c>
      <c r="G8435" s="20" t="str">
        <f>IFERROR(__xludf.DUMMYFUNCTION("""COMPUTED_VALUE"""),"Uncle Sams Cider (11/12/2021) 02")</f>
        <v>Uncle Sams Cider (11/12/2021) 02</v>
      </c>
      <c r="H8435" s="19"/>
    </row>
    <row r="8436">
      <c r="A8436" s="9"/>
      <c r="B8436" s="15"/>
      <c r="C8436" s="9">
        <f>IFERROR(__xludf.DUMMYFUNCTION("""COMPUTED_VALUE"""),44516.6339587268)</f>
        <v>44516.63396</v>
      </c>
      <c r="D8436" s="15">
        <f>IFERROR(__xludf.DUMMYFUNCTION("""COMPUTED_VALUE"""),1.088)</f>
        <v>1.088</v>
      </c>
      <c r="E8436" s="16">
        <f>IFERROR(__xludf.DUMMYFUNCTION("""COMPUTED_VALUE"""),68.0)</f>
        <v>68</v>
      </c>
      <c r="F8436" s="19" t="str">
        <f>IFERROR(__xludf.DUMMYFUNCTION("""COMPUTED_VALUE"""),"BLACK")</f>
        <v>BLACK</v>
      </c>
      <c r="G8436" s="20" t="str">
        <f>IFERROR(__xludf.DUMMYFUNCTION("""COMPUTED_VALUE"""),"Uncle Sams Cider (11/12/2021) 02")</f>
        <v>Uncle Sams Cider (11/12/2021) 02</v>
      </c>
      <c r="H8436" s="19"/>
    </row>
    <row r="8437">
      <c r="A8437" s="9"/>
      <c r="B8437" s="15"/>
      <c r="C8437" s="9">
        <f>IFERROR(__xludf.DUMMYFUNCTION("""COMPUTED_VALUE"""),44516.6235378356)</f>
        <v>44516.62354</v>
      </c>
      <c r="D8437" s="15">
        <f>IFERROR(__xludf.DUMMYFUNCTION("""COMPUTED_VALUE"""),1.088)</f>
        <v>1.088</v>
      </c>
      <c r="E8437" s="16">
        <f>IFERROR(__xludf.DUMMYFUNCTION("""COMPUTED_VALUE"""),67.0)</f>
        <v>67</v>
      </c>
      <c r="F8437" s="19" t="str">
        <f>IFERROR(__xludf.DUMMYFUNCTION("""COMPUTED_VALUE"""),"BLACK")</f>
        <v>BLACK</v>
      </c>
      <c r="G8437" s="20" t="str">
        <f>IFERROR(__xludf.DUMMYFUNCTION("""COMPUTED_VALUE"""),"Uncle Sams Cider (11/12/2021) 02")</f>
        <v>Uncle Sams Cider (11/12/2021) 02</v>
      </c>
      <c r="H8437" s="19"/>
    </row>
    <row r="8438">
      <c r="A8438" s="9"/>
      <c r="B8438" s="15"/>
      <c r="C8438" s="9">
        <f>IFERROR(__xludf.DUMMYFUNCTION("""COMPUTED_VALUE"""),44516.6131142592)</f>
        <v>44516.61311</v>
      </c>
      <c r="D8438" s="15">
        <f>IFERROR(__xludf.DUMMYFUNCTION("""COMPUTED_VALUE"""),1.088)</f>
        <v>1.088</v>
      </c>
      <c r="E8438" s="16">
        <f>IFERROR(__xludf.DUMMYFUNCTION("""COMPUTED_VALUE"""),67.0)</f>
        <v>67</v>
      </c>
      <c r="F8438" s="19" t="str">
        <f>IFERROR(__xludf.DUMMYFUNCTION("""COMPUTED_VALUE"""),"BLACK")</f>
        <v>BLACK</v>
      </c>
      <c r="G8438" s="20" t="str">
        <f>IFERROR(__xludf.DUMMYFUNCTION("""COMPUTED_VALUE"""),"Uncle Sams Cider (11/12/2021) 02")</f>
        <v>Uncle Sams Cider (11/12/2021) 02</v>
      </c>
      <c r="H8438" s="19"/>
    </row>
    <row r="8439">
      <c r="A8439" s="9"/>
      <c r="B8439" s="15"/>
      <c r="C8439" s="9">
        <f>IFERROR(__xludf.DUMMYFUNCTION("""COMPUTED_VALUE"""),44516.6026682407)</f>
        <v>44516.60267</v>
      </c>
      <c r="D8439" s="15">
        <f>IFERROR(__xludf.DUMMYFUNCTION("""COMPUTED_VALUE"""),1.088)</f>
        <v>1.088</v>
      </c>
      <c r="E8439" s="16">
        <f>IFERROR(__xludf.DUMMYFUNCTION("""COMPUTED_VALUE"""),67.0)</f>
        <v>67</v>
      </c>
      <c r="F8439" s="19" t="str">
        <f>IFERROR(__xludf.DUMMYFUNCTION("""COMPUTED_VALUE"""),"BLACK")</f>
        <v>BLACK</v>
      </c>
      <c r="G8439" s="20" t="str">
        <f>IFERROR(__xludf.DUMMYFUNCTION("""COMPUTED_VALUE"""),"Uncle Sams Cider (11/12/2021) 02")</f>
        <v>Uncle Sams Cider (11/12/2021) 02</v>
      </c>
      <c r="H8439" s="19"/>
    </row>
    <row r="8440">
      <c r="A8440" s="9"/>
      <c r="B8440" s="15"/>
      <c r="C8440" s="9">
        <f>IFERROR(__xludf.DUMMYFUNCTION("""COMPUTED_VALUE"""),44516.5922462963)</f>
        <v>44516.59225</v>
      </c>
      <c r="D8440" s="15">
        <f>IFERROR(__xludf.DUMMYFUNCTION("""COMPUTED_VALUE"""),1.088)</f>
        <v>1.088</v>
      </c>
      <c r="E8440" s="16">
        <f>IFERROR(__xludf.DUMMYFUNCTION("""COMPUTED_VALUE"""),67.0)</f>
        <v>67</v>
      </c>
      <c r="F8440" s="19" t="str">
        <f>IFERROR(__xludf.DUMMYFUNCTION("""COMPUTED_VALUE"""),"BLACK")</f>
        <v>BLACK</v>
      </c>
      <c r="G8440" s="20" t="str">
        <f>IFERROR(__xludf.DUMMYFUNCTION("""COMPUTED_VALUE"""),"Uncle Sams Cider (11/12/2021) 02")</f>
        <v>Uncle Sams Cider (11/12/2021) 02</v>
      </c>
      <c r="H8440" s="19"/>
    </row>
    <row r="8441">
      <c r="A8441" s="9"/>
      <c r="B8441" s="15"/>
      <c r="C8441" s="9">
        <f>IFERROR(__xludf.DUMMYFUNCTION("""COMPUTED_VALUE"""),44516.5818241782)</f>
        <v>44516.58182</v>
      </c>
      <c r="D8441" s="15">
        <f>IFERROR(__xludf.DUMMYFUNCTION("""COMPUTED_VALUE"""),1.088)</f>
        <v>1.088</v>
      </c>
      <c r="E8441" s="16">
        <f>IFERROR(__xludf.DUMMYFUNCTION("""COMPUTED_VALUE"""),67.0)</f>
        <v>67</v>
      </c>
      <c r="F8441" s="19" t="str">
        <f>IFERROR(__xludf.DUMMYFUNCTION("""COMPUTED_VALUE"""),"BLACK")</f>
        <v>BLACK</v>
      </c>
      <c r="G8441" s="20" t="str">
        <f>IFERROR(__xludf.DUMMYFUNCTION("""COMPUTED_VALUE"""),"Uncle Sams Cider (11/12/2021) 02")</f>
        <v>Uncle Sams Cider (11/12/2021) 02</v>
      </c>
      <c r="H8441" s="19"/>
    </row>
    <row r="8442">
      <c r="A8442" s="9"/>
      <c r="B8442" s="15"/>
      <c r="C8442" s="9">
        <f>IFERROR(__xludf.DUMMYFUNCTION("""COMPUTED_VALUE"""),44516.5714025231)</f>
        <v>44516.5714</v>
      </c>
      <c r="D8442" s="15">
        <f>IFERROR(__xludf.DUMMYFUNCTION("""COMPUTED_VALUE"""),1.088)</f>
        <v>1.088</v>
      </c>
      <c r="E8442" s="16">
        <f>IFERROR(__xludf.DUMMYFUNCTION("""COMPUTED_VALUE"""),67.0)</f>
        <v>67</v>
      </c>
      <c r="F8442" s="19" t="str">
        <f>IFERROR(__xludf.DUMMYFUNCTION("""COMPUTED_VALUE"""),"BLACK")</f>
        <v>BLACK</v>
      </c>
      <c r="G8442" s="20" t="str">
        <f>IFERROR(__xludf.DUMMYFUNCTION("""COMPUTED_VALUE"""),"Uncle Sams Cider (11/12/2021) 02")</f>
        <v>Uncle Sams Cider (11/12/2021) 02</v>
      </c>
      <c r="H8442" s="19"/>
    </row>
    <row r="8443">
      <c r="A8443" s="9"/>
      <c r="B8443" s="15"/>
      <c r="C8443" s="9">
        <f>IFERROR(__xludf.DUMMYFUNCTION("""COMPUTED_VALUE"""),44516.5609816435)</f>
        <v>44516.56098</v>
      </c>
      <c r="D8443" s="15">
        <f>IFERROR(__xludf.DUMMYFUNCTION("""COMPUTED_VALUE"""),1.088)</f>
        <v>1.088</v>
      </c>
      <c r="E8443" s="16">
        <f>IFERROR(__xludf.DUMMYFUNCTION("""COMPUTED_VALUE"""),67.0)</f>
        <v>67</v>
      </c>
      <c r="F8443" s="19" t="str">
        <f>IFERROR(__xludf.DUMMYFUNCTION("""COMPUTED_VALUE"""),"BLACK")</f>
        <v>BLACK</v>
      </c>
      <c r="G8443" s="20" t="str">
        <f>IFERROR(__xludf.DUMMYFUNCTION("""COMPUTED_VALUE"""),"Uncle Sams Cider (11/12/2021) 02")</f>
        <v>Uncle Sams Cider (11/12/2021) 02</v>
      </c>
      <c r="H8443" s="19"/>
    </row>
    <row r="8444">
      <c r="A8444" s="9"/>
      <c r="B8444" s="15"/>
      <c r="C8444" s="9">
        <f>IFERROR(__xludf.DUMMYFUNCTION("""COMPUTED_VALUE"""),44516.5505608217)</f>
        <v>44516.55056</v>
      </c>
      <c r="D8444" s="15">
        <f>IFERROR(__xludf.DUMMYFUNCTION("""COMPUTED_VALUE"""),1.088)</f>
        <v>1.088</v>
      </c>
      <c r="E8444" s="16">
        <f>IFERROR(__xludf.DUMMYFUNCTION("""COMPUTED_VALUE"""),67.0)</f>
        <v>67</v>
      </c>
      <c r="F8444" s="19" t="str">
        <f>IFERROR(__xludf.DUMMYFUNCTION("""COMPUTED_VALUE"""),"BLACK")</f>
        <v>BLACK</v>
      </c>
      <c r="G8444" s="20" t="str">
        <f>IFERROR(__xludf.DUMMYFUNCTION("""COMPUTED_VALUE"""),"Uncle Sams Cider (11/12/2021) 02")</f>
        <v>Uncle Sams Cider (11/12/2021) 02</v>
      </c>
      <c r="H8444" s="19"/>
    </row>
    <row r="8445">
      <c r="A8445" s="9"/>
      <c r="B8445" s="15"/>
      <c r="C8445" s="9">
        <f>IFERROR(__xludf.DUMMYFUNCTION("""COMPUTED_VALUE"""),44516.5401381481)</f>
        <v>44516.54014</v>
      </c>
      <c r="D8445" s="15">
        <f>IFERROR(__xludf.DUMMYFUNCTION("""COMPUTED_VALUE"""),1.088)</f>
        <v>1.088</v>
      </c>
      <c r="E8445" s="16">
        <f>IFERROR(__xludf.DUMMYFUNCTION("""COMPUTED_VALUE"""),67.0)</f>
        <v>67</v>
      </c>
      <c r="F8445" s="19" t="str">
        <f>IFERROR(__xludf.DUMMYFUNCTION("""COMPUTED_VALUE"""),"BLACK")</f>
        <v>BLACK</v>
      </c>
      <c r="G8445" s="20" t="str">
        <f>IFERROR(__xludf.DUMMYFUNCTION("""COMPUTED_VALUE"""),"Uncle Sams Cider (11/12/2021) 02")</f>
        <v>Uncle Sams Cider (11/12/2021) 02</v>
      </c>
      <c r="H8445" s="19"/>
    </row>
    <row r="8446">
      <c r="A8446" s="9"/>
      <c r="B8446" s="15"/>
      <c r="C8446" s="9">
        <f>IFERROR(__xludf.DUMMYFUNCTION("""COMPUTED_VALUE"""),44516.5297058333)</f>
        <v>44516.52971</v>
      </c>
      <c r="D8446" s="15">
        <f>IFERROR(__xludf.DUMMYFUNCTION("""COMPUTED_VALUE"""),1.089)</f>
        <v>1.089</v>
      </c>
      <c r="E8446" s="16">
        <f>IFERROR(__xludf.DUMMYFUNCTION("""COMPUTED_VALUE"""),67.0)</f>
        <v>67</v>
      </c>
      <c r="F8446" s="19" t="str">
        <f>IFERROR(__xludf.DUMMYFUNCTION("""COMPUTED_VALUE"""),"BLACK")</f>
        <v>BLACK</v>
      </c>
      <c r="G8446" s="20" t="str">
        <f>IFERROR(__xludf.DUMMYFUNCTION("""COMPUTED_VALUE"""),"Uncle Sams Cider (11/12/2021) 02")</f>
        <v>Uncle Sams Cider (11/12/2021) 02</v>
      </c>
      <c r="H8446" s="19"/>
    </row>
    <row r="8447">
      <c r="A8447" s="9"/>
      <c r="B8447" s="15"/>
      <c r="C8447" s="9">
        <f>IFERROR(__xludf.DUMMYFUNCTION("""COMPUTED_VALUE"""),44516.5192717013)</f>
        <v>44516.51927</v>
      </c>
      <c r="D8447" s="15">
        <f>IFERROR(__xludf.DUMMYFUNCTION("""COMPUTED_VALUE"""),1.089)</f>
        <v>1.089</v>
      </c>
      <c r="E8447" s="16">
        <f>IFERROR(__xludf.DUMMYFUNCTION("""COMPUTED_VALUE"""),67.0)</f>
        <v>67</v>
      </c>
      <c r="F8447" s="19" t="str">
        <f>IFERROR(__xludf.DUMMYFUNCTION("""COMPUTED_VALUE"""),"BLACK")</f>
        <v>BLACK</v>
      </c>
      <c r="G8447" s="20" t="str">
        <f>IFERROR(__xludf.DUMMYFUNCTION("""COMPUTED_VALUE"""),"Uncle Sams Cider (11/12/2021) 02")</f>
        <v>Uncle Sams Cider (11/12/2021) 02</v>
      </c>
      <c r="H8447" s="19"/>
    </row>
    <row r="8448">
      <c r="A8448" s="9"/>
      <c r="B8448" s="15"/>
      <c r="C8448" s="9">
        <f>IFERROR(__xludf.DUMMYFUNCTION("""COMPUTED_VALUE"""),44516.5088501736)</f>
        <v>44516.50885</v>
      </c>
      <c r="D8448" s="15">
        <f>IFERROR(__xludf.DUMMYFUNCTION("""COMPUTED_VALUE"""),1.089)</f>
        <v>1.089</v>
      </c>
      <c r="E8448" s="16">
        <f>IFERROR(__xludf.DUMMYFUNCTION("""COMPUTED_VALUE"""),67.0)</f>
        <v>67</v>
      </c>
      <c r="F8448" s="19" t="str">
        <f>IFERROR(__xludf.DUMMYFUNCTION("""COMPUTED_VALUE"""),"BLACK")</f>
        <v>BLACK</v>
      </c>
      <c r="G8448" s="20" t="str">
        <f>IFERROR(__xludf.DUMMYFUNCTION("""COMPUTED_VALUE"""),"Uncle Sams Cider (11/12/2021) 02")</f>
        <v>Uncle Sams Cider (11/12/2021) 02</v>
      </c>
      <c r="H8448" s="19"/>
    </row>
    <row r="8449">
      <c r="A8449" s="9"/>
      <c r="B8449" s="15"/>
      <c r="C8449" s="9">
        <f>IFERROR(__xludf.DUMMYFUNCTION("""COMPUTED_VALUE"""),44516.4984290624)</f>
        <v>44516.49843</v>
      </c>
      <c r="D8449" s="15">
        <f>IFERROR(__xludf.DUMMYFUNCTION("""COMPUTED_VALUE"""),1.089)</f>
        <v>1.089</v>
      </c>
      <c r="E8449" s="16">
        <f>IFERROR(__xludf.DUMMYFUNCTION("""COMPUTED_VALUE"""),67.0)</f>
        <v>67</v>
      </c>
      <c r="F8449" s="19" t="str">
        <f>IFERROR(__xludf.DUMMYFUNCTION("""COMPUTED_VALUE"""),"BLACK")</f>
        <v>BLACK</v>
      </c>
      <c r="G8449" s="20" t="str">
        <f>IFERROR(__xludf.DUMMYFUNCTION("""COMPUTED_VALUE"""),"Uncle Sams Cider (11/12/2021) 02")</f>
        <v>Uncle Sams Cider (11/12/2021) 02</v>
      </c>
      <c r="H8449" s="19"/>
    </row>
    <row r="8450">
      <c r="A8450" s="9"/>
      <c r="B8450" s="15"/>
      <c r="C8450" s="9">
        <f>IFERROR(__xludf.DUMMYFUNCTION("""COMPUTED_VALUE"""),44516.4879841898)</f>
        <v>44516.48798</v>
      </c>
      <c r="D8450" s="15">
        <f>IFERROR(__xludf.DUMMYFUNCTION("""COMPUTED_VALUE"""),1.088)</f>
        <v>1.088</v>
      </c>
      <c r="E8450" s="16">
        <f>IFERROR(__xludf.DUMMYFUNCTION("""COMPUTED_VALUE"""),67.0)</f>
        <v>67</v>
      </c>
      <c r="F8450" s="19" t="str">
        <f>IFERROR(__xludf.DUMMYFUNCTION("""COMPUTED_VALUE"""),"BLACK")</f>
        <v>BLACK</v>
      </c>
      <c r="G8450" s="20" t="str">
        <f>IFERROR(__xludf.DUMMYFUNCTION("""COMPUTED_VALUE"""),"Uncle Sams Cider (11/12/2021) 02")</f>
        <v>Uncle Sams Cider (11/12/2021) 02</v>
      </c>
      <c r="H8450" s="19"/>
    </row>
    <row r="8451">
      <c r="A8451" s="9"/>
      <c r="B8451" s="15"/>
      <c r="C8451" s="9">
        <f>IFERROR(__xludf.DUMMYFUNCTION("""COMPUTED_VALUE"""),44516.4775401388)</f>
        <v>44516.47754</v>
      </c>
      <c r="D8451" s="15">
        <f>IFERROR(__xludf.DUMMYFUNCTION("""COMPUTED_VALUE"""),1.089)</f>
        <v>1.089</v>
      </c>
      <c r="E8451" s="16">
        <f>IFERROR(__xludf.DUMMYFUNCTION("""COMPUTED_VALUE"""),67.0)</f>
        <v>67</v>
      </c>
      <c r="F8451" s="19" t="str">
        <f>IFERROR(__xludf.DUMMYFUNCTION("""COMPUTED_VALUE"""),"BLACK")</f>
        <v>BLACK</v>
      </c>
      <c r="G8451" s="20" t="str">
        <f>IFERROR(__xludf.DUMMYFUNCTION("""COMPUTED_VALUE"""),"Uncle Sams Cider (11/12/2021) 02")</f>
        <v>Uncle Sams Cider (11/12/2021) 02</v>
      </c>
      <c r="H8451" s="19"/>
    </row>
    <row r="8452">
      <c r="A8452" s="9"/>
      <c r="B8452" s="15"/>
      <c r="C8452" s="9">
        <f>IFERROR(__xludf.DUMMYFUNCTION("""COMPUTED_VALUE"""),44516.4671201967)</f>
        <v>44516.46712</v>
      </c>
      <c r="D8452" s="15">
        <f>IFERROR(__xludf.DUMMYFUNCTION("""COMPUTED_VALUE"""),1.089)</f>
        <v>1.089</v>
      </c>
      <c r="E8452" s="16">
        <f>IFERROR(__xludf.DUMMYFUNCTION("""COMPUTED_VALUE"""),67.0)</f>
        <v>67</v>
      </c>
      <c r="F8452" s="19" t="str">
        <f>IFERROR(__xludf.DUMMYFUNCTION("""COMPUTED_VALUE"""),"BLACK")</f>
        <v>BLACK</v>
      </c>
      <c r="G8452" s="20" t="str">
        <f>IFERROR(__xludf.DUMMYFUNCTION("""COMPUTED_VALUE"""),"Uncle Sams Cider (11/12/2021) 02")</f>
        <v>Uncle Sams Cider (11/12/2021) 02</v>
      </c>
      <c r="H8452" s="19"/>
    </row>
    <row r="8453">
      <c r="A8453" s="9"/>
      <c r="B8453" s="15"/>
      <c r="C8453" s="9">
        <f>IFERROR(__xludf.DUMMYFUNCTION("""COMPUTED_VALUE"""),44516.456698449)</f>
        <v>44516.4567</v>
      </c>
      <c r="D8453" s="15">
        <f>IFERROR(__xludf.DUMMYFUNCTION("""COMPUTED_VALUE"""),1.089)</f>
        <v>1.089</v>
      </c>
      <c r="E8453" s="16">
        <f>IFERROR(__xludf.DUMMYFUNCTION("""COMPUTED_VALUE"""),67.0)</f>
        <v>67</v>
      </c>
      <c r="F8453" s="19" t="str">
        <f>IFERROR(__xludf.DUMMYFUNCTION("""COMPUTED_VALUE"""),"BLACK")</f>
        <v>BLACK</v>
      </c>
      <c r="G8453" s="20" t="str">
        <f>IFERROR(__xludf.DUMMYFUNCTION("""COMPUTED_VALUE"""),"Uncle Sams Cider (11/12/2021) 02")</f>
        <v>Uncle Sams Cider (11/12/2021) 02</v>
      </c>
      <c r="H8453" s="19"/>
    </row>
    <row r="8454">
      <c r="A8454" s="9"/>
      <c r="B8454" s="15"/>
      <c r="C8454" s="9">
        <f>IFERROR(__xludf.DUMMYFUNCTION("""COMPUTED_VALUE"""),44516.4462781597)</f>
        <v>44516.44628</v>
      </c>
      <c r="D8454" s="15">
        <f>IFERROR(__xludf.DUMMYFUNCTION("""COMPUTED_VALUE"""),1.089)</f>
        <v>1.089</v>
      </c>
      <c r="E8454" s="16">
        <f>IFERROR(__xludf.DUMMYFUNCTION("""COMPUTED_VALUE"""),67.0)</f>
        <v>67</v>
      </c>
      <c r="F8454" s="19" t="str">
        <f>IFERROR(__xludf.DUMMYFUNCTION("""COMPUTED_VALUE"""),"BLACK")</f>
        <v>BLACK</v>
      </c>
      <c r="G8454" s="20" t="str">
        <f>IFERROR(__xludf.DUMMYFUNCTION("""COMPUTED_VALUE"""),"Uncle Sams Cider (11/12/2021) 02")</f>
        <v>Uncle Sams Cider (11/12/2021) 02</v>
      </c>
      <c r="H8454" s="19"/>
    </row>
    <row r="8455">
      <c r="A8455" s="9"/>
      <c r="B8455" s="15"/>
      <c r="C8455" s="9">
        <f>IFERROR(__xludf.DUMMYFUNCTION("""COMPUTED_VALUE"""),44516.4358577083)</f>
        <v>44516.43586</v>
      </c>
      <c r="D8455" s="15">
        <f>IFERROR(__xludf.DUMMYFUNCTION("""COMPUTED_VALUE"""),1.089)</f>
        <v>1.089</v>
      </c>
      <c r="E8455" s="16">
        <f>IFERROR(__xludf.DUMMYFUNCTION("""COMPUTED_VALUE"""),67.0)</f>
        <v>67</v>
      </c>
      <c r="F8455" s="19" t="str">
        <f>IFERROR(__xludf.DUMMYFUNCTION("""COMPUTED_VALUE"""),"BLACK")</f>
        <v>BLACK</v>
      </c>
      <c r="G8455" s="20" t="str">
        <f>IFERROR(__xludf.DUMMYFUNCTION("""COMPUTED_VALUE"""),"Uncle Sams Cider (11/12/2021) 02")</f>
        <v>Uncle Sams Cider (11/12/2021) 02</v>
      </c>
      <c r="H8455" s="19"/>
    </row>
    <row r="8456">
      <c r="A8456" s="9"/>
      <c r="B8456" s="15"/>
      <c r="C8456" s="9">
        <f>IFERROR(__xludf.DUMMYFUNCTION("""COMPUTED_VALUE"""),44516.425415)</f>
        <v>44516.42542</v>
      </c>
      <c r="D8456" s="15">
        <f>IFERROR(__xludf.DUMMYFUNCTION("""COMPUTED_VALUE"""),1.089)</f>
        <v>1.089</v>
      </c>
      <c r="E8456" s="16">
        <f>IFERROR(__xludf.DUMMYFUNCTION("""COMPUTED_VALUE"""),67.0)</f>
        <v>67</v>
      </c>
      <c r="F8456" s="19" t="str">
        <f>IFERROR(__xludf.DUMMYFUNCTION("""COMPUTED_VALUE"""),"BLACK")</f>
        <v>BLACK</v>
      </c>
      <c r="G8456" s="20" t="str">
        <f>IFERROR(__xludf.DUMMYFUNCTION("""COMPUTED_VALUE"""),"Uncle Sams Cider (11/12/2021) 02")</f>
        <v>Uncle Sams Cider (11/12/2021) 02</v>
      </c>
      <c r="H8456" s="19"/>
    </row>
    <row r="8457">
      <c r="A8457" s="9"/>
      <c r="B8457" s="15"/>
      <c r="C8457" s="9">
        <f>IFERROR(__xludf.DUMMYFUNCTION("""COMPUTED_VALUE"""),44516.4149940972)</f>
        <v>44516.41499</v>
      </c>
      <c r="D8457" s="15">
        <f>IFERROR(__xludf.DUMMYFUNCTION("""COMPUTED_VALUE"""),1.089)</f>
        <v>1.089</v>
      </c>
      <c r="E8457" s="16">
        <f>IFERROR(__xludf.DUMMYFUNCTION("""COMPUTED_VALUE"""),67.0)</f>
        <v>67</v>
      </c>
      <c r="F8457" s="19" t="str">
        <f>IFERROR(__xludf.DUMMYFUNCTION("""COMPUTED_VALUE"""),"BLACK")</f>
        <v>BLACK</v>
      </c>
      <c r="G8457" s="20" t="str">
        <f>IFERROR(__xludf.DUMMYFUNCTION("""COMPUTED_VALUE"""),"Uncle Sams Cider (11/12/2021) 02")</f>
        <v>Uncle Sams Cider (11/12/2021) 02</v>
      </c>
      <c r="H8457" s="19"/>
    </row>
    <row r="8458">
      <c r="A8458" s="9"/>
      <c r="B8458" s="15"/>
      <c r="C8458" s="9">
        <f>IFERROR(__xludf.DUMMYFUNCTION("""COMPUTED_VALUE"""),44516.4045727893)</f>
        <v>44516.40457</v>
      </c>
      <c r="D8458" s="15">
        <f>IFERROR(__xludf.DUMMYFUNCTION("""COMPUTED_VALUE"""),1.089)</f>
        <v>1.089</v>
      </c>
      <c r="E8458" s="16">
        <f>IFERROR(__xludf.DUMMYFUNCTION("""COMPUTED_VALUE"""),67.0)</f>
        <v>67</v>
      </c>
      <c r="F8458" s="19" t="str">
        <f>IFERROR(__xludf.DUMMYFUNCTION("""COMPUTED_VALUE"""),"BLACK")</f>
        <v>BLACK</v>
      </c>
      <c r="G8458" s="20" t="str">
        <f>IFERROR(__xludf.DUMMYFUNCTION("""COMPUTED_VALUE"""),"Uncle Sams Cider (11/12/2021) 02")</f>
        <v>Uncle Sams Cider (11/12/2021) 02</v>
      </c>
      <c r="H8458" s="19"/>
    </row>
    <row r="8459">
      <c r="A8459" s="9"/>
      <c r="B8459" s="15"/>
      <c r="C8459" s="9">
        <f>IFERROR(__xludf.DUMMYFUNCTION("""COMPUTED_VALUE"""),44516.3941518981)</f>
        <v>44516.39415</v>
      </c>
      <c r="D8459" s="15">
        <f>IFERROR(__xludf.DUMMYFUNCTION("""COMPUTED_VALUE"""),1.089)</f>
        <v>1.089</v>
      </c>
      <c r="E8459" s="16">
        <f>IFERROR(__xludf.DUMMYFUNCTION("""COMPUTED_VALUE"""),67.0)</f>
        <v>67</v>
      </c>
      <c r="F8459" s="19" t="str">
        <f>IFERROR(__xludf.DUMMYFUNCTION("""COMPUTED_VALUE"""),"BLACK")</f>
        <v>BLACK</v>
      </c>
      <c r="G8459" s="20" t="str">
        <f>IFERROR(__xludf.DUMMYFUNCTION("""COMPUTED_VALUE"""),"Uncle Sams Cider (11/12/2021) 02")</f>
        <v>Uncle Sams Cider (11/12/2021) 02</v>
      </c>
      <c r="H8459" s="19"/>
    </row>
    <row r="8460">
      <c r="A8460" s="9"/>
      <c r="B8460" s="15"/>
      <c r="C8460" s="9">
        <f>IFERROR(__xludf.DUMMYFUNCTION("""COMPUTED_VALUE"""),44516.3837294212)</f>
        <v>44516.38373</v>
      </c>
      <c r="D8460" s="15">
        <f>IFERROR(__xludf.DUMMYFUNCTION("""COMPUTED_VALUE"""),1.089)</f>
        <v>1.089</v>
      </c>
      <c r="E8460" s="16">
        <f>IFERROR(__xludf.DUMMYFUNCTION("""COMPUTED_VALUE"""),67.0)</f>
        <v>67</v>
      </c>
      <c r="F8460" s="19" t="str">
        <f>IFERROR(__xludf.DUMMYFUNCTION("""COMPUTED_VALUE"""),"BLACK")</f>
        <v>BLACK</v>
      </c>
      <c r="G8460" s="20" t="str">
        <f>IFERROR(__xludf.DUMMYFUNCTION("""COMPUTED_VALUE"""),"Uncle Sams Cider (11/12/2021) 02")</f>
        <v>Uncle Sams Cider (11/12/2021) 02</v>
      </c>
      <c r="H8460" s="19"/>
    </row>
    <row r="8461">
      <c r="A8461" s="9"/>
      <c r="B8461" s="15"/>
      <c r="C8461" s="9">
        <f>IFERROR(__xludf.DUMMYFUNCTION("""COMPUTED_VALUE"""),44516.3732972338)</f>
        <v>44516.3733</v>
      </c>
      <c r="D8461" s="15">
        <f>IFERROR(__xludf.DUMMYFUNCTION("""COMPUTED_VALUE"""),1.089)</f>
        <v>1.089</v>
      </c>
      <c r="E8461" s="16">
        <f>IFERROR(__xludf.DUMMYFUNCTION("""COMPUTED_VALUE"""),67.0)</f>
        <v>67</v>
      </c>
      <c r="F8461" s="19" t="str">
        <f>IFERROR(__xludf.DUMMYFUNCTION("""COMPUTED_VALUE"""),"BLACK")</f>
        <v>BLACK</v>
      </c>
      <c r="G8461" s="20" t="str">
        <f>IFERROR(__xludf.DUMMYFUNCTION("""COMPUTED_VALUE"""),"Uncle Sams Cider (11/12/2021) 02")</f>
        <v>Uncle Sams Cider (11/12/2021) 02</v>
      </c>
      <c r="H8461" s="19"/>
    </row>
    <row r="8462">
      <c r="A8462" s="9"/>
      <c r="B8462" s="15"/>
      <c r="C8462" s="9">
        <f>IFERROR(__xludf.DUMMYFUNCTION("""COMPUTED_VALUE"""),44516.3628759374)</f>
        <v>44516.36288</v>
      </c>
      <c r="D8462" s="15">
        <f>IFERROR(__xludf.DUMMYFUNCTION("""COMPUTED_VALUE"""),1.09)</f>
        <v>1.09</v>
      </c>
      <c r="E8462" s="16">
        <f>IFERROR(__xludf.DUMMYFUNCTION("""COMPUTED_VALUE"""),67.0)</f>
        <v>67</v>
      </c>
      <c r="F8462" s="19" t="str">
        <f>IFERROR(__xludf.DUMMYFUNCTION("""COMPUTED_VALUE"""),"BLACK")</f>
        <v>BLACK</v>
      </c>
      <c r="G8462" s="20" t="str">
        <f>IFERROR(__xludf.DUMMYFUNCTION("""COMPUTED_VALUE"""),"Uncle Sams Cider (11/12/2021) 02")</f>
        <v>Uncle Sams Cider (11/12/2021) 02</v>
      </c>
      <c r="H8462" s="19"/>
    </row>
    <row r="8463">
      <c r="A8463" s="9"/>
      <c r="B8463" s="15"/>
      <c r="C8463" s="9">
        <f>IFERROR(__xludf.DUMMYFUNCTION("""COMPUTED_VALUE"""),44516.3524551388)</f>
        <v>44516.35246</v>
      </c>
      <c r="D8463" s="15">
        <f>IFERROR(__xludf.DUMMYFUNCTION("""COMPUTED_VALUE"""),1.089)</f>
        <v>1.089</v>
      </c>
      <c r="E8463" s="16">
        <f>IFERROR(__xludf.DUMMYFUNCTION("""COMPUTED_VALUE"""),67.0)</f>
        <v>67</v>
      </c>
      <c r="F8463" s="19" t="str">
        <f>IFERROR(__xludf.DUMMYFUNCTION("""COMPUTED_VALUE"""),"BLACK")</f>
        <v>BLACK</v>
      </c>
      <c r="G8463" s="20" t="str">
        <f>IFERROR(__xludf.DUMMYFUNCTION("""COMPUTED_VALUE"""),"Uncle Sams Cider (11/12/2021) 02")</f>
        <v>Uncle Sams Cider (11/12/2021) 02</v>
      </c>
      <c r="H8463" s="19"/>
    </row>
    <row r="8464">
      <c r="A8464" s="9"/>
      <c r="B8464" s="15"/>
      <c r="C8464" s="9">
        <f>IFERROR(__xludf.DUMMYFUNCTION("""COMPUTED_VALUE"""),44516.3420352314)</f>
        <v>44516.34204</v>
      </c>
      <c r="D8464" s="15">
        <f>IFERROR(__xludf.DUMMYFUNCTION("""COMPUTED_VALUE"""),1.09)</f>
        <v>1.09</v>
      </c>
      <c r="E8464" s="16">
        <f>IFERROR(__xludf.DUMMYFUNCTION("""COMPUTED_VALUE"""),67.0)</f>
        <v>67</v>
      </c>
      <c r="F8464" s="19" t="str">
        <f>IFERROR(__xludf.DUMMYFUNCTION("""COMPUTED_VALUE"""),"BLACK")</f>
        <v>BLACK</v>
      </c>
      <c r="G8464" s="20" t="str">
        <f>IFERROR(__xludf.DUMMYFUNCTION("""COMPUTED_VALUE"""),"Uncle Sams Cider (11/12/2021) 02")</f>
        <v>Uncle Sams Cider (11/12/2021) 02</v>
      </c>
      <c r="H8464" s="19"/>
    </row>
    <row r="8465">
      <c r="A8465" s="9"/>
      <c r="B8465" s="15"/>
      <c r="C8465" s="9">
        <f>IFERROR(__xludf.DUMMYFUNCTION("""COMPUTED_VALUE"""),44516.3316163888)</f>
        <v>44516.33162</v>
      </c>
      <c r="D8465" s="15">
        <f>IFERROR(__xludf.DUMMYFUNCTION("""COMPUTED_VALUE"""),1.089)</f>
        <v>1.089</v>
      </c>
      <c r="E8465" s="16">
        <f>IFERROR(__xludf.DUMMYFUNCTION("""COMPUTED_VALUE"""),67.0)</f>
        <v>67</v>
      </c>
      <c r="F8465" s="19" t="str">
        <f>IFERROR(__xludf.DUMMYFUNCTION("""COMPUTED_VALUE"""),"BLACK")</f>
        <v>BLACK</v>
      </c>
      <c r="G8465" s="20" t="str">
        <f>IFERROR(__xludf.DUMMYFUNCTION("""COMPUTED_VALUE"""),"Uncle Sams Cider (11/12/2021) 02")</f>
        <v>Uncle Sams Cider (11/12/2021) 02</v>
      </c>
      <c r="H8465" s="19"/>
    </row>
    <row r="8466">
      <c r="A8466" s="9"/>
      <c r="B8466" s="15"/>
      <c r="C8466" s="9">
        <f>IFERROR(__xludf.DUMMYFUNCTION("""COMPUTED_VALUE"""),44516.3211948726)</f>
        <v>44516.32119</v>
      </c>
      <c r="D8466" s="15">
        <f>IFERROR(__xludf.DUMMYFUNCTION("""COMPUTED_VALUE"""),1.09)</f>
        <v>1.09</v>
      </c>
      <c r="E8466" s="16">
        <f>IFERROR(__xludf.DUMMYFUNCTION("""COMPUTED_VALUE"""),67.0)</f>
        <v>67</v>
      </c>
      <c r="F8466" s="19" t="str">
        <f>IFERROR(__xludf.DUMMYFUNCTION("""COMPUTED_VALUE"""),"BLACK")</f>
        <v>BLACK</v>
      </c>
      <c r="G8466" s="20" t="str">
        <f>IFERROR(__xludf.DUMMYFUNCTION("""COMPUTED_VALUE"""),"Uncle Sams Cider (11/12/2021) 02")</f>
        <v>Uncle Sams Cider (11/12/2021) 02</v>
      </c>
      <c r="H8466" s="19"/>
    </row>
    <row r="8467">
      <c r="A8467" s="9"/>
      <c r="B8467" s="15"/>
      <c r="C8467" s="9">
        <f>IFERROR(__xludf.DUMMYFUNCTION("""COMPUTED_VALUE"""),44516.3107742708)</f>
        <v>44516.31077</v>
      </c>
      <c r="D8467" s="15">
        <f>IFERROR(__xludf.DUMMYFUNCTION("""COMPUTED_VALUE"""),1.09)</f>
        <v>1.09</v>
      </c>
      <c r="E8467" s="16">
        <f>IFERROR(__xludf.DUMMYFUNCTION("""COMPUTED_VALUE"""),67.0)</f>
        <v>67</v>
      </c>
      <c r="F8467" s="19" t="str">
        <f>IFERROR(__xludf.DUMMYFUNCTION("""COMPUTED_VALUE"""),"BLACK")</f>
        <v>BLACK</v>
      </c>
      <c r="G8467" s="20" t="str">
        <f>IFERROR(__xludf.DUMMYFUNCTION("""COMPUTED_VALUE"""),"Uncle Sams Cider (11/12/2021) 02")</f>
        <v>Uncle Sams Cider (11/12/2021) 02</v>
      </c>
      <c r="H8467" s="19"/>
    </row>
    <row r="8468">
      <c r="A8468" s="9"/>
      <c r="B8468" s="15"/>
      <c r="C8468" s="9">
        <f>IFERROR(__xludf.DUMMYFUNCTION("""COMPUTED_VALUE"""),44516.3003524305)</f>
        <v>44516.30035</v>
      </c>
      <c r="D8468" s="15">
        <f>IFERROR(__xludf.DUMMYFUNCTION("""COMPUTED_VALUE"""),1.09)</f>
        <v>1.09</v>
      </c>
      <c r="E8468" s="16">
        <f>IFERROR(__xludf.DUMMYFUNCTION("""COMPUTED_VALUE"""),67.0)</f>
        <v>67</v>
      </c>
      <c r="F8468" s="19" t="str">
        <f>IFERROR(__xludf.DUMMYFUNCTION("""COMPUTED_VALUE"""),"BLACK")</f>
        <v>BLACK</v>
      </c>
      <c r="G8468" s="20" t="str">
        <f>IFERROR(__xludf.DUMMYFUNCTION("""COMPUTED_VALUE"""),"Uncle Sams Cider (11/12/2021) 02")</f>
        <v>Uncle Sams Cider (11/12/2021) 02</v>
      </c>
      <c r="H8468" s="19"/>
    </row>
    <row r="8469">
      <c r="A8469" s="9"/>
      <c r="B8469" s="15"/>
      <c r="C8469" s="9">
        <f>IFERROR(__xludf.DUMMYFUNCTION("""COMPUTED_VALUE"""),44516.2899296412)</f>
        <v>44516.28993</v>
      </c>
      <c r="D8469" s="15">
        <f>IFERROR(__xludf.DUMMYFUNCTION("""COMPUTED_VALUE"""),1.09)</f>
        <v>1.09</v>
      </c>
      <c r="E8469" s="16">
        <f>IFERROR(__xludf.DUMMYFUNCTION("""COMPUTED_VALUE"""),67.0)</f>
        <v>67</v>
      </c>
      <c r="F8469" s="19" t="str">
        <f>IFERROR(__xludf.DUMMYFUNCTION("""COMPUTED_VALUE"""),"BLACK")</f>
        <v>BLACK</v>
      </c>
      <c r="G8469" s="20" t="str">
        <f>IFERROR(__xludf.DUMMYFUNCTION("""COMPUTED_VALUE"""),"Uncle Sams Cider (11/12/2021) 02")</f>
        <v>Uncle Sams Cider (11/12/2021) 02</v>
      </c>
      <c r="H8469" s="19"/>
    </row>
    <row r="8470">
      <c r="A8470" s="9"/>
      <c r="B8470" s="15"/>
      <c r="C8470" s="9">
        <f>IFERROR(__xludf.DUMMYFUNCTION("""COMPUTED_VALUE"""),44516.2795090393)</f>
        <v>44516.27951</v>
      </c>
      <c r="D8470" s="15">
        <f>IFERROR(__xludf.DUMMYFUNCTION("""COMPUTED_VALUE"""),1.09)</f>
        <v>1.09</v>
      </c>
      <c r="E8470" s="16">
        <f>IFERROR(__xludf.DUMMYFUNCTION("""COMPUTED_VALUE"""),67.0)</f>
        <v>67</v>
      </c>
      <c r="F8470" s="19" t="str">
        <f>IFERROR(__xludf.DUMMYFUNCTION("""COMPUTED_VALUE"""),"BLACK")</f>
        <v>BLACK</v>
      </c>
      <c r="G8470" s="20" t="str">
        <f>IFERROR(__xludf.DUMMYFUNCTION("""COMPUTED_VALUE"""),"Uncle Sams Cider (11/12/2021) 02")</f>
        <v>Uncle Sams Cider (11/12/2021) 02</v>
      </c>
      <c r="H8470" s="19"/>
    </row>
    <row r="8471">
      <c r="A8471" s="9"/>
      <c r="B8471" s="15"/>
      <c r="C8471" s="9">
        <f>IFERROR(__xludf.DUMMYFUNCTION("""COMPUTED_VALUE"""),44516.2690880092)</f>
        <v>44516.26909</v>
      </c>
      <c r="D8471" s="15">
        <f>IFERROR(__xludf.DUMMYFUNCTION("""COMPUTED_VALUE"""),1.09)</f>
        <v>1.09</v>
      </c>
      <c r="E8471" s="16">
        <f>IFERROR(__xludf.DUMMYFUNCTION("""COMPUTED_VALUE"""),67.0)</f>
        <v>67</v>
      </c>
      <c r="F8471" s="19" t="str">
        <f>IFERROR(__xludf.DUMMYFUNCTION("""COMPUTED_VALUE"""),"BLACK")</f>
        <v>BLACK</v>
      </c>
      <c r="G8471" s="20" t="str">
        <f>IFERROR(__xludf.DUMMYFUNCTION("""COMPUTED_VALUE"""),"Uncle Sams Cider (11/12/2021) 02")</f>
        <v>Uncle Sams Cider (11/12/2021) 02</v>
      </c>
      <c r="H8471" s="19"/>
    </row>
    <row r="8472">
      <c r="A8472" s="9"/>
      <c r="B8472" s="15"/>
      <c r="C8472" s="9">
        <f>IFERROR(__xludf.DUMMYFUNCTION("""COMPUTED_VALUE"""),44516.258665868)</f>
        <v>44516.25867</v>
      </c>
      <c r="D8472" s="15">
        <f>IFERROR(__xludf.DUMMYFUNCTION("""COMPUTED_VALUE"""),1.09)</f>
        <v>1.09</v>
      </c>
      <c r="E8472" s="16">
        <f>IFERROR(__xludf.DUMMYFUNCTION("""COMPUTED_VALUE"""),67.0)</f>
        <v>67</v>
      </c>
      <c r="F8472" s="19" t="str">
        <f>IFERROR(__xludf.DUMMYFUNCTION("""COMPUTED_VALUE"""),"BLACK")</f>
        <v>BLACK</v>
      </c>
      <c r="G8472" s="20" t="str">
        <f>IFERROR(__xludf.DUMMYFUNCTION("""COMPUTED_VALUE"""),"Uncle Sams Cider (11/12/2021) 02")</f>
        <v>Uncle Sams Cider (11/12/2021) 02</v>
      </c>
      <c r="H8472" s="19"/>
    </row>
    <row r="8473">
      <c r="A8473" s="9"/>
      <c r="B8473" s="15"/>
      <c r="C8473" s="9">
        <f>IFERROR(__xludf.DUMMYFUNCTION("""COMPUTED_VALUE"""),44516.2482309838)</f>
        <v>44516.24823</v>
      </c>
      <c r="D8473" s="15">
        <f>IFERROR(__xludf.DUMMYFUNCTION("""COMPUTED_VALUE"""),1.09)</f>
        <v>1.09</v>
      </c>
      <c r="E8473" s="16">
        <f>IFERROR(__xludf.DUMMYFUNCTION("""COMPUTED_VALUE"""),67.0)</f>
        <v>67</v>
      </c>
      <c r="F8473" s="19" t="str">
        <f>IFERROR(__xludf.DUMMYFUNCTION("""COMPUTED_VALUE"""),"BLACK")</f>
        <v>BLACK</v>
      </c>
      <c r="G8473" s="20" t="str">
        <f>IFERROR(__xludf.DUMMYFUNCTION("""COMPUTED_VALUE"""),"Uncle Sams Cider (11/12/2021) 02")</f>
        <v>Uncle Sams Cider (11/12/2021) 02</v>
      </c>
      <c r="H8473" s="19"/>
    </row>
    <row r="8474">
      <c r="A8474" s="9"/>
      <c r="B8474" s="15"/>
      <c r="C8474" s="9">
        <f>IFERROR(__xludf.DUMMYFUNCTION("""COMPUTED_VALUE"""),44516.2378094907)</f>
        <v>44516.23781</v>
      </c>
      <c r="D8474" s="15">
        <f>IFERROR(__xludf.DUMMYFUNCTION("""COMPUTED_VALUE"""),1.09)</f>
        <v>1.09</v>
      </c>
      <c r="E8474" s="16">
        <f>IFERROR(__xludf.DUMMYFUNCTION("""COMPUTED_VALUE"""),67.0)</f>
        <v>67</v>
      </c>
      <c r="F8474" s="19" t="str">
        <f>IFERROR(__xludf.DUMMYFUNCTION("""COMPUTED_VALUE"""),"BLACK")</f>
        <v>BLACK</v>
      </c>
      <c r="G8474" s="20" t="str">
        <f>IFERROR(__xludf.DUMMYFUNCTION("""COMPUTED_VALUE"""),"Uncle Sams Cider (11/12/2021) 02")</f>
        <v>Uncle Sams Cider (11/12/2021) 02</v>
      </c>
      <c r="H8474" s="19"/>
    </row>
    <row r="8475">
      <c r="A8475" s="9"/>
      <c r="B8475" s="15"/>
      <c r="C8475" s="9">
        <f>IFERROR(__xludf.DUMMYFUNCTION("""COMPUTED_VALUE"""),44516.2273868865)</f>
        <v>44516.22739</v>
      </c>
      <c r="D8475" s="15">
        <f>IFERROR(__xludf.DUMMYFUNCTION("""COMPUTED_VALUE"""),1.09)</f>
        <v>1.09</v>
      </c>
      <c r="E8475" s="16">
        <f>IFERROR(__xludf.DUMMYFUNCTION("""COMPUTED_VALUE"""),67.0)</f>
        <v>67</v>
      </c>
      <c r="F8475" s="19" t="str">
        <f>IFERROR(__xludf.DUMMYFUNCTION("""COMPUTED_VALUE"""),"BLACK")</f>
        <v>BLACK</v>
      </c>
      <c r="G8475" s="20" t="str">
        <f>IFERROR(__xludf.DUMMYFUNCTION("""COMPUTED_VALUE"""),"Uncle Sams Cider (11/12/2021) 02")</f>
        <v>Uncle Sams Cider (11/12/2021) 02</v>
      </c>
      <c r="H8475" s="19"/>
    </row>
    <row r="8476">
      <c r="A8476" s="9"/>
      <c r="B8476" s="15"/>
      <c r="C8476" s="9">
        <f>IFERROR(__xludf.DUMMYFUNCTION("""COMPUTED_VALUE"""),44516.2169652314)</f>
        <v>44516.21697</v>
      </c>
      <c r="D8476" s="15">
        <f>IFERROR(__xludf.DUMMYFUNCTION("""COMPUTED_VALUE"""),1.09)</f>
        <v>1.09</v>
      </c>
      <c r="E8476" s="16">
        <f>IFERROR(__xludf.DUMMYFUNCTION("""COMPUTED_VALUE"""),67.0)</f>
        <v>67</v>
      </c>
      <c r="F8476" s="19" t="str">
        <f>IFERROR(__xludf.DUMMYFUNCTION("""COMPUTED_VALUE"""),"BLACK")</f>
        <v>BLACK</v>
      </c>
      <c r="G8476" s="20" t="str">
        <f>IFERROR(__xludf.DUMMYFUNCTION("""COMPUTED_VALUE"""),"Uncle Sams Cider (11/12/2021) 02")</f>
        <v>Uncle Sams Cider (11/12/2021) 02</v>
      </c>
      <c r="H8476" s="19"/>
    </row>
    <row r="8477">
      <c r="A8477" s="9"/>
      <c r="B8477" s="15"/>
      <c r="C8477" s="9">
        <f>IFERROR(__xludf.DUMMYFUNCTION("""COMPUTED_VALUE"""),44516.2065418518)</f>
        <v>44516.20654</v>
      </c>
      <c r="D8477" s="15">
        <f>IFERROR(__xludf.DUMMYFUNCTION("""COMPUTED_VALUE"""),1.091)</f>
        <v>1.091</v>
      </c>
      <c r="E8477" s="16">
        <f>IFERROR(__xludf.DUMMYFUNCTION("""COMPUTED_VALUE"""),67.0)</f>
        <v>67</v>
      </c>
      <c r="F8477" s="19" t="str">
        <f>IFERROR(__xludf.DUMMYFUNCTION("""COMPUTED_VALUE"""),"BLACK")</f>
        <v>BLACK</v>
      </c>
      <c r="G8477" s="20" t="str">
        <f>IFERROR(__xludf.DUMMYFUNCTION("""COMPUTED_VALUE"""),"Uncle Sams Cider (11/12/2021) 02")</f>
        <v>Uncle Sams Cider (11/12/2021) 02</v>
      </c>
      <c r="H8477" s="19"/>
    </row>
    <row r="8478">
      <c r="A8478" s="9"/>
      <c r="B8478" s="15"/>
      <c r="C8478" s="9">
        <f>IFERROR(__xludf.DUMMYFUNCTION("""COMPUTED_VALUE"""),44516.1961110069)</f>
        <v>44516.19611</v>
      </c>
      <c r="D8478" s="15">
        <f>IFERROR(__xludf.DUMMYFUNCTION("""COMPUTED_VALUE"""),1.09)</f>
        <v>1.09</v>
      </c>
      <c r="E8478" s="16">
        <f>IFERROR(__xludf.DUMMYFUNCTION("""COMPUTED_VALUE"""),67.0)</f>
        <v>67</v>
      </c>
      <c r="F8478" s="19" t="str">
        <f>IFERROR(__xludf.DUMMYFUNCTION("""COMPUTED_VALUE"""),"BLACK")</f>
        <v>BLACK</v>
      </c>
      <c r="G8478" s="20" t="str">
        <f>IFERROR(__xludf.DUMMYFUNCTION("""COMPUTED_VALUE"""),"Uncle Sams Cider (11/12/2021) 02")</f>
        <v>Uncle Sams Cider (11/12/2021) 02</v>
      </c>
      <c r="H8478" s="19"/>
    </row>
    <row r="8479">
      <c r="A8479" s="9"/>
      <c r="B8479" s="15"/>
      <c r="C8479" s="9">
        <f>IFERROR(__xludf.DUMMYFUNCTION("""COMPUTED_VALUE"""),44516.1856894907)</f>
        <v>44516.18569</v>
      </c>
      <c r="D8479" s="15">
        <f>IFERROR(__xludf.DUMMYFUNCTION("""COMPUTED_VALUE"""),1.091)</f>
        <v>1.091</v>
      </c>
      <c r="E8479" s="16">
        <f>IFERROR(__xludf.DUMMYFUNCTION("""COMPUTED_VALUE"""),67.0)</f>
        <v>67</v>
      </c>
      <c r="F8479" s="19" t="str">
        <f>IFERROR(__xludf.DUMMYFUNCTION("""COMPUTED_VALUE"""),"BLACK")</f>
        <v>BLACK</v>
      </c>
      <c r="G8479" s="20" t="str">
        <f>IFERROR(__xludf.DUMMYFUNCTION("""COMPUTED_VALUE"""),"Uncle Sams Cider (11/12/2021) 02")</f>
        <v>Uncle Sams Cider (11/12/2021) 02</v>
      </c>
      <c r="H8479" s="19"/>
    </row>
    <row r="8480">
      <c r="A8480" s="9"/>
      <c r="B8480" s="15"/>
      <c r="C8480" s="9">
        <f>IFERROR(__xludf.DUMMYFUNCTION("""COMPUTED_VALUE"""),44516.175255706)</f>
        <v>44516.17526</v>
      </c>
      <c r="D8480" s="15">
        <f>IFERROR(__xludf.DUMMYFUNCTION("""COMPUTED_VALUE"""),1.091)</f>
        <v>1.091</v>
      </c>
      <c r="E8480" s="16">
        <f>IFERROR(__xludf.DUMMYFUNCTION("""COMPUTED_VALUE"""),67.0)</f>
        <v>67</v>
      </c>
      <c r="F8480" s="19" t="str">
        <f>IFERROR(__xludf.DUMMYFUNCTION("""COMPUTED_VALUE"""),"BLACK")</f>
        <v>BLACK</v>
      </c>
      <c r="G8480" s="20" t="str">
        <f>IFERROR(__xludf.DUMMYFUNCTION("""COMPUTED_VALUE"""),"Uncle Sams Cider (11/12/2021) 02")</f>
        <v>Uncle Sams Cider (11/12/2021) 02</v>
      </c>
      <c r="H8480" s="19"/>
    </row>
    <row r="8481">
      <c r="A8481" s="9"/>
      <c r="B8481" s="15"/>
      <c r="C8481" s="9">
        <f>IFERROR(__xludf.DUMMYFUNCTION("""COMPUTED_VALUE"""),44516.1648357986)</f>
        <v>44516.16484</v>
      </c>
      <c r="D8481" s="15">
        <f>IFERROR(__xludf.DUMMYFUNCTION("""COMPUTED_VALUE"""),1.091)</f>
        <v>1.091</v>
      </c>
      <c r="E8481" s="16">
        <f>IFERROR(__xludf.DUMMYFUNCTION("""COMPUTED_VALUE"""),67.0)</f>
        <v>67</v>
      </c>
      <c r="F8481" s="19" t="str">
        <f>IFERROR(__xludf.DUMMYFUNCTION("""COMPUTED_VALUE"""),"BLACK")</f>
        <v>BLACK</v>
      </c>
      <c r="G8481" s="20" t="str">
        <f>IFERROR(__xludf.DUMMYFUNCTION("""COMPUTED_VALUE"""),"Uncle Sams Cider (11/12/2021) 02")</f>
        <v>Uncle Sams Cider (11/12/2021) 02</v>
      </c>
      <c r="H8481" s="19"/>
    </row>
    <row r="8482">
      <c r="A8482" s="9"/>
      <c r="B8482" s="15"/>
      <c r="C8482" s="9">
        <f>IFERROR(__xludf.DUMMYFUNCTION("""COMPUTED_VALUE"""),44516.1544138657)</f>
        <v>44516.15441</v>
      </c>
      <c r="D8482" s="15">
        <f>IFERROR(__xludf.DUMMYFUNCTION("""COMPUTED_VALUE"""),1.091)</f>
        <v>1.091</v>
      </c>
      <c r="E8482" s="16">
        <f>IFERROR(__xludf.DUMMYFUNCTION("""COMPUTED_VALUE"""),67.0)</f>
        <v>67</v>
      </c>
      <c r="F8482" s="19" t="str">
        <f>IFERROR(__xludf.DUMMYFUNCTION("""COMPUTED_VALUE"""),"BLACK")</f>
        <v>BLACK</v>
      </c>
      <c r="G8482" s="20" t="str">
        <f>IFERROR(__xludf.DUMMYFUNCTION("""COMPUTED_VALUE"""),"Uncle Sams Cider (11/12/2021) 02")</f>
        <v>Uncle Sams Cider (11/12/2021) 02</v>
      </c>
      <c r="H8482" s="19"/>
    </row>
    <row r="8483">
      <c r="A8483" s="9"/>
      <c r="B8483" s="15"/>
      <c r="C8483" s="9">
        <f>IFERROR(__xludf.DUMMYFUNCTION("""COMPUTED_VALUE"""),44516.1439923726)</f>
        <v>44516.14399</v>
      </c>
      <c r="D8483" s="15">
        <f>IFERROR(__xludf.DUMMYFUNCTION("""COMPUTED_VALUE"""),1.091)</f>
        <v>1.091</v>
      </c>
      <c r="E8483" s="16">
        <f>IFERROR(__xludf.DUMMYFUNCTION("""COMPUTED_VALUE"""),67.0)</f>
        <v>67</v>
      </c>
      <c r="F8483" s="19" t="str">
        <f>IFERROR(__xludf.DUMMYFUNCTION("""COMPUTED_VALUE"""),"BLACK")</f>
        <v>BLACK</v>
      </c>
      <c r="G8483" s="20" t="str">
        <f>IFERROR(__xludf.DUMMYFUNCTION("""COMPUTED_VALUE"""),"Uncle Sams Cider (11/12/2021) 02")</f>
        <v>Uncle Sams Cider (11/12/2021) 02</v>
      </c>
      <c r="H8483" s="19"/>
    </row>
    <row r="8484">
      <c r="A8484" s="9"/>
      <c r="B8484" s="15"/>
      <c r="C8484" s="9">
        <f>IFERROR(__xludf.DUMMYFUNCTION("""COMPUTED_VALUE"""),44516.1335719097)</f>
        <v>44516.13357</v>
      </c>
      <c r="D8484" s="15">
        <f>IFERROR(__xludf.DUMMYFUNCTION("""COMPUTED_VALUE"""),1.091)</f>
        <v>1.091</v>
      </c>
      <c r="E8484" s="16">
        <f>IFERROR(__xludf.DUMMYFUNCTION("""COMPUTED_VALUE"""),67.0)</f>
        <v>67</v>
      </c>
      <c r="F8484" s="19" t="str">
        <f>IFERROR(__xludf.DUMMYFUNCTION("""COMPUTED_VALUE"""),"BLACK")</f>
        <v>BLACK</v>
      </c>
      <c r="G8484" s="20" t="str">
        <f>IFERROR(__xludf.DUMMYFUNCTION("""COMPUTED_VALUE"""),"Uncle Sams Cider (11/12/2021) 02")</f>
        <v>Uncle Sams Cider (11/12/2021) 02</v>
      </c>
      <c r="H8484" s="19"/>
    </row>
    <row r="8485">
      <c r="A8485" s="9"/>
      <c r="B8485" s="15"/>
      <c r="C8485" s="9">
        <f>IFERROR(__xludf.DUMMYFUNCTION("""COMPUTED_VALUE"""),44516.1231381944)</f>
        <v>44516.12314</v>
      </c>
      <c r="D8485" s="15">
        <f>IFERROR(__xludf.DUMMYFUNCTION("""COMPUTED_VALUE"""),1.091)</f>
        <v>1.091</v>
      </c>
      <c r="E8485" s="16">
        <f>IFERROR(__xludf.DUMMYFUNCTION("""COMPUTED_VALUE"""),67.0)</f>
        <v>67</v>
      </c>
      <c r="F8485" s="19" t="str">
        <f>IFERROR(__xludf.DUMMYFUNCTION("""COMPUTED_VALUE"""),"BLACK")</f>
        <v>BLACK</v>
      </c>
      <c r="G8485" s="20" t="str">
        <f>IFERROR(__xludf.DUMMYFUNCTION("""COMPUTED_VALUE"""),"Uncle Sams Cider (11/12/2021) 02")</f>
        <v>Uncle Sams Cider (11/12/2021) 02</v>
      </c>
      <c r="H8485" s="19"/>
    </row>
    <row r="8486">
      <c r="A8486" s="9"/>
      <c r="B8486" s="15"/>
      <c r="C8486" s="9">
        <f>IFERROR(__xludf.DUMMYFUNCTION("""COMPUTED_VALUE"""),44516.1126934027)</f>
        <v>44516.11269</v>
      </c>
      <c r="D8486" s="15">
        <f>IFERROR(__xludf.DUMMYFUNCTION("""COMPUTED_VALUE"""),1.091)</f>
        <v>1.091</v>
      </c>
      <c r="E8486" s="16">
        <f>IFERROR(__xludf.DUMMYFUNCTION("""COMPUTED_VALUE"""),67.0)</f>
        <v>67</v>
      </c>
      <c r="F8486" s="19" t="str">
        <f>IFERROR(__xludf.DUMMYFUNCTION("""COMPUTED_VALUE"""),"BLACK")</f>
        <v>BLACK</v>
      </c>
      <c r="G8486" s="20" t="str">
        <f>IFERROR(__xludf.DUMMYFUNCTION("""COMPUTED_VALUE"""),"Uncle Sams Cider (11/12/2021) 02")</f>
        <v>Uncle Sams Cider (11/12/2021) 02</v>
      </c>
      <c r="H8486" s="19"/>
    </row>
    <row r="8487">
      <c r="A8487" s="9"/>
      <c r="B8487" s="15"/>
      <c r="C8487" s="9">
        <f>IFERROR(__xludf.DUMMYFUNCTION("""COMPUTED_VALUE"""),44516.1022375578)</f>
        <v>44516.10224</v>
      </c>
      <c r="D8487" s="15">
        <f>IFERROR(__xludf.DUMMYFUNCTION("""COMPUTED_VALUE"""),1.091)</f>
        <v>1.091</v>
      </c>
      <c r="E8487" s="16">
        <f>IFERROR(__xludf.DUMMYFUNCTION("""COMPUTED_VALUE"""),67.0)</f>
        <v>67</v>
      </c>
      <c r="F8487" s="19" t="str">
        <f>IFERROR(__xludf.DUMMYFUNCTION("""COMPUTED_VALUE"""),"BLACK")</f>
        <v>BLACK</v>
      </c>
      <c r="G8487" s="20" t="str">
        <f>IFERROR(__xludf.DUMMYFUNCTION("""COMPUTED_VALUE"""),"Uncle Sams Cider (11/12/2021) 02")</f>
        <v>Uncle Sams Cider (11/12/2021) 02</v>
      </c>
      <c r="H8487" s="19"/>
    </row>
    <row r="8488">
      <c r="A8488" s="9"/>
      <c r="B8488" s="15"/>
      <c r="C8488" s="9">
        <f>IFERROR(__xludf.DUMMYFUNCTION("""COMPUTED_VALUE"""),44516.091815)</f>
        <v>44516.09182</v>
      </c>
      <c r="D8488" s="15">
        <f>IFERROR(__xludf.DUMMYFUNCTION("""COMPUTED_VALUE"""),1.091)</f>
        <v>1.091</v>
      </c>
      <c r="E8488" s="16">
        <f>IFERROR(__xludf.DUMMYFUNCTION("""COMPUTED_VALUE"""),67.0)</f>
        <v>67</v>
      </c>
      <c r="F8488" s="19" t="str">
        <f>IFERROR(__xludf.DUMMYFUNCTION("""COMPUTED_VALUE"""),"BLACK")</f>
        <v>BLACK</v>
      </c>
      <c r="G8488" s="20" t="str">
        <f>IFERROR(__xludf.DUMMYFUNCTION("""COMPUTED_VALUE"""),"Uncle Sams Cider (11/12/2021) 02")</f>
        <v>Uncle Sams Cider (11/12/2021) 02</v>
      </c>
      <c r="H8488" s="19"/>
    </row>
    <row r="8489">
      <c r="A8489" s="9"/>
      <c r="B8489" s="15"/>
      <c r="C8489" s="9">
        <f>IFERROR(__xludf.DUMMYFUNCTION("""COMPUTED_VALUE"""),44516.0813938078)</f>
        <v>44516.08139</v>
      </c>
      <c r="D8489" s="15">
        <f>IFERROR(__xludf.DUMMYFUNCTION("""COMPUTED_VALUE"""),1.091)</f>
        <v>1.091</v>
      </c>
      <c r="E8489" s="16">
        <f>IFERROR(__xludf.DUMMYFUNCTION("""COMPUTED_VALUE"""),67.0)</f>
        <v>67</v>
      </c>
      <c r="F8489" s="19" t="str">
        <f>IFERROR(__xludf.DUMMYFUNCTION("""COMPUTED_VALUE"""),"BLACK")</f>
        <v>BLACK</v>
      </c>
      <c r="G8489" s="20" t="str">
        <f>IFERROR(__xludf.DUMMYFUNCTION("""COMPUTED_VALUE"""),"Uncle Sams Cider (11/12/2021) 02")</f>
        <v>Uncle Sams Cider (11/12/2021) 02</v>
      </c>
      <c r="H8489" s="19"/>
    </row>
    <row r="8490">
      <c r="A8490" s="9"/>
      <c r="B8490" s="15"/>
      <c r="C8490" s="9">
        <f>IFERROR(__xludf.DUMMYFUNCTION("""COMPUTED_VALUE"""),44516.0709369791)</f>
        <v>44516.07094</v>
      </c>
      <c r="D8490" s="15">
        <f>IFERROR(__xludf.DUMMYFUNCTION("""COMPUTED_VALUE"""),1.091)</f>
        <v>1.091</v>
      </c>
      <c r="E8490" s="16">
        <f>IFERROR(__xludf.DUMMYFUNCTION("""COMPUTED_VALUE"""),67.0)</f>
        <v>67</v>
      </c>
      <c r="F8490" s="19" t="str">
        <f>IFERROR(__xludf.DUMMYFUNCTION("""COMPUTED_VALUE"""),"BLACK")</f>
        <v>BLACK</v>
      </c>
      <c r="G8490" s="20" t="str">
        <f>IFERROR(__xludf.DUMMYFUNCTION("""COMPUTED_VALUE"""),"Uncle Sams Cider (11/12/2021) 02")</f>
        <v>Uncle Sams Cider (11/12/2021) 02</v>
      </c>
      <c r="H8490" s="19"/>
    </row>
    <row r="8491">
      <c r="A8491" s="9"/>
      <c r="B8491" s="15"/>
      <c r="C8491" s="9">
        <f>IFERROR(__xludf.DUMMYFUNCTION("""COMPUTED_VALUE"""),44516.0605159837)</f>
        <v>44516.06052</v>
      </c>
      <c r="D8491" s="15">
        <f>IFERROR(__xludf.DUMMYFUNCTION("""COMPUTED_VALUE"""),1.091)</f>
        <v>1.091</v>
      </c>
      <c r="E8491" s="16">
        <f>IFERROR(__xludf.DUMMYFUNCTION("""COMPUTED_VALUE"""),67.0)</f>
        <v>67</v>
      </c>
      <c r="F8491" s="19" t="str">
        <f>IFERROR(__xludf.DUMMYFUNCTION("""COMPUTED_VALUE"""),"BLACK")</f>
        <v>BLACK</v>
      </c>
      <c r="G8491" s="20" t="str">
        <f>IFERROR(__xludf.DUMMYFUNCTION("""COMPUTED_VALUE"""),"Uncle Sams Cider (11/12/2021) 02")</f>
        <v>Uncle Sams Cider (11/12/2021) 02</v>
      </c>
      <c r="H8491" s="19"/>
    </row>
    <row r="8492">
      <c r="A8492" s="9"/>
      <c r="B8492" s="15"/>
      <c r="C8492" s="9">
        <f>IFERROR(__xludf.DUMMYFUNCTION("""COMPUTED_VALUE"""),44516.050095324)</f>
        <v>44516.0501</v>
      </c>
      <c r="D8492" s="15">
        <f>IFERROR(__xludf.DUMMYFUNCTION("""COMPUTED_VALUE"""),1.092)</f>
        <v>1.092</v>
      </c>
      <c r="E8492" s="16">
        <f>IFERROR(__xludf.DUMMYFUNCTION("""COMPUTED_VALUE"""),67.0)</f>
        <v>67</v>
      </c>
      <c r="F8492" s="19" t="str">
        <f>IFERROR(__xludf.DUMMYFUNCTION("""COMPUTED_VALUE"""),"BLACK")</f>
        <v>BLACK</v>
      </c>
      <c r="G8492" s="20" t="str">
        <f>IFERROR(__xludf.DUMMYFUNCTION("""COMPUTED_VALUE"""),"Uncle Sams Cider (11/12/2021) 02")</f>
        <v>Uncle Sams Cider (11/12/2021) 02</v>
      </c>
      <c r="H8492" s="19"/>
    </row>
    <row r="8493">
      <c r="A8493" s="9"/>
      <c r="B8493" s="15"/>
      <c r="C8493" s="9">
        <f>IFERROR(__xludf.DUMMYFUNCTION("""COMPUTED_VALUE"""),44516.0396742708)</f>
        <v>44516.03967</v>
      </c>
      <c r="D8493" s="15">
        <f>IFERROR(__xludf.DUMMYFUNCTION("""COMPUTED_VALUE"""),1.091)</f>
        <v>1.091</v>
      </c>
      <c r="E8493" s="16">
        <f>IFERROR(__xludf.DUMMYFUNCTION("""COMPUTED_VALUE"""),67.0)</f>
        <v>67</v>
      </c>
      <c r="F8493" s="19" t="str">
        <f>IFERROR(__xludf.DUMMYFUNCTION("""COMPUTED_VALUE"""),"BLACK")</f>
        <v>BLACK</v>
      </c>
      <c r="G8493" s="20" t="str">
        <f>IFERROR(__xludf.DUMMYFUNCTION("""COMPUTED_VALUE"""),"Uncle Sams Cider (11/12/2021) 02")</f>
        <v>Uncle Sams Cider (11/12/2021) 02</v>
      </c>
      <c r="H8493" s="19"/>
    </row>
    <row r="8494">
      <c r="A8494" s="9"/>
      <c r="B8494" s="15"/>
      <c r="C8494" s="9">
        <f>IFERROR(__xludf.DUMMYFUNCTION("""COMPUTED_VALUE"""),44516.0292509838)</f>
        <v>44516.02925</v>
      </c>
      <c r="D8494" s="15">
        <f>IFERROR(__xludf.DUMMYFUNCTION("""COMPUTED_VALUE"""),1.091)</f>
        <v>1.091</v>
      </c>
      <c r="E8494" s="16">
        <f>IFERROR(__xludf.DUMMYFUNCTION("""COMPUTED_VALUE"""),67.0)</f>
        <v>67</v>
      </c>
      <c r="F8494" s="19" t="str">
        <f>IFERROR(__xludf.DUMMYFUNCTION("""COMPUTED_VALUE"""),"BLACK")</f>
        <v>BLACK</v>
      </c>
      <c r="G8494" s="20" t="str">
        <f>IFERROR(__xludf.DUMMYFUNCTION("""COMPUTED_VALUE"""),"Uncle Sams Cider (11/12/2021) 02")</f>
        <v>Uncle Sams Cider (11/12/2021) 02</v>
      </c>
      <c r="H8494" s="19"/>
    </row>
    <row r="8495">
      <c r="A8495" s="9"/>
      <c r="B8495" s="15"/>
      <c r="C8495" s="9">
        <f>IFERROR(__xludf.DUMMYFUNCTION("""COMPUTED_VALUE"""),44516.0188167824)</f>
        <v>44516.01882</v>
      </c>
      <c r="D8495" s="15">
        <f>IFERROR(__xludf.DUMMYFUNCTION("""COMPUTED_VALUE"""),1.091)</f>
        <v>1.091</v>
      </c>
      <c r="E8495" s="16">
        <f>IFERROR(__xludf.DUMMYFUNCTION("""COMPUTED_VALUE"""),67.0)</f>
        <v>67</v>
      </c>
      <c r="F8495" s="19" t="str">
        <f>IFERROR(__xludf.DUMMYFUNCTION("""COMPUTED_VALUE"""),"BLACK")</f>
        <v>BLACK</v>
      </c>
      <c r="G8495" s="20" t="str">
        <f>IFERROR(__xludf.DUMMYFUNCTION("""COMPUTED_VALUE"""),"Uncle Sams Cider (11/12/2021) 02")</f>
        <v>Uncle Sams Cider (11/12/2021) 02</v>
      </c>
      <c r="H8495" s="19"/>
    </row>
    <row r="8496">
      <c r="A8496" s="9"/>
      <c r="B8496" s="15"/>
      <c r="C8496" s="9">
        <f>IFERROR(__xludf.DUMMYFUNCTION("""COMPUTED_VALUE"""),44516.0083951504)</f>
        <v>44516.0084</v>
      </c>
      <c r="D8496" s="15">
        <f>IFERROR(__xludf.DUMMYFUNCTION("""COMPUTED_VALUE"""),1.092)</f>
        <v>1.092</v>
      </c>
      <c r="E8496" s="16">
        <f>IFERROR(__xludf.DUMMYFUNCTION("""COMPUTED_VALUE"""),67.0)</f>
        <v>67</v>
      </c>
      <c r="F8496" s="19" t="str">
        <f>IFERROR(__xludf.DUMMYFUNCTION("""COMPUTED_VALUE"""),"BLACK")</f>
        <v>BLACK</v>
      </c>
      <c r="G8496" s="20" t="str">
        <f>IFERROR(__xludf.DUMMYFUNCTION("""COMPUTED_VALUE"""),"Uncle Sams Cider (11/12/2021) 02")</f>
        <v>Uncle Sams Cider (11/12/2021) 02</v>
      </c>
      <c r="H8496" s="19"/>
    </row>
    <row r="8497">
      <c r="A8497" s="9"/>
      <c r="B8497" s="15"/>
      <c r="C8497" s="9">
        <f>IFERROR(__xludf.DUMMYFUNCTION("""COMPUTED_VALUE"""),44515.9979746643)</f>
        <v>44515.99797</v>
      </c>
      <c r="D8497" s="15">
        <f>IFERROR(__xludf.DUMMYFUNCTION("""COMPUTED_VALUE"""),1.092)</f>
        <v>1.092</v>
      </c>
      <c r="E8497" s="16">
        <f>IFERROR(__xludf.DUMMYFUNCTION("""COMPUTED_VALUE"""),67.0)</f>
        <v>67</v>
      </c>
      <c r="F8497" s="19" t="str">
        <f>IFERROR(__xludf.DUMMYFUNCTION("""COMPUTED_VALUE"""),"BLACK")</f>
        <v>BLACK</v>
      </c>
      <c r="G8497" s="20" t="str">
        <f>IFERROR(__xludf.DUMMYFUNCTION("""COMPUTED_VALUE"""),"Uncle Sams Cider (11/12/2021) 02")</f>
        <v>Uncle Sams Cider (11/12/2021) 02</v>
      </c>
      <c r="H8497" s="19"/>
    </row>
    <row r="8498">
      <c r="A8498" s="9"/>
      <c r="B8498" s="15"/>
      <c r="C8498" s="9">
        <f>IFERROR(__xludf.DUMMYFUNCTION("""COMPUTED_VALUE"""),44515.9875530902)</f>
        <v>44515.98755</v>
      </c>
      <c r="D8498" s="15">
        <f>IFERROR(__xludf.DUMMYFUNCTION("""COMPUTED_VALUE"""),1.092)</f>
        <v>1.092</v>
      </c>
      <c r="E8498" s="16">
        <f>IFERROR(__xludf.DUMMYFUNCTION("""COMPUTED_VALUE"""),66.0)</f>
        <v>66</v>
      </c>
      <c r="F8498" s="19" t="str">
        <f>IFERROR(__xludf.DUMMYFUNCTION("""COMPUTED_VALUE"""),"BLACK")</f>
        <v>BLACK</v>
      </c>
      <c r="G8498" s="20" t="str">
        <f>IFERROR(__xludf.DUMMYFUNCTION("""COMPUTED_VALUE"""),"Uncle Sams Cider (11/12/2021) 02")</f>
        <v>Uncle Sams Cider (11/12/2021) 02</v>
      </c>
      <c r="H8498" s="19"/>
    </row>
    <row r="8499">
      <c r="A8499" s="9"/>
      <c r="B8499" s="15"/>
      <c r="C8499" s="9">
        <f>IFERROR(__xludf.DUMMYFUNCTION("""COMPUTED_VALUE"""),44515.977132662)</f>
        <v>44515.97713</v>
      </c>
      <c r="D8499" s="15">
        <f>IFERROR(__xludf.DUMMYFUNCTION("""COMPUTED_VALUE"""),1.092)</f>
        <v>1.092</v>
      </c>
      <c r="E8499" s="16">
        <f>IFERROR(__xludf.DUMMYFUNCTION("""COMPUTED_VALUE"""),66.0)</f>
        <v>66</v>
      </c>
      <c r="F8499" s="19" t="str">
        <f>IFERROR(__xludf.DUMMYFUNCTION("""COMPUTED_VALUE"""),"BLACK")</f>
        <v>BLACK</v>
      </c>
      <c r="G8499" s="20" t="str">
        <f>IFERROR(__xludf.DUMMYFUNCTION("""COMPUTED_VALUE"""),"Uncle Sams Cider (11/12/2021) 02")</f>
        <v>Uncle Sams Cider (11/12/2021) 02</v>
      </c>
      <c r="H8499" s="19"/>
    </row>
    <row r="8500">
      <c r="A8500" s="9"/>
      <c r="B8500" s="15"/>
      <c r="C8500" s="9">
        <f>IFERROR(__xludf.DUMMYFUNCTION("""COMPUTED_VALUE"""),44515.9667124537)</f>
        <v>44515.96671</v>
      </c>
      <c r="D8500" s="15">
        <f>IFERROR(__xludf.DUMMYFUNCTION("""COMPUTED_VALUE"""),1.092)</f>
        <v>1.092</v>
      </c>
      <c r="E8500" s="16">
        <f>IFERROR(__xludf.DUMMYFUNCTION("""COMPUTED_VALUE"""),66.0)</f>
        <v>66</v>
      </c>
      <c r="F8500" s="19" t="str">
        <f>IFERROR(__xludf.DUMMYFUNCTION("""COMPUTED_VALUE"""),"BLACK")</f>
        <v>BLACK</v>
      </c>
      <c r="G8500" s="20" t="str">
        <f>IFERROR(__xludf.DUMMYFUNCTION("""COMPUTED_VALUE"""),"Uncle Sams Cider (11/12/2021) 02")</f>
        <v>Uncle Sams Cider (11/12/2021) 02</v>
      </c>
      <c r="H8500" s="19"/>
    </row>
    <row r="8501">
      <c r="A8501" s="9"/>
      <c r="B8501" s="15"/>
      <c r="C8501" s="9">
        <f>IFERROR(__xludf.DUMMYFUNCTION("""COMPUTED_VALUE"""),44515.9562899074)</f>
        <v>44515.95629</v>
      </c>
      <c r="D8501" s="15">
        <f>IFERROR(__xludf.DUMMYFUNCTION("""COMPUTED_VALUE"""),1.092)</f>
        <v>1.092</v>
      </c>
      <c r="E8501" s="16">
        <f>IFERROR(__xludf.DUMMYFUNCTION("""COMPUTED_VALUE"""),66.0)</f>
        <v>66</v>
      </c>
      <c r="F8501" s="19" t="str">
        <f>IFERROR(__xludf.DUMMYFUNCTION("""COMPUTED_VALUE"""),"BLACK")</f>
        <v>BLACK</v>
      </c>
      <c r="G8501" s="20" t="str">
        <f>IFERROR(__xludf.DUMMYFUNCTION("""COMPUTED_VALUE"""),"Uncle Sams Cider (11/12/2021) 02")</f>
        <v>Uncle Sams Cider (11/12/2021) 02</v>
      </c>
      <c r="H8501" s="19"/>
    </row>
    <row r="8502">
      <c r="A8502" s="9"/>
      <c r="B8502" s="15"/>
      <c r="C8502" s="9">
        <f>IFERROR(__xludf.DUMMYFUNCTION("""COMPUTED_VALUE"""),44515.945866655)</f>
        <v>44515.94587</v>
      </c>
      <c r="D8502" s="15">
        <f>IFERROR(__xludf.DUMMYFUNCTION("""COMPUTED_VALUE"""),1.092)</f>
        <v>1.092</v>
      </c>
      <c r="E8502" s="16">
        <f>IFERROR(__xludf.DUMMYFUNCTION("""COMPUTED_VALUE"""),66.0)</f>
        <v>66</v>
      </c>
      <c r="F8502" s="19" t="str">
        <f>IFERROR(__xludf.DUMMYFUNCTION("""COMPUTED_VALUE"""),"BLACK")</f>
        <v>BLACK</v>
      </c>
      <c r="G8502" s="20" t="str">
        <f>IFERROR(__xludf.DUMMYFUNCTION("""COMPUTED_VALUE"""),"Uncle Sams Cider (11/12/2021) 02")</f>
        <v>Uncle Sams Cider (11/12/2021) 02</v>
      </c>
      <c r="H8502" s="19"/>
    </row>
    <row r="8503">
      <c r="A8503" s="9"/>
      <c r="B8503" s="15"/>
      <c r="C8503" s="9">
        <f>IFERROR(__xludf.DUMMYFUNCTION("""COMPUTED_VALUE"""),44515.9354233564)</f>
        <v>44515.93542</v>
      </c>
      <c r="D8503" s="15">
        <f>IFERROR(__xludf.DUMMYFUNCTION("""COMPUTED_VALUE"""),1.092)</f>
        <v>1.092</v>
      </c>
      <c r="E8503" s="16">
        <f>IFERROR(__xludf.DUMMYFUNCTION("""COMPUTED_VALUE"""),66.0)</f>
        <v>66</v>
      </c>
      <c r="F8503" s="19" t="str">
        <f>IFERROR(__xludf.DUMMYFUNCTION("""COMPUTED_VALUE"""),"BLACK")</f>
        <v>BLACK</v>
      </c>
      <c r="G8503" s="20" t="str">
        <f>IFERROR(__xludf.DUMMYFUNCTION("""COMPUTED_VALUE"""),"Uncle Sams Cider (11/12/2021) 02")</f>
        <v>Uncle Sams Cider (11/12/2021) 02</v>
      </c>
      <c r="H8503" s="19"/>
    </row>
    <row r="8504">
      <c r="A8504" s="9"/>
      <c r="B8504" s="15"/>
      <c r="C8504" s="9">
        <f>IFERROR(__xludf.DUMMYFUNCTION("""COMPUTED_VALUE"""),44515.9249907986)</f>
        <v>44515.92499</v>
      </c>
      <c r="D8504" s="15">
        <f>IFERROR(__xludf.DUMMYFUNCTION("""COMPUTED_VALUE"""),1.092)</f>
        <v>1.092</v>
      </c>
      <c r="E8504" s="16">
        <f>IFERROR(__xludf.DUMMYFUNCTION("""COMPUTED_VALUE"""),66.0)</f>
        <v>66</v>
      </c>
      <c r="F8504" s="19" t="str">
        <f>IFERROR(__xludf.DUMMYFUNCTION("""COMPUTED_VALUE"""),"BLACK")</f>
        <v>BLACK</v>
      </c>
      <c r="G8504" s="20" t="str">
        <f>IFERROR(__xludf.DUMMYFUNCTION("""COMPUTED_VALUE"""),"Uncle Sams Cider (11/12/2021) 02")</f>
        <v>Uncle Sams Cider (11/12/2021) 02</v>
      </c>
      <c r="H8504" s="19"/>
    </row>
    <row r="8505">
      <c r="A8505" s="9"/>
      <c r="B8505" s="15"/>
      <c r="C8505" s="9">
        <f>IFERROR(__xludf.DUMMYFUNCTION("""COMPUTED_VALUE"""),44515.9145703124)</f>
        <v>44515.91457</v>
      </c>
      <c r="D8505" s="15">
        <f>IFERROR(__xludf.DUMMYFUNCTION("""COMPUTED_VALUE"""),1.092)</f>
        <v>1.092</v>
      </c>
      <c r="E8505" s="16">
        <f>IFERROR(__xludf.DUMMYFUNCTION("""COMPUTED_VALUE"""),66.0)</f>
        <v>66</v>
      </c>
      <c r="F8505" s="19" t="str">
        <f>IFERROR(__xludf.DUMMYFUNCTION("""COMPUTED_VALUE"""),"BLACK")</f>
        <v>BLACK</v>
      </c>
      <c r="G8505" s="20" t="str">
        <f>IFERROR(__xludf.DUMMYFUNCTION("""COMPUTED_VALUE"""),"Uncle Sams Cider (11/12/2021) 02")</f>
        <v>Uncle Sams Cider (11/12/2021) 02</v>
      </c>
      <c r="H8505" s="19"/>
    </row>
    <row r="8506">
      <c r="A8506" s="9"/>
      <c r="B8506" s="15"/>
      <c r="C8506" s="9">
        <f>IFERROR(__xludf.DUMMYFUNCTION("""COMPUTED_VALUE"""),44515.9041506134)</f>
        <v>44515.90415</v>
      </c>
      <c r="D8506" s="15">
        <f>IFERROR(__xludf.DUMMYFUNCTION("""COMPUTED_VALUE"""),1.092)</f>
        <v>1.092</v>
      </c>
      <c r="E8506" s="16">
        <f>IFERROR(__xludf.DUMMYFUNCTION("""COMPUTED_VALUE"""),66.0)</f>
        <v>66</v>
      </c>
      <c r="F8506" s="19" t="str">
        <f>IFERROR(__xludf.DUMMYFUNCTION("""COMPUTED_VALUE"""),"BLACK")</f>
        <v>BLACK</v>
      </c>
      <c r="G8506" s="20" t="str">
        <f>IFERROR(__xludf.DUMMYFUNCTION("""COMPUTED_VALUE"""),"Uncle Sams Cider (11/12/2021) 02")</f>
        <v>Uncle Sams Cider (11/12/2021) 02</v>
      </c>
      <c r="H8506" s="19"/>
    </row>
    <row r="8507">
      <c r="A8507" s="9"/>
      <c r="B8507" s="15"/>
      <c r="C8507" s="9">
        <f>IFERROR(__xludf.DUMMYFUNCTION("""COMPUTED_VALUE"""),44515.8937298726)</f>
        <v>44515.89373</v>
      </c>
      <c r="D8507" s="15">
        <f>IFERROR(__xludf.DUMMYFUNCTION("""COMPUTED_VALUE"""),1.092)</f>
        <v>1.092</v>
      </c>
      <c r="E8507" s="16">
        <f>IFERROR(__xludf.DUMMYFUNCTION("""COMPUTED_VALUE"""),66.0)</f>
        <v>66</v>
      </c>
      <c r="F8507" s="19" t="str">
        <f>IFERROR(__xludf.DUMMYFUNCTION("""COMPUTED_VALUE"""),"BLACK")</f>
        <v>BLACK</v>
      </c>
      <c r="G8507" s="20" t="str">
        <f>IFERROR(__xludf.DUMMYFUNCTION("""COMPUTED_VALUE"""),"Uncle Sams Cider (11/12/2021) 02")</f>
        <v>Uncle Sams Cider (11/12/2021) 02</v>
      </c>
      <c r="H8507" s="19"/>
    </row>
    <row r="8508">
      <c r="A8508" s="9"/>
      <c r="B8508" s="15"/>
      <c r="C8508" s="9">
        <f>IFERROR(__xludf.DUMMYFUNCTION("""COMPUTED_VALUE"""),44515.8832965856)</f>
        <v>44515.8833</v>
      </c>
      <c r="D8508" s="15">
        <f>IFERROR(__xludf.DUMMYFUNCTION("""COMPUTED_VALUE"""),1.092)</f>
        <v>1.092</v>
      </c>
      <c r="E8508" s="16">
        <f>IFERROR(__xludf.DUMMYFUNCTION("""COMPUTED_VALUE"""),66.0)</f>
        <v>66</v>
      </c>
      <c r="F8508" s="19" t="str">
        <f>IFERROR(__xludf.DUMMYFUNCTION("""COMPUTED_VALUE"""),"BLACK")</f>
        <v>BLACK</v>
      </c>
      <c r="G8508" s="20" t="str">
        <f>IFERROR(__xludf.DUMMYFUNCTION("""COMPUTED_VALUE"""),"Uncle Sams Cider (11/12/2021) 02")</f>
        <v>Uncle Sams Cider (11/12/2021) 02</v>
      </c>
      <c r="H8508" s="19"/>
    </row>
    <row r="8509">
      <c r="A8509" s="9"/>
      <c r="B8509" s="15"/>
      <c r="C8509" s="9">
        <f>IFERROR(__xludf.DUMMYFUNCTION("""COMPUTED_VALUE"""),44515.8728747569)</f>
        <v>44515.87287</v>
      </c>
      <c r="D8509" s="15">
        <f>IFERROR(__xludf.DUMMYFUNCTION("""COMPUTED_VALUE"""),1.093)</f>
        <v>1.093</v>
      </c>
      <c r="E8509" s="16">
        <f>IFERROR(__xludf.DUMMYFUNCTION("""COMPUTED_VALUE"""),66.0)</f>
        <v>66</v>
      </c>
      <c r="F8509" s="19" t="str">
        <f>IFERROR(__xludf.DUMMYFUNCTION("""COMPUTED_VALUE"""),"BLACK")</f>
        <v>BLACK</v>
      </c>
      <c r="G8509" s="20" t="str">
        <f>IFERROR(__xludf.DUMMYFUNCTION("""COMPUTED_VALUE"""),"Uncle Sams Cider (11/12/2021) 02")</f>
        <v>Uncle Sams Cider (11/12/2021) 02</v>
      </c>
      <c r="H8509" s="19"/>
    </row>
    <row r="8510">
      <c r="A8510" s="9"/>
      <c r="B8510" s="15"/>
      <c r="C8510" s="9">
        <f>IFERROR(__xludf.DUMMYFUNCTION("""COMPUTED_VALUE"""),44515.8624541666)</f>
        <v>44515.86245</v>
      </c>
      <c r="D8510" s="15">
        <f>IFERROR(__xludf.DUMMYFUNCTION("""COMPUTED_VALUE"""),1.092)</f>
        <v>1.092</v>
      </c>
      <c r="E8510" s="16">
        <f>IFERROR(__xludf.DUMMYFUNCTION("""COMPUTED_VALUE"""),66.0)</f>
        <v>66</v>
      </c>
      <c r="F8510" s="19" t="str">
        <f>IFERROR(__xludf.DUMMYFUNCTION("""COMPUTED_VALUE"""),"BLACK")</f>
        <v>BLACK</v>
      </c>
      <c r="G8510" s="20" t="str">
        <f>IFERROR(__xludf.DUMMYFUNCTION("""COMPUTED_VALUE"""),"Uncle Sams Cider (11/12/2021) 02")</f>
        <v>Uncle Sams Cider (11/12/2021) 02</v>
      </c>
      <c r="H8510" s="19"/>
    </row>
    <row r="8511">
      <c r="A8511" s="9"/>
      <c r="B8511" s="15"/>
      <c r="C8511" s="9">
        <f>IFERROR(__xludf.DUMMYFUNCTION("""COMPUTED_VALUE"""),44515.8520329861)</f>
        <v>44515.85203</v>
      </c>
      <c r="D8511" s="15">
        <f>IFERROR(__xludf.DUMMYFUNCTION("""COMPUTED_VALUE"""),1.092)</f>
        <v>1.092</v>
      </c>
      <c r="E8511" s="16">
        <f>IFERROR(__xludf.DUMMYFUNCTION("""COMPUTED_VALUE"""),66.0)</f>
        <v>66</v>
      </c>
      <c r="F8511" s="19" t="str">
        <f>IFERROR(__xludf.DUMMYFUNCTION("""COMPUTED_VALUE"""),"BLACK")</f>
        <v>BLACK</v>
      </c>
      <c r="G8511" s="20" t="str">
        <f>IFERROR(__xludf.DUMMYFUNCTION("""COMPUTED_VALUE"""),"Uncle Sams Cider (11/12/2021) 02")</f>
        <v>Uncle Sams Cider (11/12/2021) 02</v>
      </c>
      <c r="H8511" s="19"/>
    </row>
    <row r="8512">
      <c r="A8512" s="9"/>
      <c r="B8512" s="15"/>
      <c r="C8512" s="9">
        <f>IFERROR(__xludf.DUMMYFUNCTION("""COMPUTED_VALUE"""),44515.8415880671)</f>
        <v>44515.84159</v>
      </c>
      <c r="D8512" s="15">
        <f>IFERROR(__xludf.DUMMYFUNCTION("""COMPUTED_VALUE"""),1.092)</f>
        <v>1.092</v>
      </c>
      <c r="E8512" s="16">
        <f>IFERROR(__xludf.DUMMYFUNCTION("""COMPUTED_VALUE"""),66.0)</f>
        <v>66</v>
      </c>
      <c r="F8512" s="19" t="str">
        <f>IFERROR(__xludf.DUMMYFUNCTION("""COMPUTED_VALUE"""),"BLACK")</f>
        <v>BLACK</v>
      </c>
      <c r="G8512" s="20" t="str">
        <f>IFERROR(__xludf.DUMMYFUNCTION("""COMPUTED_VALUE"""),"Uncle Sams Cider (11/12/2021) 02")</f>
        <v>Uncle Sams Cider (11/12/2021) 02</v>
      </c>
      <c r="H8512" s="19"/>
    </row>
    <row r="8513">
      <c r="A8513" s="9"/>
      <c r="B8513" s="15"/>
      <c r="C8513" s="9">
        <f>IFERROR(__xludf.DUMMYFUNCTION("""COMPUTED_VALUE"""),44515.8311649884)</f>
        <v>44515.83116</v>
      </c>
      <c r="D8513" s="15">
        <f>IFERROR(__xludf.DUMMYFUNCTION("""COMPUTED_VALUE"""),1.093)</f>
        <v>1.093</v>
      </c>
      <c r="E8513" s="16">
        <f>IFERROR(__xludf.DUMMYFUNCTION("""COMPUTED_VALUE"""),66.0)</f>
        <v>66</v>
      </c>
      <c r="F8513" s="19" t="str">
        <f>IFERROR(__xludf.DUMMYFUNCTION("""COMPUTED_VALUE"""),"BLACK")</f>
        <v>BLACK</v>
      </c>
      <c r="G8513" s="20" t="str">
        <f>IFERROR(__xludf.DUMMYFUNCTION("""COMPUTED_VALUE"""),"Uncle Sams Cider (11/12/2021) 02")</f>
        <v>Uncle Sams Cider (11/12/2021) 02</v>
      </c>
      <c r="H8513" s="19"/>
    </row>
    <row r="8514">
      <c r="A8514" s="9"/>
      <c r="B8514" s="15"/>
      <c r="C8514" s="9">
        <f>IFERROR(__xludf.DUMMYFUNCTION("""COMPUTED_VALUE"""),44515.8207443981)</f>
        <v>44515.82074</v>
      </c>
      <c r="D8514" s="15">
        <f>IFERROR(__xludf.DUMMYFUNCTION("""COMPUTED_VALUE"""),1.093)</f>
        <v>1.093</v>
      </c>
      <c r="E8514" s="16">
        <f>IFERROR(__xludf.DUMMYFUNCTION("""COMPUTED_VALUE"""),66.0)</f>
        <v>66</v>
      </c>
      <c r="F8514" s="19" t="str">
        <f>IFERROR(__xludf.DUMMYFUNCTION("""COMPUTED_VALUE"""),"BLACK")</f>
        <v>BLACK</v>
      </c>
      <c r="G8514" s="20" t="str">
        <f>IFERROR(__xludf.DUMMYFUNCTION("""COMPUTED_VALUE"""),"Uncle Sams Cider (11/12/2021) 02")</f>
        <v>Uncle Sams Cider (11/12/2021) 02</v>
      </c>
      <c r="H8514" s="19"/>
    </row>
    <row r="8515">
      <c r="A8515" s="9"/>
      <c r="B8515" s="15"/>
      <c r="C8515" s="9">
        <f>IFERROR(__xludf.DUMMYFUNCTION("""COMPUTED_VALUE"""),44515.8103223842)</f>
        <v>44515.81032</v>
      </c>
      <c r="D8515" s="15">
        <f>IFERROR(__xludf.DUMMYFUNCTION("""COMPUTED_VALUE"""),1.093)</f>
        <v>1.093</v>
      </c>
      <c r="E8515" s="16">
        <f>IFERROR(__xludf.DUMMYFUNCTION("""COMPUTED_VALUE"""),66.0)</f>
        <v>66</v>
      </c>
      <c r="F8515" s="19" t="str">
        <f>IFERROR(__xludf.DUMMYFUNCTION("""COMPUTED_VALUE"""),"BLACK")</f>
        <v>BLACK</v>
      </c>
      <c r="G8515" s="20" t="str">
        <f>IFERROR(__xludf.DUMMYFUNCTION("""COMPUTED_VALUE"""),"Uncle Sams Cider (11/12/2021) 02")</f>
        <v>Uncle Sams Cider (11/12/2021) 02</v>
      </c>
      <c r="H8515" s="19"/>
    </row>
    <row r="8516">
      <c r="A8516" s="9"/>
      <c r="B8516" s="15"/>
      <c r="C8516" s="9">
        <f>IFERROR(__xludf.DUMMYFUNCTION("""COMPUTED_VALUE"""),44515.7999030208)</f>
        <v>44515.7999</v>
      </c>
      <c r="D8516" s="15">
        <f>IFERROR(__xludf.DUMMYFUNCTION("""COMPUTED_VALUE"""),1.093)</f>
        <v>1.093</v>
      </c>
      <c r="E8516" s="16">
        <f>IFERROR(__xludf.DUMMYFUNCTION("""COMPUTED_VALUE"""),66.0)</f>
        <v>66</v>
      </c>
      <c r="F8516" s="19" t="str">
        <f>IFERROR(__xludf.DUMMYFUNCTION("""COMPUTED_VALUE"""),"BLACK")</f>
        <v>BLACK</v>
      </c>
      <c r="G8516" s="20" t="str">
        <f>IFERROR(__xludf.DUMMYFUNCTION("""COMPUTED_VALUE"""),"Uncle Sams Cider (11/12/2021) 02")</f>
        <v>Uncle Sams Cider (11/12/2021) 02</v>
      </c>
      <c r="H8516" s="19"/>
    </row>
    <row r="8517">
      <c r="A8517" s="9"/>
      <c r="B8517" s="15"/>
      <c r="C8517" s="9">
        <f>IFERROR(__xludf.DUMMYFUNCTION("""COMPUTED_VALUE"""),44515.7894817708)</f>
        <v>44515.78948</v>
      </c>
      <c r="D8517" s="15">
        <f>IFERROR(__xludf.DUMMYFUNCTION("""COMPUTED_VALUE"""),1.093)</f>
        <v>1.093</v>
      </c>
      <c r="E8517" s="16">
        <f>IFERROR(__xludf.DUMMYFUNCTION("""COMPUTED_VALUE"""),66.0)</f>
        <v>66</v>
      </c>
      <c r="F8517" s="19" t="str">
        <f>IFERROR(__xludf.DUMMYFUNCTION("""COMPUTED_VALUE"""),"BLACK")</f>
        <v>BLACK</v>
      </c>
      <c r="G8517" s="20" t="str">
        <f>IFERROR(__xludf.DUMMYFUNCTION("""COMPUTED_VALUE"""),"Uncle Sams Cider (11/12/2021) 02")</f>
        <v>Uncle Sams Cider (11/12/2021) 02</v>
      </c>
      <c r="H8517" s="19"/>
    </row>
    <row r="8518">
      <c r="A8518" s="9"/>
      <c r="B8518" s="15"/>
      <c r="C8518" s="9">
        <f>IFERROR(__xludf.DUMMYFUNCTION("""COMPUTED_VALUE"""),44515.7790597916)</f>
        <v>44515.77906</v>
      </c>
      <c r="D8518" s="15">
        <f>IFERROR(__xludf.DUMMYFUNCTION("""COMPUTED_VALUE"""),1.093)</f>
        <v>1.093</v>
      </c>
      <c r="E8518" s="16">
        <f>IFERROR(__xludf.DUMMYFUNCTION("""COMPUTED_VALUE"""),66.0)</f>
        <v>66</v>
      </c>
      <c r="F8518" s="19" t="str">
        <f>IFERROR(__xludf.DUMMYFUNCTION("""COMPUTED_VALUE"""),"BLACK")</f>
        <v>BLACK</v>
      </c>
      <c r="G8518" s="20" t="str">
        <f>IFERROR(__xludf.DUMMYFUNCTION("""COMPUTED_VALUE"""),"Uncle Sams Cider (11/12/2021) 02")</f>
        <v>Uncle Sams Cider (11/12/2021) 02</v>
      </c>
      <c r="H8518" s="19"/>
    </row>
    <row r="8519">
      <c r="A8519" s="9"/>
      <c r="B8519" s="15"/>
      <c r="C8519" s="9">
        <f>IFERROR(__xludf.DUMMYFUNCTION("""COMPUTED_VALUE"""),44515.7686385648)</f>
        <v>44515.76864</v>
      </c>
      <c r="D8519" s="15">
        <f>IFERROR(__xludf.DUMMYFUNCTION("""COMPUTED_VALUE"""),1.093)</f>
        <v>1.093</v>
      </c>
      <c r="E8519" s="16">
        <f>IFERROR(__xludf.DUMMYFUNCTION("""COMPUTED_VALUE"""),66.0)</f>
        <v>66</v>
      </c>
      <c r="F8519" s="19" t="str">
        <f>IFERROR(__xludf.DUMMYFUNCTION("""COMPUTED_VALUE"""),"BLACK")</f>
        <v>BLACK</v>
      </c>
      <c r="G8519" s="20" t="str">
        <f>IFERROR(__xludf.DUMMYFUNCTION("""COMPUTED_VALUE"""),"Uncle Sams Cider (11/12/2021) 02")</f>
        <v>Uncle Sams Cider (11/12/2021) 02</v>
      </c>
      <c r="H8519" s="19"/>
    </row>
    <row r="8520">
      <c r="A8520" s="9"/>
      <c r="B8520" s="15"/>
      <c r="C8520" s="9">
        <f>IFERROR(__xludf.DUMMYFUNCTION("""COMPUTED_VALUE"""),44515.758217905)</f>
        <v>44515.75822</v>
      </c>
      <c r="D8520" s="15">
        <f>IFERROR(__xludf.DUMMYFUNCTION("""COMPUTED_VALUE"""),1.093)</f>
        <v>1.093</v>
      </c>
      <c r="E8520" s="16">
        <f>IFERROR(__xludf.DUMMYFUNCTION("""COMPUTED_VALUE"""),66.0)</f>
        <v>66</v>
      </c>
      <c r="F8520" s="19" t="str">
        <f>IFERROR(__xludf.DUMMYFUNCTION("""COMPUTED_VALUE"""),"BLACK")</f>
        <v>BLACK</v>
      </c>
      <c r="G8520" s="20" t="str">
        <f>IFERROR(__xludf.DUMMYFUNCTION("""COMPUTED_VALUE"""),"Uncle Sams Cider (11/12/2021) 02")</f>
        <v>Uncle Sams Cider (11/12/2021) 02</v>
      </c>
      <c r="H8520" s="19"/>
    </row>
    <row r="8521">
      <c r="A8521" s="9"/>
      <c r="B8521" s="15"/>
      <c r="C8521" s="9">
        <f>IFERROR(__xludf.DUMMYFUNCTION("""COMPUTED_VALUE"""),44515.7477974768)</f>
        <v>44515.7478</v>
      </c>
      <c r="D8521" s="15">
        <f>IFERROR(__xludf.DUMMYFUNCTION("""COMPUTED_VALUE"""),1.094)</f>
        <v>1.094</v>
      </c>
      <c r="E8521" s="16">
        <f>IFERROR(__xludf.DUMMYFUNCTION("""COMPUTED_VALUE"""),66.0)</f>
        <v>66</v>
      </c>
      <c r="F8521" s="19" t="str">
        <f>IFERROR(__xludf.DUMMYFUNCTION("""COMPUTED_VALUE"""),"BLACK")</f>
        <v>BLACK</v>
      </c>
      <c r="G8521" s="20" t="str">
        <f>IFERROR(__xludf.DUMMYFUNCTION("""COMPUTED_VALUE"""),"Uncle Sams Cider (11/12/2021) 02")</f>
        <v>Uncle Sams Cider (11/12/2021) 02</v>
      </c>
      <c r="H8521" s="19"/>
    </row>
    <row r="8522">
      <c r="A8522" s="9"/>
      <c r="B8522" s="15"/>
      <c r="C8522" s="9">
        <f>IFERROR(__xludf.DUMMYFUNCTION("""COMPUTED_VALUE"""),44515.7373643865)</f>
        <v>44515.73736</v>
      </c>
      <c r="D8522" s="15">
        <f>IFERROR(__xludf.DUMMYFUNCTION("""COMPUTED_VALUE"""),1.093)</f>
        <v>1.093</v>
      </c>
      <c r="E8522" s="16">
        <f>IFERROR(__xludf.DUMMYFUNCTION("""COMPUTED_VALUE"""),66.0)</f>
        <v>66</v>
      </c>
      <c r="F8522" s="19" t="str">
        <f>IFERROR(__xludf.DUMMYFUNCTION("""COMPUTED_VALUE"""),"BLACK")</f>
        <v>BLACK</v>
      </c>
      <c r="G8522" s="20" t="str">
        <f>IFERROR(__xludf.DUMMYFUNCTION("""COMPUTED_VALUE"""),"Uncle Sams Cider (11/12/2021) 02")</f>
        <v>Uncle Sams Cider (11/12/2021) 02</v>
      </c>
      <c r="H8522" s="19"/>
    </row>
    <row r="8523">
      <c r="A8523" s="9"/>
      <c r="B8523" s="15"/>
      <c r="C8523" s="9">
        <f>IFERROR(__xludf.DUMMYFUNCTION("""COMPUTED_VALUE"""),44515.7269317824)</f>
        <v>44515.72693</v>
      </c>
      <c r="D8523" s="15">
        <f>IFERROR(__xludf.DUMMYFUNCTION("""COMPUTED_VALUE"""),1.093)</f>
        <v>1.093</v>
      </c>
      <c r="E8523" s="16">
        <f>IFERROR(__xludf.DUMMYFUNCTION("""COMPUTED_VALUE"""),66.0)</f>
        <v>66</v>
      </c>
      <c r="F8523" s="19" t="str">
        <f>IFERROR(__xludf.DUMMYFUNCTION("""COMPUTED_VALUE"""),"BLACK")</f>
        <v>BLACK</v>
      </c>
      <c r="G8523" s="20" t="str">
        <f>IFERROR(__xludf.DUMMYFUNCTION("""COMPUTED_VALUE"""),"Uncle Sams Cider (11/12/2021) 02")</f>
        <v>Uncle Sams Cider (11/12/2021) 02</v>
      </c>
      <c r="H8523" s="19"/>
    </row>
    <row r="8524">
      <c r="A8524" s="9"/>
      <c r="B8524" s="15"/>
      <c r="C8524" s="9">
        <f>IFERROR(__xludf.DUMMYFUNCTION("""COMPUTED_VALUE"""),44515.7164987384)</f>
        <v>44515.7165</v>
      </c>
      <c r="D8524" s="15">
        <f>IFERROR(__xludf.DUMMYFUNCTION("""COMPUTED_VALUE"""),1.093)</f>
        <v>1.093</v>
      </c>
      <c r="E8524" s="16">
        <f>IFERROR(__xludf.DUMMYFUNCTION("""COMPUTED_VALUE"""),66.0)</f>
        <v>66</v>
      </c>
      <c r="F8524" s="19" t="str">
        <f>IFERROR(__xludf.DUMMYFUNCTION("""COMPUTED_VALUE"""),"BLACK")</f>
        <v>BLACK</v>
      </c>
      <c r="G8524" s="20" t="str">
        <f>IFERROR(__xludf.DUMMYFUNCTION("""COMPUTED_VALUE"""),"Uncle Sams Cider (11/12/2021) 02")</f>
        <v>Uncle Sams Cider (11/12/2021) 02</v>
      </c>
      <c r="H8524" s="19"/>
    </row>
    <row r="8525">
      <c r="A8525" s="9"/>
      <c r="B8525" s="15"/>
      <c r="C8525" s="9">
        <f>IFERROR(__xludf.DUMMYFUNCTION("""COMPUTED_VALUE"""),44515.7060789467)</f>
        <v>44515.70608</v>
      </c>
      <c r="D8525" s="15">
        <f>IFERROR(__xludf.DUMMYFUNCTION("""COMPUTED_VALUE"""),1.094)</f>
        <v>1.094</v>
      </c>
      <c r="E8525" s="16">
        <f>IFERROR(__xludf.DUMMYFUNCTION("""COMPUTED_VALUE"""),66.0)</f>
        <v>66</v>
      </c>
      <c r="F8525" s="19" t="str">
        <f>IFERROR(__xludf.DUMMYFUNCTION("""COMPUTED_VALUE"""),"BLACK")</f>
        <v>BLACK</v>
      </c>
      <c r="G8525" s="20" t="str">
        <f>IFERROR(__xludf.DUMMYFUNCTION("""COMPUTED_VALUE"""),"Uncle Sams Cider (11/12/2021) 02")</f>
        <v>Uncle Sams Cider (11/12/2021) 02</v>
      </c>
      <c r="H8525" s="19"/>
    </row>
    <row r="8526">
      <c r="A8526" s="9"/>
      <c r="B8526" s="15"/>
      <c r="C8526" s="9">
        <f>IFERROR(__xludf.DUMMYFUNCTION("""COMPUTED_VALUE"""),44515.6956588194)</f>
        <v>44515.69566</v>
      </c>
      <c r="D8526" s="15">
        <f>IFERROR(__xludf.DUMMYFUNCTION("""COMPUTED_VALUE"""),1.094)</f>
        <v>1.094</v>
      </c>
      <c r="E8526" s="16">
        <f>IFERROR(__xludf.DUMMYFUNCTION("""COMPUTED_VALUE"""),66.0)</f>
        <v>66</v>
      </c>
      <c r="F8526" s="19" t="str">
        <f>IFERROR(__xludf.DUMMYFUNCTION("""COMPUTED_VALUE"""),"BLACK")</f>
        <v>BLACK</v>
      </c>
      <c r="G8526" s="20" t="str">
        <f>IFERROR(__xludf.DUMMYFUNCTION("""COMPUTED_VALUE"""),"Uncle Sams Cider (11/12/2021) 02")</f>
        <v>Uncle Sams Cider (11/12/2021) 02</v>
      </c>
      <c r="H8526" s="19"/>
    </row>
    <row r="8527">
      <c r="A8527" s="9"/>
      <c r="B8527" s="15"/>
      <c r="C8527" s="9">
        <f>IFERROR(__xludf.DUMMYFUNCTION("""COMPUTED_VALUE"""),44515.6852369444)</f>
        <v>44515.68524</v>
      </c>
      <c r="D8527" s="15">
        <f>IFERROR(__xludf.DUMMYFUNCTION("""COMPUTED_VALUE"""),1.093)</f>
        <v>1.093</v>
      </c>
      <c r="E8527" s="16">
        <f>IFERROR(__xludf.DUMMYFUNCTION("""COMPUTED_VALUE"""),66.0)</f>
        <v>66</v>
      </c>
      <c r="F8527" s="19" t="str">
        <f>IFERROR(__xludf.DUMMYFUNCTION("""COMPUTED_VALUE"""),"BLACK")</f>
        <v>BLACK</v>
      </c>
      <c r="G8527" s="20" t="str">
        <f>IFERROR(__xludf.DUMMYFUNCTION("""COMPUTED_VALUE"""),"Uncle Sams Cider (11/12/2021) 02")</f>
        <v>Uncle Sams Cider (11/12/2021) 02</v>
      </c>
      <c r="H8527" s="19"/>
    </row>
    <row r="8528">
      <c r="A8528" s="9"/>
      <c r="B8528" s="15"/>
      <c r="C8528" s="9">
        <f>IFERROR(__xludf.DUMMYFUNCTION("""COMPUTED_VALUE"""),44515.6748159837)</f>
        <v>44515.67482</v>
      </c>
      <c r="D8528" s="15">
        <f>IFERROR(__xludf.DUMMYFUNCTION("""COMPUTED_VALUE"""),1.093)</f>
        <v>1.093</v>
      </c>
      <c r="E8528" s="16">
        <f>IFERROR(__xludf.DUMMYFUNCTION("""COMPUTED_VALUE"""),66.0)</f>
        <v>66</v>
      </c>
      <c r="F8528" s="19" t="str">
        <f>IFERROR(__xludf.DUMMYFUNCTION("""COMPUTED_VALUE"""),"BLACK")</f>
        <v>BLACK</v>
      </c>
      <c r="G8528" s="20" t="str">
        <f>IFERROR(__xludf.DUMMYFUNCTION("""COMPUTED_VALUE"""),"Uncle Sams Cider (11/12/2021) 02")</f>
        <v>Uncle Sams Cider (11/12/2021) 02</v>
      </c>
      <c r="H8528" s="19"/>
    </row>
    <row r="8529">
      <c r="A8529" s="9"/>
      <c r="B8529" s="15"/>
      <c r="C8529" s="9">
        <f>IFERROR(__xludf.DUMMYFUNCTION("""COMPUTED_VALUE"""),44515.6643957523)</f>
        <v>44515.6644</v>
      </c>
      <c r="D8529" s="15">
        <f>IFERROR(__xludf.DUMMYFUNCTION("""COMPUTED_VALUE"""),1.093)</f>
        <v>1.093</v>
      </c>
      <c r="E8529" s="16">
        <f>IFERROR(__xludf.DUMMYFUNCTION("""COMPUTED_VALUE"""),66.0)</f>
        <v>66</v>
      </c>
      <c r="F8529" s="19" t="str">
        <f>IFERROR(__xludf.DUMMYFUNCTION("""COMPUTED_VALUE"""),"BLACK")</f>
        <v>BLACK</v>
      </c>
      <c r="G8529" s="20" t="str">
        <f>IFERROR(__xludf.DUMMYFUNCTION("""COMPUTED_VALUE"""),"Uncle Sams Cider (11/12/2021) 02")</f>
        <v>Uncle Sams Cider (11/12/2021) 02</v>
      </c>
      <c r="H8529" s="19"/>
    </row>
    <row r="8530">
      <c r="A8530" s="9"/>
      <c r="B8530" s="15"/>
      <c r="C8530" s="9">
        <f>IFERROR(__xludf.DUMMYFUNCTION("""COMPUTED_VALUE"""),44515.6539736574)</f>
        <v>44515.65397</v>
      </c>
      <c r="D8530" s="15">
        <f>IFERROR(__xludf.DUMMYFUNCTION("""COMPUTED_VALUE"""),1.094)</f>
        <v>1.094</v>
      </c>
      <c r="E8530" s="16">
        <f>IFERROR(__xludf.DUMMYFUNCTION("""COMPUTED_VALUE"""),66.0)</f>
        <v>66</v>
      </c>
      <c r="F8530" s="19" t="str">
        <f>IFERROR(__xludf.DUMMYFUNCTION("""COMPUTED_VALUE"""),"BLACK")</f>
        <v>BLACK</v>
      </c>
      <c r="G8530" s="20" t="str">
        <f>IFERROR(__xludf.DUMMYFUNCTION("""COMPUTED_VALUE"""),"Uncle Sams Cider (11/12/2021) 02")</f>
        <v>Uncle Sams Cider (11/12/2021) 02</v>
      </c>
      <c r="H8530" s="19"/>
    </row>
    <row r="8531">
      <c r="A8531" s="9"/>
      <c r="B8531" s="15"/>
      <c r="C8531" s="9">
        <f>IFERROR(__xludf.DUMMYFUNCTION("""COMPUTED_VALUE"""),44515.6435523148)</f>
        <v>44515.64355</v>
      </c>
      <c r="D8531" s="15">
        <f>IFERROR(__xludf.DUMMYFUNCTION("""COMPUTED_VALUE"""),1.093)</f>
        <v>1.093</v>
      </c>
      <c r="E8531" s="16">
        <f>IFERROR(__xludf.DUMMYFUNCTION("""COMPUTED_VALUE"""),66.0)</f>
        <v>66</v>
      </c>
      <c r="F8531" s="19" t="str">
        <f>IFERROR(__xludf.DUMMYFUNCTION("""COMPUTED_VALUE"""),"BLACK")</f>
        <v>BLACK</v>
      </c>
      <c r="G8531" s="20" t="str">
        <f>IFERROR(__xludf.DUMMYFUNCTION("""COMPUTED_VALUE"""),"Uncle Sams Cider (11/12/2021) 02")</f>
        <v>Uncle Sams Cider (11/12/2021) 02</v>
      </c>
      <c r="H8531" s="19"/>
    </row>
    <row r="8532">
      <c r="A8532" s="9"/>
      <c r="B8532" s="15"/>
      <c r="C8532" s="9">
        <f>IFERROR(__xludf.DUMMYFUNCTION("""COMPUTED_VALUE"""),44515.633108993)</f>
        <v>44515.63311</v>
      </c>
      <c r="D8532" s="15">
        <f>IFERROR(__xludf.DUMMYFUNCTION("""COMPUTED_VALUE"""),1.094)</f>
        <v>1.094</v>
      </c>
      <c r="E8532" s="16">
        <f>IFERROR(__xludf.DUMMYFUNCTION("""COMPUTED_VALUE"""),66.0)</f>
        <v>66</v>
      </c>
      <c r="F8532" s="19" t="str">
        <f>IFERROR(__xludf.DUMMYFUNCTION("""COMPUTED_VALUE"""),"BLACK")</f>
        <v>BLACK</v>
      </c>
      <c r="G8532" s="20" t="str">
        <f>IFERROR(__xludf.DUMMYFUNCTION("""COMPUTED_VALUE"""),"Uncle Sams Cider (11/12/2021) 02")</f>
        <v>Uncle Sams Cider (11/12/2021) 02</v>
      </c>
      <c r="H8532" s="19"/>
    </row>
    <row r="8533">
      <c r="A8533" s="9"/>
      <c r="B8533" s="15"/>
      <c r="C8533" s="9">
        <f>IFERROR(__xludf.DUMMYFUNCTION("""COMPUTED_VALUE"""),44515.6226866319)</f>
        <v>44515.62269</v>
      </c>
      <c r="D8533" s="15">
        <f>IFERROR(__xludf.DUMMYFUNCTION("""COMPUTED_VALUE"""),1.094)</f>
        <v>1.094</v>
      </c>
      <c r="E8533" s="16">
        <f>IFERROR(__xludf.DUMMYFUNCTION("""COMPUTED_VALUE"""),66.0)</f>
        <v>66</v>
      </c>
      <c r="F8533" s="19" t="str">
        <f>IFERROR(__xludf.DUMMYFUNCTION("""COMPUTED_VALUE"""),"BLACK")</f>
        <v>BLACK</v>
      </c>
      <c r="G8533" s="20" t="str">
        <f>IFERROR(__xludf.DUMMYFUNCTION("""COMPUTED_VALUE"""),"Uncle Sams Cider (11/12/2021) 02")</f>
        <v>Uncle Sams Cider (11/12/2021) 02</v>
      </c>
      <c r="H8533" s="19"/>
    </row>
    <row r="8534">
      <c r="A8534" s="9"/>
      <c r="B8534" s="15"/>
      <c r="C8534" s="9">
        <f>IFERROR(__xludf.DUMMYFUNCTION("""COMPUTED_VALUE"""),44515.6122674884)</f>
        <v>44515.61227</v>
      </c>
      <c r="D8534" s="15">
        <f>IFERROR(__xludf.DUMMYFUNCTION("""COMPUTED_VALUE"""),1.093)</f>
        <v>1.093</v>
      </c>
      <c r="E8534" s="16">
        <f>IFERROR(__xludf.DUMMYFUNCTION("""COMPUTED_VALUE"""),66.0)</f>
        <v>66</v>
      </c>
      <c r="F8534" s="19" t="str">
        <f>IFERROR(__xludf.DUMMYFUNCTION("""COMPUTED_VALUE"""),"BLACK")</f>
        <v>BLACK</v>
      </c>
      <c r="G8534" s="20" t="str">
        <f>IFERROR(__xludf.DUMMYFUNCTION("""COMPUTED_VALUE"""),"Uncle Sams Cider (11/12/2021) 02")</f>
        <v>Uncle Sams Cider (11/12/2021) 02</v>
      </c>
      <c r="H8534" s="19"/>
    </row>
    <row r="8535">
      <c r="A8535" s="9"/>
      <c r="B8535" s="15"/>
      <c r="C8535" s="9">
        <f>IFERROR(__xludf.DUMMYFUNCTION("""COMPUTED_VALUE"""),44515.60184603)</f>
        <v>44515.60185</v>
      </c>
      <c r="D8535" s="15">
        <f>IFERROR(__xludf.DUMMYFUNCTION("""COMPUTED_VALUE"""),1.094)</f>
        <v>1.094</v>
      </c>
      <c r="E8535" s="16">
        <f>IFERROR(__xludf.DUMMYFUNCTION("""COMPUTED_VALUE"""),66.0)</f>
        <v>66</v>
      </c>
      <c r="F8535" s="19" t="str">
        <f>IFERROR(__xludf.DUMMYFUNCTION("""COMPUTED_VALUE"""),"BLACK")</f>
        <v>BLACK</v>
      </c>
      <c r="G8535" s="20" t="str">
        <f>IFERROR(__xludf.DUMMYFUNCTION("""COMPUTED_VALUE"""),"Uncle Sams Cider (11/12/2021) 02")</f>
        <v>Uncle Sams Cider (11/12/2021) 02</v>
      </c>
      <c r="H8535" s="19"/>
    </row>
    <row r="8536">
      <c r="A8536" s="9"/>
      <c r="B8536" s="15"/>
      <c r="C8536" s="9">
        <f>IFERROR(__xludf.DUMMYFUNCTION("""COMPUTED_VALUE"""),44515.591377037)</f>
        <v>44515.59138</v>
      </c>
      <c r="D8536" s="15">
        <f>IFERROR(__xludf.DUMMYFUNCTION("""COMPUTED_VALUE"""),1.094)</f>
        <v>1.094</v>
      </c>
      <c r="E8536" s="16">
        <f>IFERROR(__xludf.DUMMYFUNCTION("""COMPUTED_VALUE"""),66.0)</f>
        <v>66</v>
      </c>
      <c r="F8536" s="19" t="str">
        <f>IFERROR(__xludf.DUMMYFUNCTION("""COMPUTED_VALUE"""),"BLACK")</f>
        <v>BLACK</v>
      </c>
      <c r="G8536" s="20" t="str">
        <f>IFERROR(__xludf.DUMMYFUNCTION("""COMPUTED_VALUE"""),"Uncle Sams Cider (11/12/2021) 02")</f>
        <v>Uncle Sams Cider (11/12/2021) 02</v>
      </c>
      <c r="H8536" s="19"/>
    </row>
    <row r="8537">
      <c r="A8537" s="9"/>
      <c r="B8537" s="15"/>
      <c r="C8537" s="9">
        <f>IFERROR(__xludf.DUMMYFUNCTION("""COMPUTED_VALUE"""),44515.5809546296)</f>
        <v>44515.58095</v>
      </c>
      <c r="D8537" s="15">
        <f>IFERROR(__xludf.DUMMYFUNCTION("""COMPUTED_VALUE"""),1.094)</f>
        <v>1.094</v>
      </c>
      <c r="E8537" s="16">
        <f>IFERROR(__xludf.DUMMYFUNCTION("""COMPUTED_VALUE"""),66.0)</f>
        <v>66</v>
      </c>
      <c r="F8537" s="19" t="str">
        <f>IFERROR(__xludf.DUMMYFUNCTION("""COMPUTED_VALUE"""),"BLACK")</f>
        <v>BLACK</v>
      </c>
      <c r="G8537" s="20" t="str">
        <f>IFERROR(__xludf.DUMMYFUNCTION("""COMPUTED_VALUE"""),"Uncle Sams Cider (11/12/2021) 02")</f>
        <v>Uncle Sams Cider (11/12/2021) 02</v>
      </c>
      <c r="H8537" s="19"/>
    </row>
    <row r="8538">
      <c r="A8538" s="9"/>
      <c r="B8538" s="15"/>
      <c r="C8538" s="9">
        <f>IFERROR(__xludf.DUMMYFUNCTION("""COMPUTED_VALUE"""),44515.5705213888)</f>
        <v>44515.57052</v>
      </c>
      <c r="D8538" s="15">
        <f>IFERROR(__xludf.DUMMYFUNCTION("""COMPUTED_VALUE"""),1.094)</f>
        <v>1.094</v>
      </c>
      <c r="E8538" s="16">
        <f>IFERROR(__xludf.DUMMYFUNCTION("""COMPUTED_VALUE"""),65.0)</f>
        <v>65</v>
      </c>
      <c r="F8538" s="19" t="str">
        <f>IFERROR(__xludf.DUMMYFUNCTION("""COMPUTED_VALUE"""),"BLACK")</f>
        <v>BLACK</v>
      </c>
      <c r="G8538" s="20" t="str">
        <f>IFERROR(__xludf.DUMMYFUNCTION("""COMPUTED_VALUE"""),"Uncle Sams Cider (11/12/2021) 02")</f>
        <v>Uncle Sams Cider (11/12/2021) 02</v>
      </c>
      <c r="H8538" s="19"/>
    </row>
    <row r="8539">
      <c r="A8539" s="9"/>
      <c r="B8539" s="15"/>
      <c r="C8539" s="9">
        <f>IFERROR(__xludf.DUMMYFUNCTION("""COMPUTED_VALUE"""),44515.5600876736)</f>
        <v>44515.56009</v>
      </c>
      <c r="D8539" s="15">
        <f>IFERROR(__xludf.DUMMYFUNCTION("""COMPUTED_VALUE"""),1.094)</f>
        <v>1.094</v>
      </c>
      <c r="E8539" s="16">
        <f>IFERROR(__xludf.DUMMYFUNCTION("""COMPUTED_VALUE"""),65.0)</f>
        <v>65</v>
      </c>
      <c r="F8539" s="19" t="str">
        <f>IFERROR(__xludf.DUMMYFUNCTION("""COMPUTED_VALUE"""),"BLACK")</f>
        <v>BLACK</v>
      </c>
      <c r="G8539" s="20" t="str">
        <f>IFERROR(__xludf.DUMMYFUNCTION("""COMPUTED_VALUE"""),"Uncle Sams Cider (11/12/2021) 02")</f>
        <v>Uncle Sams Cider (11/12/2021) 02</v>
      </c>
      <c r="H8539" s="19"/>
    </row>
    <row r="8540">
      <c r="A8540" s="9"/>
      <c r="B8540" s="15"/>
      <c r="C8540" s="9">
        <f>IFERROR(__xludf.DUMMYFUNCTION("""COMPUTED_VALUE"""),44515.5496658101)</f>
        <v>44515.54967</v>
      </c>
      <c r="D8540" s="15">
        <f>IFERROR(__xludf.DUMMYFUNCTION("""COMPUTED_VALUE"""),1.094)</f>
        <v>1.094</v>
      </c>
      <c r="E8540" s="16">
        <f>IFERROR(__xludf.DUMMYFUNCTION("""COMPUTED_VALUE"""),65.0)</f>
        <v>65</v>
      </c>
      <c r="F8540" s="19" t="str">
        <f>IFERROR(__xludf.DUMMYFUNCTION("""COMPUTED_VALUE"""),"BLACK")</f>
        <v>BLACK</v>
      </c>
      <c r="G8540" s="20" t="str">
        <f>IFERROR(__xludf.DUMMYFUNCTION("""COMPUTED_VALUE"""),"Uncle Sams Cider (11/12/2021) 02")</f>
        <v>Uncle Sams Cider (11/12/2021) 02</v>
      </c>
      <c r="H8540" s="19"/>
    </row>
    <row r="8541">
      <c r="A8541" s="9"/>
      <c r="B8541" s="15"/>
      <c r="C8541" s="9">
        <f>IFERROR(__xludf.DUMMYFUNCTION("""COMPUTED_VALUE"""),44515.5392441435)</f>
        <v>44515.53924</v>
      </c>
      <c r="D8541" s="15">
        <f>IFERROR(__xludf.DUMMYFUNCTION("""COMPUTED_VALUE"""),1.094)</f>
        <v>1.094</v>
      </c>
      <c r="E8541" s="16">
        <f>IFERROR(__xludf.DUMMYFUNCTION("""COMPUTED_VALUE"""),65.0)</f>
        <v>65</v>
      </c>
      <c r="F8541" s="19" t="str">
        <f>IFERROR(__xludf.DUMMYFUNCTION("""COMPUTED_VALUE"""),"BLACK")</f>
        <v>BLACK</v>
      </c>
      <c r="G8541" s="20" t="str">
        <f>IFERROR(__xludf.DUMMYFUNCTION("""COMPUTED_VALUE"""),"Uncle Sams Cider (11/12/2021) 02")</f>
        <v>Uncle Sams Cider (11/12/2021) 02</v>
      </c>
      <c r="H8541" s="19"/>
    </row>
    <row r="8542">
      <c r="A8542" s="9"/>
      <c r="B8542" s="15"/>
      <c r="C8542" s="9">
        <f>IFERROR(__xludf.DUMMYFUNCTION("""COMPUTED_VALUE"""),44515.5288121064)</f>
        <v>44515.52881</v>
      </c>
      <c r="D8542" s="15">
        <f>IFERROR(__xludf.DUMMYFUNCTION("""COMPUTED_VALUE"""),1.094)</f>
        <v>1.094</v>
      </c>
      <c r="E8542" s="16">
        <f>IFERROR(__xludf.DUMMYFUNCTION("""COMPUTED_VALUE"""),65.0)</f>
        <v>65</v>
      </c>
      <c r="F8542" s="19" t="str">
        <f>IFERROR(__xludf.DUMMYFUNCTION("""COMPUTED_VALUE"""),"BLACK")</f>
        <v>BLACK</v>
      </c>
      <c r="G8542" s="20" t="str">
        <f>IFERROR(__xludf.DUMMYFUNCTION("""COMPUTED_VALUE"""),"Uncle Sams Cider (11/12/2021) 02")</f>
        <v>Uncle Sams Cider (11/12/2021) 02</v>
      </c>
      <c r="H8542" s="19"/>
    </row>
    <row r="8543">
      <c r="A8543" s="9"/>
      <c r="B8543" s="15"/>
      <c r="C8543" s="9">
        <f>IFERROR(__xludf.DUMMYFUNCTION("""COMPUTED_VALUE"""),44515.5183785416)</f>
        <v>44515.51838</v>
      </c>
      <c r="D8543" s="15">
        <f>IFERROR(__xludf.DUMMYFUNCTION("""COMPUTED_VALUE"""),1.094)</f>
        <v>1.094</v>
      </c>
      <c r="E8543" s="16">
        <f>IFERROR(__xludf.DUMMYFUNCTION("""COMPUTED_VALUE"""),65.0)</f>
        <v>65</v>
      </c>
      <c r="F8543" s="19" t="str">
        <f>IFERROR(__xludf.DUMMYFUNCTION("""COMPUTED_VALUE"""),"BLACK")</f>
        <v>BLACK</v>
      </c>
      <c r="G8543" s="20" t="str">
        <f>IFERROR(__xludf.DUMMYFUNCTION("""COMPUTED_VALUE"""),"Uncle Sams Cider (11/12/2021) 02")</f>
        <v>Uncle Sams Cider (11/12/2021) 02</v>
      </c>
      <c r="H8543" s="19"/>
    </row>
    <row r="8544">
      <c r="A8544" s="9"/>
      <c r="B8544" s="15"/>
      <c r="C8544" s="9">
        <f>IFERROR(__xludf.DUMMYFUNCTION("""COMPUTED_VALUE"""),44515.5079578703)</f>
        <v>44515.50796</v>
      </c>
      <c r="D8544" s="15">
        <f>IFERROR(__xludf.DUMMYFUNCTION("""COMPUTED_VALUE"""),1.095)</f>
        <v>1.095</v>
      </c>
      <c r="E8544" s="16">
        <f>IFERROR(__xludf.DUMMYFUNCTION("""COMPUTED_VALUE"""),65.0)</f>
        <v>65</v>
      </c>
      <c r="F8544" s="19" t="str">
        <f>IFERROR(__xludf.DUMMYFUNCTION("""COMPUTED_VALUE"""),"BLACK")</f>
        <v>BLACK</v>
      </c>
      <c r="G8544" s="20" t="str">
        <f>IFERROR(__xludf.DUMMYFUNCTION("""COMPUTED_VALUE"""),"Uncle Sams Cider (11/12/2021) 02")</f>
        <v>Uncle Sams Cider (11/12/2021) 02</v>
      </c>
      <c r="H8544" s="19"/>
    </row>
    <row r="8545">
      <c r="A8545" s="9"/>
      <c r="B8545" s="15"/>
      <c r="C8545" s="9">
        <f>IFERROR(__xludf.DUMMYFUNCTION("""COMPUTED_VALUE"""),44515.4975376736)</f>
        <v>44515.49754</v>
      </c>
      <c r="D8545" s="15">
        <f>IFERROR(__xludf.DUMMYFUNCTION("""COMPUTED_VALUE"""),1.095)</f>
        <v>1.095</v>
      </c>
      <c r="E8545" s="16">
        <f>IFERROR(__xludf.DUMMYFUNCTION("""COMPUTED_VALUE"""),65.0)</f>
        <v>65</v>
      </c>
      <c r="F8545" s="19" t="str">
        <f>IFERROR(__xludf.DUMMYFUNCTION("""COMPUTED_VALUE"""),"BLACK")</f>
        <v>BLACK</v>
      </c>
      <c r="G8545" s="20" t="str">
        <f>IFERROR(__xludf.DUMMYFUNCTION("""COMPUTED_VALUE"""),"Uncle Sams Cider (11/12/2021) 02")</f>
        <v>Uncle Sams Cider (11/12/2021) 02</v>
      </c>
      <c r="H8545" s="19"/>
    </row>
    <row r="8546">
      <c r="A8546" s="9"/>
      <c r="B8546" s="15"/>
      <c r="C8546" s="9">
        <f>IFERROR(__xludf.DUMMYFUNCTION("""COMPUTED_VALUE"""),44515.4871153009)</f>
        <v>44515.48712</v>
      </c>
      <c r="D8546" s="15">
        <f>IFERROR(__xludf.DUMMYFUNCTION("""COMPUTED_VALUE"""),1.094)</f>
        <v>1.094</v>
      </c>
      <c r="E8546" s="16">
        <f>IFERROR(__xludf.DUMMYFUNCTION("""COMPUTED_VALUE"""),65.0)</f>
        <v>65</v>
      </c>
      <c r="F8546" s="19" t="str">
        <f>IFERROR(__xludf.DUMMYFUNCTION("""COMPUTED_VALUE"""),"BLACK")</f>
        <v>BLACK</v>
      </c>
      <c r="G8546" s="20" t="str">
        <f>IFERROR(__xludf.DUMMYFUNCTION("""COMPUTED_VALUE"""),"Uncle Sams Cider (11/12/2021) 02")</f>
        <v>Uncle Sams Cider (11/12/2021) 02</v>
      </c>
      <c r="H8546" s="19"/>
    </row>
    <row r="8547">
      <c r="A8547" s="9"/>
      <c r="B8547" s="15"/>
      <c r="C8547" s="9">
        <f>IFERROR(__xludf.DUMMYFUNCTION("""COMPUTED_VALUE"""),44515.4766942592)</f>
        <v>44515.47669</v>
      </c>
      <c r="D8547" s="15">
        <f>IFERROR(__xludf.DUMMYFUNCTION("""COMPUTED_VALUE"""),1.095)</f>
        <v>1.095</v>
      </c>
      <c r="E8547" s="16">
        <f>IFERROR(__xludf.DUMMYFUNCTION("""COMPUTED_VALUE"""),65.0)</f>
        <v>65</v>
      </c>
      <c r="F8547" s="19" t="str">
        <f>IFERROR(__xludf.DUMMYFUNCTION("""COMPUTED_VALUE"""),"BLACK")</f>
        <v>BLACK</v>
      </c>
      <c r="G8547" s="20" t="str">
        <f>IFERROR(__xludf.DUMMYFUNCTION("""COMPUTED_VALUE"""),"Uncle Sams Cider (11/12/2021) 02")</f>
        <v>Uncle Sams Cider (11/12/2021) 02</v>
      </c>
      <c r="H8547" s="19"/>
    </row>
    <row r="8548">
      <c r="A8548" s="9"/>
      <c r="B8548" s="15"/>
      <c r="C8548" s="9">
        <f>IFERROR(__xludf.DUMMYFUNCTION("""COMPUTED_VALUE"""),44515.4662605787)</f>
        <v>44515.46626</v>
      </c>
      <c r="D8548" s="15">
        <f>IFERROR(__xludf.DUMMYFUNCTION("""COMPUTED_VALUE"""),1.095)</f>
        <v>1.095</v>
      </c>
      <c r="E8548" s="16">
        <f>IFERROR(__xludf.DUMMYFUNCTION("""COMPUTED_VALUE"""),65.0)</f>
        <v>65</v>
      </c>
      <c r="F8548" s="19" t="str">
        <f>IFERROR(__xludf.DUMMYFUNCTION("""COMPUTED_VALUE"""),"BLACK")</f>
        <v>BLACK</v>
      </c>
      <c r="G8548" s="20" t="str">
        <f>IFERROR(__xludf.DUMMYFUNCTION("""COMPUTED_VALUE"""),"Uncle Sams Cider (11/12/2021) 02")</f>
        <v>Uncle Sams Cider (11/12/2021) 02</v>
      </c>
      <c r="H8548" s="19"/>
    </row>
    <row r="8549">
      <c r="A8549" s="9"/>
      <c r="B8549" s="15"/>
      <c r="C8549" s="9">
        <f>IFERROR(__xludf.DUMMYFUNCTION("""COMPUTED_VALUE"""),44515.4558391898)</f>
        <v>44515.45584</v>
      </c>
      <c r="D8549" s="15">
        <f>IFERROR(__xludf.DUMMYFUNCTION("""COMPUTED_VALUE"""),1.095)</f>
        <v>1.095</v>
      </c>
      <c r="E8549" s="16">
        <f>IFERROR(__xludf.DUMMYFUNCTION("""COMPUTED_VALUE"""),65.0)</f>
        <v>65</v>
      </c>
      <c r="F8549" s="19" t="str">
        <f>IFERROR(__xludf.DUMMYFUNCTION("""COMPUTED_VALUE"""),"BLACK")</f>
        <v>BLACK</v>
      </c>
      <c r="G8549" s="20" t="str">
        <f>IFERROR(__xludf.DUMMYFUNCTION("""COMPUTED_VALUE"""),"Uncle Sams Cider (11/12/2021) 02")</f>
        <v>Uncle Sams Cider (11/12/2021) 02</v>
      </c>
      <c r="H8549" s="19"/>
    </row>
    <row r="8550">
      <c r="A8550" s="9"/>
      <c r="B8550" s="15"/>
      <c r="C8550" s="9">
        <f>IFERROR(__xludf.DUMMYFUNCTION("""COMPUTED_VALUE"""),44515.4454175578)</f>
        <v>44515.44542</v>
      </c>
      <c r="D8550" s="15">
        <f>IFERROR(__xludf.DUMMYFUNCTION("""COMPUTED_VALUE"""),1.095)</f>
        <v>1.095</v>
      </c>
      <c r="E8550" s="16">
        <f>IFERROR(__xludf.DUMMYFUNCTION("""COMPUTED_VALUE"""),65.0)</f>
        <v>65</v>
      </c>
      <c r="F8550" s="19" t="str">
        <f>IFERROR(__xludf.DUMMYFUNCTION("""COMPUTED_VALUE"""),"BLACK")</f>
        <v>BLACK</v>
      </c>
      <c r="G8550" s="20" t="str">
        <f>IFERROR(__xludf.DUMMYFUNCTION("""COMPUTED_VALUE"""),"Uncle Sams Cider (11/12/2021) 02")</f>
        <v>Uncle Sams Cider (11/12/2021) 02</v>
      </c>
      <c r="H8550" s="19"/>
    </row>
    <row r="8551">
      <c r="A8551" s="9"/>
      <c r="B8551" s="15"/>
      <c r="C8551" s="9">
        <f>IFERROR(__xludf.DUMMYFUNCTION("""COMPUTED_VALUE"""),44515.4349983101)</f>
        <v>44515.435</v>
      </c>
      <c r="D8551" s="15">
        <f>IFERROR(__xludf.DUMMYFUNCTION("""COMPUTED_VALUE"""),1.095)</f>
        <v>1.095</v>
      </c>
      <c r="E8551" s="16">
        <f>IFERROR(__xludf.DUMMYFUNCTION("""COMPUTED_VALUE"""),65.0)</f>
        <v>65</v>
      </c>
      <c r="F8551" s="19" t="str">
        <f>IFERROR(__xludf.DUMMYFUNCTION("""COMPUTED_VALUE"""),"BLACK")</f>
        <v>BLACK</v>
      </c>
      <c r="G8551" s="20" t="str">
        <f>IFERROR(__xludf.DUMMYFUNCTION("""COMPUTED_VALUE"""),"Uncle Sams Cider (11/12/2021) 02")</f>
        <v>Uncle Sams Cider (11/12/2021) 02</v>
      </c>
      <c r="H8551" s="19"/>
    </row>
    <row r="8552">
      <c r="A8552" s="9"/>
      <c r="B8552" s="15"/>
      <c r="C8552" s="9">
        <f>IFERROR(__xludf.DUMMYFUNCTION("""COMPUTED_VALUE"""),44515.4245756828)</f>
        <v>44515.42458</v>
      </c>
      <c r="D8552" s="15">
        <f>IFERROR(__xludf.DUMMYFUNCTION("""COMPUTED_VALUE"""),1.095)</f>
        <v>1.095</v>
      </c>
      <c r="E8552" s="16">
        <f>IFERROR(__xludf.DUMMYFUNCTION("""COMPUTED_VALUE"""),65.0)</f>
        <v>65</v>
      </c>
      <c r="F8552" s="19" t="str">
        <f>IFERROR(__xludf.DUMMYFUNCTION("""COMPUTED_VALUE"""),"BLACK")</f>
        <v>BLACK</v>
      </c>
      <c r="G8552" s="20" t="str">
        <f>IFERROR(__xludf.DUMMYFUNCTION("""COMPUTED_VALUE"""),"Uncle Sams Cider (11/12/2021) 02")</f>
        <v>Uncle Sams Cider (11/12/2021) 02</v>
      </c>
      <c r="H8552" s="19"/>
    </row>
    <row r="8553">
      <c r="A8553" s="9"/>
      <c r="B8553" s="15"/>
      <c r="C8553" s="9">
        <f>IFERROR(__xludf.DUMMYFUNCTION("""COMPUTED_VALUE"""),44515.4141544097)</f>
        <v>44515.41415</v>
      </c>
      <c r="D8553" s="15">
        <f>IFERROR(__xludf.DUMMYFUNCTION("""COMPUTED_VALUE"""),1.095)</f>
        <v>1.095</v>
      </c>
      <c r="E8553" s="16">
        <f>IFERROR(__xludf.DUMMYFUNCTION("""COMPUTED_VALUE"""),65.0)</f>
        <v>65</v>
      </c>
      <c r="F8553" s="19" t="str">
        <f>IFERROR(__xludf.DUMMYFUNCTION("""COMPUTED_VALUE"""),"BLACK")</f>
        <v>BLACK</v>
      </c>
      <c r="G8553" s="20" t="str">
        <f>IFERROR(__xludf.DUMMYFUNCTION("""COMPUTED_VALUE"""),"Uncle Sams Cider (11/12/2021) 02")</f>
        <v>Uncle Sams Cider (11/12/2021) 02</v>
      </c>
      <c r="H8553" s="19"/>
    </row>
    <row r="8554">
      <c r="A8554" s="9"/>
      <c r="B8554" s="15"/>
      <c r="C8554" s="9">
        <f>IFERROR(__xludf.DUMMYFUNCTION("""COMPUTED_VALUE"""),44515.4037329166)</f>
        <v>44515.40373</v>
      </c>
      <c r="D8554" s="15">
        <f>IFERROR(__xludf.DUMMYFUNCTION("""COMPUTED_VALUE"""),1.096)</f>
        <v>1.096</v>
      </c>
      <c r="E8554" s="16">
        <f>IFERROR(__xludf.DUMMYFUNCTION("""COMPUTED_VALUE"""),65.0)</f>
        <v>65</v>
      </c>
      <c r="F8554" s="19" t="str">
        <f>IFERROR(__xludf.DUMMYFUNCTION("""COMPUTED_VALUE"""),"BLACK")</f>
        <v>BLACK</v>
      </c>
      <c r="G8554" s="20" t="str">
        <f>IFERROR(__xludf.DUMMYFUNCTION("""COMPUTED_VALUE"""),"Uncle Sams Cider (11/12/2021) 02")</f>
        <v>Uncle Sams Cider (11/12/2021) 02</v>
      </c>
      <c r="H8554" s="19"/>
    </row>
    <row r="8555">
      <c r="A8555" s="9"/>
      <c r="B8555" s="15"/>
      <c r="C8555" s="9">
        <f>IFERROR(__xludf.DUMMYFUNCTION("""COMPUTED_VALUE"""),44515.3933119791)</f>
        <v>44515.39331</v>
      </c>
      <c r="D8555" s="15">
        <f>IFERROR(__xludf.DUMMYFUNCTION("""COMPUTED_VALUE"""),1.095)</f>
        <v>1.095</v>
      </c>
      <c r="E8555" s="16">
        <f>IFERROR(__xludf.DUMMYFUNCTION("""COMPUTED_VALUE"""),65.0)</f>
        <v>65</v>
      </c>
      <c r="F8555" s="19" t="str">
        <f>IFERROR(__xludf.DUMMYFUNCTION("""COMPUTED_VALUE"""),"BLACK")</f>
        <v>BLACK</v>
      </c>
      <c r="G8555" s="20" t="str">
        <f>IFERROR(__xludf.DUMMYFUNCTION("""COMPUTED_VALUE"""),"Uncle Sams Cider (11/12/2021) 02")</f>
        <v>Uncle Sams Cider (11/12/2021) 02</v>
      </c>
      <c r="H8555" s="19"/>
    </row>
    <row r="8556">
      <c r="A8556" s="9"/>
      <c r="B8556" s="15"/>
      <c r="C8556" s="9">
        <f>IFERROR(__xludf.DUMMYFUNCTION("""COMPUTED_VALUE"""),44515.382891875)</f>
        <v>44515.38289</v>
      </c>
      <c r="D8556" s="15">
        <f>IFERROR(__xludf.DUMMYFUNCTION("""COMPUTED_VALUE"""),1.096)</f>
        <v>1.096</v>
      </c>
      <c r="E8556" s="16">
        <f>IFERROR(__xludf.DUMMYFUNCTION("""COMPUTED_VALUE"""),65.0)</f>
        <v>65</v>
      </c>
      <c r="F8556" s="19" t="str">
        <f>IFERROR(__xludf.DUMMYFUNCTION("""COMPUTED_VALUE"""),"BLACK")</f>
        <v>BLACK</v>
      </c>
      <c r="G8556" s="20" t="str">
        <f>IFERROR(__xludf.DUMMYFUNCTION("""COMPUTED_VALUE"""),"Uncle Sams Cider (11/12/2021) 02")</f>
        <v>Uncle Sams Cider (11/12/2021) 02</v>
      </c>
      <c r="H8556" s="19"/>
    </row>
    <row r="8557">
      <c r="A8557" s="9"/>
      <c r="B8557" s="15"/>
      <c r="C8557" s="9">
        <f>IFERROR(__xludf.DUMMYFUNCTION("""COMPUTED_VALUE"""),44515.372469456)</f>
        <v>44515.37247</v>
      </c>
      <c r="D8557" s="15">
        <f>IFERROR(__xludf.DUMMYFUNCTION("""COMPUTED_VALUE"""),1.095)</f>
        <v>1.095</v>
      </c>
      <c r="E8557" s="16">
        <f>IFERROR(__xludf.DUMMYFUNCTION("""COMPUTED_VALUE"""),65.0)</f>
        <v>65</v>
      </c>
      <c r="F8557" s="19" t="str">
        <f>IFERROR(__xludf.DUMMYFUNCTION("""COMPUTED_VALUE"""),"BLACK")</f>
        <v>BLACK</v>
      </c>
      <c r="G8557" s="20" t="str">
        <f>IFERROR(__xludf.DUMMYFUNCTION("""COMPUTED_VALUE"""),"Uncle Sams Cider (11/12/2021) 02")</f>
        <v>Uncle Sams Cider (11/12/2021) 02</v>
      </c>
      <c r="H8557" s="19"/>
    </row>
    <row r="8558">
      <c r="A8558" s="9"/>
      <c r="B8558" s="15"/>
      <c r="C8558" s="9">
        <f>IFERROR(__xludf.DUMMYFUNCTION("""COMPUTED_VALUE"""),44515.3620366435)</f>
        <v>44515.36204</v>
      </c>
      <c r="D8558" s="15">
        <f>IFERROR(__xludf.DUMMYFUNCTION("""COMPUTED_VALUE"""),1.096)</f>
        <v>1.096</v>
      </c>
      <c r="E8558" s="16">
        <f>IFERROR(__xludf.DUMMYFUNCTION("""COMPUTED_VALUE"""),65.0)</f>
        <v>65</v>
      </c>
      <c r="F8558" s="19" t="str">
        <f>IFERROR(__xludf.DUMMYFUNCTION("""COMPUTED_VALUE"""),"BLACK")</f>
        <v>BLACK</v>
      </c>
      <c r="G8558" s="20" t="str">
        <f>IFERROR(__xludf.DUMMYFUNCTION("""COMPUTED_VALUE"""),"Uncle Sams Cider (11/12/2021) 02")</f>
        <v>Uncle Sams Cider (11/12/2021) 02</v>
      </c>
      <c r="H8558" s="19"/>
    </row>
    <row r="8559">
      <c r="A8559" s="9"/>
      <c r="B8559" s="15"/>
      <c r="C8559" s="9">
        <f>IFERROR(__xludf.DUMMYFUNCTION("""COMPUTED_VALUE"""),44515.3516054282)</f>
        <v>44515.35161</v>
      </c>
      <c r="D8559" s="15">
        <f>IFERROR(__xludf.DUMMYFUNCTION("""COMPUTED_VALUE"""),1.096)</f>
        <v>1.096</v>
      </c>
      <c r="E8559" s="16">
        <f>IFERROR(__xludf.DUMMYFUNCTION("""COMPUTED_VALUE"""),64.0)</f>
        <v>64</v>
      </c>
      <c r="F8559" s="19" t="str">
        <f>IFERROR(__xludf.DUMMYFUNCTION("""COMPUTED_VALUE"""),"BLACK")</f>
        <v>BLACK</v>
      </c>
      <c r="G8559" s="20" t="str">
        <f>IFERROR(__xludf.DUMMYFUNCTION("""COMPUTED_VALUE"""),"Uncle Sams Cider (11/12/2021) 02")</f>
        <v>Uncle Sams Cider (11/12/2021) 02</v>
      </c>
      <c r="H8559" s="19"/>
    </row>
    <row r="8560">
      <c r="A8560" s="9"/>
      <c r="B8560" s="15"/>
      <c r="C8560" s="9">
        <f>IFERROR(__xludf.DUMMYFUNCTION("""COMPUTED_VALUE"""),44515.3411624305)</f>
        <v>44515.34116</v>
      </c>
      <c r="D8560" s="15">
        <f>IFERROR(__xludf.DUMMYFUNCTION("""COMPUTED_VALUE"""),1.096)</f>
        <v>1.096</v>
      </c>
      <c r="E8560" s="16">
        <f>IFERROR(__xludf.DUMMYFUNCTION("""COMPUTED_VALUE"""),64.0)</f>
        <v>64</v>
      </c>
      <c r="F8560" s="19" t="str">
        <f>IFERROR(__xludf.DUMMYFUNCTION("""COMPUTED_VALUE"""),"BLACK")</f>
        <v>BLACK</v>
      </c>
      <c r="G8560" s="20" t="str">
        <f>IFERROR(__xludf.DUMMYFUNCTION("""COMPUTED_VALUE"""),"Uncle Sams Cider (11/12/2021) 02")</f>
        <v>Uncle Sams Cider (11/12/2021) 02</v>
      </c>
      <c r="H8560" s="19"/>
    </row>
    <row r="8561">
      <c r="A8561" s="9"/>
      <c r="B8561" s="15"/>
      <c r="C8561" s="9">
        <f>IFERROR(__xludf.DUMMYFUNCTION("""COMPUTED_VALUE"""),44515.3307422453)</f>
        <v>44515.33074</v>
      </c>
      <c r="D8561" s="15">
        <f>IFERROR(__xludf.DUMMYFUNCTION("""COMPUTED_VALUE"""),1.095)</f>
        <v>1.095</v>
      </c>
      <c r="E8561" s="16">
        <f>IFERROR(__xludf.DUMMYFUNCTION("""COMPUTED_VALUE"""),66.0)</f>
        <v>66</v>
      </c>
      <c r="F8561" s="19" t="str">
        <f>IFERROR(__xludf.DUMMYFUNCTION("""COMPUTED_VALUE"""),"BLACK")</f>
        <v>BLACK</v>
      </c>
      <c r="G8561" s="20" t="str">
        <f>IFERROR(__xludf.DUMMYFUNCTION("""COMPUTED_VALUE"""),"Uncle Sams Cider (11/12/2021) 02")</f>
        <v>Uncle Sams Cider (11/12/2021) 02</v>
      </c>
      <c r="H8561" s="19"/>
    </row>
    <row r="8562">
      <c r="A8562" s="9"/>
      <c r="B8562" s="15"/>
      <c r="C8562" s="9">
        <f>IFERROR(__xludf.DUMMYFUNCTION("""COMPUTED_VALUE"""),44515.320310081)</f>
        <v>44515.32031</v>
      </c>
      <c r="D8562" s="15">
        <f>IFERROR(__xludf.DUMMYFUNCTION("""COMPUTED_VALUE"""),1.096)</f>
        <v>1.096</v>
      </c>
      <c r="E8562" s="16">
        <f>IFERROR(__xludf.DUMMYFUNCTION("""COMPUTED_VALUE"""),68.0)</f>
        <v>68</v>
      </c>
      <c r="F8562" s="19" t="str">
        <f>IFERROR(__xludf.DUMMYFUNCTION("""COMPUTED_VALUE"""),"BLACK")</f>
        <v>BLACK</v>
      </c>
      <c r="G8562" s="20" t="str">
        <f>IFERROR(__xludf.DUMMYFUNCTION("""COMPUTED_VALUE"""),"Uncle Sams Cider (11/12/2021) 02")</f>
        <v>Uncle Sams Cider (11/12/2021) 02</v>
      </c>
      <c r="H8562" s="19"/>
    </row>
    <row r="8563">
      <c r="A8563" s="9"/>
      <c r="B8563" s="15"/>
      <c r="C8563" s="9">
        <f>IFERROR(__xludf.DUMMYFUNCTION("""COMPUTED_VALUE"""),44515.3098893287)</f>
        <v>44515.30989</v>
      </c>
      <c r="D8563" s="15">
        <f>IFERROR(__xludf.DUMMYFUNCTION("""COMPUTED_VALUE"""),1.095)</f>
        <v>1.095</v>
      </c>
      <c r="E8563" s="16">
        <f>IFERROR(__xludf.DUMMYFUNCTION("""COMPUTED_VALUE"""),69.0)</f>
        <v>69</v>
      </c>
      <c r="F8563" s="19" t="str">
        <f>IFERROR(__xludf.DUMMYFUNCTION("""COMPUTED_VALUE"""),"BLACK")</f>
        <v>BLACK</v>
      </c>
      <c r="G8563" s="20" t="str">
        <f>IFERROR(__xludf.DUMMYFUNCTION("""COMPUTED_VALUE"""),"Uncle Sams Cider (11/12/2021) 02")</f>
        <v>Uncle Sams Cider (11/12/2021) 02</v>
      </c>
      <c r="H8563" s="19"/>
    </row>
    <row r="8564">
      <c r="A8564" s="9"/>
      <c r="B8564" s="15"/>
      <c r="C8564" s="9">
        <f>IFERROR(__xludf.DUMMYFUNCTION("""COMPUTED_VALUE"""),44515.2994682638)</f>
        <v>44515.29947</v>
      </c>
      <c r="D8564" s="15">
        <f>IFERROR(__xludf.DUMMYFUNCTION("""COMPUTED_VALUE"""),1.096)</f>
        <v>1.096</v>
      </c>
      <c r="E8564" s="16">
        <f>IFERROR(__xludf.DUMMYFUNCTION("""COMPUTED_VALUE"""),70.0)</f>
        <v>70</v>
      </c>
      <c r="F8564" s="19" t="str">
        <f>IFERROR(__xludf.DUMMYFUNCTION("""COMPUTED_VALUE"""),"BLACK")</f>
        <v>BLACK</v>
      </c>
      <c r="G8564" s="20" t="str">
        <f>IFERROR(__xludf.DUMMYFUNCTION("""COMPUTED_VALUE"""),"Uncle Sams Cider (11/12/2021) 02")</f>
        <v>Uncle Sams Cider (11/12/2021) 02</v>
      </c>
      <c r="H8564" s="19"/>
    </row>
    <row r="8565">
      <c r="A8565" s="9"/>
      <c r="B8565" s="15"/>
      <c r="C8565" s="9">
        <f>IFERROR(__xludf.DUMMYFUNCTION("""COMPUTED_VALUE"""),44515.2890479166)</f>
        <v>44515.28905</v>
      </c>
      <c r="D8565" s="15">
        <f>IFERROR(__xludf.DUMMYFUNCTION("""COMPUTED_VALUE"""),1.095)</f>
        <v>1.095</v>
      </c>
      <c r="E8565" s="16">
        <f>IFERROR(__xludf.DUMMYFUNCTION("""COMPUTED_VALUE"""),70.0)</f>
        <v>70</v>
      </c>
      <c r="F8565" s="19" t="str">
        <f>IFERROR(__xludf.DUMMYFUNCTION("""COMPUTED_VALUE"""),"BLACK")</f>
        <v>BLACK</v>
      </c>
      <c r="G8565" s="20" t="str">
        <f>IFERROR(__xludf.DUMMYFUNCTION("""COMPUTED_VALUE"""),"Uncle Sams Cider (11/12/2021) 02")</f>
        <v>Uncle Sams Cider (11/12/2021) 02</v>
      </c>
      <c r="H8565" s="19"/>
    </row>
    <row r="8566">
      <c r="A8566" s="9"/>
      <c r="B8566" s="15"/>
      <c r="C8566" s="9">
        <f>IFERROR(__xludf.DUMMYFUNCTION("""COMPUTED_VALUE"""),44515.2786251967)</f>
        <v>44515.27863</v>
      </c>
      <c r="D8566" s="15">
        <f>IFERROR(__xludf.DUMMYFUNCTION("""COMPUTED_VALUE"""),1.095)</f>
        <v>1.095</v>
      </c>
      <c r="E8566" s="16">
        <f>IFERROR(__xludf.DUMMYFUNCTION("""COMPUTED_VALUE"""),69.0)</f>
        <v>69</v>
      </c>
      <c r="F8566" s="19" t="str">
        <f>IFERROR(__xludf.DUMMYFUNCTION("""COMPUTED_VALUE"""),"BLACK")</f>
        <v>BLACK</v>
      </c>
      <c r="G8566" s="20" t="str">
        <f>IFERROR(__xludf.DUMMYFUNCTION("""COMPUTED_VALUE"""),"Uncle Sams Cider (11/12/2021) 02")</f>
        <v>Uncle Sams Cider (11/12/2021) 02</v>
      </c>
      <c r="H8566" s="19"/>
    </row>
    <row r="8567">
      <c r="A8567" s="9"/>
      <c r="B8567" s="15"/>
      <c r="C8567" s="9">
        <f>IFERROR(__xludf.DUMMYFUNCTION("""COMPUTED_VALUE"""),44515.2682055092)</f>
        <v>44515.26821</v>
      </c>
      <c r="D8567" s="15">
        <f>IFERROR(__xludf.DUMMYFUNCTION("""COMPUTED_VALUE"""),1.095)</f>
        <v>1.095</v>
      </c>
      <c r="E8567" s="16">
        <f>IFERROR(__xludf.DUMMYFUNCTION("""COMPUTED_VALUE"""),69.0)</f>
        <v>69</v>
      </c>
      <c r="F8567" s="19" t="str">
        <f>IFERROR(__xludf.DUMMYFUNCTION("""COMPUTED_VALUE"""),"BLACK")</f>
        <v>BLACK</v>
      </c>
      <c r="G8567" s="20" t="str">
        <f>IFERROR(__xludf.DUMMYFUNCTION("""COMPUTED_VALUE"""),"Uncle Sams Cider (11/12/2021) 02")</f>
        <v>Uncle Sams Cider (11/12/2021) 02</v>
      </c>
      <c r="H8567" s="19"/>
    </row>
    <row r="8568">
      <c r="A8568" s="9"/>
      <c r="B8568" s="15"/>
      <c r="C8568" s="9">
        <f>IFERROR(__xludf.DUMMYFUNCTION("""COMPUTED_VALUE"""),44515.2577736342)</f>
        <v>44515.25777</v>
      </c>
      <c r="D8568" s="15">
        <f>IFERROR(__xludf.DUMMYFUNCTION("""COMPUTED_VALUE"""),1.096)</f>
        <v>1.096</v>
      </c>
      <c r="E8568" s="16">
        <f>IFERROR(__xludf.DUMMYFUNCTION("""COMPUTED_VALUE"""),69.0)</f>
        <v>69</v>
      </c>
      <c r="F8568" s="19" t="str">
        <f>IFERROR(__xludf.DUMMYFUNCTION("""COMPUTED_VALUE"""),"BLACK")</f>
        <v>BLACK</v>
      </c>
      <c r="G8568" s="20" t="str">
        <f>IFERROR(__xludf.DUMMYFUNCTION("""COMPUTED_VALUE"""),"Uncle Sams Cider (11/12/2021) 02")</f>
        <v>Uncle Sams Cider (11/12/2021) 02</v>
      </c>
      <c r="H8568" s="19"/>
    </row>
    <row r="8569">
      <c r="A8569" s="9"/>
      <c r="B8569" s="15"/>
      <c r="C8569" s="9">
        <f>IFERROR(__xludf.DUMMYFUNCTION("""COMPUTED_VALUE"""),44515.2473519212)</f>
        <v>44515.24735</v>
      </c>
      <c r="D8569" s="15">
        <f>IFERROR(__xludf.DUMMYFUNCTION("""COMPUTED_VALUE"""),1.095)</f>
        <v>1.095</v>
      </c>
      <c r="E8569" s="16">
        <f>IFERROR(__xludf.DUMMYFUNCTION("""COMPUTED_VALUE"""),69.0)</f>
        <v>69</v>
      </c>
      <c r="F8569" s="19" t="str">
        <f>IFERROR(__xludf.DUMMYFUNCTION("""COMPUTED_VALUE"""),"BLACK")</f>
        <v>BLACK</v>
      </c>
      <c r="G8569" s="20" t="str">
        <f>IFERROR(__xludf.DUMMYFUNCTION("""COMPUTED_VALUE"""),"Uncle Sams Cider (11/12/2021) 02")</f>
        <v>Uncle Sams Cider (11/12/2021) 02</v>
      </c>
      <c r="H8569" s="19"/>
    </row>
    <row r="8570">
      <c r="A8570" s="9"/>
      <c r="B8570" s="15"/>
      <c r="C8570" s="9">
        <f>IFERROR(__xludf.DUMMYFUNCTION("""COMPUTED_VALUE"""),44515.2369178009)</f>
        <v>44515.23692</v>
      </c>
      <c r="D8570" s="15">
        <f>IFERROR(__xludf.DUMMYFUNCTION("""COMPUTED_VALUE"""),1.096)</f>
        <v>1.096</v>
      </c>
      <c r="E8570" s="16">
        <f>IFERROR(__xludf.DUMMYFUNCTION("""COMPUTED_VALUE"""),69.0)</f>
        <v>69</v>
      </c>
      <c r="F8570" s="19" t="str">
        <f>IFERROR(__xludf.DUMMYFUNCTION("""COMPUTED_VALUE"""),"BLACK")</f>
        <v>BLACK</v>
      </c>
      <c r="G8570" s="20" t="str">
        <f>IFERROR(__xludf.DUMMYFUNCTION("""COMPUTED_VALUE"""),"Uncle Sams Cider (11/12/2021) 02")</f>
        <v>Uncle Sams Cider (11/12/2021) 02</v>
      </c>
      <c r="H8570" s="19"/>
    </row>
    <row r="8571">
      <c r="A8571" s="9"/>
      <c r="B8571" s="15"/>
      <c r="C8571" s="9">
        <f>IFERROR(__xludf.DUMMYFUNCTION("""COMPUTED_VALUE"""),44515.2264854166)</f>
        <v>44515.22649</v>
      </c>
      <c r="D8571" s="15">
        <f>IFERROR(__xludf.DUMMYFUNCTION("""COMPUTED_VALUE"""),1.096)</f>
        <v>1.096</v>
      </c>
      <c r="E8571" s="16">
        <f>IFERROR(__xludf.DUMMYFUNCTION("""COMPUTED_VALUE"""),69.0)</f>
        <v>69</v>
      </c>
      <c r="F8571" s="19" t="str">
        <f>IFERROR(__xludf.DUMMYFUNCTION("""COMPUTED_VALUE"""),"BLACK")</f>
        <v>BLACK</v>
      </c>
      <c r="G8571" s="20" t="str">
        <f>IFERROR(__xludf.DUMMYFUNCTION("""COMPUTED_VALUE"""),"Uncle Sams Cider (11/12/2021) 02")</f>
        <v>Uncle Sams Cider (11/12/2021) 02</v>
      </c>
      <c r="H8571" s="19"/>
    </row>
    <row r="8572">
      <c r="A8572" s="9"/>
      <c r="B8572" s="15"/>
      <c r="C8572" s="9">
        <f>IFERROR(__xludf.DUMMYFUNCTION("""COMPUTED_VALUE"""),44515.2160632175)</f>
        <v>44515.21606</v>
      </c>
      <c r="D8572" s="15">
        <f>IFERROR(__xludf.DUMMYFUNCTION("""COMPUTED_VALUE"""),1.096)</f>
        <v>1.096</v>
      </c>
      <c r="E8572" s="16">
        <f>IFERROR(__xludf.DUMMYFUNCTION("""COMPUTED_VALUE"""),69.0)</f>
        <v>69</v>
      </c>
      <c r="F8572" s="19" t="str">
        <f>IFERROR(__xludf.DUMMYFUNCTION("""COMPUTED_VALUE"""),"BLACK")</f>
        <v>BLACK</v>
      </c>
      <c r="G8572" s="20" t="str">
        <f>IFERROR(__xludf.DUMMYFUNCTION("""COMPUTED_VALUE"""),"Uncle Sams Cider (11/12/2021) 02")</f>
        <v>Uncle Sams Cider (11/12/2021) 02</v>
      </c>
      <c r="H8572" s="19"/>
    </row>
    <row r="8573">
      <c r="A8573" s="9"/>
      <c r="B8573" s="15"/>
      <c r="C8573" s="9">
        <f>IFERROR(__xludf.DUMMYFUNCTION("""COMPUTED_VALUE"""),44515.205630787)</f>
        <v>44515.20563</v>
      </c>
      <c r="D8573" s="15">
        <f>IFERROR(__xludf.DUMMYFUNCTION("""COMPUTED_VALUE"""),1.096)</f>
        <v>1.096</v>
      </c>
      <c r="E8573" s="16">
        <f>IFERROR(__xludf.DUMMYFUNCTION("""COMPUTED_VALUE"""),69.0)</f>
        <v>69</v>
      </c>
      <c r="F8573" s="19" t="str">
        <f>IFERROR(__xludf.DUMMYFUNCTION("""COMPUTED_VALUE"""),"BLACK")</f>
        <v>BLACK</v>
      </c>
      <c r="G8573" s="20" t="str">
        <f>IFERROR(__xludf.DUMMYFUNCTION("""COMPUTED_VALUE"""),"Uncle Sams Cider (11/12/2021) 02")</f>
        <v>Uncle Sams Cider (11/12/2021) 02</v>
      </c>
      <c r="H8573" s="19"/>
    </row>
    <row r="8574">
      <c r="A8574" s="9"/>
      <c r="B8574" s="15"/>
      <c r="C8574" s="9">
        <f>IFERROR(__xludf.DUMMYFUNCTION("""COMPUTED_VALUE"""),44515.1951858912)</f>
        <v>44515.19519</v>
      </c>
      <c r="D8574" s="15">
        <f>IFERROR(__xludf.DUMMYFUNCTION("""COMPUTED_VALUE"""),1.096)</f>
        <v>1.096</v>
      </c>
      <c r="E8574" s="16">
        <f>IFERROR(__xludf.DUMMYFUNCTION("""COMPUTED_VALUE"""),69.0)</f>
        <v>69</v>
      </c>
      <c r="F8574" s="19" t="str">
        <f>IFERROR(__xludf.DUMMYFUNCTION("""COMPUTED_VALUE"""),"BLACK")</f>
        <v>BLACK</v>
      </c>
      <c r="G8574" s="20" t="str">
        <f>IFERROR(__xludf.DUMMYFUNCTION("""COMPUTED_VALUE"""),"Uncle Sams Cider (11/12/2021) 02")</f>
        <v>Uncle Sams Cider (11/12/2021) 02</v>
      </c>
      <c r="H8574" s="19"/>
    </row>
    <row r="8575">
      <c r="A8575" s="9"/>
      <c r="B8575" s="15"/>
      <c r="C8575" s="9">
        <f>IFERROR(__xludf.DUMMYFUNCTION("""COMPUTED_VALUE"""),44515.184742199)</f>
        <v>44515.18474</v>
      </c>
      <c r="D8575" s="15">
        <f>IFERROR(__xludf.DUMMYFUNCTION("""COMPUTED_VALUE"""),1.096)</f>
        <v>1.096</v>
      </c>
      <c r="E8575" s="16">
        <f>IFERROR(__xludf.DUMMYFUNCTION("""COMPUTED_VALUE"""),69.0)</f>
        <v>69</v>
      </c>
      <c r="F8575" s="19" t="str">
        <f>IFERROR(__xludf.DUMMYFUNCTION("""COMPUTED_VALUE"""),"BLACK")</f>
        <v>BLACK</v>
      </c>
      <c r="G8575" s="20" t="str">
        <f>IFERROR(__xludf.DUMMYFUNCTION("""COMPUTED_VALUE"""),"Uncle Sams Cider (11/12/2021) 02")</f>
        <v>Uncle Sams Cider (11/12/2021) 02</v>
      </c>
      <c r="H8575" s="19"/>
    </row>
    <row r="8576">
      <c r="A8576" s="9"/>
      <c r="B8576" s="15"/>
      <c r="C8576" s="9">
        <f>IFERROR(__xludf.DUMMYFUNCTION("""COMPUTED_VALUE"""),44515.1743090046)</f>
        <v>44515.17431</v>
      </c>
      <c r="D8576" s="15">
        <f>IFERROR(__xludf.DUMMYFUNCTION("""COMPUTED_VALUE"""),1.096)</f>
        <v>1.096</v>
      </c>
      <c r="E8576" s="16">
        <f>IFERROR(__xludf.DUMMYFUNCTION("""COMPUTED_VALUE"""),69.0)</f>
        <v>69</v>
      </c>
      <c r="F8576" s="19" t="str">
        <f>IFERROR(__xludf.DUMMYFUNCTION("""COMPUTED_VALUE"""),"BLACK")</f>
        <v>BLACK</v>
      </c>
      <c r="G8576" s="20" t="str">
        <f>IFERROR(__xludf.DUMMYFUNCTION("""COMPUTED_VALUE"""),"Uncle Sams Cider (11/12/2021) 02")</f>
        <v>Uncle Sams Cider (11/12/2021) 02</v>
      </c>
      <c r="H8576" s="19"/>
    </row>
    <row r="8577">
      <c r="A8577" s="9"/>
      <c r="B8577" s="15"/>
      <c r="C8577" s="9">
        <f>IFERROR(__xludf.DUMMYFUNCTION("""COMPUTED_VALUE"""),44515.1638880439)</f>
        <v>44515.16389</v>
      </c>
      <c r="D8577" s="15">
        <f>IFERROR(__xludf.DUMMYFUNCTION("""COMPUTED_VALUE"""),1.097)</f>
        <v>1.097</v>
      </c>
      <c r="E8577" s="16">
        <f>IFERROR(__xludf.DUMMYFUNCTION("""COMPUTED_VALUE"""),69.0)</f>
        <v>69</v>
      </c>
      <c r="F8577" s="19" t="str">
        <f>IFERROR(__xludf.DUMMYFUNCTION("""COMPUTED_VALUE"""),"BLACK")</f>
        <v>BLACK</v>
      </c>
      <c r="G8577" s="20" t="str">
        <f>IFERROR(__xludf.DUMMYFUNCTION("""COMPUTED_VALUE"""),"Uncle Sams Cider (11/12/2021) 02")</f>
        <v>Uncle Sams Cider (11/12/2021) 02</v>
      </c>
      <c r="H8577" s="19"/>
    </row>
    <row r="8578">
      <c r="A8578" s="9"/>
      <c r="B8578" s="15"/>
      <c r="C8578" s="9">
        <f>IFERROR(__xludf.DUMMYFUNCTION("""COMPUTED_VALUE"""),44515.1534666087)</f>
        <v>44515.15347</v>
      </c>
      <c r="D8578" s="15">
        <f>IFERROR(__xludf.DUMMYFUNCTION("""COMPUTED_VALUE"""),1.096)</f>
        <v>1.096</v>
      </c>
      <c r="E8578" s="16">
        <f>IFERROR(__xludf.DUMMYFUNCTION("""COMPUTED_VALUE"""),69.0)</f>
        <v>69</v>
      </c>
      <c r="F8578" s="19" t="str">
        <f>IFERROR(__xludf.DUMMYFUNCTION("""COMPUTED_VALUE"""),"BLACK")</f>
        <v>BLACK</v>
      </c>
      <c r="G8578" s="20" t="str">
        <f>IFERROR(__xludf.DUMMYFUNCTION("""COMPUTED_VALUE"""),"Uncle Sams Cider (11/12/2021) 02")</f>
        <v>Uncle Sams Cider (11/12/2021) 02</v>
      </c>
      <c r="H8578" s="19"/>
    </row>
    <row r="8579">
      <c r="A8579" s="9"/>
      <c r="B8579" s="15"/>
      <c r="C8579" s="9">
        <f>IFERROR(__xludf.DUMMYFUNCTION("""COMPUTED_VALUE"""),44515.1430453356)</f>
        <v>44515.14305</v>
      </c>
      <c r="D8579" s="15">
        <f>IFERROR(__xludf.DUMMYFUNCTION("""COMPUTED_VALUE"""),1.097)</f>
        <v>1.097</v>
      </c>
      <c r="E8579" s="16">
        <f>IFERROR(__xludf.DUMMYFUNCTION("""COMPUTED_VALUE"""),69.0)</f>
        <v>69</v>
      </c>
      <c r="F8579" s="19" t="str">
        <f>IFERROR(__xludf.DUMMYFUNCTION("""COMPUTED_VALUE"""),"BLACK")</f>
        <v>BLACK</v>
      </c>
      <c r="G8579" s="20" t="str">
        <f>IFERROR(__xludf.DUMMYFUNCTION("""COMPUTED_VALUE"""),"Uncle Sams Cider (11/12/2021) 02")</f>
        <v>Uncle Sams Cider (11/12/2021) 02</v>
      </c>
      <c r="H8579" s="19"/>
    </row>
    <row r="8580">
      <c r="A8580" s="9"/>
      <c r="B8580" s="15"/>
      <c r="C8580" s="9">
        <f>IFERROR(__xludf.DUMMYFUNCTION("""COMPUTED_VALUE"""),44515.1326229629)</f>
        <v>44515.13262</v>
      </c>
      <c r="D8580" s="15">
        <f>IFERROR(__xludf.DUMMYFUNCTION("""COMPUTED_VALUE"""),1.097)</f>
        <v>1.097</v>
      </c>
      <c r="E8580" s="16">
        <f>IFERROR(__xludf.DUMMYFUNCTION("""COMPUTED_VALUE"""),69.0)</f>
        <v>69</v>
      </c>
      <c r="F8580" s="19" t="str">
        <f>IFERROR(__xludf.DUMMYFUNCTION("""COMPUTED_VALUE"""),"BLACK")</f>
        <v>BLACK</v>
      </c>
      <c r="G8580" s="20" t="str">
        <f>IFERROR(__xludf.DUMMYFUNCTION("""COMPUTED_VALUE"""),"Uncle Sams Cider (11/12/2021) 02")</f>
        <v>Uncle Sams Cider (11/12/2021) 02</v>
      </c>
      <c r="H8580" s="19"/>
    </row>
    <row r="8581">
      <c r="A8581" s="9"/>
      <c r="B8581" s="15"/>
      <c r="C8581" s="9">
        <f>IFERROR(__xludf.DUMMYFUNCTION("""COMPUTED_VALUE"""),44515.1222021643)</f>
        <v>44515.1222</v>
      </c>
      <c r="D8581" s="15">
        <f>IFERROR(__xludf.DUMMYFUNCTION("""COMPUTED_VALUE"""),1.097)</f>
        <v>1.097</v>
      </c>
      <c r="E8581" s="16">
        <f>IFERROR(__xludf.DUMMYFUNCTION("""COMPUTED_VALUE"""),69.0)</f>
        <v>69</v>
      </c>
      <c r="F8581" s="19" t="str">
        <f>IFERROR(__xludf.DUMMYFUNCTION("""COMPUTED_VALUE"""),"BLACK")</f>
        <v>BLACK</v>
      </c>
      <c r="G8581" s="20" t="str">
        <f>IFERROR(__xludf.DUMMYFUNCTION("""COMPUTED_VALUE"""),"Uncle Sams Cider (11/12/2021) 02")</f>
        <v>Uncle Sams Cider (11/12/2021) 02</v>
      </c>
      <c r="H8581" s="19"/>
    </row>
    <row r="8582">
      <c r="A8582" s="9"/>
      <c r="B8582" s="15"/>
      <c r="C8582" s="9">
        <f>IFERROR(__xludf.DUMMYFUNCTION("""COMPUTED_VALUE"""),44515.1117472916)</f>
        <v>44515.11175</v>
      </c>
      <c r="D8582" s="15">
        <f>IFERROR(__xludf.DUMMYFUNCTION("""COMPUTED_VALUE"""),1.096)</f>
        <v>1.096</v>
      </c>
      <c r="E8582" s="16">
        <f>IFERROR(__xludf.DUMMYFUNCTION("""COMPUTED_VALUE"""),69.0)</f>
        <v>69</v>
      </c>
      <c r="F8582" s="19" t="str">
        <f>IFERROR(__xludf.DUMMYFUNCTION("""COMPUTED_VALUE"""),"BLACK")</f>
        <v>BLACK</v>
      </c>
      <c r="G8582" s="20" t="str">
        <f>IFERROR(__xludf.DUMMYFUNCTION("""COMPUTED_VALUE"""),"Uncle Sams Cider (11/12/2021) 02")</f>
        <v>Uncle Sams Cider (11/12/2021) 02</v>
      </c>
      <c r="H8582" s="19"/>
    </row>
    <row r="8583">
      <c r="A8583" s="9"/>
      <c r="B8583" s="15"/>
      <c r="C8583" s="9">
        <f>IFERROR(__xludf.DUMMYFUNCTION("""COMPUTED_VALUE"""),44515.101326875)</f>
        <v>44515.10133</v>
      </c>
      <c r="D8583" s="15">
        <f>IFERROR(__xludf.DUMMYFUNCTION("""COMPUTED_VALUE"""),1.097)</f>
        <v>1.097</v>
      </c>
      <c r="E8583" s="16">
        <f>IFERROR(__xludf.DUMMYFUNCTION("""COMPUTED_VALUE"""),69.0)</f>
        <v>69</v>
      </c>
      <c r="F8583" s="19" t="str">
        <f>IFERROR(__xludf.DUMMYFUNCTION("""COMPUTED_VALUE"""),"BLACK")</f>
        <v>BLACK</v>
      </c>
      <c r="G8583" s="20" t="str">
        <f>IFERROR(__xludf.DUMMYFUNCTION("""COMPUTED_VALUE"""),"Uncle Sams Cider (11/12/2021) 02")</f>
        <v>Uncle Sams Cider (11/12/2021) 02</v>
      </c>
      <c r="H8583" s="19"/>
    </row>
    <row r="8584">
      <c r="A8584" s="9"/>
      <c r="B8584" s="15"/>
      <c r="C8584" s="9">
        <f>IFERROR(__xludf.DUMMYFUNCTION("""COMPUTED_VALUE"""),44515.0909067245)</f>
        <v>44515.09091</v>
      </c>
      <c r="D8584" s="15">
        <f>IFERROR(__xludf.DUMMYFUNCTION("""COMPUTED_VALUE"""),1.097)</f>
        <v>1.097</v>
      </c>
      <c r="E8584" s="16">
        <f>IFERROR(__xludf.DUMMYFUNCTION("""COMPUTED_VALUE"""),69.0)</f>
        <v>69</v>
      </c>
      <c r="F8584" s="19" t="str">
        <f>IFERROR(__xludf.DUMMYFUNCTION("""COMPUTED_VALUE"""),"BLACK")</f>
        <v>BLACK</v>
      </c>
      <c r="G8584" s="20" t="str">
        <f>IFERROR(__xludf.DUMMYFUNCTION("""COMPUTED_VALUE"""),"Uncle Sams Cider (11/12/2021) 02")</f>
        <v>Uncle Sams Cider (11/12/2021) 02</v>
      </c>
      <c r="H8584" s="19"/>
    </row>
    <row r="8585">
      <c r="A8585" s="9"/>
      <c r="B8585" s="15"/>
      <c r="C8585" s="9">
        <f>IFERROR(__xludf.DUMMYFUNCTION("""COMPUTED_VALUE"""),44515.0804713888)</f>
        <v>44515.08047</v>
      </c>
      <c r="D8585" s="15">
        <f>IFERROR(__xludf.DUMMYFUNCTION("""COMPUTED_VALUE"""),1.097)</f>
        <v>1.097</v>
      </c>
      <c r="E8585" s="16">
        <f>IFERROR(__xludf.DUMMYFUNCTION("""COMPUTED_VALUE"""),69.0)</f>
        <v>69</v>
      </c>
      <c r="F8585" s="19" t="str">
        <f>IFERROR(__xludf.DUMMYFUNCTION("""COMPUTED_VALUE"""),"BLACK")</f>
        <v>BLACK</v>
      </c>
      <c r="G8585" s="20" t="str">
        <f>IFERROR(__xludf.DUMMYFUNCTION("""COMPUTED_VALUE"""),"Uncle Sams Cider (11/12/2021) 02")</f>
        <v>Uncle Sams Cider (11/12/2021) 02</v>
      </c>
      <c r="H8585" s="19"/>
    </row>
    <row r="8586">
      <c r="A8586" s="9"/>
      <c r="B8586" s="15"/>
      <c r="C8586" s="9">
        <f>IFERROR(__xludf.DUMMYFUNCTION("""COMPUTED_VALUE"""),44515.0700506134)</f>
        <v>44515.07005</v>
      </c>
      <c r="D8586" s="15">
        <f>IFERROR(__xludf.DUMMYFUNCTION("""COMPUTED_VALUE"""),1.097)</f>
        <v>1.097</v>
      </c>
      <c r="E8586" s="16">
        <f>IFERROR(__xludf.DUMMYFUNCTION("""COMPUTED_VALUE"""),69.0)</f>
        <v>69</v>
      </c>
      <c r="F8586" s="19" t="str">
        <f>IFERROR(__xludf.DUMMYFUNCTION("""COMPUTED_VALUE"""),"BLACK")</f>
        <v>BLACK</v>
      </c>
      <c r="G8586" s="20" t="str">
        <f>IFERROR(__xludf.DUMMYFUNCTION("""COMPUTED_VALUE"""),"Uncle Sams Cider (11/12/2021) 02")</f>
        <v>Uncle Sams Cider (11/12/2021) 02</v>
      </c>
      <c r="H8586" s="19"/>
    </row>
    <row r="8587">
      <c r="A8587" s="9"/>
      <c r="B8587" s="15"/>
      <c r="C8587" s="9">
        <f>IFERROR(__xludf.DUMMYFUNCTION("""COMPUTED_VALUE"""),44515.0596301157)</f>
        <v>44515.05963</v>
      </c>
      <c r="D8587" s="15">
        <f>IFERROR(__xludf.DUMMYFUNCTION("""COMPUTED_VALUE"""),1.097)</f>
        <v>1.097</v>
      </c>
      <c r="E8587" s="16">
        <f>IFERROR(__xludf.DUMMYFUNCTION("""COMPUTED_VALUE"""),69.0)</f>
        <v>69</v>
      </c>
      <c r="F8587" s="19" t="str">
        <f>IFERROR(__xludf.DUMMYFUNCTION("""COMPUTED_VALUE"""),"BLACK")</f>
        <v>BLACK</v>
      </c>
      <c r="G8587" s="20" t="str">
        <f>IFERROR(__xludf.DUMMYFUNCTION("""COMPUTED_VALUE"""),"Uncle Sams Cider (11/12/2021) 02")</f>
        <v>Uncle Sams Cider (11/12/2021) 02</v>
      </c>
      <c r="H8587" s="19"/>
    </row>
    <row r="8588">
      <c r="A8588" s="9"/>
      <c r="B8588" s="15"/>
      <c r="C8588" s="9">
        <f>IFERROR(__xludf.DUMMYFUNCTION("""COMPUTED_VALUE"""),44515.0491966087)</f>
        <v>44515.0492</v>
      </c>
      <c r="D8588" s="15">
        <f>IFERROR(__xludf.DUMMYFUNCTION("""COMPUTED_VALUE"""),1.097)</f>
        <v>1.097</v>
      </c>
      <c r="E8588" s="16">
        <f>IFERROR(__xludf.DUMMYFUNCTION("""COMPUTED_VALUE"""),69.0)</f>
        <v>69</v>
      </c>
      <c r="F8588" s="19" t="str">
        <f>IFERROR(__xludf.DUMMYFUNCTION("""COMPUTED_VALUE"""),"BLACK")</f>
        <v>BLACK</v>
      </c>
      <c r="G8588" s="20" t="str">
        <f>IFERROR(__xludf.DUMMYFUNCTION("""COMPUTED_VALUE"""),"Uncle Sams Cider (11/12/2021) 02")</f>
        <v>Uncle Sams Cider (11/12/2021) 02</v>
      </c>
      <c r="H8588" s="19"/>
    </row>
    <row r="8589">
      <c r="A8589" s="9"/>
      <c r="B8589" s="15"/>
      <c r="C8589" s="9">
        <f>IFERROR(__xludf.DUMMYFUNCTION("""COMPUTED_VALUE"""),44515.0387643171)</f>
        <v>44515.03876</v>
      </c>
      <c r="D8589" s="15">
        <f>IFERROR(__xludf.DUMMYFUNCTION("""COMPUTED_VALUE"""),1.098)</f>
        <v>1.098</v>
      </c>
      <c r="E8589" s="16">
        <f>IFERROR(__xludf.DUMMYFUNCTION("""COMPUTED_VALUE"""),69.0)</f>
        <v>69</v>
      </c>
      <c r="F8589" s="19" t="str">
        <f>IFERROR(__xludf.DUMMYFUNCTION("""COMPUTED_VALUE"""),"BLACK")</f>
        <v>BLACK</v>
      </c>
      <c r="G8589" s="20" t="str">
        <f>IFERROR(__xludf.DUMMYFUNCTION("""COMPUTED_VALUE"""),"Uncle Sams Cider (11/12/2021) 02")</f>
        <v>Uncle Sams Cider (11/12/2021) 02</v>
      </c>
      <c r="H8589" s="19"/>
    </row>
    <row r="8590">
      <c r="A8590" s="9"/>
      <c r="B8590" s="15"/>
      <c r="C8590" s="9">
        <f>IFERROR(__xludf.DUMMYFUNCTION("""COMPUTED_VALUE"""),44515.0283435185)</f>
        <v>44515.02834</v>
      </c>
      <c r="D8590" s="15">
        <f>IFERROR(__xludf.DUMMYFUNCTION("""COMPUTED_VALUE"""),1.098)</f>
        <v>1.098</v>
      </c>
      <c r="E8590" s="16">
        <f>IFERROR(__xludf.DUMMYFUNCTION("""COMPUTED_VALUE"""),69.0)</f>
        <v>69</v>
      </c>
      <c r="F8590" s="19" t="str">
        <f>IFERROR(__xludf.DUMMYFUNCTION("""COMPUTED_VALUE"""),"BLACK")</f>
        <v>BLACK</v>
      </c>
      <c r="G8590" s="20" t="str">
        <f>IFERROR(__xludf.DUMMYFUNCTION("""COMPUTED_VALUE"""),"Uncle Sams Cider (11/12/2021) 02")</f>
        <v>Uncle Sams Cider (11/12/2021) 02</v>
      </c>
      <c r="H8590" s="19"/>
    </row>
    <row r="8591">
      <c r="A8591" s="9"/>
      <c r="B8591" s="15"/>
      <c r="C8591" s="9">
        <f>IFERROR(__xludf.DUMMYFUNCTION("""COMPUTED_VALUE"""),44515.0179125)</f>
        <v>44515.01791</v>
      </c>
      <c r="D8591" s="15">
        <f>IFERROR(__xludf.DUMMYFUNCTION("""COMPUTED_VALUE"""),1.098)</f>
        <v>1.098</v>
      </c>
      <c r="E8591" s="16">
        <f>IFERROR(__xludf.DUMMYFUNCTION("""COMPUTED_VALUE"""),69.0)</f>
        <v>69</v>
      </c>
      <c r="F8591" s="19" t="str">
        <f>IFERROR(__xludf.DUMMYFUNCTION("""COMPUTED_VALUE"""),"BLACK")</f>
        <v>BLACK</v>
      </c>
      <c r="G8591" s="20" t="str">
        <f>IFERROR(__xludf.DUMMYFUNCTION("""COMPUTED_VALUE"""),"Uncle Sams Cider (11/12/2021) 02")</f>
        <v>Uncle Sams Cider (11/12/2021) 02</v>
      </c>
      <c r="H8591" s="19"/>
    </row>
    <row r="8592">
      <c r="A8592" s="9"/>
      <c r="B8592" s="15"/>
      <c r="C8592" s="9">
        <f>IFERROR(__xludf.DUMMYFUNCTION("""COMPUTED_VALUE"""),44515.0074908449)</f>
        <v>44515.00749</v>
      </c>
      <c r="D8592" s="15">
        <f>IFERROR(__xludf.DUMMYFUNCTION("""COMPUTED_VALUE"""),1.099)</f>
        <v>1.099</v>
      </c>
      <c r="E8592" s="16">
        <f>IFERROR(__xludf.DUMMYFUNCTION("""COMPUTED_VALUE"""),69.0)</f>
        <v>69</v>
      </c>
      <c r="F8592" s="19" t="str">
        <f>IFERROR(__xludf.DUMMYFUNCTION("""COMPUTED_VALUE"""),"BLACK")</f>
        <v>BLACK</v>
      </c>
      <c r="G8592" s="20" t="str">
        <f>IFERROR(__xludf.DUMMYFUNCTION("""COMPUTED_VALUE"""),"Uncle Sams Cider (11/12/2021) 02")</f>
        <v>Uncle Sams Cider (11/12/2021) 02</v>
      </c>
      <c r="H8592" s="19"/>
    </row>
    <row r="8593">
      <c r="A8593" s="9"/>
      <c r="B8593" s="15"/>
      <c r="C8593" s="9">
        <f>IFERROR(__xludf.DUMMYFUNCTION("""COMPUTED_VALUE"""),44514.9970710763)</f>
        <v>44514.99707</v>
      </c>
      <c r="D8593" s="15">
        <f>IFERROR(__xludf.DUMMYFUNCTION("""COMPUTED_VALUE"""),1.099)</f>
        <v>1.099</v>
      </c>
      <c r="E8593" s="16">
        <f>IFERROR(__xludf.DUMMYFUNCTION("""COMPUTED_VALUE"""),69.0)</f>
        <v>69</v>
      </c>
      <c r="F8593" s="19" t="str">
        <f>IFERROR(__xludf.DUMMYFUNCTION("""COMPUTED_VALUE"""),"BLACK")</f>
        <v>BLACK</v>
      </c>
      <c r="G8593" s="20" t="str">
        <f>IFERROR(__xludf.DUMMYFUNCTION("""COMPUTED_VALUE"""),"Uncle Sams Cider (11/12/2021) 02")</f>
        <v>Uncle Sams Cider (11/12/2021) 02</v>
      </c>
      <c r="H8593" s="19"/>
    </row>
    <row r="8594">
      <c r="A8594" s="9"/>
      <c r="B8594" s="15"/>
      <c r="C8594" s="9">
        <f>IFERROR(__xludf.DUMMYFUNCTION("""COMPUTED_VALUE"""),44514.9866386574)</f>
        <v>44514.98664</v>
      </c>
      <c r="D8594" s="15">
        <f>IFERROR(__xludf.DUMMYFUNCTION("""COMPUTED_VALUE"""),1.099)</f>
        <v>1.099</v>
      </c>
      <c r="E8594" s="16">
        <f>IFERROR(__xludf.DUMMYFUNCTION("""COMPUTED_VALUE"""),69.0)</f>
        <v>69</v>
      </c>
      <c r="F8594" s="19" t="str">
        <f>IFERROR(__xludf.DUMMYFUNCTION("""COMPUTED_VALUE"""),"BLACK")</f>
        <v>BLACK</v>
      </c>
      <c r="G8594" s="20" t="str">
        <f>IFERROR(__xludf.DUMMYFUNCTION("""COMPUTED_VALUE"""),"Uncle Sams Cider (11/12/2021) 02")</f>
        <v>Uncle Sams Cider (11/12/2021) 02</v>
      </c>
      <c r="H8594" s="19"/>
    </row>
    <row r="8595">
      <c r="A8595" s="9"/>
      <c r="B8595" s="15"/>
      <c r="C8595" s="9">
        <f>IFERROR(__xludf.DUMMYFUNCTION("""COMPUTED_VALUE"""),44514.9762048958)</f>
        <v>44514.9762</v>
      </c>
      <c r="D8595" s="15">
        <f>IFERROR(__xludf.DUMMYFUNCTION("""COMPUTED_VALUE"""),1.099)</f>
        <v>1.099</v>
      </c>
      <c r="E8595" s="16">
        <f>IFERROR(__xludf.DUMMYFUNCTION("""COMPUTED_VALUE"""),69.0)</f>
        <v>69</v>
      </c>
      <c r="F8595" s="19" t="str">
        <f>IFERROR(__xludf.DUMMYFUNCTION("""COMPUTED_VALUE"""),"BLACK")</f>
        <v>BLACK</v>
      </c>
      <c r="G8595" s="20" t="str">
        <f>IFERROR(__xludf.DUMMYFUNCTION("""COMPUTED_VALUE"""),"Uncle Sams Cider (11/12/2021) 02")</f>
        <v>Uncle Sams Cider (11/12/2021) 02</v>
      </c>
      <c r="H8595" s="19"/>
    </row>
    <row r="8596">
      <c r="A8596" s="9"/>
      <c r="B8596" s="15"/>
      <c r="C8596" s="9">
        <f>IFERROR(__xludf.DUMMYFUNCTION("""COMPUTED_VALUE"""),44514.9657860185)</f>
        <v>44514.96579</v>
      </c>
      <c r="D8596" s="15">
        <f>IFERROR(__xludf.DUMMYFUNCTION("""COMPUTED_VALUE"""),1.099)</f>
        <v>1.099</v>
      </c>
      <c r="E8596" s="16">
        <f>IFERROR(__xludf.DUMMYFUNCTION("""COMPUTED_VALUE"""),69.0)</f>
        <v>69</v>
      </c>
      <c r="F8596" s="19" t="str">
        <f>IFERROR(__xludf.DUMMYFUNCTION("""COMPUTED_VALUE"""),"BLACK")</f>
        <v>BLACK</v>
      </c>
      <c r="G8596" s="20" t="str">
        <f>IFERROR(__xludf.DUMMYFUNCTION("""COMPUTED_VALUE"""),"Uncle Sams Cider (11/12/2021) 02")</f>
        <v>Uncle Sams Cider (11/12/2021) 02</v>
      </c>
      <c r="H8596" s="19"/>
    </row>
    <row r="8597">
      <c r="A8597" s="9"/>
      <c r="B8597" s="15"/>
      <c r="C8597" s="9">
        <f>IFERROR(__xludf.DUMMYFUNCTION("""COMPUTED_VALUE"""),44514.9553658796)</f>
        <v>44514.95537</v>
      </c>
      <c r="D8597" s="15">
        <f>IFERROR(__xludf.DUMMYFUNCTION("""COMPUTED_VALUE"""),1.1)</f>
        <v>1.1</v>
      </c>
      <c r="E8597" s="16">
        <f>IFERROR(__xludf.DUMMYFUNCTION("""COMPUTED_VALUE"""),68.0)</f>
        <v>68</v>
      </c>
      <c r="F8597" s="19" t="str">
        <f>IFERROR(__xludf.DUMMYFUNCTION("""COMPUTED_VALUE"""),"BLACK")</f>
        <v>BLACK</v>
      </c>
      <c r="G8597" s="20" t="str">
        <f>IFERROR(__xludf.DUMMYFUNCTION("""COMPUTED_VALUE"""),"Uncle Sams Cider (11/12/2021) 02")</f>
        <v>Uncle Sams Cider (11/12/2021) 02</v>
      </c>
      <c r="H8597" s="19"/>
    </row>
    <row r="8598">
      <c r="A8598" s="9"/>
      <c r="B8598" s="15"/>
      <c r="C8598" s="9">
        <f>IFERROR(__xludf.DUMMYFUNCTION("""COMPUTED_VALUE"""),44514.9449461574)</f>
        <v>44514.94495</v>
      </c>
      <c r="D8598" s="15">
        <f>IFERROR(__xludf.DUMMYFUNCTION("""COMPUTED_VALUE"""),1.099)</f>
        <v>1.099</v>
      </c>
      <c r="E8598" s="16">
        <f>IFERROR(__xludf.DUMMYFUNCTION("""COMPUTED_VALUE"""),68.0)</f>
        <v>68</v>
      </c>
      <c r="F8598" s="19" t="str">
        <f>IFERROR(__xludf.DUMMYFUNCTION("""COMPUTED_VALUE"""),"BLACK")</f>
        <v>BLACK</v>
      </c>
      <c r="G8598" s="20" t="str">
        <f>IFERROR(__xludf.DUMMYFUNCTION("""COMPUTED_VALUE"""),"Uncle Sams Cider (11/12/2021) 02")</f>
        <v>Uncle Sams Cider (11/12/2021) 02</v>
      </c>
      <c r="H8598" s="19"/>
    </row>
    <row r="8599">
      <c r="A8599" s="9"/>
      <c r="B8599" s="15"/>
      <c r="C8599" s="9">
        <f>IFERROR(__xludf.DUMMYFUNCTION("""COMPUTED_VALUE"""),44514.9345012037)</f>
        <v>44514.9345</v>
      </c>
      <c r="D8599" s="15">
        <f>IFERROR(__xludf.DUMMYFUNCTION("""COMPUTED_VALUE"""),1.1)</f>
        <v>1.1</v>
      </c>
      <c r="E8599" s="16">
        <f>IFERROR(__xludf.DUMMYFUNCTION("""COMPUTED_VALUE"""),68.0)</f>
        <v>68</v>
      </c>
      <c r="F8599" s="19" t="str">
        <f>IFERROR(__xludf.DUMMYFUNCTION("""COMPUTED_VALUE"""),"BLACK")</f>
        <v>BLACK</v>
      </c>
      <c r="G8599" s="20" t="str">
        <f>IFERROR(__xludf.DUMMYFUNCTION("""COMPUTED_VALUE"""),"Uncle Sams Cider (11/12/2021) 02")</f>
        <v>Uncle Sams Cider (11/12/2021) 02</v>
      </c>
      <c r="H8599" s="19"/>
    </row>
    <row r="8600">
      <c r="A8600" s="9"/>
      <c r="B8600" s="15"/>
      <c r="C8600" s="9">
        <f>IFERROR(__xludf.DUMMYFUNCTION("""COMPUTED_VALUE"""),44514.9240796527)</f>
        <v>44514.92408</v>
      </c>
      <c r="D8600" s="15">
        <f>IFERROR(__xludf.DUMMYFUNCTION("""COMPUTED_VALUE"""),1.099)</f>
        <v>1.099</v>
      </c>
      <c r="E8600" s="16">
        <f>IFERROR(__xludf.DUMMYFUNCTION("""COMPUTED_VALUE"""),68.0)</f>
        <v>68</v>
      </c>
      <c r="F8600" s="19" t="str">
        <f>IFERROR(__xludf.DUMMYFUNCTION("""COMPUTED_VALUE"""),"BLACK")</f>
        <v>BLACK</v>
      </c>
      <c r="G8600" s="20" t="str">
        <f>IFERROR(__xludf.DUMMYFUNCTION("""COMPUTED_VALUE"""),"Uncle Sams Cider (11/12/2021) 02")</f>
        <v>Uncle Sams Cider (11/12/2021) 02</v>
      </c>
      <c r="H8600" s="19"/>
    </row>
    <row r="8601">
      <c r="A8601" s="9"/>
      <c r="B8601" s="15"/>
      <c r="C8601" s="9">
        <f>IFERROR(__xludf.DUMMYFUNCTION("""COMPUTED_VALUE"""),44514.9136467592)</f>
        <v>44514.91365</v>
      </c>
      <c r="D8601" s="15">
        <f>IFERROR(__xludf.DUMMYFUNCTION("""COMPUTED_VALUE"""),1.1)</f>
        <v>1.1</v>
      </c>
      <c r="E8601" s="16">
        <f>IFERROR(__xludf.DUMMYFUNCTION("""COMPUTED_VALUE"""),68.0)</f>
        <v>68</v>
      </c>
      <c r="F8601" s="19" t="str">
        <f>IFERROR(__xludf.DUMMYFUNCTION("""COMPUTED_VALUE"""),"BLACK")</f>
        <v>BLACK</v>
      </c>
      <c r="G8601" s="20" t="str">
        <f>IFERROR(__xludf.DUMMYFUNCTION("""COMPUTED_VALUE"""),"Uncle Sams Cider (11/12/2021) 02")</f>
        <v>Uncle Sams Cider (11/12/2021) 02</v>
      </c>
      <c r="H8601" s="19"/>
    </row>
    <row r="8602">
      <c r="A8602" s="9"/>
      <c r="B8602" s="15"/>
      <c r="C8602" s="9">
        <f>IFERROR(__xludf.DUMMYFUNCTION("""COMPUTED_VALUE"""),44514.903225162)</f>
        <v>44514.90323</v>
      </c>
      <c r="D8602" s="15">
        <f>IFERROR(__xludf.DUMMYFUNCTION("""COMPUTED_VALUE"""),1.1)</f>
        <v>1.1</v>
      </c>
      <c r="E8602" s="16">
        <f>IFERROR(__xludf.DUMMYFUNCTION("""COMPUTED_VALUE"""),68.0)</f>
        <v>68</v>
      </c>
      <c r="F8602" s="19" t="str">
        <f>IFERROR(__xludf.DUMMYFUNCTION("""COMPUTED_VALUE"""),"BLACK")</f>
        <v>BLACK</v>
      </c>
      <c r="G8602" s="20" t="str">
        <f>IFERROR(__xludf.DUMMYFUNCTION("""COMPUTED_VALUE"""),"Uncle Sams Cider (11/12/2021) 02")</f>
        <v>Uncle Sams Cider (11/12/2021) 02</v>
      </c>
      <c r="H8602" s="19"/>
    </row>
    <row r="8603">
      <c r="A8603" s="9"/>
      <c r="B8603" s="15"/>
      <c r="C8603" s="9">
        <f>IFERROR(__xludf.DUMMYFUNCTION("""COMPUTED_VALUE"""),44514.8928036805)</f>
        <v>44514.8928</v>
      </c>
      <c r="D8603" s="15">
        <f>IFERROR(__xludf.DUMMYFUNCTION("""COMPUTED_VALUE"""),1.1)</f>
        <v>1.1</v>
      </c>
      <c r="E8603" s="16">
        <f>IFERROR(__xludf.DUMMYFUNCTION("""COMPUTED_VALUE"""),68.0)</f>
        <v>68</v>
      </c>
      <c r="F8603" s="19" t="str">
        <f>IFERROR(__xludf.DUMMYFUNCTION("""COMPUTED_VALUE"""),"BLACK")</f>
        <v>BLACK</v>
      </c>
      <c r="G8603" s="20" t="str">
        <f>IFERROR(__xludf.DUMMYFUNCTION("""COMPUTED_VALUE"""),"Uncle Sams Cider (11/12/2021) 02")</f>
        <v>Uncle Sams Cider (11/12/2021) 02</v>
      </c>
      <c r="H8603" s="19"/>
    </row>
    <row r="8604">
      <c r="A8604" s="9"/>
      <c r="B8604" s="15"/>
      <c r="C8604" s="9">
        <f>IFERROR(__xludf.DUMMYFUNCTION("""COMPUTED_VALUE"""),44514.8823851851)</f>
        <v>44514.88239</v>
      </c>
      <c r="D8604" s="15">
        <f>IFERROR(__xludf.DUMMYFUNCTION("""COMPUTED_VALUE"""),1.1)</f>
        <v>1.1</v>
      </c>
      <c r="E8604" s="16">
        <f>IFERROR(__xludf.DUMMYFUNCTION("""COMPUTED_VALUE"""),68.0)</f>
        <v>68</v>
      </c>
      <c r="F8604" s="19" t="str">
        <f>IFERROR(__xludf.DUMMYFUNCTION("""COMPUTED_VALUE"""),"BLACK")</f>
        <v>BLACK</v>
      </c>
      <c r="G8604" s="20" t="str">
        <f>IFERROR(__xludf.DUMMYFUNCTION("""COMPUTED_VALUE"""),"Uncle Sams Cider (11/12/2021) 02")</f>
        <v>Uncle Sams Cider (11/12/2021) 02</v>
      </c>
      <c r="H8604" s="19"/>
    </row>
    <row r="8605">
      <c r="A8605" s="9"/>
      <c r="B8605" s="15"/>
      <c r="C8605" s="9">
        <f>IFERROR(__xludf.DUMMYFUNCTION("""COMPUTED_VALUE"""),44514.8719525)</f>
        <v>44514.87195</v>
      </c>
      <c r="D8605" s="15">
        <f>IFERROR(__xludf.DUMMYFUNCTION("""COMPUTED_VALUE"""),1.101)</f>
        <v>1.101</v>
      </c>
      <c r="E8605" s="16">
        <f>IFERROR(__xludf.DUMMYFUNCTION("""COMPUTED_VALUE"""),68.0)</f>
        <v>68</v>
      </c>
      <c r="F8605" s="19" t="str">
        <f>IFERROR(__xludf.DUMMYFUNCTION("""COMPUTED_VALUE"""),"BLACK")</f>
        <v>BLACK</v>
      </c>
      <c r="G8605" s="20" t="str">
        <f>IFERROR(__xludf.DUMMYFUNCTION("""COMPUTED_VALUE"""),"Uncle Sams Cider (11/12/2021) 02")</f>
        <v>Uncle Sams Cider (11/12/2021) 02</v>
      </c>
      <c r="H8605" s="19"/>
    </row>
    <row r="8606">
      <c r="A8606" s="9"/>
      <c r="B8606" s="15"/>
      <c r="C8606" s="9">
        <f>IFERROR(__xludf.DUMMYFUNCTION("""COMPUTED_VALUE"""),44514.8615203587)</f>
        <v>44514.86152</v>
      </c>
      <c r="D8606" s="15">
        <f>IFERROR(__xludf.DUMMYFUNCTION("""COMPUTED_VALUE"""),1.101)</f>
        <v>1.101</v>
      </c>
      <c r="E8606" s="16">
        <f>IFERROR(__xludf.DUMMYFUNCTION("""COMPUTED_VALUE"""),68.0)</f>
        <v>68</v>
      </c>
      <c r="F8606" s="19" t="str">
        <f>IFERROR(__xludf.DUMMYFUNCTION("""COMPUTED_VALUE"""),"BLACK")</f>
        <v>BLACK</v>
      </c>
      <c r="G8606" s="20" t="str">
        <f>IFERROR(__xludf.DUMMYFUNCTION("""COMPUTED_VALUE"""),"Uncle Sams Cider (11/12/2021) 02")</f>
        <v>Uncle Sams Cider (11/12/2021) 02</v>
      </c>
      <c r="H8606" s="19"/>
    </row>
    <row r="8607">
      <c r="A8607" s="9"/>
      <c r="B8607" s="15"/>
      <c r="C8607" s="9">
        <f>IFERROR(__xludf.DUMMYFUNCTION("""COMPUTED_VALUE"""),44514.8510980324)</f>
        <v>44514.8511</v>
      </c>
      <c r="D8607" s="15">
        <f>IFERROR(__xludf.DUMMYFUNCTION("""COMPUTED_VALUE"""),1.1)</f>
        <v>1.1</v>
      </c>
      <c r="E8607" s="16">
        <f>IFERROR(__xludf.DUMMYFUNCTION("""COMPUTED_VALUE"""),68.0)</f>
        <v>68</v>
      </c>
      <c r="F8607" s="19" t="str">
        <f>IFERROR(__xludf.DUMMYFUNCTION("""COMPUTED_VALUE"""),"BLACK")</f>
        <v>BLACK</v>
      </c>
      <c r="G8607" s="20" t="str">
        <f>IFERROR(__xludf.DUMMYFUNCTION("""COMPUTED_VALUE"""),"Uncle Sams Cider (11/12/2021) 02")</f>
        <v>Uncle Sams Cider (11/12/2021) 02</v>
      </c>
      <c r="H8607" s="19"/>
    </row>
    <row r="8608">
      <c r="A8608" s="9"/>
      <c r="B8608" s="15"/>
      <c r="C8608" s="9">
        <f>IFERROR(__xludf.DUMMYFUNCTION("""COMPUTED_VALUE"""),44514.8406526041)</f>
        <v>44514.84065</v>
      </c>
      <c r="D8608" s="15">
        <f>IFERROR(__xludf.DUMMYFUNCTION("""COMPUTED_VALUE"""),1.1)</f>
        <v>1.1</v>
      </c>
      <c r="E8608" s="16">
        <f>IFERROR(__xludf.DUMMYFUNCTION("""COMPUTED_VALUE"""),68.0)</f>
        <v>68</v>
      </c>
      <c r="F8608" s="19" t="str">
        <f>IFERROR(__xludf.DUMMYFUNCTION("""COMPUTED_VALUE"""),"BLACK")</f>
        <v>BLACK</v>
      </c>
      <c r="G8608" s="20" t="str">
        <f>IFERROR(__xludf.DUMMYFUNCTION("""COMPUTED_VALUE"""),"Uncle Sams Cider (11/12/2021) 02")</f>
        <v>Uncle Sams Cider (11/12/2021) 02</v>
      </c>
      <c r="H8608" s="19"/>
    </row>
    <row r="8609">
      <c r="A8609" s="9"/>
      <c r="B8609" s="15"/>
      <c r="C8609" s="9">
        <f>IFERROR(__xludf.DUMMYFUNCTION("""COMPUTED_VALUE"""),44514.8302325115)</f>
        <v>44514.83023</v>
      </c>
      <c r="D8609" s="15">
        <f>IFERROR(__xludf.DUMMYFUNCTION("""COMPUTED_VALUE"""),1.1)</f>
        <v>1.1</v>
      </c>
      <c r="E8609" s="16">
        <f>IFERROR(__xludf.DUMMYFUNCTION("""COMPUTED_VALUE"""),68.0)</f>
        <v>68</v>
      </c>
      <c r="F8609" s="19" t="str">
        <f>IFERROR(__xludf.DUMMYFUNCTION("""COMPUTED_VALUE"""),"BLACK")</f>
        <v>BLACK</v>
      </c>
      <c r="G8609" s="20" t="str">
        <f>IFERROR(__xludf.DUMMYFUNCTION("""COMPUTED_VALUE"""),"Uncle Sams Cider (11/12/2021) 02")</f>
        <v>Uncle Sams Cider (11/12/2021) 02</v>
      </c>
      <c r="H8609" s="19"/>
    </row>
    <row r="8610">
      <c r="A8610" s="9"/>
      <c r="B8610" s="15"/>
      <c r="C8610" s="9">
        <f>IFERROR(__xludf.DUMMYFUNCTION("""COMPUTED_VALUE"""),44514.8197872453)</f>
        <v>44514.81979</v>
      </c>
      <c r="D8610" s="15">
        <f>IFERROR(__xludf.DUMMYFUNCTION("""COMPUTED_VALUE"""),1.101)</f>
        <v>1.101</v>
      </c>
      <c r="E8610" s="16">
        <f>IFERROR(__xludf.DUMMYFUNCTION("""COMPUTED_VALUE"""),68.0)</f>
        <v>68</v>
      </c>
      <c r="F8610" s="19" t="str">
        <f>IFERROR(__xludf.DUMMYFUNCTION("""COMPUTED_VALUE"""),"BLACK")</f>
        <v>BLACK</v>
      </c>
      <c r="G8610" s="20" t="str">
        <f>IFERROR(__xludf.DUMMYFUNCTION("""COMPUTED_VALUE"""),"Uncle Sams Cider (11/12/2021) 02")</f>
        <v>Uncle Sams Cider (11/12/2021) 02</v>
      </c>
      <c r="H8610" s="19"/>
    </row>
    <row r="8611">
      <c r="A8611" s="9"/>
      <c r="B8611" s="15"/>
      <c r="C8611" s="9">
        <f>IFERROR(__xludf.DUMMYFUNCTION("""COMPUTED_VALUE"""),44514.8093673842)</f>
        <v>44514.80937</v>
      </c>
      <c r="D8611" s="15">
        <f>IFERROR(__xludf.DUMMYFUNCTION("""COMPUTED_VALUE"""),1.101)</f>
        <v>1.101</v>
      </c>
      <c r="E8611" s="16">
        <f>IFERROR(__xludf.DUMMYFUNCTION("""COMPUTED_VALUE"""),68.0)</f>
        <v>68</v>
      </c>
      <c r="F8611" s="19" t="str">
        <f>IFERROR(__xludf.DUMMYFUNCTION("""COMPUTED_VALUE"""),"BLACK")</f>
        <v>BLACK</v>
      </c>
      <c r="G8611" s="20" t="str">
        <f>IFERROR(__xludf.DUMMYFUNCTION("""COMPUTED_VALUE"""),"Uncle Sams Cider (11/12/2021) 02")</f>
        <v>Uncle Sams Cider (11/12/2021) 02</v>
      </c>
      <c r="H8611" s="19"/>
    </row>
    <row r="8612">
      <c r="A8612" s="9"/>
      <c r="B8612" s="15"/>
      <c r="C8612" s="9">
        <f>IFERROR(__xludf.DUMMYFUNCTION("""COMPUTED_VALUE"""),44514.7989446527)</f>
        <v>44514.79894</v>
      </c>
      <c r="D8612" s="15">
        <f>IFERROR(__xludf.DUMMYFUNCTION("""COMPUTED_VALUE"""),1.1)</f>
        <v>1.1</v>
      </c>
      <c r="E8612" s="16">
        <f>IFERROR(__xludf.DUMMYFUNCTION("""COMPUTED_VALUE"""),68.0)</f>
        <v>68</v>
      </c>
      <c r="F8612" s="19" t="str">
        <f>IFERROR(__xludf.DUMMYFUNCTION("""COMPUTED_VALUE"""),"BLACK")</f>
        <v>BLACK</v>
      </c>
      <c r="G8612" s="20" t="str">
        <f>IFERROR(__xludf.DUMMYFUNCTION("""COMPUTED_VALUE"""),"Uncle Sams Cider (11/12/2021) 02")</f>
        <v>Uncle Sams Cider (11/12/2021) 02</v>
      </c>
      <c r="H8612" s="19"/>
    </row>
    <row r="8613">
      <c r="A8613" s="9"/>
      <c r="B8613" s="15"/>
      <c r="C8613" s="9">
        <f>IFERROR(__xludf.DUMMYFUNCTION("""COMPUTED_VALUE"""),44514.7885094675)</f>
        <v>44514.78851</v>
      </c>
      <c r="D8613" s="15">
        <f>IFERROR(__xludf.DUMMYFUNCTION("""COMPUTED_VALUE"""),1.101)</f>
        <v>1.101</v>
      </c>
      <c r="E8613" s="16">
        <f>IFERROR(__xludf.DUMMYFUNCTION("""COMPUTED_VALUE"""),68.0)</f>
        <v>68</v>
      </c>
      <c r="F8613" s="19" t="str">
        <f>IFERROR(__xludf.DUMMYFUNCTION("""COMPUTED_VALUE"""),"BLACK")</f>
        <v>BLACK</v>
      </c>
      <c r="G8613" s="20" t="str">
        <f>IFERROR(__xludf.DUMMYFUNCTION("""COMPUTED_VALUE"""),"Uncle Sams Cider (11/12/2021) 02")</f>
        <v>Uncle Sams Cider (11/12/2021) 02</v>
      </c>
      <c r="H8613" s="19"/>
    </row>
    <row r="8614">
      <c r="A8614" s="9"/>
      <c r="B8614" s="15"/>
      <c r="C8614" s="9">
        <f>IFERROR(__xludf.DUMMYFUNCTION("""COMPUTED_VALUE"""),44514.778075)</f>
        <v>44514.77808</v>
      </c>
      <c r="D8614" s="15">
        <f>IFERROR(__xludf.DUMMYFUNCTION("""COMPUTED_VALUE"""),1.101)</f>
        <v>1.101</v>
      </c>
      <c r="E8614" s="16">
        <f>IFERROR(__xludf.DUMMYFUNCTION("""COMPUTED_VALUE"""),68.0)</f>
        <v>68</v>
      </c>
      <c r="F8614" s="19" t="str">
        <f>IFERROR(__xludf.DUMMYFUNCTION("""COMPUTED_VALUE"""),"BLACK")</f>
        <v>BLACK</v>
      </c>
      <c r="G8614" s="20" t="str">
        <f>IFERROR(__xludf.DUMMYFUNCTION("""COMPUTED_VALUE"""),"Uncle Sams Cider (11/12/2021) 02")</f>
        <v>Uncle Sams Cider (11/12/2021) 02</v>
      </c>
      <c r="H8614" s="19"/>
    </row>
    <row r="8615">
      <c r="A8615" s="9"/>
      <c r="B8615" s="15"/>
      <c r="C8615" s="9">
        <f>IFERROR(__xludf.DUMMYFUNCTION("""COMPUTED_VALUE"""),44514.7676536226)</f>
        <v>44514.76765</v>
      </c>
      <c r="D8615" s="15">
        <f>IFERROR(__xludf.DUMMYFUNCTION("""COMPUTED_VALUE"""),1.101)</f>
        <v>1.101</v>
      </c>
      <c r="E8615" s="16">
        <f>IFERROR(__xludf.DUMMYFUNCTION("""COMPUTED_VALUE"""),68.0)</f>
        <v>68</v>
      </c>
      <c r="F8615" s="19" t="str">
        <f>IFERROR(__xludf.DUMMYFUNCTION("""COMPUTED_VALUE"""),"BLACK")</f>
        <v>BLACK</v>
      </c>
      <c r="G8615" s="20" t="str">
        <f>IFERROR(__xludf.DUMMYFUNCTION("""COMPUTED_VALUE"""),"Uncle Sams Cider (11/12/2021) 02")</f>
        <v>Uncle Sams Cider (11/12/2021) 02</v>
      </c>
      <c r="H8615" s="19"/>
    </row>
    <row r="8616">
      <c r="A8616" s="9"/>
      <c r="B8616" s="15"/>
      <c r="C8616" s="9">
        <f>IFERROR(__xludf.DUMMYFUNCTION("""COMPUTED_VALUE"""),44514.7572332523)</f>
        <v>44514.75723</v>
      </c>
      <c r="D8616" s="15">
        <f>IFERROR(__xludf.DUMMYFUNCTION("""COMPUTED_VALUE"""),1.101)</f>
        <v>1.101</v>
      </c>
      <c r="E8616" s="16">
        <f>IFERROR(__xludf.DUMMYFUNCTION("""COMPUTED_VALUE"""),68.0)</f>
        <v>68</v>
      </c>
      <c r="F8616" s="19" t="str">
        <f>IFERROR(__xludf.DUMMYFUNCTION("""COMPUTED_VALUE"""),"BLACK")</f>
        <v>BLACK</v>
      </c>
      <c r="G8616" s="20" t="str">
        <f>IFERROR(__xludf.DUMMYFUNCTION("""COMPUTED_VALUE"""),"Uncle Sams Cider (11/12/2021) 02")</f>
        <v>Uncle Sams Cider (11/12/2021) 02</v>
      </c>
      <c r="H8616" s="19"/>
    </row>
    <row r="8617">
      <c r="A8617" s="9"/>
      <c r="B8617" s="15"/>
      <c r="C8617" s="9">
        <f>IFERROR(__xludf.DUMMYFUNCTION("""COMPUTED_VALUE"""),44514.7468115162)</f>
        <v>44514.74681</v>
      </c>
      <c r="D8617" s="15">
        <f>IFERROR(__xludf.DUMMYFUNCTION("""COMPUTED_VALUE"""),1.101)</f>
        <v>1.101</v>
      </c>
      <c r="E8617" s="16">
        <f>IFERROR(__xludf.DUMMYFUNCTION("""COMPUTED_VALUE"""),68.0)</f>
        <v>68</v>
      </c>
      <c r="F8617" s="19" t="str">
        <f>IFERROR(__xludf.DUMMYFUNCTION("""COMPUTED_VALUE"""),"BLACK")</f>
        <v>BLACK</v>
      </c>
      <c r="G8617" s="20" t="str">
        <f>IFERROR(__xludf.DUMMYFUNCTION("""COMPUTED_VALUE"""),"Uncle Sams Cider (11/12/2021) 02")</f>
        <v>Uncle Sams Cider (11/12/2021) 02</v>
      </c>
      <c r="H8617" s="19"/>
    </row>
    <row r="8618">
      <c r="A8618" s="9"/>
      <c r="B8618" s="15"/>
      <c r="C8618" s="9">
        <f>IFERROR(__xludf.DUMMYFUNCTION("""COMPUTED_VALUE"""),44514.7363904745)</f>
        <v>44514.73639</v>
      </c>
      <c r="D8618" s="15">
        <f>IFERROR(__xludf.DUMMYFUNCTION("""COMPUTED_VALUE"""),1.1)</f>
        <v>1.1</v>
      </c>
      <c r="E8618" s="16">
        <f>IFERROR(__xludf.DUMMYFUNCTION("""COMPUTED_VALUE"""),68.0)</f>
        <v>68</v>
      </c>
      <c r="F8618" s="19" t="str">
        <f>IFERROR(__xludf.DUMMYFUNCTION("""COMPUTED_VALUE"""),"BLACK")</f>
        <v>BLACK</v>
      </c>
      <c r="G8618" s="20" t="str">
        <f>IFERROR(__xludf.DUMMYFUNCTION("""COMPUTED_VALUE"""),"Uncle Sams Cider (11/12/2021) 02")</f>
        <v>Uncle Sams Cider (11/12/2021) 02</v>
      </c>
      <c r="H8618" s="19"/>
    </row>
    <row r="8619">
      <c r="A8619" s="9"/>
      <c r="B8619" s="15"/>
      <c r="C8619" s="9">
        <f>IFERROR(__xludf.DUMMYFUNCTION("""COMPUTED_VALUE"""),44514.7259680092)</f>
        <v>44514.72597</v>
      </c>
      <c r="D8619" s="15">
        <f>IFERROR(__xludf.DUMMYFUNCTION("""COMPUTED_VALUE"""),1.101)</f>
        <v>1.101</v>
      </c>
      <c r="E8619" s="16">
        <f>IFERROR(__xludf.DUMMYFUNCTION("""COMPUTED_VALUE"""),68.0)</f>
        <v>68</v>
      </c>
      <c r="F8619" s="19" t="str">
        <f>IFERROR(__xludf.DUMMYFUNCTION("""COMPUTED_VALUE"""),"BLACK")</f>
        <v>BLACK</v>
      </c>
      <c r="G8619" s="20" t="str">
        <f>IFERROR(__xludf.DUMMYFUNCTION("""COMPUTED_VALUE"""),"Uncle Sams Cider (11/12/2021) 02")</f>
        <v>Uncle Sams Cider (11/12/2021) 02</v>
      </c>
      <c r="H8619" s="19"/>
    </row>
    <row r="8620">
      <c r="A8620" s="9"/>
      <c r="B8620" s="15"/>
      <c r="C8620" s="9">
        <f>IFERROR(__xludf.DUMMYFUNCTION("""COMPUTED_VALUE"""),44514.7155364236)</f>
        <v>44514.71554</v>
      </c>
      <c r="D8620" s="15">
        <f>IFERROR(__xludf.DUMMYFUNCTION("""COMPUTED_VALUE"""),1.101)</f>
        <v>1.101</v>
      </c>
      <c r="E8620" s="16">
        <f>IFERROR(__xludf.DUMMYFUNCTION("""COMPUTED_VALUE"""),68.0)</f>
        <v>68</v>
      </c>
      <c r="F8620" s="19" t="str">
        <f>IFERROR(__xludf.DUMMYFUNCTION("""COMPUTED_VALUE"""),"BLACK")</f>
        <v>BLACK</v>
      </c>
      <c r="G8620" s="20" t="str">
        <f>IFERROR(__xludf.DUMMYFUNCTION("""COMPUTED_VALUE"""),"Uncle Sams Cider (11/12/2021) 02")</f>
        <v>Uncle Sams Cider (11/12/2021) 02</v>
      </c>
      <c r="H8620" s="19"/>
    </row>
    <row r="8621">
      <c r="A8621" s="9"/>
      <c r="B8621" s="15"/>
      <c r="C8621" s="9">
        <f>IFERROR(__xludf.DUMMYFUNCTION("""COMPUTED_VALUE"""),44514.7051166666)</f>
        <v>44514.70512</v>
      </c>
      <c r="D8621" s="15">
        <f>IFERROR(__xludf.DUMMYFUNCTION("""COMPUTED_VALUE"""),1.101)</f>
        <v>1.101</v>
      </c>
      <c r="E8621" s="16">
        <f>IFERROR(__xludf.DUMMYFUNCTION("""COMPUTED_VALUE"""),68.0)</f>
        <v>68</v>
      </c>
      <c r="F8621" s="19" t="str">
        <f>IFERROR(__xludf.DUMMYFUNCTION("""COMPUTED_VALUE"""),"BLACK")</f>
        <v>BLACK</v>
      </c>
      <c r="G8621" s="20" t="str">
        <f>IFERROR(__xludf.DUMMYFUNCTION("""COMPUTED_VALUE"""),"Uncle Sams Cider (11/12/2021) 02")</f>
        <v>Uncle Sams Cider (11/12/2021) 02</v>
      </c>
      <c r="H8621" s="19"/>
    </row>
    <row r="8622">
      <c r="A8622" s="9"/>
      <c r="B8622" s="15"/>
      <c r="C8622" s="9">
        <f>IFERROR(__xludf.DUMMYFUNCTION("""COMPUTED_VALUE"""),44514.6946968287)</f>
        <v>44514.6947</v>
      </c>
      <c r="D8622" s="15">
        <f>IFERROR(__xludf.DUMMYFUNCTION("""COMPUTED_VALUE"""),1.101)</f>
        <v>1.101</v>
      </c>
      <c r="E8622" s="16">
        <f>IFERROR(__xludf.DUMMYFUNCTION("""COMPUTED_VALUE"""),68.0)</f>
        <v>68</v>
      </c>
      <c r="F8622" s="19" t="str">
        <f>IFERROR(__xludf.DUMMYFUNCTION("""COMPUTED_VALUE"""),"BLACK")</f>
        <v>BLACK</v>
      </c>
      <c r="G8622" s="20" t="str">
        <f>IFERROR(__xludf.DUMMYFUNCTION("""COMPUTED_VALUE"""),"Uncle Sams Cider (11/12/2021) 02")</f>
        <v>Uncle Sams Cider (11/12/2021) 02</v>
      </c>
      <c r="H8622" s="19"/>
    </row>
    <row r="8623">
      <c r="A8623" s="9"/>
      <c r="B8623" s="15"/>
      <c r="C8623" s="9">
        <f>IFERROR(__xludf.DUMMYFUNCTION("""COMPUTED_VALUE"""),44514.6842750694)</f>
        <v>44514.68428</v>
      </c>
      <c r="D8623" s="15">
        <f>IFERROR(__xludf.DUMMYFUNCTION("""COMPUTED_VALUE"""),1.102)</f>
        <v>1.102</v>
      </c>
      <c r="E8623" s="16">
        <f>IFERROR(__xludf.DUMMYFUNCTION("""COMPUTED_VALUE"""),67.0)</f>
        <v>67</v>
      </c>
      <c r="F8623" s="19" t="str">
        <f>IFERROR(__xludf.DUMMYFUNCTION("""COMPUTED_VALUE"""),"BLACK")</f>
        <v>BLACK</v>
      </c>
      <c r="G8623" s="20" t="str">
        <f>IFERROR(__xludf.DUMMYFUNCTION("""COMPUTED_VALUE"""),"Uncle Sams Cider (11/12/2021) 02")</f>
        <v>Uncle Sams Cider (11/12/2021) 02</v>
      </c>
      <c r="H8623" s="19"/>
    </row>
    <row r="8624">
      <c r="A8624" s="9"/>
      <c r="B8624" s="15"/>
      <c r="C8624" s="9">
        <f>IFERROR(__xludf.DUMMYFUNCTION("""COMPUTED_VALUE"""),44514.6738557291)</f>
        <v>44514.67386</v>
      </c>
      <c r="D8624" s="15">
        <f>IFERROR(__xludf.DUMMYFUNCTION("""COMPUTED_VALUE"""),1.101)</f>
        <v>1.101</v>
      </c>
      <c r="E8624" s="16">
        <f>IFERROR(__xludf.DUMMYFUNCTION("""COMPUTED_VALUE"""),67.0)</f>
        <v>67</v>
      </c>
      <c r="F8624" s="19" t="str">
        <f>IFERROR(__xludf.DUMMYFUNCTION("""COMPUTED_VALUE"""),"BLACK")</f>
        <v>BLACK</v>
      </c>
      <c r="G8624" s="20" t="str">
        <f>IFERROR(__xludf.DUMMYFUNCTION("""COMPUTED_VALUE"""),"Uncle Sams Cider (11/12/2021) 02")</f>
        <v>Uncle Sams Cider (11/12/2021) 02</v>
      </c>
      <c r="H8624" s="19"/>
    </row>
    <row r="8625">
      <c r="A8625" s="9"/>
      <c r="B8625" s="15"/>
      <c r="C8625" s="9">
        <f>IFERROR(__xludf.DUMMYFUNCTION("""COMPUTED_VALUE"""),44514.6634235185)</f>
        <v>44514.66342</v>
      </c>
      <c r="D8625" s="15">
        <f>IFERROR(__xludf.DUMMYFUNCTION("""COMPUTED_VALUE"""),1.101)</f>
        <v>1.101</v>
      </c>
      <c r="E8625" s="16">
        <f>IFERROR(__xludf.DUMMYFUNCTION("""COMPUTED_VALUE"""),67.0)</f>
        <v>67</v>
      </c>
      <c r="F8625" s="19" t="str">
        <f>IFERROR(__xludf.DUMMYFUNCTION("""COMPUTED_VALUE"""),"BLACK")</f>
        <v>BLACK</v>
      </c>
      <c r="G8625" s="20" t="str">
        <f>IFERROR(__xludf.DUMMYFUNCTION("""COMPUTED_VALUE"""),"Uncle Sams Cider (11/12/2021) 02")</f>
        <v>Uncle Sams Cider (11/12/2021) 02</v>
      </c>
      <c r="H8625" s="19"/>
    </row>
    <row r="8626">
      <c r="A8626" s="9"/>
      <c r="B8626" s="15"/>
      <c r="C8626" s="9">
        <f>IFERROR(__xludf.DUMMYFUNCTION("""COMPUTED_VALUE"""),44514.6529906365)</f>
        <v>44514.65299</v>
      </c>
      <c r="D8626" s="15">
        <f>IFERROR(__xludf.DUMMYFUNCTION("""COMPUTED_VALUE"""),1.102)</f>
        <v>1.102</v>
      </c>
      <c r="E8626" s="16">
        <f>IFERROR(__xludf.DUMMYFUNCTION("""COMPUTED_VALUE"""),67.0)</f>
        <v>67</v>
      </c>
      <c r="F8626" s="19" t="str">
        <f>IFERROR(__xludf.DUMMYFUNCTION("""COMPUTED_VALUE"""),"BLACK")</f>
        <v>BLACK</v>
      </c>
      <c r="G8626" s="20" t="str">
        <f>IFERROR(__xludf.DUMMYFUNCTION("""COMPUTED_VALUE"""),"Uncle Sams Cider (11/12/2021) 02")</f>
        <v>Uncle Sams Cider (11/12/2021) 02</v>
      </c>
      <c r="H8626" s="19"/>
    </row>
    <row r="8627">
      <c r="A8627" s="9"/>
      <c r="B8627" s="15"/>
      <c r="C8627" s="9">
        <f>IFERROR(__xludf.DUMMYFUNCTION("""COMPUTED_VALUE"""),44514.6425688194)</f>
        <v>44514.64257</v>
      </c>
      <c r="D8627" s="15">
        <f>IFERROR(__xludf.DUMMYFUNCTION("""COMPUTED_VALUE"""),1.102)</f>
        <v>1.102</v>
      </c>
      <c r="E8627" s="16">
        <f>IFERROR(__xludf.DUMMYFUNCTION("""COMPUTED_VALUE"""),67.0)</f>
        <v>67</v>
      </c>
      <c r="F8627" s="19" t="str">
        <f>IFERROR(__xludf.DUMMYFUNCTION("""COMPUTED_VALUE"""),"BLACK")</f>
        <v>BLACK</v>
      </c>
      <c r="G8627" s="20" t="str">
        <f>IFERROR(__xludf.DUMMYFUNCTION("""COMPUTED_VALUE"""),"Uncle Sams Cider (11/12/2021) 02")</f>
        <v>Uncle Sams Cider (11/12/2021) 02</v>
      </c>
      <c r="H8627" s="19"/>
    </row>
    <row r="8628">
      <c r="A8628" s="9"/>
      <c r="B8628" s="15"/>
      <c r="C8628" s="9">
        <f>IFERROR(__xludf.DUMMYFUNCTION("""COMPUTED_VALUE"""),44514.6321483333)</f>
        <v>44514.63215</v>
      </c>
      <c r="D8628" s="15">
        <f>IFERROR(__xludf.DUMMYFUNCTION("""COMPUTED_VALUE"""),1.102)</f>
        <v>1.102</v>
      </c>
      <c r="E8628" s="16">
        <f>IFERROR(__xludf.DUMMYFUNCTION("""COMPUTED_VALUE"""),67.0)</f>
        <v>67</v>
      </c>
      <c r="F8628" s="19" t="str">
        <f>IFERROR(__xludf.DUMMYFUNCTION("""COMPUTED_VALUE"""),"BLACK")</f>
        <v>BLACK</v>
      </c>
      <c r="G8628" s="20" t="str">
        <f>IFERROR(__xludf.DUMMYFUNCTION("""COMPUTED_VALUE"""),"Uncle Sams Cider (11/12/2021) 02")</f>
        <v>Uncle Sams Cider (11/12/2021) 02</v>
      </c>
      <c r="H8628" s="19"/>
    </row>
    <row r="8629">
      <c r="A8629" s="9"/>
      <c r="B8629" s="15"/>
      <c r="C8629" s="9">
        <f>IFERROR(__xludf.DUMMYFUNCTION("""COMPUTED_VALUE"""),44514.6217155439)</f>
        <v>44514.62172</v>
      </c>
      <c r="D8629" s="15">
        <f>IFERROR(__xludf.DUMMYFUNCTION("""COMPUTED_VALUE"""),1.102)</f>
        <v>1.102</v>
      </c>
      <c r="E8629" s="16">
        <f>IFERROR(__xludf.DUMMYFUNCTION("""COMPUTED_VALUE"""),67.0)</f>
        <v>67</v>
      </c>
      <c r="F8629" s="19" t="str">
        <f>IFERROR(__xludf.DUMMYFUNCTION("""COMPUTED_VALUE"""),"BLACK")</f>
        <v>BLACK</v>
      </c>
      <c r="G8629" s="20" t="str">
        <f>IFERROR(__xludf.DUMMYFUNCTION("""COMPUTED_VALUE"""),"Uncle Sams Cider (11/12/2021) 02")</f>
        <v>Uncle Sams Cider (11/12/2021) 02</v>
      </c>
      <c r="H8629" s="19"/>
    </row>
    <row r="8630">
      <c r="A8630" s="9"/>
      <c r="B8630" s="15"/>
      <c r="C8630" s="9">
        <f>IFERROR(__xludf.DUMMYFUNCTION("""COMPUTED_VALUE"""),44514.6112942245)</f>
        <v>44514.61129</v>
      </c>
      <c r="D8630" s="15">
        <f>IFERROR(__xludf.DUMMYFUNCTION("""COMPUTED_VALUE"""),1.102)</f>
        <v>1.102</v>
      </c>
      <c r="E8630" s="16">
        <f>IFERROR(__xludf.DUMMYFUNCTION("""COMPUTED_VALUE"""),67.0)</f>
        <v>67</v>
      </c>
      <c r="F8630" s="19" t="str">
        <f>IFERROR(__xludf.DUMMYFUNCTION("""COMPUTED_VALUE"""),"BLACK")</f>
        <v>BLACK</v>
      </c>
      <c r="G8630" s="20" t="str">
        <f>IFERROR(__xludf.DUMMYFUNCTION("""COMPUTED_VALUE"""),"Uncle Sams Cider (11/12/2021) 02")</f>
        <v>Uncle Sams Cider (11/12/2021) 02</v>
      </c>
      <c r="H8630" s="19"/>
    </row>
    <row r="8631">
      <c r="A8631" s="9"/>
      <c r="B8631" s="15"/>
      <c r="C8631" s="9">
        <f>IFERROR(__xludf.DUMMYFUNCTION("""COMPUTED_VALUE"""),44514.6008729745)</f>
        <v>44514.60087</v>
      </c>
      <c r="D8631" s="15">
        <f>IFERROR(__xludf.DUMMYFUNCTION("""COMPUTED_VALUE"""),1.103)</f>
        <v>1.103</v>
      </c>
      <c r="E8631" s="16">
        <f>IFERROR(__xludf.DUMMYFUNCTION("""COMPUTED_VALUE"""),67.0)</f>
        <v>67</v>
      </c>
      <c r="F8631" s="19" t="str">
        <f>IFERROR(__xludf.DUMMYFUNCTION("""COMPUTED_VALUE"""),"BLACK")</f>
        <v>BLACK</v>
      </c>
      <c r="G8631" s="20" t="str">
        <f>IFERROR(__xludf.DUMMYFUNCTION("""COMPUTED_VALUE"""),"Uncle Sams Cider (11/12/2021) 02")</f>
        <v>Uncle Sams Cider (11/12/2021) 02</v>
      </c>
      <c r="H8631" s="19"/>
    </row>
    <row r="8632">
      <c r="A8632" s="9"/>
      <c r="B8632" s="15"/>
      <c r="C8632" s="9">
        <f>IFERROR(__xludf.DUMMYFUNCTION("""COMPUTED_VALUE"""),44514.5904523032)</f>
        <v>44514.59045</v>
      </c>
      <c r="D8632" s="15">
        <f>IFERROR(__xludf.DUMMYFUNCTION("""COMPUTED_VALUE"""),1.103)</f>
        <v>1.103</v>
      </c>
      <c r="E8632" s="16">
        <f>IFERROR(__xludf.DUMMYFUNCTION("""COMPUTED_VALUE"""),67.0)</f>
        <v>67</v>
      </c>
      <c r="F8632" s="19" t="str">
        <f>IFERROR(__xludf.DUMMYFUNCTION("""COMPUTED_VALUE"""),"BLACK")</f>
        <v>BLACK</v>
      </c>
      <c r="G8632" s="20" t="str">
        <f>IFERROR(__xludf.DUMMYFUNCTION("""COMPUTED_VALUE"""),"Uncle Sams Cider (11/12/2021) 02")</f>
        <v>Uncle Sams Cider (11/12/2021) 02</v>
      </c>
      <c r="H8632" s="19"/>
    </row>
    <row r="8633">
      <c r="A8633" s="9"/>
      <c r="B8633" s="15"/>
      <c r="C8633" s="9">
        <f>IFERROR(__xludf.DUMMYFUNCTION("""COMPUTED_VALUE"""),44514.5800308449)</f>
        <v>44514.58003</v>
      </c>
      <c r="D8633" s="15">
        <f>IFERROR(__xludf.DUMMYFUNCTION("""COMPUTED_VALUE"""),1.103)</f>
        <v>1.103</v>
      </c>
      <c r="E8633" s="16">
        <f>IFERROR(__xludf.DUMMYFUNCTION("""COMPUTED_VALUE"""),67.0)</f>
        <v>67</v>
      </c>
      <c r="F8633" s="19" t="str">
        <f>IFERROR(__xludf.DUMMYFUNCTION("""COMPUTED_VALUE"""),"BLACK")</f>
        <v>BLACK</v>
      </c>
      <c r="G8633" s="20" t="str">
        <f>IFERROR(__xludf.DUMMYFUNCTION("""COMPUTED_VALUE"""),"Uncle Sams Cider (11/12/2021) 02")</f>
        <v>Uncle Sams Cider (11/12/2021) 02</v>
      </c>
      <c r="H8633" s="19"/>
    </row>
    <row r="8634">
      <c r="A8634" s="9"/>
      <c r="B8634" s="15"/>
      <c r="C8634" s="9">
        <f>IFERROR(__xludf.DUMMYFUNCTION("""COMPUTED_VALUE"""),44514.5696086921)</f>
        <v>44514.56961</v>
      </c>
      <c r="D8634" s="15">
        <f>IFERROR(__xludf.DUMMYFUNCTION("""COMPUTED_VALUE"""),1.103)</f>
        <v>1.103</v>
      </c>
      <c r="E8634" s="16">
        <f>IFERROR(__xludf.DUMMYFUNCTION("""COMPUTED_VALUE"""),67.0)</f>
        <v>67</v>
      </c>
      <c r="F8634" s="19" t="str">
        <f>IFERROR(__xludf.DUMMYFUNCTION("""COMPUTED_VALUE"""),"BLACK")</f>
        <v>BLACK</v>
      </c>
      <c r="G8634" s="20" t="str">
        <f>IFERROR(__xludf.DUMMYFUNCTION("""COMPUTED_VALUE"""),"Uncle Sams Cider (11/12/2021) 02")</f>
        <v>Uncle Sams Cider (11/12/2021) 02</v>
      </c>
      <c r="H8634" s="19"/>
    </row>
    <row r="8635">
      <c r="A8635" s="9"/>
      <c r="B8635" s="15"/>
      <c r="C8635" s="9">
        <f>IFERROR(__xludf.DUMMYFUNCTION("""COMPUTED_VALUE"""),44514.5591870023)</f>
        <v>44514.55919</v>
      </c>
      <c r="D8635" s="15">
        <f>IFERROR(__xludf.DUMMYFUNCTION("""COMPUTED_VALUE"""),1.103)</f>
        <v>1.103</v>
      </c>
      <c r="E8635" s="16">
        <f>IFERROR(__xludf.DUMMYFUNCTION("""COMPUTED_VALUE"""),67.0)</f>
        <v>67</v>
      </c>
      <c r="F8635" s="19" t="str">
        <f>IFERROR(__xludf.DUMMYFUNCTION("""COMPUTED_VALUE"""),"BLACK")</f>
        <v>BLACK</v>
      </c>
      <c r="G8635" s="20" t="str">
        <f>IFERROR(__xludf.DUMMYFUNCTION("""COMPUTED_VALUE"""),"Uncle Sams Cider (11/12/2021) 02")</f>
        <v>Uncle Sams Cider (11/12/2021) 02</v>
      </c>
      <c r="H8635" s="19"/>
    </row>
    <row r="8636">
      <c r="A8636" s="9"/>
      <c r="B8636" s="15"/>
      <c r="C8636" s="9">
        <f>IFERROR(__xludf.DUMMYFUNCTION("""COMPUTED_VALUE"""),44514.5487660879)</f>
        <v>44514.54877</v>
      </c>
      <c r="D8636" s="15">
        <f>IFERROR(__xludf.DUMMYFUNCTION("""COMPUTED_VALUE"""),1.102)</f>
        <v>1.102</v>
      </c>
      <c r="E8636" s="16">
        <f>IFERROR(__xludf.DUMMYFUNCTION("""COMPUTED_VALUE"""),67.0)</f>
        <v>67</v>
      </c>
      <c r="F8636" s="19" t="str">
        <f>IFERROR(__xludf.DUMMYFUNCTION("""COMPUTED_VALUE"""),"BLACK")</f>
        <v>BLACK</v>
      </c>
      <c r="G8636" s="20" t="str">
        <f>IFERROR(__xludf.DUMMYFUNCTION("""COMPUTED_VALUE"""),"Uncle Sams Cider (11/12/2021) 02")</f>
        <v>Uncle Sams Cider (11/12/2021) 02</v>
      </c>
      <c r="H8636" s="19"/>
    </row>
    <row r="8637">
      <c r="A8637" s="9"/>
      <c r="B8637" s="15"/>
      <c r="C8637" s="9">
        <f>IFERROR(__xludf.DUMMYFUNCTION("""COMPUTED_VALUE"""),44514.5383326504)</f>
        <v>44514.53833</v>
      </c>
      <c r="D8637" s="15">
        <f>IFERROR(__xludf.DUMMYFUNCTION("""COMPUTED_VALUE"""),1.103)</f>
        <v>1.103</v>
      </c>
      <c r="E8637" s="16">
        <f>IFERROR(__xludf.DUMMYFUNCTION("""COMPUTED_VALUE"""),67.0)</f>
        <v>67</v>
      </c>
      <c r="F8637" s="19" t="str">
        <f>IFERROR(__xludf.DUMMYFUNCTION("""COMPUTED_VALUE"""),"BLACK")</f>
        <v>BLACK</v>
      </c>
      <c r="G8637" s="20" t="str">
        <f>IFERROR(__xludf.DUMMYFUNCTION("""COMPUTED_VALUE"""),"Uncle Sams Cider (11/12/2021) 02")</f>
        <v>Uncle Sams Cider (11/12/2021) 02</v>
      </c>
      <c r="H8637" s="19"/>
    </row>
    <row r="8638">
      <c r="A8638" s="9"/>
      <c r="B8638" s="15"/>
      <c r="C8638" s="9">
        <f>IFERROR(__xludf.DUMMYFUNCTION("""COMPUTED_VALUE"""),44514.5278871412)</f>
        <v>44514.52789</v>
      </c>
      <c r="D8638" s="15">
        <f>IFERROR(__xludf.DUMMYFUNCTION("""COMPUTED_VALUE"""),1.103)</f>
        <v>1.103</v>
      </c>
      <c r="E8638" s="16">
        <f>IFERROR(__xludf.DUMMYFUNCTION("""COMPUTED_VALUE"""),67.0)</f>
        <v>67</v>
      </c>
      <c r="F8638" s="19" t="str">
        <f>IFERROR(__xludf.DUMMYFUNCTION("""COMPUTED_VALUE"""),"BLACK")</f>
        <v>BLACK</v>
      </c>
      <c r="G8638" s="20" t="str">
        <f>IFERROR(__xludf.DUMMYFUNCTION("""COMPUTED_VALUE"""),"Uncle Sams Cider (11/12/2021) 02")</f>
        <v>Uncle Sams Cider (11/12/2021) 02</v>
      </c>
      <c r="H8638" s="19"/>
    </row>
    <row r="8639">
      <c r="A8639" s="9"/>
      <c r="B8639" s="15"/>
      <c r="C8639" s="9">
        <f>IFERROR(__xludf.DUMMYFUNCTION("""COMPUTED_VALUE"""),44514.517465081)</f>
        <v>44514.51747</v>
      </c>
      <c r="D8639" s="15">
        <f>IFERROR(__xludf.DUMMYFUNCTION("""COMPUTED_VALUE"""),1.103)</f>
        <v>1.103</v>
      </c>
      <c r="E8639" s="16">
        <f>IFERROR(__xludf.DUMMYFUNCTION("""COMPUTED_VALUE"""),67.0)</f>
        <v>67</v>
      </c>
      <c r="F8639" s="19" t="str">
        <f>IFERROR(__xludf.DUMMYFUNCTION("""COMPUTED_VALUE"""),"BLACK")</f>
        <v>BLACK</v>
      </c>
      <c r="G8639" s="20" t="str">
        <f>IFERROR(__xludf.DUMMYFUNCTION("""COMPUTED_VALUE"""),"Uncle Sams Cider (11/12/2021) 02")</f>
        <v>Uncle Sams Cider (11/12/2021) 02</v>
      </c>
      <c r="H8639" s="19"/>
    </row>
    <row r="8640">
      <c r="A8640" s="9"/>
      <c r="B8640" s="15"/>
      <c r="C8640" s="9">
        <f>IFERROR(__xludf.DUMMYFUNCTION("""COMPUTED_VALUE"""),44514.5070436458)</f>
        <v>44514.50704</v>
      </c>
      <c r="D8640" s="15">
        <f>IFERROR(__xludf.DUMMYFUNCTION("""COMPUTED_VALUE"""),1.104)</f>
        <v>1.104</v>
      </c>
      <c r="E8640" s="16">
        <f>IFERROR(__xludf.DUMMYFUNCTION("""COMPUTED_VALUE"""),67.0)</f>
        <v>67</v>
      </c>
      <c r="F8640" s="19" t="str">
        <f>IFERROR(__xludf.DUMMYFUNCTION("""COMPUTED_VALUE"""),"BLACK")</f>
        <v>BLACK</v>
      </c>
      <c r="G8640" s="20" t="str">
        <f>IFERROR(__xludf.DUMMYFUNCTION("""COMPUTED_VALUE"""),"Uncle Sams Cider (11/12/2021) 02")</f>
        <v>Uncle Sams Cider (11/12/2021) 02</v>
      </c>
      <c r="H8640" s="19"/>
    </row>
    <row r="8641">
      <c r="A8641" s="9"/>
      <c r="B8641" s="15"/>
      <c r="C8641" s="9">
        <f>IFERROR(__xludf.DUMMYFUNCTION("""COMPUTED_VALUE"""),44514.4966221875)</f>
        <v>44514.49662</v>
      </c>
      <c r="D8641" s="15">
        <f>IFERROR(__xludf.DUMMYFUNCTION("""COMPUTED_VALUE"""),1.104)</f>
        <v>1.104</v>
      </c>
      <c r="E8641" s="16">
        <f>IFERROR(__xludf.DUMMYFUNCTION("""COMPUTED_VALUE"""),67.0)</f>
        <v>67</v>
      </c>
      <c r="F8641" s="19" t="str">
        <f>IFERROR(__xludf.DUMMYFUNCTION("""COMPUTED_VALUE"""),"BLACK")</f>
        <v>BLACK</v>
      </c>
      <c r="G8641" s="20" t="str">
        <f>IFERROR(__xludf.DUMMYFUNCTION("""COMPUTED_VALUE"""),"Uncle Sams Cider (11/12/2021) 02")</f>
        <v>Uncle Sams Cider (11/12/2021) 02</v>
      </c>
      <c r="H8641" s="19"/>
    </row>
    <row r="8642">
      <c r="A8642" s="9"/>
      <c r="B8642" s="15"/>
      <c r="C8642" s="9">
        <f>IFERROR(__xludf.DUMMYFUNCTION("""COMPUTED_VALUE"""),44514.4862013657)</f>
        <v>44514.4862</v>
      </c>
      <c r="D8642" s="15">
        <f>IFERROR(__xludf.DUMMYFUNCTION("""COMPUTED_VALUE"""),1.104)</f>
        <v>1.104</v>
      </c>
      <c r="E8642" s="16">
        <f>IFERROR(__xludf.DUMMYFUNCTION("""COMPUTED_VALUE"""),67.0)</f>
        <v>67</v>
      </c>
      <c r="F8642" s="19" t="str">
        <f>IFERROR(__xludf.DUMMYFUNCTION("""COMPUTED_VALUE"""),"BLACK")</f>
        <v>BLACK</v>
      </c>
      <c r="G8642" s="20" t="str">
        <f>IFERROR(__xludf.DUMMYFUNCTION("""COMPUTED_VALUE"""),"Uncle Sams Cider (11/12/2021) 02")</f>
        <v>Uncle Sams Cider (11/12/2021) 02</v>
      </c>
      <c r="H8642" s="19"/>
    </row>
    <row r="8643">
      <c r="A8643" s="9"/>
      <c r="B8643" s="15"/>
      <c r="C8643" s="9">
        <f>IFERROR(__xludf.DUMMYFUNCTION("""COMPUTED_VALUE"""),44514.47578)</f>
        <v>44514.47578</v>
      </c>
      <c r="D8643" s="15">
        <f>IFERROR(__xludf.DUMMYFUNCTION("""COMPUTED_VALUE"""),1.105)</f>
        <v>1.105</v>
      </c>
      <c r="E8643" s="16">
        <f>IFERROR(__xludf.DUMMYFUNCTION("""COMPUTED_VALUE"""),66.0)</f>
        <v>66</v>
      </c>
      <c r="F8643" s="19" t="str">
        <f>IFERROR(__xludf.DUMMYFUNCTION("""COMPUTED_VALUE"""),"BLACK")</f>
        <v>BLACK</v>
      </c>
      <c r="G8643" s="20" t="str">
        <f>IFERROR(__xludf.DUMMYFUNCTION("""COMPUTED_VALUE"""),"Uncle Sams Cider (11/12/2021) 02")</f>
        <v>Uncle Sams Cider (11/12/2021) 02</v>
      </c>
      <c r="H8643" s="19"/>
    </row>
    <row r="8644">
      <c r="A8644" s="9"/>
      <c r="B8644" s="15"/>
      <c r="C8644" s="9">
        <f>IFERROR(__xludf.DUMMYFUNCTION("""COMPUTED_VALUE"""),44514.4653594097)</f>
        <v>44514.46536</v>
      </c>
      <c r="D8644" s="15">
        <f>IFERROR(__xludf.DUMMYFUNCTION("""COMPUTED_VALUE"""),1.105)</f>
        <v>1.105</v>
      </c>
      <c r="E8644" s="16">
        <f>IFERROR(__xludf.DUMMYFUNCTION("""COMPUTED_VALUE"""),66.0)</f>
        <v>66</v>
      </c>
      <c r="F8644" s="19" t="str">
        <f>IFERROR(__xludf.DUMMYFUNCTION("""COMPUTED_VALUE"""),"BLACK")</f>
        <v>BLACK</v>
      </c>
      <c r="G8644" s="20" t="str">
        <f>IFERROR(__xludf.DUMMYFUNCTION("""COMPUTED_VALUE"""),"Uncle Sams Cider (11/12/2021) 02")</f>
        <v>Uncle Sams Cider (11/12/2021) 02</v>
      </c>
      <c r="H8644" s="19"/>
    </row>
    <row r="8645">
      <c r="A8645" s="9"/>
      <c r="B8645" s="15"/>
      <c r="C8645" s="9">
        <f>IFERROR(__xludf.DUMMYFUNCTION("""COMPUTED_VALUE"""),44514.4549383564)</f>
        <v>44514.45494</v>
      </c>
      <c r="D8645" s="15">
        <f>IFERROR(__xludf.DUMMYFUNCTION("""COMPUTED_VALUE"""),1.105)</f>
        <v>1.105</v>
      </c>
      <c r="E8645" s="16">
        <f>IFERROR(__xludf.DUMMYFUNCTION("""COMPUTED_VALUE"""),66.0)</f>
        <v>66</v>
      </c>
      <c r="F8645" s="19" t="str">
        <f>IFERROR(__xludf.DUMMYFUNCTION("""COMPUTED_VALUE"""),"BLACK")</f>
        <v>BLACK</v>
      </c>
      <c r="G8645" s="20" t="str">
        <f>IFERROR(__xludf.DUMMYFUNCTION("""COMPUTED_VALUE"""),"Uncle Sams Cider (11/12/2021) 02")</f>
        <v>Uncle Sams Cider (11/12/2021) 02</v>
      </c>
      <c r="H8645" s="19"/>
    </row>
    <row r="8646">
      <c r="A8646" s="9"/>
      <c r="B8646" s="15"/>
      <c r="C8646" s="9">
        <f>IFERROR(__xludf.DUMMYFUNCTION("""COMPUTED_VALUE"""),44514.4445047337)</f>
        <v>44514.4445</v>
      </c>
      <c r="D8646" s="15">
        <f>IFERROR(__xludf.DUMMYFUNCTION("""COMPUTED_VALUE"""),1.104)</f>
        <v>1.104</v>
      </c>
      <c r="E8646" s="16">
        <f>IFERROR(__xludf.DUMMYFUNCTION("""COMPUTED_VALUE"""),66.0)</f>
        <v>66</v>
      </c>
      <c r="F8646" s="19" t="str">
        <f>IFERROR(__xludf.DUMMYFUNCTION("""COMPUTED_VALUE"""),"BLACK")</f>
        <v>BLACK</v>
      </c>
      <c r="G8646" s="20" t="str">
        <f>IFERROR(__xludf.DUMMYFUNCTION("""COMPUTED_VALUE"""),"Uncle Sams Cider (11/12/2021) 02")</f>
        <v>Uncle Sams Cider (11/12/2021) 02</v>
      </c>
      <c r="H8646" s="19"/>
    </row>
    <row r="8647">
      <c r="A8647" s="9"/>
      <c r="B8647" s="15"/>
      <c r="C8647" s="9">
        <f>IFERROR(__xludf.DUMMYFUNCTION("""COMPUTED_VALUE"""),44514.434082662)</f>
        <v>44514.43408</v>
      </c>
      <c r="D8647" s="15">
        <f>IFERROR(__xludf.DUMMYFUNCTION("""COMPUTED_VALUE"""),1.105)</f>
        <v>1.105</v>
      </c>
      <c r="E8647" s="16">
        <f>IFERROR(__xludf.DUMMYFUNCTION("""COMPUTED_VALUE"""),66.0)</f>
        <v>66</v>
      </c>
      <c r="F8647" s="19" t="str">
        <f>IFERROR(__xludf.DUMMYFUNCTION("""COMPUTED_VALUE"""),"BLACK")</f>
        <v>BLACK</v>
      </c>
      <c r="G8647" s="20" t="str">
        <f>IFERROR(__xludf.DUMMYFUNCTION("""COMPUTED_VALUE"""),"Uncle Sams Cider (11/12/2021) 02")</f>
        <v>Uncle Sams Cider (11/12/2021) 02</v>
      </c>
      <c r="H8647" s="19"/>
    </row>
    <row r="8648">
      <c r="A8648" s="9"/>
      <c r="B8648" s="15"/>
      <c r="C8648" s="9">
        <f>IFERROR(__xludf.DUMMYFUNCTION("""COMPUTED_VALUE"""),44514.4236614236)</f>
        <v>44514.42366</v>
      </c>
      <c r="D8648" s="15">
        <f>IFERROR(__xludf.DUMMYFUNCTION("""COMPUTED_VALUE"""),1.105)</f>
        <v>1.105</v>
      </c>
      <c r="E8648" s="16">
        <f>IFERROR(__xludf.DUMMYFUNCTION("""COMPUTED_VALUE"""),66.0)</f>
        <v>66</v>
      </c>
      <c r="F8648" s="19" t="str">
        <f>IFERROR(__xludf.DUMMYFUNCTION("""COMPUTED_VALUE"""),"BLACK")</f>
        <v>BLACK</v>
      </c>
      <c r="G8648" s="20" t="str">
        <f>IFERROR(__xludf.DUMMYFUNCTION("""COMPUTED_VALUE"""),"Uncle Sams Cider (11/12/2021) 02")</f>
        <v>Uncle Sams Cider (11/12/2021) 02</v>
      </c>
      <c r="H8648" s="19"/>
    </row>
    <row r="8649">
      <c r="A8649" s="9"/>
      <c r="B8649" s="15"/>
      <c r="C8649" s="9">
        <f>IFERROR(__xludf.DUMMYFUNCTION("""COMPUTED_VALUE"""),44514.4132301967)</f>
        <v>44514.41323</v>
      </c>
      <c r="D8649" s="15">
        <f>IFERROR(__xludf.DUMMYFUNCTION("""COMPUTED_VALUE"""),1.104)</f>
        <v>1.104</v>
      </c>
      <c r="E8649" s="16">
        <f>IFERROR(__xludf.DUMMYFUNCTION("""COMPUTED_VALUE"""),66.0)</f>
        <v>66</v>
      </c>
      <c r="F8649" s="19" t="str">
        <f>IFERROR(__xludf.DUMMYFUNCTION("""COMPUTED_VALUE"""),"BLACK")</f>
        <v>BLACK</v>
      </c>
      <c r="G8649" s="20" t="str">
        <f>IFERROR(__xludf.DUMMYFUNCTION("""COMPUTED_VALUE"""),"Uncle Sams Cider (11/12/2021) 02")</f>
        <v>Uncle Sams Cider (11/12/2021) 02</v>
      </c>
      <c r="H8649" s="19"/>
    </row>
    <row r="8650">
      <c r="A8650" s="9"/>
      <c r="B8650" s="15"/>
      <c r="C8650" s="9">
        <f>IFERROR(__xludf.DUMMYFUNCTION("""COMPUTED_VALUE"""),44514.4028095833)</f>
        <v>44514.40281</v>
      </c>
      <c r="D8650" s="15">
        <f>IFERROR(__xludf.DUMMYFUNCTION("""COMPUTED_VALUE"""),1.105)</f>
        <v>1.105</v>
      </c>
      <c r="E8650" s="16">
        <f>IFERROR(__xludf.DUMMYFUNCTION("""COMPUTED_VALUE"""),66.0)</f>
        <v>66</v>
      </c>
      <c r="F8650" s="19" t="str">
        <f>IFERROR(__xludf.DUMMYFUNCTION("""COMPUTED_VALUE"""),"BLACK")</f>
        <v>BLACK</v>
      </c>
      <c r="G8650" s="20" t="str">
        <f>IFERROR(__xludf.DUMMYFUNCTION("""COMPUTED_VALUE"""),"Uncle Sams Cider (11/12/2021) 02")</f>
        <v>Uncle Sams Cider (11/12/2021) 02</v>
      </c>
      <c r="H8650" s="19"/>
    </row>
    <row r="8651">
      <c r="A8651" s="9"/>
      <c r="B8651" s="15"/>
      <c r="C8651" s="9">
        <f>IFERROR(__xludf.DUMMYFUNCTION("""COMPUTED_VALUE"""),44514.3923873726)</f>
        <v>44514.39239</v>
      </c>
      <c r="D8651" s="15">
        <f>IFERROR(__xludf.DUMMYFUNCTION("""COMPUTED_VALUE"""),1.105)</f>
        <v>1.105</v>
      </c>
      <c r="E8651" s="16">
        <f>IFERROR(__xludf.DUMMYFUNCTION("""COMPUTED_VALUE"""),66.0)</f>
        <v>66</v>
      </c>
      <c r="F8651" s="19" t="str">
        <f>IFERROR(__xludf.DUMMYFUNCTION("""COMPUTED_VALUE"""),"BLACK")</f>
        <v>BLACK</v>
      </c>
      <c r="G8651" s="20" t="str">
        <f>IFERROR(__xludf.DUMMYFUNCTION("""COMPUTED_VALUE"""),"Uncle Sams Cider (11/12/2021) 02")</f>
        <v>Uncle Sams Cider (11/12/2021) 02</v>
      </c>
      <c r="H8651" s="19"/>
    </row>
    <row r="8652">
      <c r="A8652" s="9"/>
      <c r="B8652" s="15"/>
      <c r="C8652" s="9">
        <f>IFERROR(__xludf.DUMMYFUNCTION("""COMPUTED_VALUE"""),44514.3819665972)</f>
        <v>44514.38197</v>
      </c>
      <c r="D8652" s="15">
        <f>IFERROR(__xludf.DUMMYFUNCTION("""COMPUTED_VALUE"""),1.105)</f>
        <v>1.105</v>
      </c>
      <c r="E8652" s="16">
        <f>IFERROR(__xludf.DUMMYFUNCTION("""COMPUTED_VALUE"""),66.0)</f>
        <v>66</v>
      </c>
      <c r="F8652" s="19" t="str">
        <f>IFERROR(__xludf.DUMMYFUNCTION("""COMPUTED_VALUE"""),"BLACK")</f>
        <v>BLACK</v>
      </c>
      <c r="G8652" s="20" t="str">
        <f>IFERROR(__xludf.DUMMYFUNCTION("""COMPUTED_VALUE"""),"Uncle Sams Cider (11/12/2021) 02")</f>
        <v>Uncle Sams Cider (11/12/2021) 02</v>
      </c>
      <c r="H8652" s="19"/>
    </row>
    <row r="8653">
      <c r="A8653" s="9"/>
      <c r="B8653" s="15"/>
      <c r="C8653" s="9">
        <f>IFERROR(__xludf.DUMMYFUNCTION("""COMPUTED_VALUE"""),44514.3715445023)</f>
        <v>44514.37154</v>
      </c>
      <c r="D8653" s="15">
        <f>IFERROR(__xludf.DUMMYFUNCTION("""COMPUTED_VALUE"""),1.105)</f>
        <v>1.105</v>
      </c>
      <c r="E8653" s="16">
        <f>IFERROR(__xludf.DUMMYFUNCTION("""COMPUTED_VALUE"""),66.0)</f>
        <v>66</v>
      </c>
      <c r="F8653" s="19" t="str">
        <f>IFERROR(__xludf.DUMMYFUNCTION("""COMPUTED_VALUE"""),"BLACK")</f>
        <v>BLACK</v>
      </c>
      <c r="G8653" s="20" t="str">
        <f>IFERROR(__xludf.DUMMYFUNCTION("""COMPUTED_VALUE"""),"Uncle Sams Cider (11/12/2021) 02")</f>
        <v>Uncle Sams Cider (11/12/2021) 02</v>
      </c>
      <c r="H8653" s="19"/>
    </row>
    <row r="8654">
      <c r="A8654" s="9"/>
      <c r="B8654" s="15"/>
      <c r="C8654" s="9">
        <f>IFERROR(__xludf.DUMMYFUNCTION("""COMPUTED_VALUE"""),44514.3611244907)</f>
        <v>44514.36112</v>
      </c>
      <c r="D8654" s="15">
        <f>IFERROR(__xludf.DUMMYFUNCTION("""COMPUTED_VALUE"""),1.106)</f>
        <v>1.106</v>
      </c>
      <c r="E8654" s="16">
        <f>IFERROR(__xludf.DUMMYFUNCTION("""COMPUTED_VALUE"""),66.0)</f>
        <v>66</v>
      </c>
      <c r="F8654" s="19" t="str">
        <f>IFERROR(__xludf.DUMMYFUNCTION("""COMPUTED_VALUE"""),"BLACK")</f>
        <v>BLACK</v>
      </c>
      <c r="G8654" s="20" t="str">
        <f>IFERROR(__xludf.DUMMYFUNCTION("""COMPUTED_VALUE"""),"Uncle Sams Cider (11/12/2021) 02")</f>
        <v>Uncle Sams Cider (11/12/2021) 02</v>
      </c>
      <c r="H8654" s="19"/>
    </row>
    <row r="8655">
      <c r="A8655" s="9"/>
      <c r="B8655" s="15"/>
      <c r="C8655" s="9">
        <f>IFERROR(__xludf.DUMMYFUNCTION("""COMPUTED_VALUE"""),44514.350703912)</f>
        <v>44514.3507</v>
      </c>
      <c r="D8655" s="15">
        <f>IFERROR(__xludf.DUMMYFUNCTION("""COMPUTED_VALUE"""),1.105)</f>
        <v>1.105</v>
      </c>
      <c r="E8655" s="16">
        <f>IFERROR(__xludf.DUMMYFUNCTION("""COMPUTED_VALUE"""),66.0)</f>
        <v>66</v>
      </c>
      <c r="F8655" s="19" t="str">
        <f>IFERROR(__xludf.DUMMYFUNCTION("""COMPUTED_VALUE"""),"BLACK")</f>
        <v>BLACK</v>
      </c>
      <c r="G8655" s="20" t="str">
        <f>IFERROR(__xludf.DUMMYFUNCTION("""COMPUTED_VALUE"""),"Uncle Sams Cider (11/12/2021) 02")</f>
        <v>Uncle Sams Cider (11/12/2021) 02</v>
      </c>
      <c r="H8655" s="19"/>
    </row>
    <row r="8656">
      <c r="A8656" s="9"/>
      <c r="B8656" s="15"/>
      <c r="C8656" s="9">
        <f>IFERROR(__xludf.DUMMYFUNCTION("""COMPUTED_VALUE"""),44514.3402834953)</f>
        <v>44514.34028</v>
      </c>
      <c r="D8656" s="15">
        <f>IFERROR(__xludf.DUMMYFUNCTION("""COMPUTED_VALUE"""),1.105)</f>
        <v>1.105</v>
      </c>
      <c r="E8656" s="16">
        <f>IFERROR(__xludf.DUMMYFUNCTION("""COMPUTED_VALUE"""),66.0)</f>
        <v>66</v>
      </c>
      <c r="F8656" s="19" t="str">
        <f>IFERROR(__xludf.DUMMYFUNCTION("""COMPUTED_VALUE"""),"BLACK")</f>
        <v>BLACK</v>
      </c>
      <c r="G8656" s="20" t="str">
        <f>IFERROR(__xludf.DUMMYFUNCTION("""COMPUTED_VALUE"""),"Uncle Sams Cider (11/12/2021) 02")</f>
        <v>Uncle Sams Cider (11/12/2021) 02</v>
      </c>
      <c r="H8656" s="19"/>
    </row>
    <row r="8657">
      <c r="A8657" s="9"/>
      <c r="B8657" s="15"/>
      <c r="C8657" s="9">
        <f>IFERROR(__xludf.DUMMYFUNCTION("""COMPUTED_VALUE"""),44514.3298628587)</f>
        <v>44514.32986</v>
      </c>
      <c r="D8657" s="15">
        <f>IFERROR(__xludf.DUMMYFUNCTION("""COMPUTED_VALUE"""),1.105)</f>
        <v>1.105</v>
      </c>
      <c r="E8657" s="16">
        <f>IFERROR(__xludf.DUMMYFUNCTION("""COMPUTED_VALUE"""),66.0)</f>
        <v>66</v>
      </c>
      <c r="F8657" s="19" t="str">
        <f>IFERROR(__xludf.DUMMYFUNCTION("""COMPUTED_VALUE"""),"BLACK")</f>
        <v>BLACK</v>
      </c>
      <c r="G8657" s="20" t="str">
        <f>IFERROR(__xludf.DUMMYFUNCTION("""COMPUTED_VALUE"""),"Uncle Sams Cider (11/12/2021) 02")</f>
        <v>Uncle Sams Cider (11/12/2021) 02</v>
      </c>
      <c r="H8657" s="19"/>
    </row>
    <row r="8658">
      <c r="A8658" s="9"/>
      <c r="B8658" s="15"/>
      <c r="C8658" s="9">
        <f>IFERROR(__xludf.DUMMYFUNCTION("""COMPUTED_VALUE"""),44514.319443206)</f>
        <v>44514.31944</v>
      </c>
      <c r="D8658" s="15">
        <f>IFERROR(__xludf.DUMMYFUNCTION("""COMPUTED_VALUE"""),1.104)</f>
        <v>1.104</v>
      </c>
      <c r="E8658" s="16">
        <f>IFERROR(__xludf.DUMMYFUNCTION("""COMPUTED_VALUE"""),66.0)</f>
        <v>66</v>
      </c>
      <c r="F8658" s="19" t="str">
        <f>IFERROR(__xludf.DUMMYFUNCTION("""COMPUTED_VALUE"""),"BLACK")</f>
        <v>BLACK</v>
      </c>
      <c r="G8658" s="20" t="str">
        <f>IFERROR(__xludf.DUMMYFUNCTION("""COMPUTED_VALUE"""),"Uncle Sams Cider (11/12/2021) 02")</f>
        <v>Uncle Sams Cider (11/12/2021) 02</v>
      </c>
      <c r="H8658" s="19"/>
    </row>
    <row r="8659">
      <c r="A8659" s="9"/>
      <c r="B8659" s="15"/>
      <c r="C8659" s="9">
        <f>IFERROR(__xludf.DUMMYFUNCTION("""COMPUTED_VALUE"""),44514.3090210416)</f>
        <v>44514.30902</v>
      </c>
      <c r="D8659" s="15">
        <f>IFERROR(__xludf.DUMMYFUNCTION("""COMPUTED_VALUE"""),1.105)</f>
        <v>1.105</v>
      </c>
      <c r="E8659" s="16">
        <f>IFERROR(__xludf.DUMMYFUNCTION("""COMPUTED_VALUE"""),66.0)</f>
        <v>66</v>
      </c>
      <c r="F8659" s="19" t="str">
        <f>IFERROR(__xludf.DUMMYFUNCTION("""COMPUTED_VALUE"""),"BLACK")</f>
        <v>BLACK</v>
      </c>
      <c r="G8659" s="20" t="str">
        <f>IFERROR(__xludf.DUMMYFUNCTION("""COMPUTED_VALUE"""),"Uncle Sams Cider (11/12/2021) 02")</f>
        <v>Uncle Sams Cider (11/12/2021) 02</v>
      </c>
      <c r="H8659" s="19"/>
    </row>
    <row r="8660">
      <c r="A8660" s="9"/>
      <c r="B8660" s="15"/>
      <c r="C8660" s="9">
        <f>IFERROR(__xludf.DUMMYFUNCTION("""COMPUTED_VALUE"""),44514.298599537)</f>
        <v>44514.2986</v>
      </c>
      <c r="D8660" s="15">
        <f>IFERROR(__xludf.DUMMYFUNCTION("""COMPUTED_VALUE"""),1.105)</f>
        <v>1.105</v>
      </c>
      <c r="E8660" s="16">
        <f>IFERROR(__xludf.DUMMYFUNCTION("""COMPUTED_VALUE"""),66.0)</f>
        <v>66</v>
      </c>
      <c r="F8660" s="19" t="str">
        <f>IFERROR(__xludf.DUMMYFUNCTION("""COMPUTED_VALUE"""),"BLACK")</f>
        <v>BLACK</v>
      </c>
      <c r="G8660" s="20" t="str">
        <f>IFERROR(__xludf.DUMMYFUNCTION("""COMPUTED_VALUE"""),"Uncle Sams Cider (11/12/2021) 02")</f>
        <v>Uncle Sams Cider (11/12/2021) 02</v>
      </c>
      <c r="H8660" s="19"/>
    </row>
    <row r="8661">
      <c r="A8661" s="9"/>
      <c r="B8661" s="15"/>
      <c r="C8661" s="9">
        <f>IFERROR(__xludf.DUMMYFUNCTION("""COMPUTED_VALUE"""),44514.2881780324)</f>
        <v>44514.28818</v>
      </c>
      <c r="D8661" s="15">
        <f>IFERROR(__xludf.DUMMYFUNCTION("""COMPUTED_VALUE"""),1.104)</f>
        <v>1.104</v>
      </c>
      <c r="E8661" s="16">
        <f>IFERROR(__xludf.DUMMYFUNCTION("""COMPUTED_VALUE"""),66.0)</f>
        <v>66</v>
      </c>
      <c r="F8661" s="19" t="str">
        <f>IFERROR(__xludf.DUMMYFUNCTION("""COMPUTED_VALUE"""),"BLACK")</f>
        <v>BLACK</v>
      </c>
      <c r="G8661" s="20" t="str">
        <f>IFERROR(__xludf.DUMMYFUNCTION("""COMPUTED_VALUE"""),"Uncle Sams Cider (11/12/2021) 02")</f>
        <v>Uncle Sams Cider (11/12/2021) 02</v>
      </c>
      <c r="H8661" s="19"/>
    </row>
    <row r="8662">
      <c r="A8662" s="9"/>
      <c r="B8662" s="15"/>
      <c r="C8662" s="9">
        <f>IFERROR(__xludf.DUMMYFUNCTION("""COMPUTED_VALUE"""),44514.2777453935)</f>
        <v>44514.27775</v>
      </c>
      <c r="D8662" s="15">
        <f>IFERROR(__xludf.DUMMYFUNCTION("""COMPUTED_VALUE"""),1.105)</f>
        <v>1.105</v>
      </c>
      <c r="E8662" s="16">
        <f>IFERROR(__xludf.DUMMYFUNCTION("""COMPUTED_VALUE"""),66.0)</f>
        <v>66</v>
      </c>
      <c r="F8662" s="19" t="str">
        <f>IFERROR(__xludf.DUMMYFUNCTION("""COMPUTED_VALUE"""),"BLACK")</f>
        <v>BLACK</v>
      </c>
      <c r="G8662" s="20" t="str">
        <f>IFERROR(__xludf.DUMMYFUNCTION("""COMPUTED_VALUE"""),"Uncle Sams Cider (11/12/2021) 02")</f>
        <v>Uncle Sams Cider (11/12/2021) 02</v>
      </c>
      <c r="H8662" s="19"/>
    </row>
    <row r="8663">
      <c r="A8663" s="9"/>
      <c r="B8663" s="15"/>
      <c r="C8663" s="9">
        <f>IFERROR(__xludf.DUMMYFUNCTION("""COMPUTED_VALUE"""),44514.2673223726)</f>
        <v>44514.26732</v>
      </c>
      <c r="D8663" s="15">
        <f>IFERROR(__xludf.DUMMYFUNCTION("""COMPUTED_VALUE"""),1.105)</f>
        <v>1.105</v>
      </c>
      <c r="E8663" s="16">
        <f>IFERROR(__xludf.DUMMYFUNCTION("""COMPUTED_VALUE"""),66.0)</f>
        <v>66</v>
      </c>
      <c r="F8663" s="19" t="str">
        <f>IFERROR(__xludf.DUMMYFUNCTION("""COMPUTED_VALUE"""),"BLACK")</f>
        <v>BLACK</v>
      </c>
      <c r="G8663" s="20" t="str">
        <f>IFERROR(__xludf.DUMMYFUNCTION("""COMPUTED_VALUE"""),"Uncle Sams Cider (11/12/2021) 02")</f>
        <v>Uncle Sams Cider (11/12/2021) 02</v>
      </c>
      <c r="H8663" s="19"/>
    </row>
    <row r="8664">
      <c r="A8664" s="9"/>
      <c r="B8664" s="15"/>
      <c r="C8664" s="9">
        <f>IFERROR(__xludf.DUMMYFUNCTION("""COMPUTED_VALUE"""),44514.2568677199)</f>
        <v>44514.25687</v>
      </c>
      <c r="D8664" s="15">
        <f>IFERROR(__xludf.DUMMYFUNCTION("""COMPUTED_VALUE"""),1.105)</f>
        <v>1.105</v>
      </c>
      <c r="E8664" s="16">
        <f>IFERROR(__xludf.DUMMYFUNCTION("""COMPUTED_VALUE"""),65.0)</f>
        <v>65</v>
      </c>
      <c r="F8664" s="19" t="str">
        <f>IFERROR(__xludf.DUMMYFUNCTION("""COMPUTED_VALUE"""),"BLACK")</f>
        <v>BLACK</v>
      </c>
      <c r="G8664" s="20" t="str">
        <f>IFERROR(__xludf.DUMMYFUNCTION("""COMPUTED_VALUE"""),"Uncle Sams Cider (11/12/2021) 02")</f>
        <v>Uncle Sams Cider (11/12/2021) 02</v>
      </c>
      <c r="H8664" s="19"/>
    </row>
    <row r="8665">
      <c r="A8665" s="9"/>
      <c r="B8665" s="15"/>
      <c r="C8665" s="9">
        <f>IFERROR(__xludf.DUMMYFUNCTION("""COMPUTED_VALUE"""),44514.2464462152)</f>
        <v>44514.24645</v>
      </c>
      <c r="D8665" s="15">
        <f>IFERROR(__xludf.DUMMYFUNCTION("""COMPUTED_VALUE"""),1.105)</f>
        <v>1.105</v>
      </c>
      <c r="E8665" s="16">
        <f>IFERROR(__xludf.DUMMYFUNCTION("""COMPUTED_VALUE"""),66.0)</f>
        <v>66</v>
      </c>
      <c r="F8665" s="19" t="str">
        <f>IFERROR(__xludf.DUMMYFUNCTION("""COMPUTED_VALUE"""),"BLACK")</f>
        <v>BLACK</v>
      </c>
      <c r="G8665" s="20" t="str">
        <f>IFERROR(__xludf.DUMMYFUNCTION("""COMPUTED_VALUE"""),"Uncle Sams Cider (11/12/2021) 02")</f>
        <v>Uncle Sams Cider (11/12/2021) 02</v>
      </c>
      <c r="H8665" s="19"/>
    </row>
    <row r="8666">
      <c r="A8666" s="9"/>
      <c r="B8666" s="15"/>
      <c r="C8666" s="9">
        <f>IFERROR(__xludf.DUMMYFUNCTION("""COMPUTED_VALUE"""),44514.2360259374)</f>
        <v>44514.23603</v>
      </c>
      <c r="D8666" s="15">
        <f>IFERROR(__xludf.DUMMYFUNCTION("""COMPUTED_VALUE"""),1.105)</f>
        <v>1.105</v>
      </c>
      <c r="E8666" s="16">
        <f>IFERROR(__xludf.DUMMYFUNCTION("""COMPUTED_VALUE"""),65.0)</f>
        <v>65</v>
      </c>
      <c r="F8666" s="19" t="str">
        <f>IFERROR(__xludf.DUMMYFUNCTION("""COMPUTED_VALUE"""),"BLACK")</f>
        <v>BLACK</v>
      </c>
      <c r="G8666" s="20" t="str">
        <f>IFERROR(__xludf.DUMMYFUNCTION("""COMPUTED_VALUE"""),"Uncle Sams Cider (11/12/2021) 02")</f>
        <v>Uncle Sams Cider (11/12/2021) 02</v>
      </c>
      <c r="H8666" s="19"/>
    </row>
    <row r="8667">
      <c r="A8667" s="9"/>
      <c r="B8667" s="15"/>
      <c r="C8667" s="9">
        <f>IFERROR(__xludf.DUMMYFUNCTION("""COMPUTED_VALUE"""),44514.2256042939)</f>
        <v>44514.2256</v>
      </c>
      <c r="D8667" s="15">
        <f>IFERROR(__xludf.DUMMYFUNCTION("""COMPUTED_VALUE"""),1.105)</f>
        <v>1.105</v>
      </c>
      <c r="E8667" s="16">
        <f>IFERROR(__xludf.DUMMYFUNCTION("""COMPUTED_VALUE"""),65.0)</f>
        <v>65</v>
      </c>
      <c r="F8667" s="19" t="str">
        <f>IFERROR(__xludf.DUMMYFUNCTION("""COMPUTED_VALUE"""),"BLACK")</f>
        <v>BLACK</v>
      </c>
      <c r="G8667" s="20" t="str">
        <f>IFERROR(__xludf.DUMMYFUNCTION("""COMPUTED_VALUE"""),"Uncle Sams Cider (11/12/2021) 02")</f>
        <v>Uncle Sams Cider (11/12/2021) 02</v>
      </c>
      <c r="H8667" s="19"/>
    </row>
    <row r="8668">
      <c r="A8668" s="9"/>
      <c r="B8668" s="15"/>
      <c r="C8668" s="9">
        <f>IFERROR(__xludf.DUMMYFUNCTION("""COMPUTED_VALUE"""),44514.2151610763)</f>
        <v>44514.21516</v>
      </c>
      <c r="D8668" s="15">
        <f>IFERROR(__xludf.DUMMYFUNCTION("""COMPUTED_VALUE"""),1.106)</f>
        <v>1.106</v>
      </c>
      <c r="E8668" s="16">
        <f>IFERROR(__xludf.DUMMYFUNCTION("""COMPUTED_VALUE"""),65.0)</f>
        <v>65</v>
      </c>
      <c r="F8668" s="19" t="str">
        <f>IFERROR(__xludf.DUMMYFUNCTION("""COMPUTED_VALUE"""),"BLACK")</f>
        <v>BLACK</v>
      </c>
      <c r="G8668" s="20" t="str">
        <f>IFERROR(__xludf.DUMMYFUNCTION("""COMPUTED_VALUE"""),"Uncle Sams Cider (11/12/2021) 02")</f>
        <v>Uncle Sams Cider (11/12/2021) 02</v>
      </c>
      <c r="H8668" s="19"/>
    </row>
    <row r="8669">
      <c r="A8669" s="9"/>
      <c r="B8669" s="15"/>
      <c r="C8669" s="9">
        <f>IFERROR(__xludf.DUMMYFUNCTION("""COMPUTED_VALUE"""),44514.2047403819)</f>
        <v>44514.20474</v>
      </c>
      <c r="D8669" s="15">
        <f>IFERROR(__xludf.DUMMYFUNCTION("""COMPUTED_VALUE"""),1.106)</f>
        <v>1.106</v>
      </c>
      <c r="E8669" s="16">
        <f>IFERROR(__xludf.DUMMYFUNCTION("""COMPUTED_VALUE"""),65.0)</f>
        <v>65</v>
      </c>
      <c r="F8669" s="19" t="str">
        <f>IFERROR(__xludf.DUMMYFUNCTION("""COMPUTED_VALUE"""),"BLACK")</f>
        <v>BLACK</v>
      </c>
      <c r="G8669" s="20" t="str">
        <f>IFERROR(__xludf.DUMMYFUNCTION("""COMPUTED_VALUE"""),"Uncle Sams Cider (11/12/2021) 02")</f>
        <v>Uncle Sams Cider (11/12/2021) 02</v>
      </c>
      <c r="H8669" s="19"/>
    </row>
    <row r="8670">
      <c r="A8670" s="9"/>
      <c r="B8670" s="15"/>
      <c r="C8670" s="9">
        <f>IFERROR(__xludf.DUMMYFUNCTION("""COMPUTED_VALUE"""),44514.1943189814)</f>
        <v>44514.19432</v>
      </c>
      <c r="D8670" s="15">
        <f>IFERROR(__xludf.DUMMYFUNCTION("""COMPUTED_VALUE"""),1.106)</f>
        <v>1.106</v>
      </c>
      <c r="E8670" s="16">
        <f>IFERROR(__xludf.DUMMYFUNCTION("""COMPUTED_VALUE"""),65.0)</f>
        <v>65</v>
      </c>
      <c r="F8670" s="19" t="str">
        <f>IFERROR(__xludf.DUMMYFUNCTION("""COMPUTED_VALUE"""),"BLACK")</f>
        <v>BLACK</v>
      </c>
      <c r="G8670" s="20" t="str">
        <f>IFERROR(__xludf.DUMMYFUNCTION("""COMPUTED_VALUE"""),"Uncle Sams Cider (11/12/2021) 02")</f>
        <v>Uncle Sams Cider (11/12/2021) 02</v>
      </c>
      <c r="H8670" s="19"/>
    </row>
    <row r="8671">
      <c r="A8671" s="9"/>
      <c r="B8671" s="15"/>
      <c r="C8671" s="9">
        <f>IFERROR(__xludf.DUMMYFUNCTION("""COMPUTED_VALUE"""),44514.18375853)</f>
        <v>44514.18376</v>
      </c>
      <c r="D8671" s="15">
        <f>IFERROR(__xludf.DUMMYFUNCTION("""COMPUTED_VALUE"""),1.106)</f>
        <v>1.106</v>
      </c>
      <c r="E8671" s="16">
        <f>IFERROR(__xludf.DUMMYFUNCTION("""COMPUTED_VALUE"""),65.0)</f>
        <v>65</v>
      </c>
      <c r="F8671" s="19" t="str">
        <f>IFERROR(__xludf.DUMMYFUNCTION("""COMPUTED_VALUE"""),"BLACK")</f>
        <v>BLACK</v>
      </c>
      <c r="G8671" s="20" t="str">
        <f>IFERROR(__xludf.DUMMYFUNCTION("""COMPUTED_VALUE"""),"Uncle Sams Cider (11/12/2021) 02")</f>
        <v>Uncle Sams Cider (11/12/2021) 02</v>
      </c>
      <c r="H8671" s="19"/>
    </row>
    <row r="8672">
      <c r="A8672" s="9"/>
      <c r="B8672" s="15"/>
      <c r="C8672" s="9">
        <f>IFERROR(__xludf.DUMMYFUNCTION("""COMPUTED_VALUE"""),44514.1732900694)</f>
        <v>44514.17329</v>
      </c>
      <c r="D8672" s="15">
        <f>IFERROR(__xludf.DUMMYFUNCTION("""COMPUTED_VALUE"""),1.106)</f>
        <v>1.106</v>
      </c>
      <c r="E8672" s="16">
        <f>IFERROR(__xludf.DUMMYFUNCTION("""COMPUTED_VALUE"""),65.0)</f>
        <v>65</v>
      </c>
      <c r="F8672" s="19" t="str">
        <f>IFERROR(__xludf.DUMMYFUNCTION("""COMPUTED_VALUE"""),"BLACK")</f>
        <v>BLACK</v>
      </c>
      <c r="G8672" s="20" t="str">
        <f>IFERROR(__xludf.DUMMYFUNCTION("""COMPUTED_VALUE"""),"Uncle Sams Cider (11/12/2021) 02")</f>
        <v>Uncle Sams Cider (11/12/2021) 02</v>
      </c>
      <c r="H8672" s="19"/>
    </row>
    <row r="8673">
      <c r="A8673" s="9"/>
      <c r="B8673" s="15"/>
      <c r="C8673" s="9">
        <f>IFERROR(__xludf.DUMMYFUNCTION("""COMPUTED_VALUE"""),44514.1628569444)</f>
        <v>44514.16286</v>
      </c>
      <c r="D8673" s="15">
        <f>IFERROR(__xludf.DUMMYFUNCTION("""COMPUTED_VALUE"""),1.106)</f>
        <v>1.106</v>
      </c>
      <c r="E8673" s="16">
        <f>IFERROR(__xludf.DUMMYFUNCTION("""COMPUTED_VALUE"""),65.0)</f>
        <v>65</v>
      </c>
      <c r="F8673" s="19" t="str">
        <f>IFERROR(__xludf.DUMMYFUNCTION("""COMPUTED_VALUE"""),"BLACK")</f>
        <v>BLACK</v>
      </c>
      <c r="G8673" s="20" t="str">
        <f>IFERROR(__xludf.DUMMYFUNCTION("""COMPUTED_VALUE"""),"Uncle Sams Cider (11/12/2021) 02")</f>
        <v>Uncle Sams Cider (11/12/2021) 02</v>
      </c>
      <c r="H8673" s="19"/>
    </row>
    <row r="8674">
      <c r="A8674" s="9"/>
      <c r="B8674" s="15"/>
      <c r="C8674" s="9">
        <f>IFERROR(__xludf.DUMMYFUNCTION("""COMPUTED_VALUE"""),44514.1524358796)</f>
        <v>44514.15244</v>
      </c>
      <c r="D8674" s="15">
        <f>IFERROR(__xludf.DUMMYFUNCTION("""COMPUTED_VALUE"""),1.106)</f>
        <v>1.106</v>
      </c>
      <c r="E8674" s="16">
        <f>IFERROR(__xludf.DUMMYFUNCTION("""COMPUTED_VALUE"""),65.0)</f>
        <v>65</v>
      </c>
      <c r="F8674" s="19" t="str">
        <f>IFERROR(__xludf.DUMMYFUNCTION("""COMPUTED_VALUE"""),"BLACK")</f>
        <v>BLACK</v>
      </c>
      <c r="G8674" s="20" t="str">
        <f>IFERROR(__xludf.DUMMYFUNCTION("""COMPUTED_VALUE"""),"Uncle Sams Cider (11/12/2021) 02")</f>
        <v>Uncle Sams Cider (11/12/2021) 02</v>
      </c>
      <c r="H8674" s="19"/>
    </row>
    <row r="8675">
      <c r="A8675" s="9"/>
      <c r="B8675" s="15"/>
      <c r="C8675" s="9">
        <f>IFERROR(__xludf.DUMMYFUNCTION("""COMPUTED_VALUE"""),44514.1420148726)</f>
        <v>44514.14201</v>
      </c>
      <c r="D8675" s="15">
        <f>IFERROR(__xludf.DUMMYFUNCTION("""COMPUTED_VALUE"""),1.106)</f>
        <v>1.106</v>
      </c>
      <c r="E8675" s="16">
        <f>IFERROR(__xludf.DUMMYFUNCTION("""COMPUTED_VALUE"""),65.0)</f>
        <v>65</v>
      </c>
      <c r="F8675" s="19" t="str">
        <f>IFERROR(__xludf.DUMMYFUNCTION("""COMPUTED_VALUE"""),"BLACK")</f>
        <v>BLACK</v>
      </c>
      <c r="G8675" s="20" t="str">
        <f>IFERROR(__xludf.DUMMYFUNCTION("""COMPUTED_VALUE"""),"Uncle Sams Cider (11/12/2021) 02")</f>
        <v>Uncle Sams Cider (11/12/2021) 02</v>
      </c>
      <c r="H8675" s="19"/>
    </row>
    <row r="8676">
      <c r="A8676" s="9"/>
      <c r="B8676" s="15"/>
      <c r="C8676" s="9">
        <f>IFERROR(__xludf.DUMMYFUNCTION("""COMPUTED_VALUE"""),44514.1315938773)</f>
        <v>44514.13159</v>
      </c>
      <c r="D8676" s="15">
        <f>IFERROR(__xludf.DUMMYFUNCTION("""COMPUTED_VALUE"""),1.106)</f>
        <v>1.106</v>
      </c>
      <c r="E8676" s="16">
        <f>IFERROR(__xludf.DUMMYFUNCTION("""COMPUTED_VALUE"""),65.0)</f>
        <v>65</v>
      </c>
      <c r="F8676" s="19" t="str">
        <f>IFERROR(__xludf.DUMMYFUNCTION("""COMPUTED_VALUE"""),"BLACK")</f>
        <v>BLACK</v>
      </c>
      <c r="G8676" s="20" t="str">
        <f>IFERROR(__xludf.DUMMYFUNCTION("""COMPUTED_VALUE"""),"Uncle Sams Cider (11/12/2021) 02")</f>
        <v>Uncle Sams Cider (11/12/2021) 02</v>
      </c>
      <c r="H8676" s="19"/>
    </row>
    <row r="8677">
      <c r="A8677" s="9"/>
      <c r="B8677" s="15"/>
      <c r="C8677" s="9">
        <f>IFERROR(__xludf.DUMMYFUNCTION("""COMPUTED_VALUE"""),44514.1211733217)</f>
        <v>44514.12117</v>
      </c>
      <c r="D8677" s="15">
        <f>IFERROR(__xludf.DUMMYFUNCTION("""COMPUTED_VALUE"""),1.106)</f>
        <v>1.106</v>
      </c>
      <c r="E8677" s="16">
        <f>IFERROR(__xludf.DUMMYFUNCTION("""COMPUTED_VALUE"""),65.0)</f>
        <v>65</v>
      </c>
      <c r="F8677" s="19" t="str">
        <f>IFERROR(__xludf.DUMMYFUNCTION("""COMPUTED_VALUE"""),"BLACK")</f>
        <v>BLACK</v>
      </c>
      <c r="G8677" s="20" t="str">
        <f>IFERROR(__xludf.DUMMYFUNCTION("""COMPUTED_VALUE"""),"Uncle Sams Cider (11/12/2021) 02")</f>
        <v>Uncle Sams Cider (11/12/2021) 02</v>
      </c>
      <c r="H8677" s="19"/>
    </row>
    <row r="8678">
      <c r="A8678" s="9"/>
      <c r="B8678" s="15"/>
      <c r="C8678" s="9">
        <f>IFERROR(__xludf.DUMMYFUNCTION("""COMPUTED_VALUE"""),44514.1107515277)</f>
        <v>44514.11075</v>
      </c>
      <c r="D8678" s="15">
        <f>IFERROR(__xludf.DUMMYFUNCTION("""COMPUTED_VALUE"""),1.106)</f>
        <v>1.106</v>
      </c>
      <c r="E8678" s="16">
        <f>IFERROR(__xludf.DUMMYFUNCTION("""COMPUTED_VALUE"""),65.0)</f>
        <v>65</v>
      </c>
      <c r="F8678" s="19" t="str">
        <f>IFERROR(__xludf.DUMMYFUNCTION("""COMPUTED_VALUE"""),"BLACK")</f>
        <v>BLACK</v>
      </c>
      <c r="G8678" s="20" t="str">
        <f>IFERROR(__xludf.DUMMYFUNCTION("""COMPUTED_VALUE"""),"Uncle Sams Cider (11/12/2021) 02")</f>
        <v>Uncle Sams Cider (11/12/2021) 02</v>
      </c>
      <c r="H8678" s="19"/>
    </row>
    <row r="8679">
      <c r="A8679" s="9"/>
      <c r="B8679" s="15"/>
      <c r="C8679" s="9">
        <f>IFERROR(__xludf.DUMMYFUNCTION("""COMPUTED_VALUE"""),44514.1003183796)</f>
        <v>44514.10032</v>
      </c>
      <c r="D8679" s="15">
        <f>IFERROR(__xludf.DUMMYFUNCTION("""COMPUTED_VALUE"""),1.106)</f>
        <v>1.106</v>
      </c>
      <c r="E8679" s="16">
        <f>IFERROR(__xludf.DUMMYFUNCTION("""COMPUTED_VALUE"""),65.0)</f>
        <v>65</v>
      </c>
      <c r="F8679" s="19" t="str">
        <f>IFERROR(__xludf.DUMMYFUNCTION("""COMPUTED_VALUE"""),"BLACK")</f>
        <v>BLACK</v>
      </c>
      <c r="G8679" s="20" t="str">
        <f>IFERROR(__xludf.DUMMYFUNCTION("""COMPUTED_VALUE"""),"Uncle Sams Cider (11/12/2021) 02")</f>
        <v>Uncle Sams Cider (11/12/2021) 02</v>
      </c>
      <c r="H8679" s="19"/>
    </row>
    <row r="8680">
      <c r="A8680" s="9"/>
      <c r="B8680" s="15"/>
      <c r="C8680" s="9">
        <f>IFERROR(__xludf.DUMMYFUNCTION("""COMPUTED_VALUE"""),44514.0898956828)</f>
        <v>44514.0899</v>
      </c>
      <c r="D8680" s="15">
        <f>IFERROR(__xludf.DUMMYFUNCTION("""COMPUTED_VALUE"""),1.107)</f>
        <v>1.107</v>
      </c>
      <c r="E8680" s="16">
        <f>IFERROR(__xludf.DUMMYFUNCTION("""COMPUTED_VALUE"""),65.0)</f>
        <v>65</v>
      </c>
      <c r="F8680" s="19" t="str">
        <f>IFERROR(__xludf.DUMMYFUNCTION("""COMPUTED_VALUE"""),"BLACK")</f>
        <v>BLACK</v>
      </c>
      <c r="G8680" s="20" t="str">
        <f>IFERROR(__xludf.DUMMYFUNCTION("""COMPUTED_VALUE"""),"Uncle Sams Cider (11/12/2021) 02")</f>
        <v>Uncle Sams Cider (11/12/2021) 02</v>
      </c>
      <c r="H8680" s="19"/>
    </row>
    <row r="8681">
      <c r="A8681" s="9"/>
      <c r="B8681" s="15"/>
      <c r="C8681" s="9">
        <f>IFERROR(__xludf.DUMMYFUNCTION("""COMPUTED_VALUE"""),44514.0794739814)</f>
        <v>44514.07947</v>
      </c>
      <c r="D8681" s="15">
        <f>IFERROR(__xludf.DUMMYFUNCTION("""COMPUTED_VALUE"""),1.107)</f>
        <v>1.107</v>
      </c>
      <c r="E8681" s="16">
        <f>IFERROR(__xludf.DUMMYFUNCTION("""COMPUTED_VALUE"""),65.0)</f>
        <v>65</v>
      </c>
      <c r="F8681" s="19" t="str">
        <f>IFERROR(__xludf.DUMMYFUNCTION("""COMPUTED_VALUE"""),"BLACK")</f>
        <v>BLACK</v>
      </c>
      <c r="G8681" s="20" t="str">
        <f>IFERROR(__xludf.DUMMYFUNCTION("""COMPUTED_VALUE"""),"Uncle Sams Cider (11/12/2021) 02")</f>
        <v>Uncle Sams Cider (11/12/2021) 02</v>
      </c>
      <c r="H8681" s="19"/>
    </row>
    <row r="8682">
      <c r="A8682" s="9"/>
      <c r="B8682" s="15"/>
      <c r="C8682" s="9">
        <f>IFERROR(__xludf.DUMMYFUNCTION("""COMPUTED_VALUE"""),44514.0690521064)</f>
        <v>44514.06905</v>
      </c>
      <c r="D8682" s="15">
        <f>IFERROR(__xludf.DUMMYFUNCTION("""COMPUTED_VALUE"""),1.107)</f>
        <v>1.107</v>
      </c>
      <c r="E8682" s="16">
        <f>IFERROR(__xludf.DUMMYFUNCTION("""COMPUTED_VALUE"""),65.0)</f>
        <v>65</v>
      </c>
      <c r="F8682" s="19" t="str">
        <f>IFERROR(__xludf.DUMMYFUNCTION("""COMPUTED_VALUE"""),"BLACK")</f>
        <v>BLACK</v>
      </c>
      <c r="G8682" s="20" t="str">
        <f>IFERROR(__xludf.DUMMYFUNCTION("""COMPUTED_VALUE"""),"Uncle Sams Cider (11/12/2021) 02")</f>
        <v>Uncle Sams Cider (11/12/2021) 02</v>
      </c>
      <c r="H8682" s="19"/>
    </row>
    <row r="8683">
      <c r="A8683" s="9"/>
      <c r="B8683" s="15"/>
      <c r="C8683" s="9">
        <f>IFERROR(__xludf.DUMMYFUNCTION("""COMPUTED_VALUE"""),44514.0586210995)</f>
        <v>44514.05862</v>
      </c>
      <c r="D8683" s="15">
        <f>IFERROR(__xludf.DUMMYFUNCTION("""COMPUTED_VALUE"""),1.107)</f>
        <v>1.107</v>
      </c>
      <c r="E8683" s="16">
        <f>IFERROR(__xludf.DUMMYFUNCTION("""COMPUTED_VALUE"""),65.0)</f>
        <v>65</v>
      </c>
      <c r="F8683" s="19" t="str">
        <f>IFERROR(__xludf.DUMMYFUNCTION("""COMPUTED_VALUE"""),"BLACK")</f>
        <v>BLACK</v>
      </c>
      <c r="G8683" s="20" t="str">
        <f>IFERROR(__xludf.DUMMYFUNCTION("""COMPUTED_VALUE"""),"Uncle Sams Cider (11/12/2021) 02")</f>
        <v>Uncle Sams Cider (11/12/2021) 02</v>
      </c>
      <c r="H8683" s="19"/>
    </row>
    <row r="8684">
      <c r="A8684" s="9"/>
      <c r="B8684" s="15"/>
      <c r="C8684" s="9">
        <f>IFERROR(__xludf.DUMMYFUNCTION("""COMPUTED_VALUE"""),44514.0481661805)</f>
        <v>44514.04817</v>
      </c>
      <c r="D8684" s="15">
        <f>IFERROR(__xludf.DUMMYFUNCTION("""COMPUTED_VALUE"""),1.107)</f>
        <v>1.107</v>
      </c>
      <c r="E8684" s="16">
        <f>IFERROR(__xludf.DUMMYFUNCTION("""COMPUTED_VALUE"""),65.0)</f>
        <v>65</v>
      </c>
      <c r="F8684" s="19" t="str">
        <f>IFERROR(__xludf.DUMMYFUNCTION("""COMPUTED_VALUE"""),"BLACK")</f>
        <v>BLACK</v>
      </c>
      <c r="G8684" s="20" t="str">
        <f>IFERROR(__xludf.DUMMYFUNCTION("""COMPUTED_VALUE"""),"Uncle Sams Cider (11/12/2021) 02")</f>
        <v>Uncle Sams Cider (11/12/2021) 02</v>
      </c>
      <c r="H8684" s="19"/>
    </row>
    <row r="8685">
      <c r="A8685" s="9"/>
      <c r="B8685" s="15"/>
      <c r="C8685" s="9">
        <f>IFERROR(__xludf.DUMMYFUNCTION("""COMPUTED_VALUE"""),44514.0377428009)</f>
        <v>44514.03774</v>
      </c>
      <c r="D8685" s="15">
        <f>IFERROR(__xludf.DUMMYFUNCTION("""COMPUTED_VALUE"""),1.108)</f>
        <v>1.108</v>
      </c>
      <c r="E8685" s="16">
        <f>IFERROR(__xludf.DUMMYFUNCTION("""COMPUTED_VALUE"""),65.0)</f>
        <v>65</v>
      </c>
      <c r="F8685" s="19" t="str">
        <f>IFERROR(__xludf.DUMMYFUNCTION("""COMPUTED_VALUE"""),"BLACK")</f>
        <v>BLACK</v>
      </c>
      <c r="G8685" s="20" t="str">
        <f>IFERROR(__xludf.DUMMYFUNCTION("""COMPUTED_VALUE"""),"Uncle Sams Cider (11/12/2021) 02")</f>
        <v>Uncle Sams Cider (11/12/2021) 02</v>
      </c>
      <c r="H8685" s="19"/>
    </row>
    <row r="8686">
      <c r="A8686" s="9"/>
      <c r="B8686" s="15"/>
      <c r="C8686" s="9">
        <f>IFERROR(__xludf.DUMMYFUNCTION("""COMPUTED_VALUE"""),44514.0273088425)</f>
        <v>44514.02731</v>
      </c>
      <c r="D8686" s="15">
        <f>IFERROR(__xludf.DUMMYFUNCTION("""COMPUTED_VALUE"""),1.108)</f>
        <v>1.108</v>
      </c>
      <c r="E8686" s="16">
        <f>IFERROR(__xludf.DUMMYFUNCTION("""COMPUTED_VALUE"""),65.0)</f>
        <v>65</v>
      </c>
      <c r="F8686" s="19" t="str">
        <f>IFERROR(__xludf.DUMMYFUNCTION("""COMPUTED_VALUE"""),"BLACK")</f>
        <v>BLACK</v>
      </c>
      <c r="G8686" s="20" t="str">
        <f>IFERROR(__xludf.DUMMYFUNCTION("""COMPUTED_VALUE"""),"Uncle Sams Cider (11/12/2021) 02")</f>
        <v>Uncle Sams Cider (11/12/2021) 02</v>
      </c>
      <c r="H8686" s="19"/>
    </row>
    <row r="8687">
      <c r="A8687" s="9"/>
      <c r="B8687" s="15"/>
      <c r="C8687" s="9">
        <f>IFERROR(__xludf.DUMMYFUNCTION("""COMPUTED_VALUE"""),44514.0168770138)</f>
        <v>44514.01688</v>
      </c>
      <c r="D8687" s="15">
        <f>IFERROR(__xludf.DUMMYFUNCTION("""COMPUTED_VALUE"""),1.108)</f>
        <v>1.108</v>
      </c>
      <c r="E8687" s="16">
        <f>IFERROR(__xludf.DUMMYFUNCTION("""COMPUTED_VALUE"""),65.0)</f>
        <v>65</v>
      </c>
      <c r="F8687" s="19" t="str">
        <f>IFERROR(__xludf.DUMMYFUNCTION("""COMPUTED_VALUE"""),"BLACK")</f>
        <v>BLACK</v>
      </c>
      <c r="G8687" s="20" t="str">
        <f>IFERROR(__xludf.DUMMYFUNCTION("""COMPUTED_VALUE"""),"Uncle Sams Cider (11/12/2021) 02")</f>
        <v>Uncle Sams Cider (11/12/2021) 02</v>
      </c>
      <c r="H8687" s="19"/>
    </row>
    <row r="8688">
      <c r="A8688" s="9"/>
      <c r="B8688" s="15"/>
      <c r="C8688" s="9">
        <f>IFERROR(__xludf.DUMMYFUNCTION("""COMPUTED_VALUE"""),44514.0064435763)</f>
        <v>44514.00644</v>
      </c>
      <c r="D8688" s="15">
        <f>IFERROR(__xludf.DUMMYFUNCTION("""COMPUTED_VALUE"""),1.108)</f>
        <v>1.108</v>
      </c>
      <c r="E8688" s="16">
        <f>IFERROR(__xludf.DUMMYFUNCTION("""COMPUTED_VALUE"""),65.0)</f>
        <v>65</v>
      </c>
      <c r="F8688" s="19" t="str">
        <f>IFERROR(__xludf.DUMMYFUNCTION("""COMPUTED_VALUE"""),"BLACK")</f>
        <v>BLACK</v>
      </c>
      <c r="G8688" s="20" t="str">
        <f>IFERROR(__xludf.DUMMYFUNCTION("""COMPUTED_VALUE"""),"Uncle Sams Cider (11/12/2021) 02")</f>
        <v>Uncle Sams Cider (11/12/2021) 02</v>
      </c>
      <c r="H8688" s="19"/>
    </row>
    <row r="8689">
      <c r="A8689" s="9"/>
      <c r="B8689" s="15"/>
      <c r="C8689" s="9">
        <f>IFERROR(__xludf.DUMMYFUNCTION("""COMPUTED_VALUE"""),44513.9960223958)</f>
        <v>44513.99602</v>
      </c>
      <c r="D8689" s="15">
        <f>IFERROR(__xludf.DUMMYFUNCTION("""COMPUTED_VALUE"""),1.108)</f>
        <v>1.108</v>
      </c>
      <c r="E8689" s="16">
        <f>IFERROR(__xludf.DUMMYFUNCTION("""COMPUTED_VALUE"""),65.0)</f>
        <v>65</v>
      </c>
      <c r="F8689" s="19" t="str">
        <f>IFERROR(__xludf.DUMMYFUNCTION("""COMPUTED_VALUE"""),"BLACK")</f>
        <v>BLACK</v>
      </c>
      <c r="G8689" s="20" t="str">
        <f>IFERROR(__xludf.DUMMYFUNCTION("""COMPUTED_VALUE"""),"Uncle Sams Cider (11/12/2021) 02")</f>
        <v>Uncle Sams Cider (11/12/2021) 02</v>
      </c>
      <c r="H8689" s="19"/>
    </row>
    <row r="8690">
      <c r="A8690" s="9"/>
      <c r="B8690" s="15"/>
      <c r="C8690" s="9">
        <f>IFERROR(__xludf.DUMMYFUNCTION("""COMPUTED_VALUE"""),44513.9856018518)</f>
        <v>44513.9856</v>
      </c>
      <c r="D8690" s="15">
        <f>IFERROR(__xludf.DUMMYFUNCTION("""COMPUTED_VALUE"""),1.108)</f>
        <v>1.108</v>
      </c>
      <c r="E8690" s="16">
        <f>IFERROR(__xludf.DUMMYFUNCTION("""COMPUTED_VALUE"""),65.0)</f>
        <v>65</v>
      </c>
      <c r="F8690" s="19" t="str">
        <f>IFERROR(__xludf.DUMMYFUNCTION("""COMPUTED_VALUE"""),"BLACK")</f>
        <v>BLACK</v>
      </c>
      <c r="G8690" s="20" t="str">
        <f>IFERROR(__xludf.DUMMYFUNCTION("""COMPUTED_VALUE"""),"Uncle Sams Cider (11/12/2021) 02")</f>
        <v>Uncle Sams Cider (11/12/2021) 02</v>
      </c>
      <c r="H8690" s="19"/>
    </row>
    <row r="8691">
      <c r="A8691" s="9"/>
      <c r="B8691" s="15"/>
      <c r="C8691" s="9">
        <f>IFERROR(__xludf.DUMMYFUNCTION("""COMPUTED_VALUE"""),44513.9751580324)</f>
        <v>44513.97516</v>
      </c>
      <c r="D8691" s="15">
        <f>IFERROR(__xludf.DUMMYFUNCTION("""COMPUTED_VALUE"""),1.109)</f>
        <v>1.109</v>
      </c>
      <c r="E8691" s="16">
        <f>IFERROR(__xludf.DUMMYFUNCTION("""COMPUTED_VALUE"""),65.0)</f>
        <v>65</v>
      </c>
      <c r="F8691" s="19" t="str">
        <f>IFERROR(__xludf.DUMMYFUNCTION("""COMPUTED_VALUE"""),"BLACK")</f>
        <v>BLACK</v>
      </c>
      <c r="G8691" s="20" t="str">
        <f>IFERROR(__xludf.DUMMYFUNCTION("""COMPUTED_VALUE"""),"Uncle Sams Cider (11/12/2021) 02")</f>
        <v>Uncle Sams Cider (11/12/2021) 02</v>
      </c>
      <c r="H8691" s="19"/>
    </row>
    <row r="8692">
      <c r="A8692" s="9"/>
      <c r="B8692" s="15"/>
      <c r="C8692" s="9">
        <f>IFERROR(__xludf.DUMMYFUNCTION("""COMPUTED_VALUE"""),44513.964736574)</f>
        <v>44513.96474</v>
      </c>
      <c r="D8692" s="15">
        <f>IFERROR(__xludf.DUMMYFUNCTION("""COMPUTED_VALUE"""),1.109)</f>
        <v>1.109</v>
      </c>
      <c r="E8692" s="16">
        <f>IFERROR(__xludf.DUMMYFUNCTION("""COMPUTED_VALUE"""),65.0)</f>
        <v>65</v>
      </c>
      <c r="F8692" s="19" t="str">
        <f>IFERROR(__xludf.DUMMYFUNCTION("""COMPUTED_VALUE"""),"BLACK")</f>
        <v>BLACK</v>
      </c>
      <c r="G8692" s="20" t="str">
        <f>IFERROR(__xludf.DUMMYFUNCTION("""COMPUTED_VALUE"""),"Uncle Sams Cider (11/12/2021) 02")</f>
        <v>Uncle Sams Cider (11/12/2021) 02</v>
      </c>
      <c r="H8692" s="19"/>
    </row>
    <row r="8693">
      <c r="A8693" s="9"/>
      <c r="B8693" s="15"/>
      <c r="C8693" s="9">
        <f>IFERROR(__xludf.DUMMYFUNCTION("""COMPUTED_VALUE"""),44513.9543153125)</f>
        <v>44513.95432</v>
      </c>
      <c r="D8693" s="15">
        <f>IFERROR(__xludf.DUMMYFUNCTION("""COMPUTED_VALUE"""),1.11)</f>
        <v>1.11</v>
      </c>
      <c r="E8693" s="16">
        <f>IFERROR(__xludf.DUMMYFUNCTION("""COMPUTED_VALUE"""),65.0)</f>
        <v>65</v>
      </c>
      <c r="F8693" s="19" t="str">
        <f>IFERROR(__xludf.DUMMYFUNCTION("""COMPUTED_VALUE"""),"BLACK")</f>
        <v>BLACK</v>
      </c>
      <c r="G8693" s="20" t="str">
        <f>IFERROR(__xludf.DUMMYFUNCTION("""COMPUTED_VALUE"""),"Uncle Sams Cider (11/12/2021) 02")</f>
        <v>Uncle Sams Cider (11/12/2021) 02</v>
      </c>
      <c r="H8693" s="19"/>
    </row>
    <row r="8694">
      <c r="A8694" s="9"/>
      <c r="B8694" s="15"/>
      <c r="C8694" s="9">
        <f>IFERROR(__xludf.DUMMYFUNCTION("""COMPUTED_VALUE"""),44513.9438846064)</f>
        <v>44513.94388</v>
      </c>
      <c r="D8694" s="15">
        <f>IFERROR(__xludf.DUMMYFUNCTION("""COMPUTED_VALUE"""),1.111)</f>
        <v>1.111</v>
      </c>
      <c r="E8694" s="16">
        <f>IFERROR(__xludf.DUMMYFUNCTION("""COMPUTED_VALUE"""),65.0)</f>
        <v>65</v>
      </c>
      <c r="F8694" s="19" t="str">
        <f>IFERROR(__xludf.DUMMYFUNCTION("""COMPUTED_VALUE"""),"BLACK")</f>
        <v>BLACK</v>
      </c>
      <c r="G8694" s="20" t="str">
        <f>IFERROR(__xludf.DUMMYFUNCTION("""COMPUTED_VALUE"""),"Uncle Sams Cider (11/12/2021) 02")</f>
        <v>Uncle Sams Cider (11/12/2021) 02</v>
      </c>
      <c r="H8694" s="19"/>
    </row>
    <row r="8695">
      <c r="A8695" s="9"/>
      <c r="B8695" s="15"/>
      <c r="C8695" s="9">
        <f>IFERROR(__xludf.DUMMYFUNCTION("""COMPUTED_VALUE"""),44513.9334628935)</f>
        <v>44513.93346</v>
      </c>
      <c r="D8695" s="15">
        <f>IFERROR(__xludf.DUMMYFUNCTION("""COMPUTED_VALUE"""),1.111)</f>
        <v>1.111</v>
      </c>
      <c r="E8695" s="16">
        <f>IFERROR(__xludf.DUMMYFUNCTION("""COMPUTED_VALUE"""),65.0)</f>
        <v>65</v>
      </c>
      <c r="F8695" s="19" t="str">
        <f>IFERROR(__xludf.DUMMYFUNCTION("""COMPUTED_VALUE"""),"BLACK")</f>
        <v>BLACK</v>
      </c>
      <c r="G8695" s="20" t="str">
        <f>IFERROR(__xludf.DUMMYFUNCTION("""COMPUTED_VALUE"""),"Uncle Sams Cider (11/12/2021) 02")</f>
        <v>Uncle Sams Cider (11/12/2021) 02</v>
      </c>
      <c r="H8695" s="19"/>
    </row>
    <row r="8696">
      <c r="A8696" s="9"/>
      <c r="B8696" s="15"/>
      <c r="C8696" s="9">
        <f>IFERROR(__xludf.DUMMYFUNCTION("""COMPUTED_VALUE"""),44513.9230403587)</f>
        <v>44513.92304</v>
      </c>
      <c r="D8696" s="15">
        <f>IFERROR(__xludf.DUMMYFUNCTION("""COMPUTED_VALUE"""),1.111)</f>
        <v>1.111</v>
      </c>
      <c r="E8696" s="16">
        <f>IFERROR(__xludf.DUMMYFUNCTION("""COMPUTED_VALUE"""),65.0)</f>
        <v>65</v>
      </c>
      <c r="F8696" s="19" t="str">
        <f>IFERROR(__xludf.DUMMYFUNCTION("""COMPUTED_VALUE"""),"BLACK")</f>
        <v>BLACK</v>
      </c>
      <c r="G8696" s="20" t="str">
        <f>IFERROR(__xludf.DUMMYFUNCTION("""COMPUTED_VALUE"""),"Uncle Sams Cider (11/12/2021) 02")</f>
        <v>Uncle Sams Cider (11/12/2021) 02</v>
      </c>
      <c r="H8696" s="19"/>
    </row>
    <row r="8697">
      <c r="A8697" s="9"/>
      <c r="B8697" s="15"/>
      <c r="C8697" s="9">
        <f>IFERROR(__xludf.DUMMYFUNCTION("""COMPUTED_VALUE"""),44513.9126198032)</f>
        <v>44513.91262</v>
      </c>
      <c r="D8697" s="15">
        <f>IFERROR(__xludf.DUMMYFUNCTION("""COMPUTED_VALUE"""),1.111)</f>
        <v>1.111</v>
      </c>
      <c r="E8697" s="16">
        <f>IFERROR(__xludf.DUMMYFUNCTION("""COMPUTED_VALUE"""),65.0)</f>
        <v>65</v>
      </c>
      <c r="F8697" s="19" t="str">
        <f>IFERROR(__xludf.DUMMYFUNCTION("""COMPUTED_VALUE"""),"BLACK")</f>
        <v>BLACK</v>
      </c>
      <c r="G8697" s="20" t="str">
        <f>IFERROR(__xludf.DUMMYFUNCTION("""COMPUTED_VALUE"""),"Uncle Sams Cider (11/12/2021) 02")</f>
        <v>Uncle Sams Cider (11/12/2021) 02</v>
      </c>
      <c r="H8697" s="19"/>
    </row>
    <row r="8698">
      <c r="A8698" s="9"/>
      <c r="B8698" s="15"/>
      <c r="C8698" s="9">
        <f>IFERROR(__xludf.DUMMYFUNCTION("""COMPUTED_VALUE"""),44513.902197824)</f>
        <v>44513.9022</v>
      </c>
      <c r="D8698" s="15">
        <f>IFERROR(__xludf.DUMMYFUNCTION("""COMPUTED_VALUE"""),1.111)</f>
        <v>1.111</v>
      </c>
      <c r="E8698" s="16">
        <f>IFERROR(__xludf.DUMMYFUNCTION("""COMPUTED_VALUE"""),64.0)</f>
        <v>64</v>
      </c>
      <c r="F8698" s="19" t="str">
        <f>IFERROR(__xludf.DUMMYFUNCTION("""COMPUTED_VALUE"""),"BLACK")</f>
        <v>BLACK</v>
      </c>
      <c r="G8698" s="20" t="str">
        <f>IFERROR(__xludf.DUMMYFUNCTION("""COMPUTED_VALUE"""),"Uncle Sams Cider (11/12/2021) 02")</f>
        <v>Uncle Sams Cider (11/12/2021) 02</v>
      </c>
      <c r="H8698" s="19"/>
    </row>
    <row r="8699">
      <c r="A8699" s="9"/>
      <c r="B8699" s="15"/>
      <c r="C8699" s="9">
        <f>IFERROR(__xludf.DUMMYFUNCTION("""COMPUTED_VALUE"""),44513.8917535532)</f>
        <v>44513.89175</v>
      </c>
      <c r="D8699" s="15">
        <f>IFERROR(__xludf.DUMMYFUNCTION("""COMPUTED_VALUE"""),1.112)</f>
        <v>1.112</v>
      </c>
      <c r="E8699" s="16">
        <f>IFERROR(__xludf.DUMMYFUNCTION("""COMPUTED_VALUE"""),64.0)</f>
        <v>64</v>
      </c>
      <c r="F8699" s="19" t="str">
        <f>IFERROR(__xludf.DUMMYFUNCTION("""COMPUTED_VALUE"""),"BLACK")</f>
        <v>BLACK</v>
      </c>
      <c r="G8699" s="20" t="str">
        <f>IFERROR(__xludf.DUMMYFUNCTION("""COMPUTED_VALUE"""),"Uncle Sams Cider (11/12/2021) 02")</f>
        <v>Uncle Sams Cider (11/12/2021) 02</v>
      </c>
      <c r="H8699" s="19"/>
    </row>
    <row r="8700">
      <c r="A8700" s="9"/>
      <c r="B8700" s="15"/>
      <c r="C8700" s="9">
        <f>IFERROR(__xludf.DUMMYFUNCTION("""COMPUTED_VALUE"""),44513.881334537)</f>
        <v>44513.88133</v>
      </c>
      <c r="D8700" s="15">
        <f>IFERROR(__xludf.DUMMYFUNCTION("""COMPUTED_VALUE"""),1.112)</f>
        <v>1.112</v>
      </c>
      <c r="E8700" s="16">
        <f>IFERROR(__xludf.DUMMYFUNCTION("""COMPUTED_VALUE"""),64.0)</f>
        <v>64</v>
      </c>
      <c r="F8700" s="19" t="str">
        <f>IFERROR(__xludf.DUMMYFUNCTION("""COMPUTED_VALUE"""),"BLACK")</f>
        <v>BLACK</v>
      </c>
      <c r="G8700" s="20" t="str">
        <f>IFERROR(__xludf.DUMMYFUNCTION("""COMPUTED_VALUE"""),"Uncle Sams Cider (11/12/2021) 02")</f>
        <v>Uncle Sams Cider (11/12/2021) 02</v>
      </c>
      <c r="H8700" s="19"/>
    </row>
    <row r="8701">
      <c r="A8701" s="9"/>
      <c r="B8701" s="15"/>
      <c r="C8701" s="9">
        <f>IFERROR(__xludf.DUMMYFUNCTION("""COMPUTED_VALUE"""),44513.8708990509)</f>
        <v>44513.8709</v>
      </c>
      <c r="D8701" s="15">
        <f>IFERROR(__xludf.DUMMYFUNCTION("""COMPUTED_VALUE"""),1.114)</f>
        <v>1.114</v>
      </c>
      <c r="E8701" s="16">
        <f>IFERROR(__xludf.DUMMYFUNCTION("""COMPUTED_VALUE"""),64.0)</f>
        <v>64</v>
      </c>
      <c r="F8701" s="19" t="str">
        <f>IFERROR(__xludf.DUMMYFUNCTION("""COMPUTED_VALUE"""),"BLACK")</f>
        <v>BLACK</v>
      </c>
      <c r="G8701" s="20" t="str">
        <f>IFERROR(__xludf.DUMMYFUNCTION("""COMPUTED_VALUE"""),"Uncle Sams Cider (11/12/2021) 02")</f>
        <v>Uncle Sams Cider (11/12/2021) 02</v>
      </c>
      <c r="H8701" s="19"/>
    </row>
    <row r="8702">
      <c r="A8702" s="9"/>
      <c r="B8702" s="15"/>
      <c r="C8702" s="9">
        <f>IFERROR(__xludf.DUMMYFUNCTION("""COMPUTED_VALUE"""),44513.8604782986)</f>
        <v>44513.86048</v>
      </c>
      <c r="D8702" s="15">
        <f>IFERROR(__xludf.DUMMYFUNCTION("""COMPUTED_VALUE"""),1.114)</f>
        <v>1.114</v>
      </c>
      <c r="E8702" s="16">
        <f>IFERROR(__xludf.DUMMYFUNCTION("""COMPUTED_VALUE"""),64.0)</f>
        <v>64</v>
      </c>
      <c r="F8702" s="19" t="str">
        <f>IFERROR(__xludf.DUMMYFUNCTION("""COMPUTED_VALUE"""),"BLACK")</f>
        <v>BLACK</v>
      </c>
      <c r="G8702" s="20" t="str">
        <f>IFERROR(__xludf.DUMMYFUNCTION("""COMPUTED_VALUE"""),"Uncle Sams Cider (11/12/2021) 02")</f>
        <v>Uncle Sams Cider (11/12/2021) 02</v>
      </c>
      <c r="H8702" s="19"/>
    </row>
    <row r="8703">
      <c r="A8703" s="9"/>
      <c r="B8703" s="15"/>
      <c r="C8703" s="9">
        <f>IFERROR(__xludf.DUMMYFUNCTION("""COMPUTED_VALUE"""),44513.8500568634)</f>
        <v>44513.85006</v>
      </c>
      <c r="D8703" s="15">
        <f>IFERROR(__xludf.DUMMYFUNCTION("""COMPUTED_VALUE"""),1.113)</f>
        <v>1.113</v>
      </c>
      <c r="E8703" s="16">
        <f>IFERROR(__xludf.DUMMYFUNCTION("""COMPUTED_VALUE"""),64.0)</f>
        <v>64</v>
      </c>
      <c r="F8703" s="19" t="str">
        <f>IFERROR(__xludf.DUMMYFUNCTION("""COMPUTED_VALUE"""),"BLACK")</f>
        <v>BLACK</v>
      </c>
      <c r="G8703" s="20" t="str">
        <f>IFERROR(__xludf.DUMMYFUNCTION("""COMPUTED_VALUE"""),"Uncle Sams Cider (11/12/2021) 02")</f>
        <v>Uncle Sams Cider (11/12/2021) 02</v>
      </c>
      <c r="H8703" s="19"/>
    </row>
    <row r="8704">
      <c r="A8704" s="9"/>
      <c r="B8704" s="15"/>
      <c r="C8704" s="9">
        <f>IFERROR(__xludf.DUMMYFUNCTION("""COMPUTED_VALUE"""),44513.8396356713)</f>
        <v>44513.83964</v>
      </c>
      <c r="D8704" s="15">
        <f>IFERROR(__xludf.DUMMYFUNCTION("""COMPUTED_VALUE"""),1.112)</f>
        <v>1.112</v>
      </c>
      <c r="E8704" s="16">
        <f>IFERROR(__xludf.DUMMYFUNCTION("""COMPUTED_VALUE"""),64.0)</f>
        <v>64</v>
      </c>
      <c r="F8704" s="19" t="str">
        <f>IFERROR(__xludf.DUMMYFUNCTION("""COMPUTED_VALUE"""),"BLACK")</f>
        <v>BLACK</v>
      </c>
      <c r="G8704" s="20" t="str">
        <f>IFERROR(__xludf.DUMMYFUNCTION("""COMPUTED_VALUE"""),"Uncle Sams Cider (11/12/2021) 02")</f>
        <v>Uncle Sams Cider (11/12/2021) 02</v>
      </c>
      <c r="H8704" s="19"/>
    </row>
    <row r="8705">
      <c r="A8705" s="9"/>
      <c r="B8705" s="15"/>
      <c r="C8705" s="9">
        <f>IFERROR(__xludf.DUMMYFUNCTION("""COMPUTED_VALUE"""),44513.8291465509)</f>
        <v>44513.82915</v>
      </c>
      <c r="D8705" s="15">
        <f>IFERROR(__xludf.DUMMYFUNCTION("""COMPUTED_VALUE"""),1.112)</f>
        <v>1.112</v>
      </c>
      <c r="E8705" s="16">
        <f>IFERROR(__xludf.DUMMYFUNCTION("""COMPUTED_VALUE"""),64.0)</f>
        <v>64</v>
      </c>
      <c r="F8705" s="19" t="str">
        <f>IFERROR(__xludf.DUMMYFUNCTION("""COMPUTED_VALUE"""),"BLACK")</f>
        <v>BLACK</v>
      </c>
      <c r="G8705" s="20" t="str">
        <f>IFERROR(__xludf.DUMMYFUNCTION("""COMPUTED_VALUE"""),"Uncle Sams Cider (11/12/2021) 02")</f>
        <v>Uncle Sams Cider (11/12/2021) 02</v>
      </c>
      <c r="H8705" s="19"/>
    </row>
    <row r="8706">
      <c r="A8706" s="9"/>
      <c r="B8706" s="15"/>
      <c r="C8706" s="9">
        <f>IFERROR(__xludf.DUMMYFUNCTION("""COMPUTED_VALUE"""),44513.8187244097)</f>
        <v>44513.81872</v>
      </c>
      <c r="D8706" s="15">
        <f>IFERROR(__xludf.DUMMYFUNCTION("""COMPUTED_VALUE"""),1.111)</f>
        <v>1.111</v>
      </c>
      <c r="E8706" s="16">
        <f>IFERROR(__xludf.DUMMYFUNCTION("""COMPUTED_VALUE"""),64.0)</f>
        <v>64</v>
      </c>
      <c r="F8706" s="19" t="str">
        <f>IFERROR(__xludf.DUMMYFUNCTION("""COMPUTED_VALUE"""),"BLACK")</f>
        <v>BLACK</v>
      </c>
      <c r="G8706" s="20" t="str">
        <f>IFERROR(__xludf.DUMMYFUNCTION("""COMPUTED_VALUE"""),"Uncle Sams Cider (11/12/2021) 02")</f>
        <v>Uncle Sams Cider (11/12/2021) 02</v>
      </c>
      <c r="H8706" s="19"/>
    </row>
    <row r="8707">
      <c r="A8707" s="9"/>
      <c r="B8707" s="15"/>
      <c r="C8707" s="9">
        <f>IFERROR(__xludf.DUMMYFUNCTION("""COMPUTED_VALUE"""),44513.8083030671)</f>
        <v>44513.8083</v>
      </c>
      <c r="D8707" s="15">
        <f>IFERROR(__xludf.DUMMYFUNCTION("""COMPUTED_VALUE"""),1.11)</f>
        <v>1.11</v>
      </c>
      <c r="E8707" s="16">
        <f>IFERROR(__xludf.DUMMYFUNCTION("""COMPUTED_VALUE"""),64.0)</f>
        <v>64</v>
      </c>
      <c r="F8707" s="19" t="str">
        <f>IFERROR(__xludf.DUMMYFUNCTION("""COMPUTED_VALUE"""),"BLACK")</f>
        <v>BLACK</v>
      </c>
      <c r="G8707" s="20" t="str">
        <f>IFERROR(__xludf.DUMMYFUNCTION("""COMPUTED_VALUE"""),"Uncle Sams Cider (11/12/2021) 02")</f>
        <v>Uncle Sams Cider (11/12/2021) 02</v>
      </c>
      <c r="H8707" s="19"/>
    </row>
    <row r="8708">
      <c r="A8708" s="9"/>
      <c r="B8708" s="15"/>
      <c r="C8708" s="9">
        <f>IFERROR(__xludf.DUMMYFUNCTION("""COMPUTED_VALUE"""),44513.7978813888)</f>
        <v>44513.79788</v>
      </c>
      <c r="D8708" s="15">
        <f>IFERROR(__xludf.DUMMYFUNCTION("""COMPUTED_VALUE"""),1.109)</f>
        <v>1.109</v>
      </c>
      <c r="E8708" s="16">
        <f>IFERROR(__xludf.DUMMYFUNCTION("""COMPUTED_VALUE"""),64.0)</f>
        <v>64</v>
      </c>
      <c r="F8708" s="19" t="str">
        <f>IFERROR(__xludf.DUMMYFUNCTION("""COMPUTED_VALUE"""),"BLACK")</f>
        <v>BLACK</v>
      </c>
      <c r="G8708" s="20" t="str">
        <f>IFERROR(__xludf.DUMMYFUNCTION("""COMPUTED_VALUE"""),"Uncle Sams Cider (11/12/2021) 02")</f>
        <v>Uncle Sams Cider (11/12/2021) 02</v>
      </c>
      <c r="H8708" s="19"/>
    </row>
    <row r="8709">
      <c r="A8709" s="9"/>
      <c r="B8709" s="15"/>
      <c r="C8709" s="9">
        <f>IFERROR(__xludf.DUMMYFUNCTION("""COMPUTED_VALUE"""),44513.7874615277)</f>
        <v>44513.78746</v>
      </c>
      <c r="D8709" s="15">
        <f>IFERROR(__xludf.DUMMYFUNCTION("""COMPUTED_VALUE"""),1.109)</f>
        <v>1.109</v>
      </c>
      <c r="E8709" s="16">
        <f>IFERROR(__xludf.DUMMYFUNCTION("""COMPUTED_VALUE"""),64.0)</f>
        <v>64</v>
      </c>
      <c r="F8709" s="19" t="str">
        <f>IFERROR(__xludf.DUMMYFUNCTION("""COMPUTED_VALUE"""),"BLACK")</f>
        <v>BLACK</v>
      </c>
      <c r="G8709" s="20" t="str">
        <f>IFERROR(__xludf.DUMMYFUNCTION("""COMPUTED_VALUE"""),"Uncle Sams Cider (11/12/2021) 02")</f>
        <v>Uncle Sams Cider (11/12/2021) 02</v>
      </c>
      <c r="H8709" s="19"/>
    </row>
    <row r="8710">
      <c r="A8710" s="9"/>
      <c r="B8710" s="15"/>
      <c r="C8710" s="9">
        <f>IFERROR(__xludf.DUMMYFUNCTION("""COMPUTED_VALUE"""),44513.7770413657)</f>
        <v>44513.77704</v>
      </c>
      <c r="D8710" s="15">
        <f>IFERROR(__xludf.DUMMYFUNCTION("""COMPUTED_VALUE"""),1.109)</f>
        <v>1.109</v>
      </c>
      <c r="E8710" s="16">
        <f>IFERROR(__xludf.DUMMYFUNCTION("""COMPUTED_VALUE"""),64.0)</f>
        <v>64</v>
      </c>
      <c r="F8710" s="19" t="str">
        <f>IFERROR(__xludf.DUMMYFUNCTION("""COMPUTED_VALUE"""),"BLACK")</f>
        <v>BLACK</v>
      </c>
      <c r="G8710" s="20" t="str">
        <f>IFERROR(__xludf.DUMMYFUNCTION("""COMPUTED_VALUE"""),"Uncle Sams Cider (11/12/2021) 02")</f>
        <v>Uncle Sams Cider (11/12/2021) 02</v>
      </c>
      <c r="H8710" s="19"/>
    </row>
    <row r="8711">
      <c r="A8711" s="9"/>
      <c r="B8711" s="15"/>
      <c r="C8711" s="9">
        <f>IFERROR(__xludf.DUMMYFUNCTION("""COMPUTED_VALUE"""),44513.7666100115)</f>
        <v>44513.76661</v>
      </c>
      <c r="D8711" s="15">
        <f>IFERROR(__xludf.DUMMYFUNCTION("""COMPUTED_VALUE"""),1.109)</f>
        <v>1.109</v>
      </c>
      <c r="E8711" s="16">
        <f>IFERROR(__xludf.DUMMYFUNCTION("""COMPUTED_VALUE"""),64.0)</f>
        <v>64</v>
      </c>
      <c r="F8711" s="19" t="str">
        <f>IFERROR(__xludf.DUMMYFUNCTION("""COMPUTED_VALUE"""),"BLACK")</f>
        <v>BLACK</v>
      </c>
      <c r="G8711" s="20" t="str">
        <f>IFERROR(__xludf.DUMMYFUNCTION("""COMPUTED_VALUE"""),"Uncle Sams Cider (11/12/2021) 02")</f>
        <v>Uncle Sams Cider (11/12/2021) 02</v>
      </c>
      <c r="H8711" s="19"/>
    </row>
    <row r="8712">
      <c r="A8712" s="9"/>
      <c r="B8712" s="15"/>
      <c r="C8712" s="9">
        <f>IFERROR(__xludf.DUMMYFUNCTION("""COMPUTED_VALUE"""),44513.7561880787)</f>
        <v>44513.75619</v>
      </c>
      <c r="D8712" s="15">
        <f>IFERROR(__xludf.DUMMYFUNCTION("""COMPUTED_VALUE"""),1.109)</f>
        <v>1.109</v>
      </c>
      <c r="E8712" s="16">
        <f>IFERROR(__xludf.DUMMYFUNCTION("""COMPUTED_VALUE"""),64.0)</f>
        <v>64</v>
      </c>
      <c r="F8712" s="19" t="str">
        <f>IFERROR(__xludf.DUMMYFUNCTION("""COMPUTED_VALUE"""),"BLACK")</f>
        <v>BLACK</v>
      </c>
      <c r="G8712" s="20" t="str">
        <f>IFERROR(__xludf.DUMMYFUNCTION("""COMPUTED_VALUE"""),"Uncle Sams Cider (11/12/2021) 02")</f>
        <v>Uncle Sams Cider (11/12/2021) 02</v>
      </c>
      <c r="H8712" s="19"/>
    </row>
    <row r="8713">
      <c r="A8713" s="9"/>
      <c r="B8713" s="15"/>
      <c r="C8713" s="9">
        <f>IFERROR(__xludf.DUMMYFUNCTION("""COMPUTED_VALUE"""),44513.74576603)</f>
        <v>44513.74577</v>
      </c>
      <c r="D8713" s="15">
        <f>IFERROR(__xludf.DUMMYFUNCTION("""COMPUTED_VALUE"""),1.109)</f>
        <v>1.109</v>
      </c>
      <c r="E8713" s="16">
        <f>IFERROR(__xludf.DUMMYFUNCTION("""COMPUTED_VALUE"""),64.0)</f>
        <v>64</v>
      </c>
      <c r="F8713" s="19" t="str">
        <f>IFERROR(__xludf.DUMMYFUNCTION("""COMPUTED_VALUE"""),"BLACK")</f>
        <v>BLACK</v>
      </c>
      <c r="G8713" s="20" t="str">
        <f>IFERROR(__xludf.DUMMYFUNCTION("""COMPUTED_VALUE"""),"Uncle Sams Cider (11/12/2021) 02")</f>
        <v>Uncle Sams Cider (11/12/2021) 02</v>
      </c>
      <c r="H8713" s="19"/>
    </row>
    <row r="8714">
      <c r="A8714" s="9"/>
      <c r="B8714" s="15"/>
      <c r="C8714" s="9">
        <f>IFERROR(__xludf.DUMMYFUNCTION("""COMPUTED_VALUE"""),44513.7353448842)</f>
        <v>44513.73534</v>
      </c>
      <c r="D8714" s="15">
        <f>IFERROR(__xludf.DUMMYFUNCTION("""COMPUTED_VALUE"""),1.109)</f>
        <v>1.109</v>
      </c>
      <c r="E8714" s="16">
        <f>IFERROR(__xludf.DUMMYFUNCTION("""COMPUTED_VALUE"""),64.0)</f>
        <v>64</v>
      </c>
      <c r="F8714" s="19" t="str">
        <f>IFERROR(__xludf.DUMMYFUNCTION("""COMPUTED_VALUE"""),"BLACK")</f>
        <v>BLACK</v>
      </c>
      <c r="G8714" s="20" t="str">
        <f>IFERROR(__xludf.DUMMYFUNCTION("""COMPUTED_VALUE"""),"Uncle Sams Cider (11/12/2021) 02")</f>
        <v>Uncle Sams Cider (11/12/2021) 02</v>
      </c>
      <c r="H8714" s="19"/>
    </row>
    <row r="8715">
      <c r="A8715" s="9"/>
      <c r="B8715" s="15"/>
      <c r="C8715" s="9">
        <f>IFERROR(__xludf.DUMMYFUNCTION("""COMPUTED_VALUE"""),44513.7249230208)</f>
        <v>44513.72492</v>
      </c>
      <c r="D8715" s="15">
        <f>IFERROR(__xludf.DUMMYFUNCTION("""COMPUTED_VALUE"""),1.109)</f>
        <v>1.109</v>
      </c>
      <c r="E8715" s="16">
        <f>IFERROR(__xludf.DUMMYFUNCTION("""COMPUTED_VALUE"""),64.0)</f>
        <v>64</v>
      </c>
      <c r="F8715" s="19" t="str">
        <f>IFERROR(__xludf.DUMMYFUNCTION("""COMPUTED_VALUE"""),"BLACK")</f>
        <v>BLACK</v>
      </c>
      <c r="G8715" s="20" t="str">
        <f>IFERROR(__xludf.DUMMYFUNCTION("""COMPUTED_VALUE"""),"Uncle Sams Cider (11/12/2021) 02")</f>
        <v>Uncle Sams Cider (11/12/2021) 02</v>
      </c>
      <c r="H8715" s="19"/>
    </row>
    <row r="8716">
      <c r="A8716" s="9"/>
      <c r="B8716" s="15"/>
      <c r="C8716" s="9">
        <f>IFERROR(__xludf.DUMMYFUNCTION("""COMPUTED_VALUE"""),44513.7145003125)</f>
        <v>44513.7145</v>
      </c>
      <c r="D8716" s="15">
        <f>IFERROR(__xludf.DUMMYFUNCTION("""COMPUTED_VALUE"""),1.109)</f>
        <v>1.109</v>
      </c>
      <c r="E8716" s="16">
        <f>IFERROR(__xludf.DUMMYFUNCTION("""COMPUTED_VALUE"""),64.0)</f>
        <v>64</v>
      </c>
      <c r="F8716" s="19" t="str">
        <f>IFERROR(__xludf.DUMMYFUNCTION("""COMPUTED_VALUE"""),"BLACK")</f>
        <v>BLACK</v>
      </c>
      <c r="G8716" s="20" t="str">
        <f>IFERROR(__xludf.DUMMYFUNCTION("""COMPUTED_VALUE"""),"Uncle Sams Cider (11/12/2021) 02")</f>
        <v>Uncle Sams Cider (11/12/2021) 02</v>
      </c>
      <c r="H8716" s="19"/>
    </row>
    <row r="8717">
      <c r="A8717" s="9"/>
      <c r="B8717" s="15"/>
      <c r="C8717" s="9">
        <f>IFERROR(__xludf.DUMMYFUNCTION("""COMPUTED_VALUE"""),44513.7040796643)</f>
        <v>44513.70408</v>
      </c>
      <c r="D8717" s="15">
        <f>IFERROR(__xludf.DUMMYFUNCTION("""COMPUTED_VALUE"""),1.109)</f>
        <v>1.109</v>
      </c>
      <c r="E8717" s="16">
        <f>IFERROR(__xludf.DUMMYFUNCTION("""COMPUTED_VALUE"""),64.0)</f>
        <v>64</v>
      </c>
      <c r="F8717" s="19" t="str">
        <f>IFERROR(__xludf.DUMMYFUNCTION("""COMPUTED_VALUE"""),"BLACK")</f>
        <v>BLACK</v>
      </c>
      <c r="G8717" s="20" t="str">
        <f>IFERROR(__xludf.DUMMYFUNCTION("""COMPUTED_VALUE"""),"Uncle Sams Cider (11/12/2021) 02")</f>
        <v>Uncle Sams Cider (11/12/2021) 02</v>
      </c>
      <c r="H8717" s="19"/>
    </row>
    <row r="8718">
      <c r="A8718" s="9"/>
      <c r="B8718" s="15"/>
      <c r="C8718" s="9">
        <f>IFERROR(__xludf.DUMMYFUNCTION("""COMPUTED_VALUE"""),44513.6936353587)</f>
        <v>44513.69364</v>
      </c>
      <c r="D8718" s="15">
        <f>IFERROR(__xludf.DUMMYFUNCTION("""COMPUTED_VALUE"""),1.109)</f>
        <v>1.109</v>
      </c>
      <c r="E8718" s="16">
        <f>IFERROR(__xludf.DUMMYFUNCTION("""COMPUTED_VALUE"""),64.0)</f>
        <v>64</v>
      </c>
      <c r="F8718" s="19" t="str">
        <f>IFERROR(__xludf.DUMMYFUNCTION("""COMPUTED_VALUE"""),"BLACK")</f>
        <v>BLACK</v>
      </c>
      <c r="G8718" s="20" t="str">
        <f>IFERROR(__xludf.DUMMYFUNCTION("""COMPUTED_VALUE"""),"Uncle Sams Cider (11/12/2021) 02")</f>
        <v>Uncle Sams Cider (11/12/2021) 02</v>
      </c>
      <c r="H8718" s="19"/>
    </row>
    <row r="8719">
      <c r="A8719" s="9"/>
      <c r="B8719" s="15"/>
      <c r="C8719" s="9">
        <f>IFERROR(__xludf.DUMMYFUNCTION("""COMPUTED_VALUE"""),44513.6832142129)</f>
        <v>44513.68321</v>
      </c>
      <c r="D8719" s="15">
        <f>IFERROR(__xludf.DUMMYFUNCTION("""COMPUTED_VALUE"""),1.109)</f>
        <v>1.109</v>
      </c>
      <c r="E8719" s="16">
        <f>IFERROR(__xludf.DUMMYFUNCTION("""COMPUTED_VALUE"""),64.0)</f>
        <v>64</v>
      </c>
      <c r="F8719" s="19" t="str">
        <f>IFERROR(__xludf.DUMMYFUNCTION("""COMPUTED_VALUE"""),"BLACK")</f>
        <v>BLACK</v>
      </c>
      <c r="G8719" s="20" t="str">
        <f>IFERROR(__xludf.DUMMYFUNCTION("""COMPUTED_VALUE"""),"Uncle Sams Cider (11/12/2021) 02")</f>
        <v>Uncle Sams Cider (11/12/2021) 02</v>
      </c>
      <c r="H8719" s="19"/>
    </row>
    <row r="8720">
      <c r="A8720" s="9"/>
      <c r="B8720" s="15"/>
      <c r="C8720" s="9">
        <f>IFERROR(__xludf.DUMMYFUNCTION("""COMPUTED_VALUE"""),44513.6727809143)</f>
        <v>44513.67278</v>
      </c>
      <c r="D8720" s="15">
        <f>IFERROR(__xludf.DUMMYFUNCTION("""COMPUTED_VALUE"""),1.109)</f>
        <v>1.109</v>
      </c>
      <c r="E8720" s="16">
        <f>IFERROR(__xludf.DUMMYFUNCTION("""COMPUTED_VALUE"""),64.0)</f>
        <v>64</v>
      </c>
      <c r="F8720" s="19" t="str">
        <f>IFERROR(__xludf.DUMMYFUNCTION("""COMPUTED_VALUE"""),"BLACK")</f>
        <v>BLACK</v>
      </c>
      <c r="G8720" s="20" t="str">
        <f>IFERROR(__xludf.DUMMYFUNCTION("""COMPUTED_VALUE"""),"Uncle Sams Cider (11/12/2021) 02")</f>
        <v>Uncle Sams Cider (11/12/2021) 02</v>
      </c>
      <c r="H8720" s="19"/>
    </row>
    <row r="8721">
      <c r="A8721" s="9"/>
      <c r="B8721" s="15"/>
      <c r="C8721" s="9">
        <f>IFERROR(__xludf.DUMMYFUNCTION("""COMPUTED_VALUE"""),44513.6623595717)</f>
        <v>44513.66236</v>
      </c>
      <c r="D8721" s="15">
        <f>IFERROR(__xludf.DUMMYFUNCTION("""COMPUTED_VALUE"""),1.109)</f>
        <v>1.109</v>
      </c>
      <c r="E8721" s="16">
        <f>IFERROR(__xludf.DUMMYFUNCTION("""COMPUTED_VALUE"""),64.0)</f>
        <v>64</v>
      </c>
      <c r="F8721" s="19" t="str">
        <f>IFERROR(__xludf.DUMMYFUNCTION("""COMPUTED_VALUE"""),"BLACK")</f>
        <v>BLACK</v>
      </c>
      <c r="G8721" s="20" t="str">
        <f>IFERROR(__xludf.DUMMYFUNCTION("""COMPUTED_VALUE"""),"Uncle Sams Cider (11/12/2021) 02")</f>
        <v>Uncle Sams Cider (11/12/2021) 02</v>
      </c>
      <c r="H8721" s="19"/>
    </row>
    <row r="8722">
      <c r="A8722" s="9"/>
      <c r="B8722" s="15"/>
      <c r="C8722" s="9">
        <f>IFERROR(__xludf.DUMMYFUNCTION("""COMPUTED_VALUE"""),44513.6519285532)</f>
        <v>44513.65193</v>
      </c>
      <c r="D8722" s="15">
        <f>IFERROR(__xludf.DUMMYFUNCTION("""COMPUTED_VALUE"""),1.109)</f>
        <v>1.109</v>
      </c>
      <c r="E8722" s="16">
        <f>IFERROR(__xludf.DUMMYFUNCTION("""COMPUTED_VALUE"""),64.0)</f>
        <v>64</v>
      </c>
      <c r="F8722" s="19" t="str">
        <f>IFERROR(__xludf.DUMMYFUNCTION("""COMPUTED_VALUE"""),"BLACK")</f>
        <v>BLACK</v>
      </c>
      <c r="G8722" s="20" t="str">
        <f>IFERROR(__xludf.DUMMYFUNCTION("""COMPUTED_VALUE"""),"Uncle Sams Cider (11/12/2021) 02")</f>
        <v>Uncle Sams Cider (11/12/2021) 02</v>
      </c>
      <c r="H8722" s="19"/>
    </row>
    <row r="8723">
      <c r="A8723" s="9"/>
      <c r="B8723" s="15"/>
      <c r="C8723" s="9">
        <f>IFERROR(__xludf.DUMMYFUNCTION("""COMPUTED_VALUE"""),44513.6415056134)</f>
        <v>44513.64151</v>
      </c>
      <c r="D8723" s="15">
        <f>IFERROR(__xludf.DUMMYFUNCTION("""COMPUTED_VALUE"""),1.109)</f>
        <v>1.109</v>
      </c>
      <c r="E8723" s="16">
        <f>IFERROR(__xludf.DUMMYFUNCTION("""COMPUTED_VALUE"""),64.0)</f>
        <v>64</v>
      </c>
      <c r="F8723" s="19" t="str">
        <f>IFERROR(__xludf.DUMMYFUNCTION("""COMPUTED_VALUE"""),"BLACK")</f>
        <v>BLACK</v>
      </c>
      <c r="G8723" s="20" t="str">
        <f>IFERROR(__xludf.DUMMYFUNCTION("""COMPUTED_VALUE"""),"Uncle Sams Cider (11/12/2021) 02")</f>
        <v>Uncle Sams Cider (11/12/2021) 02</v>
      </c>
      <c r="H8723" s="19"/>
    </row>
    <row r="8724">
      <c r="A8724" s="9"/>
      <c r="B8724" s="15"/>
      <c r="C8724" s="9">
        <f>IFERROR(__xludf.DUMMYFUNCTION("""COMPUTED_VALUE"""),44513.6310863078)</f>
        <v>44513.63109</v>
      </c>
      <c r="D8724" s="15">
        <f>IFERROR(__xludf.DUMMYFUNCTION("""COMPUTED_VALUE"""),1.109)</f>
        <v>1.109</v>
      </c>
      <c r="E8724" s="16">
        <f>IFERROR(__xludf.DUMMYFUNCTION("""COMPUTED_VALUE"""),64.0)</f>
        <v>64</v>
      </c>
      <c r="F8724" s="19" t="str">
        <f>IFERROR(__xludf.DUMMYFUNCTION("""COMPUTED_VALUE"""),"BLACK")</f>
        <v>BLACK</v>
      </c>
      <c r="G8724" s="20" t="str">
        <f>IFERROR(__xludf.DUMMYFUNCTION("""COMPUTED_VALUE"""),"Uncle Sams Cider (11/12/2021) 02")</f>
        <v>Uncle Sams Cider (11/12/2021) 02</v>
      </c>
      <c r="H8724" s="19"/>
    </row>
    <row r="8725">
      <c r="A8725" s="9"/>
      <c r="B8725" s="15"/>
      <c r="C8725" s="9">
        <f>IFERROR(__xludf.DUMMYFUNCTION("""COMPUTED_VALUE"""),44513.620666331)</f>
        <v>44513.62067</v>
      </c>
      <c r="D8725" s="15">
        <f>IFERROR(__xludf.DUMMYFUNCTION("""COMPUTED_VALUE"""),1.109)</f>
        <v>1.109</v>
      </c>
      <c r="E8725" s="16">
        <f>IFERROR(__xludf.DUMMYFUNCTION("""COMPUTED_VALUE"""),64.0)</f>
        <v>64</v>
      </c>
      <c r="F8725" s="19" t="str">
        <f>IFERROR(__xludf.DUMMYFUNCTION("""COMPUTED_VALUE"""),"BLACK")</f>
        <v>BLACK</v>
      </c>
      <c r="G8725" s="20" t="str">
        <f>IFERROR(__xludf.DUMMYFUNCTION("""COMPUTED_VALUE"""),"Uncle Sams Cider (11/12/2021) 02")</f>
        <v>Uncle Sams Cider (11/12/2021) 02</v>
      </c>
      <c r="H8725" s="19"/>
    </row>
    <row r="8726">
      <c r="A8726" s="9"/>
      <c r="B8726" s="15"/>
      <c r="C8726" s="9">
        <f>IFERROR(__xludf.DUMMYFUNCTION("""COMPUTED_VALUE"""),44513.6102345486)</f>
        <v>44513.61023</v>
      </c>
      <c r="D8726" s="15">
        <f>IFERROR(__xludf.DUMMYFUNCTION("""COMPUTED_VALUE"""),1.109)</f>
        <v>1.109</v>
      </c>
      <c r="E8726" s="16">
        <f>IFERROR(__xludf.DUMMYFUNCTION("""COMPUTED_VALUE"""),64.0)</f>
        <v>64</v>
      </c>
      <c r="F8726" s="19" t="str">
        <f>IFERROR(__xludf.DUMMYFUNCTION("""COMPUTED_VALUE"""),"BLACK")</f>
        <v>BLACK</v>
      </c>
      <c r="G8726" s="20" t="str">
        <f>IFERROR(__xludf.DUMMYFUNCTION("""COMPUTED_VALUE"""),"Uncle Sams Cider (11/12/2021) 02")</f>
        <v>Uncle Sams Cider (11/12/2021) 02</v>
      </c>
      <c r="H8726" s="19"/>
    </row>
    <row r="8727">
      <c r="A8727" s="9"/>
      <c r="B8727" s="15"/>
      <c r="C8727" s="9">
        <f>IFERROR(__xludf.DUMMYFUNCTION("""COMPUTED_VALUE"""),44513.5998132523)</f>
        <v>44513.59981</v>
      </c>
      <c r="D8727" s="15">
        <f>IFERROR(__xludf.DUMMYFUNCTION("""COMPUTED_VALUE"""),1.109)</f>
        <v>1.109</v>
      </c>
      <c r="E8727" s="16">
        <f>IFERROR(__xludf.DUMMYFUNCTION("""COMPUTED_VALUE"""),64.0)</f>
        <v>64</v>
      </c>
      <c r="F8727" s="19" t="str">
        <f>IFERROR(__xludf.DUMMYFUNCTION("""COMPUTED_VALUE"""),"BLACK")</f>
        <v>BLACK</v>
      </c>
      <c r="G8727" s="20" t="str">
        <f>IFERROR(__xludf.DUMMYFUNCTION("""COMPUTED_VALUE"""),"Uncle Sams Cider (11/12/2021) 02")</f>
        <v>Uncle Sams Cider (11/12/2021) 02</v>
      </c>
      <c r="H8727" s="19"/>
    </row>
    <row r="8728">
      <c r="A8728" s="9"/>
      <c r="B8728" s="15"/>
      <c r="C8728" s="9">
        <f>IFERROR(__xludf.DUMMYFUNCTION("""COMPUTED_VALUE"""),44513.5893911689)</f>
        <v>44513.58939</v>
      </c>
      <c r="D8728" s="15">
        <f>IFERROR(__xludf.DUMMYFUNCTION("""COMPUTED_VALUE"""),1.109)</f>
        <v>1.109</v>
      </c>
      <c r="E8728" s="16">
        <f>IFERROR(__xludf.DUMMYFUNCTION("""COMPUTED_VALUE"""),64.0)</f>
        <v>64</v>
      </c>
      <c r="F8728" s="19" t="str">
        <f>IFERROR(__xludf.DUMMYFUNCTION("""COMPUTED_VALUE"""),"BLACK")</f>
        <v>BLACK</v>
      </c>
      <c r="G8728" s="20" t="str">
        <f>IFERROR(__xludf.DUMMYFUNCTION("""COMPUTED_VALUE"""),"Uncle Sams Cider (11/12/2021) 02")</f>
        <v>Uncle Sams Cider (11/12/2021) 02</v>
      </c>
      <c r="H8728" s="19"/>
    </row>
    <row r="8729">
      <c r="A8729" s="9"/>
      <c r="B8729" s="15"/>
      <c r="C8729" s="9">
        <f>IFERROR(__xludf.DUMMYFUNCTION("""COMPUTED_VALUE"""),44513.5789684837)</f>
        <v>44513.57897</v>
      </c>
      <c r="D8729" s="15">
        <f>IFERROR(__xludf.DUMMYFUNCTION("""COMPUTED_VALUE"""),1.109)</f>
        <v>1.109</v>
      </c>
      <c r="E8729" s="16">
        <f>IFERROR(__xludf.DUMMYFUNCTION("""COMPUTED_VALUE"""),64.0)</f>
        <v>64</v>
      </c>
      <c r="F8729" s="19" t="str">
        <f>IFERROR(__xludf.DUMMYFUNCTION("""COMPUTED_VALUE"""),"BLACK")</f>
        <v>BLACK</v>
      </c>
      <c r="G8729" s="20" t="str">
        <f>IFERROR(__xludf.DUMMYFUNCTION("""COMPUTED_VALUE"""),"Uncle Sams Cider (11/12/2021) 02")</f>
        <v>Uncle Sams Cider (11/12/2021) 02</v>
      </c>
      <c r="H8729" s="19"/>
    </row>
    <row r="8730">
      <c r="A8730" s="9"/>
      <c r="B8730" s="15"/>
      <c r="C8730" s="9">
        <f>IFERROR(__xludf.DUMMYFUNCTION("""COMPUTED_VALUE"""),44513.568538125)</f>
        <v>44513.56854</v>
      </c>
      <c r="D8730" s="15">
        <f>IFERROR(__xludf.DUMMYFUNCTION("""COMPUTED_VALUE"""),1.109)</f>
        <v>1.109</v>
      </c>
      <c r="E8730" s="16">
        <f>IFERROR(__xludf.DUMMYFUNCTION("""COMPUTED_VALUE"""),64.0)</f>
        <v>64</v>
      </c>
      <c r="F8730" s="19" t="str">
        <f>IFERROR(__xludf.DUMMYFUNCTION("""COMPUTED_VALUE"""),"BLACK")</f>
        <v>BLACK</v>
      </c>
      <c r="G8730" s="20" t="str">
        <f>IFERROR(__xludf.DUMMYFUNCTION("""COMPUTED_VALUE"""),"Uncle Sams Cider (11/12/2021) 02")</f>
        <v>Uncle Sams Cider (11/12/2021) 02</v>
      </c>
      <c r="H8730" s="19"/>
    </row>
    <row r="8731">
      <c r="A8731" s="9"/>
      <c r="B8731" s="15"/>
      <c r="C8731" s="9">
        <f>IFERROR(__xludf.DUMMYFUNCTION("""COMPUTED_VALUE"""),44513.558105081)</f>
        <v>44513.55811</v>
      </c>
      <c r="D8731" s="15">
        <f>IFERROR(__xludf.DUMMYFUNCTION("""COMPUTED_VALUE"""),1.109)</f>
        <v>1.109</v>
      </c>
      <c r="E8731" s="16">
        <f>IFERROR(__xludf.DUMMYFUNCTION("""COMPUTED_VALUE"""),64.0)</f>
        <v>64</v>
      </c>
      <c r="F8731" s="19" t="str">
        <f>IFERROR(__xludf.DUMMYFUNCTION("""COMPUTED_VALUE"""),"BLACK")</f>
        <v>BLACK</v>
      </c>
      <c r="G8731" s="20" t="str">
        <f>IFERROR(__xludf.DUMMYFUNCTION("""COMPUTED_VALUE"""),"Uncle Sams Cider (11/12/2021) 02")</f>
        <v>Uncle Sams Cider (11/12/2021) 02</v>
      </c>
      <c r="H8731" s="19"/>
    </row>
    <row r="8732">
      <c r="A8732" s="9"/>
      <c r="B8732" s="15"/>
      <c r="C8732" s="9">
        <f>IFERROR(__xludf.DUMMYFUNCTION("""COMPUTED_VALUE"""),44513.5476719675)</f>
        <v>44513.54767</v>
      </c>
      <c r="D8732" s="15">
        <f>IFERROR(__xludf.DUMMYFUNCTION("""COMPUTED_VALUE"""),1.109)</f>
        <v>1.109</v>
      </c>
      <c r="E8732" s="16">
        <f>IFERROR(__xludf.DUMMYFUNCTION("""COMPUTED_VALUE"""),64.0)</f>
        <v>64</v>
      </c>
      <c r="F8732" s="19" t="str">
        <f>IFERROR(__xludf.DUMMYFUNCTION("""COMPUTED_VALUE"""),"BLACK")</f>
        <v>BLACK</v>
      </c>
      <c r="G8732" s="20" t="str">
        <f>IFERROR(__xludf.DUMMYFUNCTION("""COMPUTED_VALUE"""),"Uncle Sams Cider (11/12/2021) 02")</f>
        <v>Uncle Sams Cider (11/12/2021) 02</v>
      </c>
      <c r="H8732" s="19"/>
    </row>
    <row r="8733">
      <c r="A8733" s="9"/>
      <c r="B8733" s="15"/>
      <c r="C8733" s="9">
        <f>IFERROR(__xludf.DUMMYFUNCTION("""COMPUTED_VALUE"""),44513.5372372222)</f>
        <v>44513.53724</v>
      </c>
      <c r="D8733" s="15">
        <f>IFERROR(__xludf.DUMMYFUNCTION("""COMPUTED_VALUE"""),1.109)</f>
        <v>1.109</v>
      </c>
      <c r="E8733" s="16">
        <f>IFERROR(__xludf.DUMMYFUNCTION("""COMPUTED_VALUE"""),64.0)</f>
        <v>64</v>
      </c>
      <c r="F8733" s="19" t="str">
        <f>IFERROR(__xludf.DUMMYFUNCTION("""COMPUTED_VALUE"""),"BLACK")</f>
        <v>BLACK</v>
      </c>
      <c r="G8733" s="20" t="str">
        <f>IFERROR(__xludf.DUMMYFUNCTION("""COMPUTED_VALUE"""),"Uncle Sams Cider (11/12/2021) 02")</f>
        <v>Uncle Sams Cider (11/12/2021) 02</v>
      </c>
      <c r="H8733" s="19"/>
    </row>
    <row r="8734">
      <c r="A8734" s="9"/>
      <c r="B8734" s="15"/>
      <c r="C8734" s="9">
        <f>IFERROR(__xludf.DUMMYFUNCTION("""COMPUTED_VALUE"""),44513.5267928472)</f>
        <v>44513.52679</v>
      </c>
      <c r="D8734" s="15">
        <f>IFERROR(__xludf.DUMMYFUNCTION("""COMPUTED_VALUE"""),1.109)</f>
        <v>1.109</v>
      </c>
      <c r="E8734" s="16">
        <f>IFERROR(__xludf.DUMMYFUNCTION("""COMPUTED_VALUE"""),64.0)</f>
        <v>64</v>
      </c>
      <c r="F8734" s="19" t="str">
        <f>IFERROR(__xludf.DUMMYFUNCTION("""COMPUTED_VALUE"""),"BLACK")</f>
        <v>BLACK</v>
      </c>
      <c r="G8734" s="20" t="str">
        <f>IFERROR(__xludf.DUMMYFUNCTION("""COMPUTED_VALUE"""),"Uncle Sams Cider (11/12/2021) 02")</f>
        <v>Uncle Sams Cider (11/12/2021) 02</v>
      </c>
      <c r="H8734" s="19"/>
    </row>
    <row r="8735">
      <c r="A8735" s="9"/>
      <c r="B8735" s="15"/>
      <c r="C8735" s="9">
        <f>IFERROR(__xludf.DUMMYFUNCTION("""COMPUTED_VALUE"""),44513.5163706944)</f>
        <v>44513.51637</v>
      </c>
      <c r="D8735" s="15">
        <f>IFERROR(__xludf.DUMMYFUNCTION("""COMPUTED_VALUE"""),1.109)</f>
        <v>1.109</v>
      </c>
      <c r="E8735" s="16">
        <f>IFERROR(__xludf.DUMMYFUNCTION("""COMPUTED_VALUE"""),64.0)</f>
        <v>64</v>
      </c>
      <c r="F8735" s="19" t="str">
        <f>IFERROR(__xludf.DUMMYFUNCTION("""COMPUTED_VALUE"""),"BLACK")</f>
        <v>BLACK</v>
      </c>
      <c r="G8735" s="20" t="str">
        <f>IFERROR(__xludf.DUMMYFUNCTION("""COMPUTED_VALUE"""),"Uncle Sams Cider (11/12/2021) 02")</f>
        <v>Uncle Sams Cider (11/12/2021) 02</v>
      </c>
      <c r="H8735" s="19"/>
    </row>
    <row r="8736">
      <c r="A8736" s="9"/>
      <c r="B8736" s="15"/>
      <c r="C8736" s="9">
        <f>IFERROR(__xludf.DUMMYFUNCTION("""COMPUTED_VALUE"""),44513.5059391087)</f>
        <v>44513.50594</v>
      </c>
      <c r="D8736" s="15">
        <f>IFERROR(__xludf.DUMMYFUNCTION("""COMPUTED_VALUE"""),1.109)</f>
        <v>1.109</v>
      </c>
      <c r="E8736" s="16">
        <f>IFERROR(__xludf.DUMMYFUNCTION("""COMPUTED_VALUE"""),64.0)</f>
        <v>64</v>
      </c>
      <c r="F8736" s="19" t="str">
        <f>IFERROR(__xludf.DUMMYFUNCTION("""COMPUTED_VALUE"""),"BLACK")</f>
        <v>BLACK</v>
      </c>
      <c r="G8736" s="20" t="str">
        <f>IFERROR(__xludf.DUMMYFUNCTION("""COMPUTED_VALUE"""),"Uncle Sams Cider (11/12/2021) 02")</f>
        <v>Uncle Sams Cider (11/12/2021) 02</v>
      </c>
      <c r="H8736" s="19"/>
    </row>
    <row r="8737">
      <c r="A8737" s="9"/>
      <c r="B8737" s="15"/>
      <c r="C8737" s="9">
        <f>IFERROR(__xludf.DUMMYFUNCTION("""COMPUTED_VALUE"""),44513.495507118)</f>
        <v>44513.49551</v>
      </c>
      <c r="D8737" s="15">
        <f>IFERROR(__xludf.DUMMYFUNCTION("""COMPUTED_VALUE"""),1.11)</f>
        <v>1.11</v>
      </c>
      <c r="E8737" s="16">
        <f>IFERROR(__xludf.DUMMYFUNCTION("""COMPUTED_VALUE"""),64.0)</f>
        <v>64</v>
      </c>
      <c r="F8737" s="19" t="str">
        <f>IFERROR(__xludf.DUMMYFUNCTION("""COMPUTED_VALUE"""),"BLACK")</f>
        <v>BLACK</v>
      </c>
      <c r="G8737" s="20" t="str">
        <f>IFERROR(__xludf.DUMMYFUNCTION("""COMPUTED_VALUE"""),"Uncle Sams Cider (11/12/2021) 02")</f>
        <v>Uncle Sams Cider (11/12/2021) 02</v>
      </c>
      <c r="H8737" s="19"/>
    </row>
    <row r="8738">
      <c r="A8738" s="9"/>
      <c r="B8738" s="15"/>
      <c r="C8738" s="9">
        <f>IFERROR(__xludf.DUMMYFUNCTION("""COMPUTED_VALUE"""),44513.4850861342)</f>
        <v>44513.48509</v>
      </c>
      <c r="D8738" s="15">
        <f>IFERROR(__xludf.DUMMYFUNCTION("""COMPUTED_VALUE"""),1.109)</f>
        <v>1.109</v>
      </c>
      <c r="E8738" s="16">
        <f>IFERROR(__xludf.DUMMYFUNCTION("""COMPUTED_VALUE"""),64.0)</f>
        <v>64</v>
      </c>
      <c r="F8738" s="19" t="str">
        <f>IFERROR(__xludf.DUMMYFUNCTION("""COMPUTED_VALUE"""),"BLACK")</f>
        <v>BLACK</v>
      </c>
      <c r="G8738" s="20" t="str">
        <f>IFERROR(__xludf.DUMMYFUNCTION("""COMPUTED_VALUE"""),"Uncle Sams Cider (11/12/2021) 02")</f>
        <v>Uncle Sams Cider (11/12/2021) 02</v>
      </c>
      <c r="H8738" s="19"/>
    </row>
    <row r="8739">
      <c r="A8739" s="9"/>
      <c r="B8739" s="15"/>
      <c r="C8739" s="9">
        <f>IFERROR(__xludf.DUMMYFUNCTION("""COMPUTED_VALUE"""),44513.4746663194)</f>
        <v>44513.47467</v>
      </c>
      <c r="D8739" s="15">
        <f>IFERROR(__xludf.DUMMYFUNCTION("""COMPUTED_VALUE"""),1.11)</f>
        <v>1.11</v>
      </c>
      <c r="E8739" s="16">
        <f>IFERROR(__xludf.DUMMYFUNCTION("""COMPUTED_VALUE"""),64.0)</f>
        <v>64</v>
      </c>
      <c r="F8739" s="19" t="str">
        <f>IFERROR(__xludf.DUMMYFUNCTION("""COMPUTED_VALUE"""),"BLACK")</f>
        <v>BLACK</v>
      </c>
      <c r="G8739" s="20" t="str">
        <f>IFERROR(__xludf.DUMMYFUNCTION("""COMPUTED_VALUE"""),"Uncle Sams Cider (11/12/2021) 02")</f>
        <v>Uncle Sams Cider (11/12/2021) 02</v>
      </c>
      <c r="H8739" s="19"/>
    </row>
    <row r="8740">
      <c r="A8740" s="9"/>
      <c r="B8740" s="15"/>
      <c r="C8740" s="9">
        <f>IFERROR(__xludf.DUMMYFUNCTION("""COMPUTED_VALUE"""),44513.4642458796)</f>
        <v>44513.46425</v>
      </c>
      <c r="D8740" s="15">
        <f>IFERROR(__xludf.DUMMYFUNCTION("""COMPUTED_VALUE"""),1.109)</f>
        <v>1.109</v>
      </c>
      <c r="E8740" s="16">
        <f>IFERROR(__xludf.DUMMYFUNCTION("""COMPUTED_VALUE"""),64.0)</f>
        <v>64</v>
      </c>
      <c r="F8740" s="19" t="str">
        <f>IFERROR(__xludf.DUMMYFUNCTION("""COMPUTED_VALUE"""),"BLACK")</f>
        <v>BLACK</v>
      </c>
      <c r="G8740" s="20" t="str">
        <f>IFERROR(__xludf.DUMMYFUNCTION("""COMPUTED_VALUE"""),"Uncle Sams Cider (11/12/2021) 02")</f>
        <v>Uncle Sams Cider (11/12/2021) 02</v>
      </c>
      <c r="H8740" s="19"/>
    </row>
    <row r="8741">
      <c r="A8741" s="9"/>
      <c r="B8741" s="15"/>
      <c r="C8741" s="9">
        <f>IFERROR(__xludf.DUMMYFUNCTION("""COMPUTED_VALUE"""),44513.4538240624)</f>
        <v>44513.45382</v>
      </c>
      <c r="D8741" s="15">
        <f>IFERROR(__xludf.DUMMYFUNCTION("""COMPUTED_VALUE"""),1.109)</f>
        <v>1.109</v>
      </c>
      <c r="E8741" s="16">
        <f>IFERROR(__xludf.DUMMYFUNCTION("""COMPUTED_VALUE"""),64.0)</f>
        <v>64</v>
      </c>
      <c r="F8741" s="19" t="str">
        <f>IFERROR(__xludf.DUMMYFUNCTION("""COMPUTED_VALUE"""),"BLACK")</f>
        <v>BLACK</v>
      </c>
      <c r="G8741" s="20" t="str">
        <f>IFERROR(__xludf.DUMMYFUNCTION("""COMPUTED_VALUE"""),"Uncle Sams Cider (11/12/2021) 02")</f>
        <v>Uncle Sams Cider (11/12/2021) 02</v>
      </c>
      <c r="H8741" s="19"/>
    </row>
    <row r="8742">
      <c r="A8742" s="9"/>
      <c r="B8742" s="15"/>
      <c r="C8742" s="9">
        <f>IFERROR(__xludf.DUMMYFUNCTION("""COMPUTED_VALUE"""),44513.4434012268)</f>
        <v>44513.4434</v>
      </c>
      <c r="D8742" s="15">
        <f>IFERROR(__xludf.DUMMYFUNCTION("""COMPUTED_VALUE"""),1.11)</f>
        <v>1.11</v>
      </c>
      <c r="E8742" s="16">
        <f>IFERROR(__xludf.DUMMYFUNCTION("""COMPUTED_VALUE"""),64.0)</f>
        <v>64</v>
      </c>
      <c r="F8742" s="19" t="str">
        <f>IFERROR(__xludf.DUMMYFUNCTION("""COMPUTED_VALUE"""),"BLACK")</f>
        <v>BLACK</v>
      </c>
      <c r="G8742" s="20" t="str">
        <f>IFERROR(__xludf.DUMMYFUNCTION("""COMPUTED_VALUE"""),"Uncle Sams Cider (11/12/2021) 02")</f>
        <v>Uncle Sams Cider (11/12/2021) 02</v>
      </c>
      <c r="H8742" s="19"/>
    </row>
    <row r="8743">
      <c r="A8743" s="9"/>
      <c r="B8743" s="15"/>
      <c r="C8743" s="9">
        <f>IFERROR(__xludf.DUMMYFUNCTION("""COMPUTED_VALUE"""),44513.4329819675)</f>
        <v>44513.43298</v>
      </c>
      <c r="D8743" s="15">
        <f>IFERROR(__xludf.DUMMYFUNCTION("""COMPUTED_VALUE"""),1.11)</f>
        <v>1.11</v>
      </c>
      <c r="E8743" s="16">
        <f>IFERROR(__xludf.DUMMYFUNCTION("""COMPUTED_VALUE"""),64.0)</f>
        <v>64</v>
      </c>
      <c r="F8743" s="19" t="str">
        <f>IFERROR(__xludf.DUMMYFUNCTION("""COMPUTED_VALUE"""),"BLACK")</f>
        <v>BLACK</v>
      </c>
      <c r="G8743" s="20" t="str">
        <f>IFERROR(__xludf.DUMMYFUNCTION("""COMPUTED_VALUE"""),"Uncle Sams Cider (11/12/2021) 02")</f>
        <v>Uncle Sams Cider (11/12/2021) 02</v>
      </c>
      <c r="H8743" s="19"/>
    </row>
    <row r="8744">
      <c r="A8744" s="9"/>
      <c r="B8744" s="15"/>
      <c r="C8744" s="9">
        <f>IFERROR(__xludf.DUMMYFUNCTION("""COMPUTED_VALUE"""),44513.4225620138)</f>
        <v>44513.42256</v>
      </c>
      <c r="D8744" s="15">
        <f>IFERROR(__xludf.DUMMYFUNCTION("""COMPUTED_VALUE"""),1.11)</f>
        <v>1.11</v>
      </c>
      <c r="E8744" s="16">
        <f>IFERROR(__xludf.DUMMYFUNCTION("""COMPUTED_VALUE"""),64.0)</f>
        <v>64</v>
      </c>
      <c r="F8744" s="19" t="str">
        <f>IFERROR(__xludf.DUMMYFUNCTION("""COMPUTED_VALUE"""),"BLACK")</f>
        <v>BLACK</v>
      </c>
      <c r="G8744" s="20" t="str">
        <f>IFERROR(__xludf.DUMMYFUNCTION("""COMPUTED_VALUE"""),"Uncle Sams Cider (11/12/2021) 02")</f>
        <v>Uncle Sams Cider (11/12/2021) 02</v>
      </c>
      <c r="H8744" s="19"/>
    </row>
    <row r="8745">
      <c r="A8745" s="9"/>
      <c r="B8745" s="15"/>
      <c r="C8745" s="9">
        <f>IFERROR(__xludf.DUMMYFUNCTION("""COMPUTED_VALUE"""),44513.4121408101)</f>
        <v>44513.41214</v>
      </c>
      <c r="D8745" s="15">
        <f>IFERROR(__xludf.DUMMYFUNCTION("""COMPUTED_VALUE"""),1.109)</f>
        <v>1.109</v>
      </c>
      <c r="E8745" s="16">
        <f>IFERROR(__xludf.DUMMYFUNCTION("""COMPUTED_VALUE"""),64.0)</f>
        <v>64</v>
      </c>
      <c r="F8745" s="19" t="str">
        <f>IFERROR(__xludf.DUMMYFUNCTION("""COMPUTED_VALUE"""),"BLACK")</f>
        <v>BLACK</v>
      </c>
      <c r="G8745" s="20" t="str">
        <f>IFERROR(__xludf.DUMMYFUNCTION("""COMPUTED_VALUE"""),"Uncle Sams Cider (11/12/2021) 02")</f>
        <v>Uncle Sams Cider (11/12/2021) 02</v>
      </c>
      <c r="H8745" s="19"/>
    </row>
    <row r="8746">
      <c r="A8746" s="9"/>
      <c r="B8746" s="15"/>
      <c r="C8746" s="9">
        <f>IFERROR(__xludf.DUMMYFUNCTION("""COMPUTED_VALUE"""),44513.4017206597)</f>
        <v>44513.40172</v>
      </c>
      <c r="D8746" s="15">
        <f>IFERROR(__xludf.DUMMYFUNCTION("""COMPUTED_VALUE"""),1.11)</f>
        <v>1.11</v>
      </c>
      <c r="E8746" s="16">
        <f>IFERROR(__xludf.DUMMYFUNCTION("""COMPUTED_VALUE"""),64.0)</f>
        <v>64</v>
      </c>
      <c r="F8746" s="19" t="str">
        <f>IFERROR(__xludf.DUMMYFUNCTION("""COMPUTED_VALUE"""),"BLACK")</f>
        <v>BLACK</v>
      </c>
      <c r="G8746" s="20" t="str">
        <f>IFERROR(__xludf.DUMMYFUNCTION("""COMPUTED_VALUE"""),"Uncle Sams Cider (11/12/2021) 02")</f>
        <v>Uncle Sams Cider (11/12/2021) 02</v>
      </c>
      <c r="H8746" s="19"/>
    </row>
    <row r="8747">
      <c r="A8747" s="9"/>
      <c r="B8747" s="15"/>
      <c r="C8747" s="9">
        <f>IFERROR(__xludf.DUMMYFUNCTION("""COMPUTED_VALUE"""),44513.3912748495)</f>
        <v>44513.39127</v>
      </c>
      <c r="D8747" s="15">
        <f>IFERROR(__xludf.DUMMYFUNCTION("""COMPUTED_VALUE"""),1.11)</f>
        <v>1.11</v>
      </c>
      <c r="E8747" s="16">
        <f>IFERROR(__xludf.DUMMYFUNCTION("""COMPUTED_VALUE"""),64.0)</f>
        <v>64</v>
      </c>
      <c r="F8747" s="19" t="str">
        <f>IFERROR(__xludf.DUMMYFUNCTION("""COMPUTED_VALUE"""),"BLACK")</f>
        <v>BLACK</v>
      </c>
      <c r="G8747" s="20" t="str">
        <f>IFERROR(__xludf.DUMMYFUNCTION("""COMPUTED_VALUE"""),"Uncle Sams Cider (11/12/2021) 02")</f>
        <v>Uncle Sams Cider (11/12/2021) 02</v>
      </c>
      <c r="H8747" s="19"/>
    </row>
    <row r="8748">
      <c r="A8748" s="9"/>
      <c r="B8748" s="15"/>
      <c r="C8748" s="9">
        <f>IFERROR(__xludf.DUMMYFUNCTION("""COMPUTED_VALUE"""),44513.3808541898)</f>
        <v>44513.38085</v>
      </c>
      <c r="D8748" s="15">
        <f>IFERROR(__xludf.DUMMYFUNCTION("""COMPUTED_VALUE"""),1.11)</f>
        <v>1.11</v>
      </c>
      <c r="E8748" s="16">
        <f>IFERROR(__xludf.DUMMYFUNCTION("""COMPUTED_VALUE"""),64.0)</f>
        <v>64</v>
      </c>
      <c r="F8748" s="19" t="str">
        <f>IFERROR(__xludf.DUMMYFUNCTION("""COMPUTED_VALUE"""),"BLACK")</f>
        <v>BLACK</v>
      </c>
      <c r="G8748" s="20" t="str">
        <f>IFERROR(__xludf.DUMMYFUNCTION("""COMPUTED_VALUE"""),"Uncle Sams Cider (11/12/2021) 02")</f>
        <v>Uncle Sams Cider (11/12/2021) 02</v>
      </c>
      <c r="H8748" s="19"/>
    </row>
    <row r="8749">
      <c r="A8749" s="9"/>
      <c r="B8749" s="15"/>
      <c r="C8749" s="9">
        <f>IFERROR(__xludf.DUMMYFUNCTION("""COMPUTED_VALUE"""),44513.3704320254)</f>
        <v>44513.37043</v>
      </c>
      <c r="D8749" s="15">
        <f>IFERROR(__xludf.DUMMYFUNCTION("""COMPUTED_VALUE"""),1.11)</f>
        <v>1.11</v>
      </c>
      <c r="E8749" s="16">
        <f>IFERROR(__xludf.DUMMYFUNCTION("""COMPUTED_VALUE"""),64.0)</f>
        <v>64</v>
      </c>
      <c r="F8749" s="19" t="str">
        <f>IFERROR(__xludf.DUMMYFUNCTION("""COMPUTED_VALUE"""),"BLACK")</f>
        <v>BLACK</v>
      </c>
      <c r="G8749" s="20" t="str">
        <f>IFERROR(__xludf.DUMMYFUNCTION("""COMPUTED_VALUE"""),"Uncle Sams Cider (11/12/2021) 02")</f>
        <v>Uncle Sams Cider (11/12/2021) 02</v>
      </c>
      <c r="H8749" s="19"/>
    </row>
    <row r="8750">
      <c r="A8750" s="9"/>
      <c r="B8750" s="15"/>
      <c r="C8750" s="9">
        <f>IFERROR(__xludf.DUMMYFUNCTION("""COMPUTED_VALUE"""),44513.360009537)</f>
        <v>44513.36001</v>
      </c>
      <c r="D8750" s="15">
        <f>IFERROR(__xludf.DUMMYFUNCTION("""COMPUTED_VALUE"""),1.11)</f>
        <v>1.11</v>
      </c>
      <c r="E8750" s="16">
        <f>IFERROR(__xludf.DUMMYFUNCTION("""COMPUTED_VALUE"""),64.0)</f>
        <v>64</v>
      </c>
      <c r="F8750" s="19" t="str">
        <f>IFERROR(__xludf.DUMMYFUNCTION("""COMPUTED_VALUE"""),"BLACK")</f>
        <v>BLACK</v>
      </c>
      <c r="G8750" s="20" t="str">
        <f>IFERROR(__xludf.DUMMYFUNCTION("""COMPUTED_VALUE"""),"Uncle Sams Cider (11/12/2021) 02")</f>
        <v>Uncle Sams Cider (11/12/2021) 02</v>
      </c>
      <c r="H8750" s="19"/>
    </row>
    <row r="8751">
      <c r="A8751" s="9"/>
      <c r="B8751" s="15"/>
      <c r="C8751" s="9">
        <f>IFERROR(__xludf.DUMMYFUNCTION("""COMPUTED_VALUE"""),44513.3495767013)</f>
        <v>44513.34958</v>
      </c>
      <c r="D8751" s="15">
        <f>IFERROR(__xludf.DUMMYFUNCTION("""COMPUTED_VALUE"""),1.11)</f>
        <v>1.11</v>
      </c>
      <c r="E8751" s="16">
        <f>IFERROR(__xludf.DUMMYFUNCTION("""COMPUTED_VALUE"""),64.0)</f>
        <v>64</v>
      </c>
      <c r="F8751" s="19" t="str">
        <f>IFERROR(__xludf.DUMMYFUNCTION("""COMPUTED_VALUE"""),"BLACK")</f>
        <v>BLACK</v>
      </c>
      <c r="G8751" s="20" t="str">
        <f>IFERROR(__xludf.DUMMYFUNCTION("""COMPUTED_VALUE"""),"Uncle Sams Cider (11/12/2021) 02")</f>
        <v>Uncle Sams Cider (11/12/2021) 02</v>
      </c>
      <c r="H8751" s="19"/>
    </row>
    <row r="8752">
      <c r="A8752" s="9"/>
      <c r="B8752" s="15"/>
      <c r="C8752" s="9">
        <f>IFERROR(__xludf.DUMMYFUNCTION("""COMPUTED_VALUE"""),44513.3391532175)</f>
        <v>44513.33915</v>
      </c>
      <c r="D8752" s="15">
        <f>IFERROR(__xludf.DUMMYFUNCTION("""COMPUTED_VALUE"""),1.11)</f>
        <v>1.11</v>
      </c>
      <c r="E8752" s="16">
        <f>IFERROR(__xludf.DUMMYFUNCTION("""COMPUTED_VALUE"""),64.0)</f>
        <v>64</v>
      </c>
      <c r="F8752" s="19" t="str">
        <f>IFERROR(__xludf.DUMMYFUNCTION("""COMPUTED_VALUE"""),"BLACK")</f>
        <v>BLACK</v>
      </c>
      <c r="G8752" s="20" t="str">
        <f>IFERROR(__xludf.DUMMYFUNCTION("""COMPUTED_VALUE"""),"Uncle Sams Cider (11/12/2021) 02")</f>
        <v>Uncle Sams Cider (11/12/2021) 02</v>
      </c>
      <c r="H8752" s="19"/>
    </row>
    <row r="8753">
      <c r="A8753" s="9"/>
      <c r="B8753" s="15"/>
      <c r="C8753" s="9">
        <f>IFERROR(__xludf.DUMMYFUNCTION("""COMPUTED_VALUE"""),44513.3287206597)</f>
        <v>44513.32872</v>
      </c>
      <c r="D8753" s="15">
        <f>IFERROR(__xludf.DUMMYFUNCTION("""COMPUTED_VALUE"""),1.11)</f>
        <v>1.11</v>
      </c>
      <c r="E8753" s="16">
        <f>IFERROR(__xludf.DUMMYFUNCTION("""COMPUTED_VALUE"""),64.0)</f>
        <v>64</v>
      </c>
      <c r="F8753" s="19" t="str">
        <f>IFERROR(__xludf.DUMMYFUNCTION("""COMPUTED_VALUE"""),"BLACK")</f>
        <v>BLACK</v>
      </c>
      <c r="G8753" s="20" t="str">
        <f>IFERROR(__xludf.DUMMYFUNCTION("""COMPUTED_VALUE"""),"Uncle Sams Cider (11/12/2021) 02")</f>
        <v>Uncle Sams Cider (11/12/2021) 02</v>
      </c>
      <c r="H8753" s="19"/>
    </row>
    <row r="8754">
      <c r="A8754" s="9"/>
      <c r="B8754" s="15"/>
      <c r="C8754" s="9">
        <f>IFERROR(__xludf.DUMMYFUNCTION("""COMPUTED_VALUE"""),44513.3182986921)</f>
        <v>44513.3183</v>
      </c>
      <c r="D8754" s="15">
        <f>IFERROR(__xludf.DUMMYFUNCTION("""COMPUTED_VALUE"""),1.11)</f>
        <v>1.11</v>
      </c>
      <c r="E8754" s="16">
        <f>IFERROR(__xludf.DUMMYFUNCTION("""COMPUTED_VALUE"""),64.0)</f>
        <v>64</v>
      </c>
      <c r="F8754" s="19" t="str">
        <f>IFERROR(__xludf.DUMMYFUNCTION("""COMPUTED_VALUE"""),"BLACK")</f>
        <v>BLACK</v>
      </c>
      <c r="G8754" s="20" t="str">
        <f>IFERROR(__xludf.DUMMYFUNCTION("""COMPUTED_VALUE"""),"Uncle Sams Cider (11/12/2021) 02")</f>
        <v>Uncle Sams Cider (11/12/2021) 02</v>
      </c>
      <c r="H8754" s="19"/>
    </row>
    <row r="8755">
      <c r="A8755" s="9"/>
      <c r="B8755" s="15"/>
      <c r="C8755" s="9">
        <f>IFERROR(__xludf.DUMMYFUNCTION("""COMPUTED_VALUE"""),44513.3078774537)</f>
        <v>44513.30788</v>
      </c>
      <c r="D8755" s="15">
        <f>IFERROR(__xludf.DUMMYFUNCTION("""COMPUTED_VALUE"""),1.11)</f>
        <v>1.11</v>
      </c>
      <c r="E8755" s="16">
        <f>IFERROR(__xludf.DUMMYFUNCTION("""COMPUTED_VALUE"""),64.0)</f>
        <v>64</v>
      </c>
      <c r="F8755" s="19" t="str">
        <f>IFERROR(__xludf.DUMMYFUNCTION("""COMPUTED_VALUE"""),"BLACK")</f>
        <v>BLACK</v>
      </c>
      <c r="G8755" s="20" t="str">
        <f>IFERROR(__xludf.DUMMYFUNCTION("""COMPUTED_VALUE"""),"Uncle Sams Cider (11/12/2021) 02")</f>
        <v>Uncle Sams Cider (11/12/2021) 02</v>
      </c>
      <c r="H8755" s="19"/>
    </row>
    <row r="8756">
      <c r="A8756" s="9"/>
      <c r="B8756" s="15"/>
      <c r="C8756" s="9">
        <f>IFERROR(__xludf.DUMMYFUNCTION("""COMPUTED_VALUE"""),44513.2974190856)</f>
        <v>44513.29742</v>
      </c>
      <c r="D8756" s="15">
        <f>IFERROR(__xludf.DUMMYFUNCTION("""COMPUTED_VALUE"""),1.11)</f>
        <v>1.11</v>
      </c>
      <c r="E8756" s="16">
        <f>IFERROR(__xludf.DUMMYFUNCTION("""COMPUTED_VALUE"""),64.0)</f>
        <v>64</v>
      </c>
      <c r="F8756" s="19" t="str">
        <f>IFERROR(__xludf.DUMMYFUNCTION("""COMPUTED_VALUE"""),"BLACK")</f>
        <v>BLACK</v>
      </c>
      <c r="G8756" s="20" t="str">
        <f>IFERROR(__xludf.DUMMYFUNCTION("""COMPUTED_VALUE"""),"Uncle Sams Cider (11/12/2021) 02")</f>
        <v>Uncle Sams Cider (11/12/2021) 02</v>
      </c>
      <c r="H8756" s="19"/>
    </row>
    <row r="8757">
      <c r="A8757" s="9"/>
      <c r="B8757" s="15"/>
      <c r="C8757" s="9">
        <f>IFERROR(__xludf.DUMMYFUNCTION("""COMPUTED_VALUE"""),44513.2869863888)</f>
        <v>44513.28699</v>
      </c>
      <c r="D8757" s="15">
        <f>IFERROR(__xludf.DUMMYFUNCTION("""COMPUTED_VALUE"""),1.11)</f>
        <v>1.11</v>
      </c>
      <c r="E8757" s="16">
        <f>IFERROR(__xludf.DUMMYFUNCTION("""COMPUTED_VALUE"""),64.0)</f>
        <v>64</v>
      </c>
      <c r="F8757" s="19" t="str">
        <f>IFERROR(__xludf.DUMMYFUNCTION("""COMPUTED_VALUE"""),"BLACK")</f>
        <v>BLACK</v>
      </c>
      <c r="G8757" s="20" t="str">
        <f>IFERROR(__xludf.DUMMYFUNCTION("""COMPUTED_VALUE"""),"Uncle Sams Cider (11/12/2021) 02")</f>
        <v>Uncle Sams Cider (11/12/2021) 02</v>
      </c>
      <c r="H8757" s="19"/>
    </row>
    <row r="8758">
      <c r="A8758" s="9"/>
      <c r="B8758" s="15"/>
      <c r="C8758" s="9">
        <f>IFERROR(__xludf.DUMMYFUNCTION("""COMPUTED_VALUE"""),44513.2765522222)</f>
        <v>44513.27655</v>
      </c>
      <c r="D8758" s="15">
        <f>IFERROR(__xludf.DUMMYFUNCTION("""COMPUTED_VALUE"""),1.11)</f>
        <v>1.11</v>
      </c>
      <c r="E8758" s="16">
        <f>IFERROR(__xludf.DUMMYFUNCTION("""COMPUTED_VALUE"""),64.0)</f>
        <v>64</v>
      </c>
      <c r="F8758" s="19" t="str">
        <f>IFERROR(__xludf.DUMMYFUNCTION("""COMPUTED_VALUE"""),"BLACK")</f>
        <v>BLACK</v>
      </c>
      <c r="G8758" s="20" t="str">
        <f>IFERROR(__xludf.DUMMYFUNCTION("""COMPUTED_VALUE"""),"Uncle Sams Cider (11/12/2021) 02")</f>
        <v>Uncle Sams Cider (11/12/2021) 02</v>
      </c>
      <c r="H8758" s="19"/>
    </row>
    <row r="8759">
      <c r="A8759" s="9"/>
      <c r="B8759" s="15"/>
      <c r="C8759" s="9">
        <f>IFERROR(__xludf.DUMMYFUNCTION("""COMPUTED_VALUE"""),44513.2660830092)</f>
        <v>44513.26608</v>
      </c>
      <c r="D8759" s="15">
        <f>IFERROR(__xludf.DUMMYFUNCTION("""COMPUTED_VALUE"""),1.11)</f>
        <v>1.11</v>
      </c>
      <c r="E8759" s="16">
        <f>IFERROR(__xludf.DUMMYFUNCTION("""COMPUTED_VALUE"""),64.0)</f>
        <v>64</v>
      </c>
      <c r="F8759" s="19" t="str">
        <f>IFERROR(__xludf.DUMMYFUNCTION("""COMPUTED_VALUE"""),"BLACK")</f>
        <v>BLACK</v>
      </c>
      <c r="G8759" s="20" t="str">
        <f>IFERROR(__xludf.DUMMYFUNCTION("""COMPUTED_VALUE"""),"Uncle Sams Cider (11/12/2021) 02")</f>
        <v>Uncle Sams Cider (11/12/2021) 02</v>
      </c>
      <c r="H8759" s="19"/>
    </row>
    <row r="8760">
      <c r="A8760" s="9"/>
      <c r="B8760" s="15"/>
      <c r="C8760" s="9">
        <f>IFERROR(__xludf.DUMMYFUNCTION("""COMPUTED_VALUE"""),44513.2556061226)</f>
        <v>44513.25561</v>
      </c>
      <c r="D8760" s="15">
        <f>IFERROR(__xludf.DUMMYFUNCTION("""COMPUTED_VALUE"""),1.11)</f>
        <v>1.11</v>
      </c>
      <c r="E8760" s="16">
        <f>IFERROR(__xludf.DUMMYFUNCTION("""COMPUTED_VALUE"""),64.0)</f>
        <v>64</v>
      </c>
      <c r="F8760" s="19" t="str">
        <f>IFERROR(__xludf.DUMMYFUNCTION("""COMPUTED_VALUE"""),"BLACK")</f>
        <v>BLACK</v>
      </c>
      <c r="G8760" s="20" t="str">
        <f>IFERROR(__xludf.DUMMYFUNCTION("""COMPUTED_VALUE"""),"Uncle Sams Cider (11/12/2021) 02")</f>
        <v>Uncle Sams Cider (11/12/2021) 02</v>
      </c>
      <c r="H8760" s="19"/>
    </row>
    <row r="8761">
      <c r="A8761" s="9"/>
      <c r="B8761" s="15"/>
      <c r="C8761" s="9">
        <f>IFERROR(__xludf.DUMMYFUNCTION("""COMPUTED_VALUE"""),44513.2451506944)</f>
        <v>44513.24515</v>
      </c>
      <c r="D8761" s="15">
        <f>IFERROR(__xludf.DUMMYFUNCTION("""COMPUTED_VALUE"""),1.11)</f>
        <v>1.11</v>
      </c>
      <c r="E8761" s="16">
        <f>IFERROR(__xludf.DUMMYFUNCTION("""COMPUTED_VALUE"""),64.0)</f>
        <v>64</v>
      </c>
      <c r="F8761" s="19" t="str">
        <f>IFERROR(__xludf.DUMMYFUNCTION("""COMPUTED_VALUE"""),"BLACK")</f>
        <v>BLACK</v>
      </c>
      <c r="G8761" s="20" t="str">
        <f>IFERROR(__xludf.DUMMYFUNCTION("""COMPUTED_VALUE"""),"Uncle Sams Cider (11/12/2021) 02")</f>
        <v>Uncle Sams Cider (11/12/2021) 02</v>
      </c>
      <c r="H8761" s="19"/>
    </row>
    <row r="8762">
      <c r="A8762" s="9"/>
      <c r="B8762" s="15"/>
      <c r="C8762" s="9">
        <f>IFERROR(__xludf.DUMMYFUNCTION("""COMPUTED_VALUE"""),44513.2347164814)</f>
        <v>44513.23472</v>
      </c>
      <c r="D8762" s="15">
        <f>IFERROR(__xludf.DUMMYFUNCTION("""COMPUTED_VALUE"""),1.11)</f>
        <v>1.11</v>
      </c>
      <c r="E8762" s="16">
        <f>IFERROR(__xludf.DUMMYFUNCTION("""COMPUTED_VALUE"""),64.0)</f>
        <v>64</v>
      </c>
      <c r="F8762" s="19" t="str">
        <f>IFERROR(__xludf.DUMMYFUNCTION("""COMPUTED_VALUE"""),"BLACK")</f>
        <v>BLACK</v>
      </c>
      <c r="G8762" s="20" t="str">
        <f>IFERROR(__xludf.DUMMYFUNCTION("""COMPUTED_VALUE"""),"Uncle Sams Cider (11/12/2021) 02")</f>
        <v>Uncle Sams Cider (11/12/2021) 02</v>
      </c>
      <c r="H8762" s="19"/>
    </row>
    <row r="8763">
      <c r="A8763" s="9"/>
      <c r="B8763" s="15"/>
      <c r="C8763" s="9">
        <f>IFERROR(__xludf.DUMMYFUNCTION("""COMPUTED_VALUE"""),44513.2242849537)</f>
        <v>44513.22428</v>
      </c>
      <c r="D8763" s="15">
        <f>IFERROR(__xludf.DUMMYFUNCTION("""COMPUTED_VALUE"""),1.11)</f>
        <v>1.11</v>
      </c>
      <c r="E8763" s="16">
        <f>IFERROR(__xludf.DUMMYFUNCTION("""COMPUTED_VALUE"""),64.0)</f>
        <v>64</v>
      </c>
      <c r="F8763" s="19" t="str">
        <f>IFERROR(__xludf.DUMMYFUNCTION("""COMPUTED_VALUE"""),"BLACK")</f>
        <v>BLACK</v>
      </c>
      <c r="G8763" s="20" t="str">
        <f>IFERROR(__xludf.DUMMYFUNCTION("""COMPUTED_VALUE"""),"Uncle Sams Cider (11/12/2021) 02")</f>
        <v>Uncle Sams Cider (11/12/2021) 02</v>
      </c>
      <c r="H8763" s="19"/>
    </row>
    <row r="8764">
      <c r="A8764" s="9"/>
      <c r="B8764" s="15"/>
      <c r="C8764" s="9">
        <f>IFERROR(__xludf.DUMMYFUNCTION("""COMPUTED_VALUE"""),44513.2138645486)</f>
        <v>44513.21386</v>
      </c>
      <c r="D8764" s="15">
        <f>IFERROR(__xludf.DUMMYFUNCTION("""COMPUTED_VALUE"""),1.11)</f>
        <v>1.11</v>
      </c>
      <c r="E8764" s="16">
        <f>IFERROR(__xludf.DUMMYFUNCTION("""COMPUTED_VALUE"""),64.0)</f>
        <v>64</v>
      </c>
      <c r="F8764" s="19" t="str">
        <f>IFERROR(__xludf.DUMMYFUNCTION("""COMPUTED_VALUE"""),"BLACK")</f>
        <v>BLACK</v>
      </c>
      <c r="G8764" s="20" t="str">
        <f>IFERROR(__xludf.DUMMYFUNCTION("""COMPUTED_VALUE"""),"Uncle Sams Cider (11/12/2021) 02")</f>
        <v>Uncle Sams Cider (11/12/2021) 02</v>
      </c>
      <c r="H8764" s="19"/>
    </row>
    <row r="8765">
      <c r="A8765" s="9"/>
      <c r="B8765" s="15"/>
      <c r="C8765" s="9">
        <f>IFERROR(__xludf.DUMMYFUNCTION("""COMPUTED_VALUE"""),44513.2034434722)</f>
        <v>44513.20344</v>
      </c>
      <c r="D8765" s="15">
        <f>IFERROR(__xludf.DUMMYFUNCTION("""COMPUTED_VALUE"""),1.11)</f>
        <v>1.11</v>
      </c>
      <c r="E8765" s="16">
        <f>IFERROR(__xludf.DUMMYFUNCTION("""COMPUTED_VALUE"""),64.0)</f>
        <v>64</v>
      </c>
      <c r="F8765" s="19" t="str">
        <f>IFERROR(__xludf.DUMMYFUNCTION("""COMPUTED_VALUE"""),"BLACK")</f>
        <v>BLACK</v>
      </c>
      <c r="G8765" s="20" t="str">
        <f>IFERROR(__xludf.DUMMYFUNCTION("""COMPUTED_VALUE"""),"Uncle Sams Cider (11/12/2021) 02")</f>
        <v>Uncle Sams Cider (11/12/2021) 02</v>
      </c>
      <c r="H8765" s="19"/>
    </row>
    <row r="8766">
      <c r="A8766" s="9"/>
      <c r="B8766" s="15"/>
      <c r="C8766" s="9">
        <f>IFERROR(__xludf.DUMMYFUNCTION("""COMPUTED_VALUE"""),44513.1930226504)</f>
        <v>44513.19302</v>
      </c>
      <c r="D8766" s="15">
        <f>IFERROR(__xludf.DUMMYFUNCTION("""COMPUTED_VALUE"""),1.11)</f>
        <v>1.11</v>
      </c>
      <c r="E8766" s="16">
        <f>IFERROR(__xludf.DUMMYFUNCTION("""COMPUTED_VALUE"""),64.0)</f>
        <v>64</v>
      </c>
      <c r="F8766" s="19" t="str">
        <f>IFERROR(__xludf.DUMMYFUNCTION("""COMPUTED_VALUE"""),"BLACK")</f>
        <v>BLACK</v>
      </c>
      <c r="G8766" s="20" t="str">
        <f>IFERROR(__xludf.DUMMYFUNCTION("""COMPUTED_VALUE"""),"Uncle Sams Cider (11/12/2021) 02")</f>
        <v>Uncle Sams Cider (11/12/2021) 02</v>
      </c>
      <c r="H8766" s="19"/>
    </row>
    <row r="8767">
      <c r="A8767" s="9"/>
      <c r="B8767" s="15"/>
      <c r="C8767" s="9">
        <f>IFERROR(__xludf.DUMMYFUNCTION("""COMPUTED_VALUE"""),44513.18260125)</f>
        <v>44513.1826</v>
      </c>
      <c r="D8767" s="15">
        <f>IFERROR(__xludf.DUMMYFUNCTION("""COMPUTED_VALUE"""),1.11)</f>
        <v>1.11</v>
      </c>
      <c r="E8767" s="16">
        <f>IFERROR(__xludf.DUMMYFUNCTION("""COMPUTED_VALUE"""),64.0)</f>
        <v>64</v>
      </c>
      <c r="F8767" s="19" t="str">
        <f>IFERROR(__xludf.DUMMYFUNCTION("""COMPUTED_VALUE"""),"BLACK")</f>
        <v>BLACK</v>
      </c>
      <c r="G8767" s="20" t="str">
        <f>IFERROR(__xludf.DUMMYFUNCTION("""COMPUTED_VALUE"""),"Uncle Sams Cider (11/12/2021) 02")</f>
        <v>Uncle Sams Cider (11/12/2021) 02</v>
      </c>
      <c r="H8767" s="19"/>
    </row>
    <row r="8768">
      <c r="A8768" s="9"/>
      <c r="B8768" s="15"/>
      <c r="C8768" s="9">
        <f>IFERROR(__xludf.DUMMYFUNCTION("""COMPUTED_VALUE"""),44513.1721800462)</f>
        <v>44513.17218</v>
      </c>
      <c r="D8768" s="15">
        <f>IFERROR(__xludf.DUMMYFUNCTION("""COMPUTED_VALUE"""),1.11)</f>
        <v>1.11</v>
      </c>
      <c r="E8768" s="16">
        <f>IFERROR(__xludf.DUMMYFUNCTION("""COMPUTED_VALUE"""),64.0)</f>
        <v>64</v>
      </c>
      <c r="F8768" s="19" t="str">
        <f>IFERROR(__xludf.DUMMYFUNCTION("""COMPUTED_VALUE"""),"BLACK")</f>
        <v>BLACK</v>
      </c>
      <c r="G8768" s="20" t="str">
        <f>IFERROR(__xludf.DUMMYFUNCTION("""COMPUTED_VALUE"""),"Uncle Sams Cider (11/12/2021) 02")</f>
        <v>Uncle Sams Cider (11/12/2021) 02</v>
      </c>
      <c r="H8768" s="19"/>
    </row>
    <row r="8769">
      <c r="A8769" s="9"/>
      <c r="B8769" s="15"/>
      <c r="C8769" s="9">
        <f>IFERROR(__xludf.DUMMYFUNCTION("""COMPUTED_VALUE"""),44513.1617469791)</f>
        <v>44513.16175</v>
      </c>
      <c r="D8769" s="15">
        <f>IFERROR(__xludf.DUMMYFUNCTION("""COMPUTED_VALUE"""),1.109)</f>
        <v>1.109</v>
      </c>
      <c r="E8769" s="16">
        <f>IFERROR(__xludf.DUMMYFUNCTION("""COMPUTED_VALUE"""),64.0)</f>
        <v>64</v>
      </c>
      <c r="F8769" s="19" t="str">
        <f>IFERROR(__xludf.DUMMYFUNCTION("""COMPUTED_VALUE"""),"BLACK")</f>
        <v>BLACK</v>
      </c>
      <c r="G8769" s="20" t="str">
        <f>IFERROR(__xludf.DUMMYFUNCTION("""COMPUTED_VALUE"""),"Uncle Sams Cider (11/12/2021) 02")</f>
        <v>Uncle Sams Cider (11/12/2021) 02</v>
      </c>
      <c r="H8769" s="19"/>
    </row>
    <row r="8770">
      <c r="A8770" s="9"/>
      <c r="B8770" s="15"/>
      <c r="C8770" s="9">
        <f>IFERROR(__xludf.DUMMYFUNCTION("""COMPUTED_VALUE"""),44513.1512905902)</f>
        <v>44513.15129</v>
      </c>
      <c r="D8770" s="15">
        <f>IFERROR(__xludf.DUMMYFUNCTION("""COMPUTED_VALUE"""),1.11)</f>
        <v>1.11</v>
      </c>
      <c r="E8770" s="16">
        <f>IFERROR(__xludf.DUMMYFUNCTION("""COMPUTED_VALUE"""),64.0)</f>
        <v>64</v>
      </c>
      <c r="F8770" s="19" t="str">
        <f>IFERROR(__xludf.DUMMYFUNCTION("""COMPUTED_VALUE"""),"BLACK")</f>
        <v>BLACK</v>
      </c>
      <c r="G8770" s="20" t="str">
        <f>IFERROR(__xludf.DUMMYFUNCTION("""COMPUTED_VALUE"""),"Uncle Sams Cider (11/12/2021) 02")</f>
        <v>Uncle Sams Cider (11/12/2021) 02</v>
      </c>
      <c r="H8770" s="19"/>
    </row>
    <row r="8771">
      <c r="A8771" s="9"/>
      <c r="B8771" s="15"/>
      <c r="C8771" s="9">
        <f>IFERROR(__xludf.DUMMYFUNCTION("""COMPUTED_VALUE"""),44513.1408567245)</f>
        <v>44513.14086</v>
      </c>
      <c r="D8771" s="15">
        <f>IFERROR(__xludf.DUMMYFUNCTION("""COMPUTED_VALUE"""),1.11)</f>
        <v>1.11</v>
      </c>
      <c r="E8771" s="16">
        <f>IFERROR(__xludf.DUMMYFUNCTION("""COMPUTED_VALUE"""),64.0)</f>
        <v>64</v>
      </c>
      <c r="F8771" s="19" t="str">
        <f>IFERROR(__xludf.DUMMYFUNCTION("""COMPUTED_VALUE"""),"BLACK")</f>
        <v>BLACK</v>
      </c>
      <c r="G8771" s="20" t="str">
        <f>IFERROR(__xludf.DUMMYFUNCTION("""COMPUTED_VALUE"""),"Uncle Sams Cider (11/12/2021) 02")</f>
        <v>Uncle Sams Cider (11/12/2021) 02</v>
      </c>
      <c r="H8771" s="19"/>
    </row>
    <row r="8772">
      <c r="A8772" s="9"/>
      <c r="B8772" s="15"/>
      <c r="C8772" s="9">
        <f>IFERROR(__xludf.DUMMYFUNCTION("""COMPUTED_VALUE"""),44513.1304232523)</f>
        <v>44513.13042</v>
      </c>
      <c r="D8772" s="15">
        <f>IFERROR(__xludf.DUMMYFUNCTION("""COMPUTED_VALUE"""),1.11)</f>
        <v>1.11</v>
      </c>
      <c r="E8772" s="16">
        <f>IFERROR(__xludf.DUMMYFUNCTION("""COMPUTED_VALUE"""),64.0)</f>
        <v>64</v>
      </c>
      <c r="F8772" s="19" t="str">
        <f>IFERROR(__xludf.DUMMYFUNCTION("""COMPUTED_VALUE"""),"BLACK")</f>
        <v>BLACK</v>
      </c>
      <c r="G8772" s="20" t="str">
        <f>IFERROR(__xludf.DUMMYFUNCTION("""COMPUTED_VALUE"""),"Uncle Sams Cider (11/12/2021) 02")</f>
        <v>Uncle Sams Cider (11/12/2021) 02</v>
      </c>
      <c r="H8772" s="19"/>
    </row>
    <row r="8773">
      <c r="A8773" s="9"/>
      <c r="B8773" s="15"/>
      <c r="C8773" s="9">
        <f>IFERROR(__xludf.DUMMYFUNCTION("""COMPUTED_VALUE"""),44513.1199782986)</f>
        <v>44513.11998</v>
      </c>
      <c r="D8773" s="15">
        <f>IFERROR(__xludf.DUMMYFUNCTION("""COMPUTED_VALUE"""),1.11)</f>
        <v>1.11</v>
      </c>
      <c r="E8773" s="16">
        <f>IFERROR(__xludf.DUMMYFUNCTION("""COMPUTED_VALUE"""),64.0)</f>
        <v>64</v>
      </c>
      <c r="F8773" s="19" t="str">
        <f>IFERROR(__xludf.DUMMYFUNCTION("""COMPUTED_VALUE"""),"BLACK")</f>
        <v>BLACK</v>
      </c>
      <c r="G8773" s="20" t="str">
        <f>IFERROR(__xludf.DUMMYFUNCTION("""COMPUTED_VALUE"""),"Uncle Sams Cider (11/12/2021) 02")</f>
        <v>Uncle Sams Cider (11/12/2021) 02</v>
      </c>
      <c r="H8773" s="19"/>
    </row>
    <row r="8774">
      <c r="A8774" s="9"/>
      <c r="B8774" s="15"/>
      <c r="C8774" s="9">
        <f>IFERROR(__xludf.DUMMYFUNCTION("""COMPUTED_VALUE"""),44513.109522037)</f>
        <v>44513.10952</v>
      </c>
      <c r="D8774" s="15">
        <f>IFERROR(__xludf.DUMMYFUNCTION("""COMPUTED_VALUE"""),1.11)</f>
        <v>1.11</v>
      </c>
      <c r="E8774" s="16">
        <f>IFERROR(__xludf.DUMMYFUNCTION("""COMPUTED_VALUE"""),64.0)</f>
        <v>64</v>
      </c>
      <c r="F8774" s="19" t="str">
        <f>IFERROR(__xludf.DUMMYFUNCTION("""COMPUTED_VALUE"""),"BLACK")</f>
        <v>BLACK</v>
      </c>
      <c r="G8774" s="20" t="str">
        <f>IFERROR(__xludf.DUMMYFUNCTION("""COMPUTED_VALUE"""),"Uncle Sams Cider (11/12/2021) 02")</f>
        <v>Uncle Sams Cider (11/12/2021) 02</v>
      </c>
      <c r="H8774" s="19"/>
    </row>
    <row r="8775">
      <c r="A8775" s="9"/>
      <c r="B8775" s="15"/>
      <c r="C8775" s="9">
        <f>IFERROR(__xludf.DUMMYFUNCTION("""COMPUTED_VALUE"""),44513.099101331)</f>
        <v>44513.0991</v>
      </c>
      <c r="D8775" s="15">
        <f>IFERROR(__xludf.DUMMYFUNCTION("""COMPUTED_VALUE"""),1.11)</f>
        <v>1.11</v>
      </c>
      <c r="E8775" s="16">
        <f>IFERROR(__xludf.DUMMYFUNCTION("""COMPUTED_VALUE"""),64.0)</f>
        <v>64</v>
      </c>
      <c r="F8775" s="19" t="str">
        <f>IFERROR(__xludf.DUMMYFUNCTION("""COMPUTED_VALUE"""),"BLACK")</f>
        <v>BLACK</v>
      </c>
      <c r="G8775" s="20" t="str">
        <f>IFERROR(__xludf.DUMMYFUNCTION("""COMPUTED_VALUE"""),"Uncle Sams Cider (11/12/2021) 02")</f>
        <v>Uncle Sams Cider (11/12/2021) 02</v>
      </c>
      <c r="H8775" s="19"/>
    </row>
    <row r="8776">
      <c r="A8776" s="9"/>
      <c r="B8776" s="15"/>
      <c r="C8776" s="9">
        <f>IFERROR(__xludf.DUMMYFUNCTION("""COMPUTED_VALUE"""),44513.0886672106)</f>
        <v>44513.08867</v>
      </c>
      <c r="D8776" s="15">
        <f>IFERROR(__xludf.DUMMYFUNCTION("""COMPUTED_VALUE"""),1.11)</f>
        <v>1.11</v>
      </c>
      <c r="E8776" s="16">
        <f>IFERROR(__xludf.DUMMYFUNCTION("""COMPUTED_VALUE"""),64.0)</f>
        <v>64</v>
      </c>
      <c r="F8776" s="19" t="str">
        <f>IFERROR(__xludf.DUMMYFUNCTION("""COMPUTED_VALUE"""),"BLACK")</f>
        <v>BLACK</v>
      </c>
      <c r="G8776" s="20" t="str">
        <f>IFERROR(__xludf.DUMMYFUNCTION("""COMPUTED_VALUE"""),"Uncle Sams Cider (11/12/2021) 02")</f>
        <v>Uncle Sams Cider (11/12/2021) 02</v>
      </c>
      <c r="H8776" s="19"/>
    </row>
    <row r="8777">
      <c r="A8777" s="9"/>
      <c r="B8777" s="15"/>
      <c r="C8777" s="9">
        <f>IFERROR(__xludf.DUMMYFUNCTION("""COMPUTED_VALUE"""),44513.0782345949)</f>
        <v>44513.07823</v>
      </c>
      <c r="D8777" s="15">
        <f>IFERROR(__xludf.DUMMYFUNCTION("""COMPUTED_VALUE"""),1.109)</f>
        <v>1.109</v>
      </c>
      <c r="E8777" s="16">
        <f>IFERROR(__xludf.DUMMYFUNCTION("""COMPUTED_VALUE"""),64.0)</f>
        <v>64</v>
      </c>
      <c r="F8777" s="19" t="str">
        <f>IFERROR(__xludf.DUMMYFUNCTION("""COMPUTED_VALUE"""),"BLACK")</f>
        <v>BLACK</v>
      </c>
      <c r="G8777" s="20" t="str">
        <f>IFERROR(__xludf.DUMMYFUNCTION("""COMPUTED_VALUE"""),"Uncle Sams Cider (11/12/2021) 02")</f>
        <v>Uncle Sams Cider (11/12/2021) 02</v>
      </c>
      <c r="H8777" s="19"/>
    </row>
    <row r="8778">
      <c r="A8778" s="9"/>
      <c r="B8778" s="15"/>
      <c r="C8778" s="9">
        <f>IFERROR(__xludf.DUMMYFUNCTION("""COMPUTED_VALUE"""),44513.0678145254)</f>
        <v>44513.06781</v>
      </c>
      <c r="D8778" s="15">
        <f>IFERROR(__xludf.DUMMYFUNCTION("""COMPUTED_VALUE"""),1.109)</f>
        <v>1.109</v>
      </c>
      <c r="E8778" s="16">
        <f>IFERROR(__xludf.DUMMYFUNCTION("""COMPUTED_VALUE"""),64.0)</f>
        <v>64</v>
      </c>
      <c r="F8778" s="19" t="str">
        <f>IFERROR(__xludf.DUMMYFUNCTION("""COMPUTED_VALUE"""),"BLACK")</f>
        <v>BLACK</v>
      </c>
      <c r="G8778" s="20" t="str">
        <f>IFERROR(__xludf.DUMMYFUNCTION("""COMPUTED_VALUE"""),"Uncle Sams Cider (11/12/2021) 02")</f>
        <v>Uncle Sams Cider (11/12/2021) 02</v>
      </c>
      <c r="H8778" s="19"/>
    </row>
    <row r="8779">
      <c r="A8779" s="9"/>
      <c r="B8779" s="15"/>
      <c r="C8779" s="9">
        <f>IFERROR(__xludf.DUMMYFUNCTION("""COMPUTED_VALUE"""),44513.0573477199)</f>
        <v>44513.05735</v>
      </c>
      <c r="D8779" s="15">
        <f>IFERROR(__xludf.DUMMYFUNCTION("""COMPUTED_VALUE"""),1.109)</f>
        <v>1.109</v>
      </c>
      <c r="E8779" s="16">
        <f>IFERROR(__xludf.DUMMYFUNCTION("""COMPUTED_VALUE"""),64.0)</f>
        <v>64</v>
      </c>
      <c r="F8779" s="19" t="str">
        <f>IFERROR(__xludf.DUMMYFUNCTION("""COMPUTED_VALUE"""),"BLACK")</f>
        <v>BLACK</v>
      </c>
      <c r="G8779" s="20" t="str">
        <f>IFERROR(__xludf.DUMMYFUNCTION("""COMPUTED_VALUE"""),"Uncle Sams Cider (11/12/2021) 02")</f>
        <v>Uncle Sams Cider (11/12/2021) 02</v>
      </c>
      <c r="H8779" s="19"/>
    </row>
    <row r="8780">
      <c r="A8780" s="9"/>
      <c r="B8780" s="15"/>
      <c r="C8780" s="9">
        <f>IFERROR(__xludf.DUMMYFUNCTION("""COMPUTED_VALUE"""),44513.046902743)</f>
        <v>44513.0469</v>
      </c>
      <c r="D8780" s="15">
        <f>IFERROR(__xludf.DUMMYFUNCTION("""COMPUTED_VALUE"""),1.109)</f>
        <v>1.109</v>
      </c>
      <c r="E8780" s="16">
        <f>IFERROR(__xludf.DUMMYFUNCTION("""COMPUTED_VALUE"""),65.0)</f>
        <v>65</v>
      </c>
      <c r="F8780" s="19" t="str">
        <f>IFERROR(__xludf.DUMMYFUNCTION("""COMPUTED_VALUE"""),"BLACK")</f>
        <v>BLACK</v>
      </c>
      <c r="G8780" s="20" t="str">
        <f>IFERROR(__xludf.DUMMYFUNCTION("""COMPUTED_VALUE"""),"Uncle Sams Cider (11/12/2021) 02")</f>
        <v>Uncle Sams Cider (11/12/2021) 02</v>
      </c>
      <c r="H8780" s="19"/>
    </row>
    <row r="8781">
      <c r="A8781" s="9"/>
      <c r="B8781" s="15"/>
      <c r="C8781" s="9">
        <f>IFERROR(__xludf.DUMMYFUNCTION("""COMPUTED_VALUE"""),44513.0364692129)</f>
        <v>44513.03647</v>
      </c>
      <c r="D8781" s="15">
        <f>IFERROR(__xludf.DUMMYFUNCTION("""COMPUTED_VALUE"""),1.109)</f>
        <v>1.109</v>
      </c>
      <c r="E8781" s="16">
        <f>IFERROR(__xludf.DUMMYFUNCTION("""COMPUTED_VALUE"""),64.0)</f>
        <v>64</v>
      </c>
      <c r="F8781" s="19" t="str">
        <f>IFERROR(__xludf.DUMMYFUNCTION("""COMPUTED_VALUE"""),"BLACK")</f>
        <v>BLACK</v>
      </c>
      <c r="G8781" s="20" t="str">
        <f>IFERROR(__xludf.DUMMYFUNCTION("""COMPUTED_VALUE"""),"Uncle Sams Cider (11/12/2021) 02")</f>
        <v>Uncle Sams Cider (11/12/2021) 02</v>
      </c>
      <c r="H8781" s="19"/>
    </row>
    <row r="8782">
      <c r="A8782" s="9"/>
      <c r="B8782" s="15"/>
      <c r="C8782" s="9">
        <f>IFERROR(__xludf.DUMMYFUNCTION("""COMPUTED_VALUE"""),44513.0260485995)</f>
        <v>44513.02605</v>
      </c>
      <c r="D8782" s="15">
        <f>IFERROR(__xludf.DUMMYFUNCTION("""COMPUTED_VALUE"""),1.109)</f>
        <v>1.109</v>
      </c>
      <c r="E8782" s="16">
        <f>IFERROR(__xludf.DUMMYFUNCTION("""COMPUTED_VALUE"""),64.0)</f>
        <v>64</v>
      </c>
      <c r="F8782" s="19" t="str">
        <f>IFERROR(__xludf.DUMMYFUNCTION("""COMPUTED_VALUE"""),"BLACK")</f>
        <v>BLACK</v>
      </c>
      <c r="G8782" s="20" t="str">
        <f>IFERROR(__xludf.DUMMYFUNCTION("""COMPUTED_VALUE"""),"Uncle Sams Cider (11/12/2021) 02")</f>
        <v>Uncle Sams Cider (11/12/2021) 02</v>
      </c>
      <c r="H8782" s="19"/>
    </row>
    <row r="8783">
      <c r="A8783" s="9"/>
      <c r="B8783" s="15"/>
      <c r="C8783" s="9">
        <f>IFERROR(__xludf.DUMMYFUNCTION("""COMPUTED_VALUE"""),44513.01551125)</f>
        <v>44513.01551</v>
      </c>
      <c r="D8783" s="15">
        <f>IFERROR(__xludf.DUMMYFUNCTION("""COMPUTED_VALUE"""),1.109)</f>
        <v>1.109</v>
      </c>
      <c r="E8783" s="16">
        <f>IFERROR(__xludf.DUMMYFUNCTION("""COMPUTED_VALUE"""),64.0)</f>
        <v>64</v>
      </c>
      <c r="F8783" s="19" t="str">
        <f>IFERROR(__xludf.DUMMYFUNCTION("""COMPUTED_VALUE"""),"BLACK")</f>
        <v>BLACK</v>
      </c>
      <c r="G8783" s="20" t="str">
        <f>IFERROR(__xludf.DUMMYFUNCTION("""COMPUTED_VALUE"""),"Uncle Sams Cider (11/12/2021) 02")</f>
        <v>Uncle Sams Cider (11/12/2021) 02</v>
      </c>
      <c r="H8783" s="19"/>
    </row>
    <row r="8784">
      <c r="A8784" s="9"/>
      <c r="B8784" s="15"/>
      <c r="C8784" s="9">
        <f>IFERROR(__xludf.DUMMYFUNCTION("""COMPUTED_VALUE"""),44513.0050906828)</f>
        <v>44513.00509</v>
      </c>
      <c r="D8784" s="15">
        <f>IFERROR(__xludf.DUMMYFUNCTION("""COMPUTED_VALUE"""),1.109)</f>
        <v>1.109</v>
      </c>
      <c r="E8784" s="16">
        <f>IFERROR(__xludf.DUMMYFUNCTION("""COMPUTED_VALUE"""),65.0)</f>
        <v>65</v>
      </c>
      <c r="F8784" s="19" t="str">
        <f>IFERROR(__xludf.DUMMYFUNCTION("""COMPUTED_VALUE"""),"BLACK")</f>
        <v>BLACK</v>
      </c>
      <c r="G8784" s="20" t="str">
        <f>IFERROR(__xludf.DUMMYFUNCTION("""COMPUTED_VALUE"""),"Uncle Sams Cider (11/12/2021) 02")</f>
        <v>Uncle Sams Cider (11/12/2021) 02</v>
      </c>
      <c r="H8784" s="19"/>
    </row>
    <row r="8785">
      <c r="A8785" s="9"/>
      <c r="B8785" s="15"/>
      <c r="C8785" s="9">
        <f>IFERROR(__xludf.DUMMYFUNCTION("""COMPUTED_VALUE"""),44512.9946578935)</f>
        <v>44512.99466</v>
      </c>
      <c r="D8785" s="15">
        <f>IFERROR(__xludf.DUMMYFUNCTION("""COMPUTED_VALUE"""),1.109)</f>
        <v>1.109</v>
      </c>
      <c r="E8785" s="16">
        <f>IFERROR(__xludf.DUMMYFUNCTION("""COMPUTED_VALUE"""),65.0)</f>
        <v>65</v>
      </c>
      <c r="F8785" s="19" t="str">
        <f>IFERROR(__xludf.DUMMYFUNCTION("""COMPUTED_VALUE"""),"BLACK")</f>
        <v>BLACK</v>
      </c>
      <c r="G8785" s="20" t="str">
        <f>IFERROR(__xludf.DUMMYFUNCTION("""COMPUTED_VALUE"""),"Uncle Sams Cider (11/12/2021) 02")</f>
        <v>Uncle Sams Cider (11/12/2021) 02</v>
      </c>
      <c r="H8785" s="19"/>
    </row>
    <row r="8786">
      <c r="A8786" s="9"/>
      <c r="B8786" s="15"/>
      <c r="C8786" s="9">
        <f>IFERROR(__xludf.DUMMYFUNCTION("""COMPUTED_VALUE"""),44512.98422478)</f>
        <v>44512.98422</v>
      </c>
      <c r="D8786" s="15">
        <f>IFERROR(__xludf.DUMMYFUNCTION("""COMPUTED_VALUE"""),1.109)</f>
        <v>1.109</v>
      </c>
      <c r="E8786" s="16">
        <f>IFERROR(__xludf.DUMMYFUNCTION("""COMPUTED_VALUE"""),65.0)</f>
        <v>65</v>
      </c>
      <c r="F8786" s="19" t="str">
        <f>IFERROR(__xludf.DUMMYFUNCTION("""COMPUTED_VALUE"""),"BLACK")</f>
        <v>BLACK</v>
      </c>
      <c r="G8786" s="20" t="str">
        <f>IFERROR(__xludf.DUMMYFUNCTION("""COMPUTED_VALUE"""),"Uncle Sams Cider (11/12/2021) 02")</f>
        <v>Uncle Sams Cider (11/12/2021) 02</v>
      </c>
      <c r="H8786" s="19"/>
    </row>
    <row r="8787">
      <c r="A8787" s="9"/>
      <c r="B8787" s="15"/>
      <c r="C8787" s="9">
        <f>IFERROR(__xludf.DUMMYFUNCTION("""COMPUTED_VALUE"""),44512.9738048842)</f>
        <v>44512.9738</v>
      </c>
      <c r="D8787" s="15">
        <f>IFERROR(__xludf.DUMMYFUNCTION("""COMPUTED_VALUE"""),1.109)</f>
        <v>1.109</v>
      </c>
      <c r="E8787" s="16">
        <f>IFERROR(__xludf.DUMMYFUNCTION("""COMPUTED_VALUE"""),65.0)</f>
        <v>65</v>
      </c>
      <c r="F8787" s="19" t="str">
        <f>IFERROR(__xludf.DUMMYFUNCTION("""COMPUTED_VALUE"""),"BLACK")</f>
        <v>BLACK</v>
      </c>
      <c r="G8787" s="20" t="str">
        <f>IFERROR(__xludf.DUMMYFUNCTION("""COMPUTED_VALUE"""),"Uncle Sams Cider (11/12/2021) 02")</f>
        <v>Uncle Sams Cider (11/12/2021) 02</v>
      </c>
      <c r="H8787" s="19"/>
    </row>
    <row r="8788">
      <c r="A8788" s="9"/>
      <c r="B8788" s="15"/>
      <c r="C8788" s="9">
        <f>IFERROR(__xludf.DUMMYFUNCTION("""COMPUTED_VALUE"""),44512.9633724884)</f>
        <v>44512.96337</v>
      </c>
      <c r="D8788" s="15">
        <f>IFERROR(__xludf.DUMMYFUNCTION("""COMPUTED_VALUE"""),1.109)</f>
        <v>1.109</v>
      </c>
      <c r="E8788" s="16">
        <f>IFERROR(__xludf.DUMMYFUNCTION("""COMPUTED_VALUE"""),65.0)</f>
        <v>65</v>
      </c>
      <c r="F8788" s="19" t="str">
        <f>IFERROR(__xludf.DUMMYFUNCTION("""COMPUTED_VALUE"""),"BLACK")</f>
        <v>BLACK</v>
      </c>
      <c r="G8788" s="20" t="str">
        <f>IFERROR(__xludf.DUMMYFUNCTION("""COMPUTED_VALUE"""),"Uncle Sams Cider (11/12/2021) 02")</f>
        <v>Uncle Sams Cider (11/12/2021) 02</v>
      </c>
      <c r="H8788" s="19"/>
    </row>
    <row r="8789">
      <c r="A8789" s="9"/>
      <c r="B8789" s="15"/>
      <c r="C8789" s="9">
        <f>IFERROR(__xludf.DUMMYFUNCTION("""COMPUTED_VALUE"""),44512.9528804976)</f>
        <v>44512.95288</v>
      </c>
      <c r="D8789" s="15">
        <f>IFERROR(__xludf.DUMMYFUNCTION("""COMPUTED_VALUE"""),1.109)</f>
        <v>1.109</v>
      </c>
      <c r="E8789" s="16">
        <f>IFERROR(__xludf.DUMMYFUNCTION("""COMPUTED_VALUE"""),65.0)</f>
        <v>65</v>
      </c>
      <c r="F8789" s="19" t="str">
        <f>IFERROR(__xludf.DUMMYFUNCTION("""COMPUTED_VALUE"""),"BLACK")</f>
        <v>BLACK</v>
      </c>
      <c r="G8789" s="20" t="str">
        <f>IFERROR(__xludf.DUMMYFUNCTION("""COMPUTED_VALUE"""),"Uncle Sams Cider (11/12/2021) 02")</f>
        <v>Uncle Sams Cider (11/12/2021) 02</v>
      </c>
      <c r="H8789" s="19"/>
    </row>
    <row r="8790">
      <c r="A8790" s="9"/>
      <c r="B8790" s="15"/>
      <c r="C8790" s="9">
        <f>IFERROR(__xludf.DUMMYFUNCTION("""COMPUTED_VALUE"""),44512.9424606828)</f>
        <v>44512.94246</v>
      </c>
      <c r="D8790" s="15">
        <f>IFERROR(__xludf.DUMMYFUNCTION("""COMPUTED_VALUE"""),1.109)</f>
        <v>1.109</v>
      </c>
      <c r="E8790" s="16">
        <f>IFERROR(__xludf.DUMMYFUNCTION("""COMPUTED_VALUE"""),65.0)</f>
        <v>65</v>
      </c>
      <c r="F8790" s="19" t="str">
        <f>IFERROR(__xludf.DUMMYFUNCTION("""COMPUTED_VALUE"""),"BLACK")</f>
        <v>BLACK</v>
      </c>
      <c r="G8790" s="20" t="str">
        <f>IFERROR(__xludf.DUMMYFUNCTION("""COMPUTED_VALUE"""),"Uncle Sams Cider (11/12/2021) 02")</f>
        <v>Uncle Sams Cider (11/12/2021) 02</v>
      </c>
      <c r="H8790" s="19"/>
    </row>
    <row r="8791">
      <c r="A8791" s="9"/>
      <c r="B8791" s="15"/>
      <c r="C8791" s="9">
        <f>IFERROR(__xludf.DUMMYFUNCTION("""COMPUTED_VALUE"""),44512.9320296527)</f>
        <v>44512.93203</v>
      </c>
      <c r="D8791" s="15">
        <f>IFERROR(__xludf.DUMMYFUNCTION("""COMPUTED_VALUE"""),1.109)</f>
        <v>1.109</v>
      </c>
      <c r="E8791" s="16">
        <f>IFERROR(__xludf.DUMMYFUNCTION("""COMPUTED_VALUE"""),65.0)</f>
        <v>65</v>
      </c>
      <c r="F8791" s="19" t="str">
        <f>IFERROR(__xludf.DUMMYFUNCTION("""COMPUTED_VALUE"""),"BLACK")</f>
        <v>BLACK</v>
      </c>
      <c r="G8791" s="20" t="str">
        <f>IFERROR(__xludf.DUMMYFUNCTION("""COMPUTED_VALUE"""),"Uncle Sams Cider (11/12/2021) 02")</f>
        <v>Uncle Sams Cider (11/12/2021) 02</v>
      </c>
      <c r="H8791" s="19"/>
    </row>
    <row r="8792">
      <c r="A8792" s="9"/>
      <c r="B8792" s="15"/>
      <c r="C8792" s="9">
        <f>IFERROR(__xludf.DUMMYFUNCTION("""COMPUTED_VALUE"""),44512.9215969097)</f>
        <v>44512.9216</v>
      </c>
      <c r="D8792" s="15">
        <f>IFERROR(__xludf.DUMMYFUNCTION("""COMPUTED_VALUE"""),1.109)</f>
        <v>1.109</v>
      </c>
      <c r="E8792" s="16">
        <f>IFERROR(__xludf.DUMMYFUNCTION("""COMPUTED_VALUE"""),65.0)</f>
        <v>65</v>
      </c>
      <c r="F8792" s="19" t="str">
        <f>IFERROR(__xludf.DUMMYFUNCTION("""COMPUTED_VALUE"""),"BLACK")</f>
        <v>BLACK</v>
      </c>
      <c r="G8792" s="20" t="str">
        <f>IFERROR(__xludf.DUMMYFUNCTION("""COMPUTED_VALUE"""),"Uncle Sams Cider (11/12/2021) 02")</f>
        <v>Uncle Sams Cider (11/12/2021) 02</v>
      </c>
      <c r="H8792" s="19"/>
    </row>
    <row r="8793">
      <c r="A8793" s="9"/>
      <c r="B8793" s="15"/>
      <c r="C8793" s="9">
        <f>IFERROR(__xludf.DUMMYFUNCTION("""COMPUTED_VALUE"""),44512.9111762037)</f>
        <v>44512.91118</v>
      </c>
      <c r="D8793" s="15">
        <f>IFERROR(__xludf.DUMMYFUNCTION("""COMPUTED_VALUE"""),1.109)</f>
        <v>1.109</v>
      </c>
      <c r="E8793" s="16">
        <f>IFERROR(__xludf.DUMMYFUNCTION("""COMPUTED_VALUE"""),65.0)</f>
        <v>65</v>
      </c>
      <c r="F8793" s="19" t="str">
        <f>IFERROR(__xludf.DUMMYFUNCTION("""COMPUTED_VALUE"""),"BLACK")</f>
        <v>BLACK</v>
      </c>
      <c r="G8793" s="20" t="str">
        <f>IFERROR(__xludf.DUMMYFUNCTION("""COMPUTED_VALUE"""),"Uncle Sams Cider (11/12/2021) 02")</f>
        <v>Uncle Sams Cider (11/12/2021) 02</v>
      </c>
      <c r="H8793" s="19"/>
    </row>
    <row r="8794">
      <c r="A8794" s="9"/>
      <c r="B8794" s="15"/>
      <c r="C8794" s="9">
        <f>IFERROR(__xludf.DUMMYFUNCTION("""COMPUTED_VALUE"""),44512.9007447337)</f>
        <v>44512.90074</v>
      </c>
      <c r="D8794" s="15">
        <f>IFERROR(__xludf.DUMMYFUNCTION("""COMPUTED_VALUE"""),1.109)</f>
        <v>1.109</v>
      </c>
      <c r="E8794" s="16">
        <f>IFERROR(__xludf.DUMMYFUNCTION("""COMPUTED_VALUE"""),65.0)</f>
        <v>65</v>
      </c>
      <c r="F8794" s="19" t="str">
        <f>IFERROR(__xludf.DUMMYFUNCTION("""COMPUTED_VALUE"""),"BLACK")</f>
        <v>BLACK</v>
      </c>
      <c r="G8794" s="20" t="str">
        <f>IFERROR(__xludf.DUMMYFUNCTION("""COMPUTED_VALUE"""),"Uncle Sams Cider (11/12/2021) 02")</f>
        <v>Uncle Sams Cider (11/12/2021) 02</v>
      </c>
      <c r="H8794" s="19"/>
    </row>
    <row r="8795">
      <c r="A8795" s="9"/>
      <c r="B8795" s="15"/>
      <c r="C8795" s="9">
        <f>IFERROR(__xludf.DUMMYFUNCTION("""COMPUTED_VALUE"""),44512.890323449)</f>
        <v>44512.89032</v>
      </c>
      <c r="D8795" s="15">
        <f>IFERROR(__xludf.DUMMYFUNCTION("""COMPUTED_VALUE"""),1.109)</f>
        <v>1.109</v>
      </c>
      <c r="E8795" s="16">
        <f>IFERROR(__xludf.DUMMYFUNCTION("""COMPUTED_VALUE"""),65.0)</f>
        <v>65</v>
      </c>
      <c r="F8795" s="19" t="str">
        <f>IFERROR(__xludf.DUMMYFUNCTION("""COMPUTED_VALUE"""),"BLACK")</f>
        <v>BLACK</v>
      </c>
      <c r="G8795" s="20" t="str">
        <f>IFERROR(__xludf.DUMMYFUNCTION("""COMPUTED_VALUE"""),"Uncle Sams Cider (11/12/2021) 02")</f>
        <v>Uncle Sams Cider (11/12/2021) 02</v>
      </c>
      <c r="H8795" s="19"/>
    </row>
    <row r="8796">
      <c r="A8796" s="9"/>
      <c r="B8796" s="15"/>
      <c r="C8796" s="9">
        <f>IFERROR(__xludf.DUMMYFUNCTION("""COMPUTED_VALUE"""),44512.8798893286)</f>
        <v>44512.87989</v>
      </c>
      <c r="D8796" s="15">
        <f>IFERROR(__xludf.DUMMYFUNCTION("""COMPUTED_VALUE"""),1.109)</f>
        <v>1.109</v>
      </c>
      <c r="E8796" s="16">
        <f>IFERROR(__xludf.DUMMYFUNCTION("""COMPUTED_VALUE"""),64.0)</f>
        <v>64</v>
      </c>
      <c r="F8796" s="19" t="str">
        <f>IFERROR(__xludf.DUMMYFUNCTION("""COMPUTED_VALUE"""),"BLACK")</f>
        <v>BLACK</v>
      </c>
      <c r="G8796" s="20" t="str">
        <f>IFERROR(__xludf.DUMMYFUNCTION("""COMPUTED_VALUE"""),"Uncle Sams Cider (11/12/2021) 02")</f>
        <v>Uncle Sams Cider (11/12/2021) 02</v>
      </c>
      <c r="H8796" s="19"/>
    </row>
    <row r="8797">
      <c r="A8797" s="9"/>
      <c r="B8797" s="15"/>
      <c r="C8797" s="9">
        <f>IFERROR(__xludf.DUMMYFUNCTION("""COMPUTED_VALUE"""),44512.8694688194)</f>
        <v>44512.86947</v>
      </c>
      <c r="D8797" s="15">
        <f>IFERROR(__xludf.DUMMYFUNCTION("""COMPUTED_VALUE"""),1.109)</f>
        <v>1.109</v>
      </c>
      <c r="E8797" s="16">
        <f>IFERROR(__xludf.DUMMYFUNCTION("""COMPUTED_VALUE"""),64.0)</f>
        <v>64</v>
      </c>
      <c r="F8797" s="19" t="str">
        <f>IFERROR(__xludf.DUMMYFUNCTION("""COMPUTED_VALUE"""),"BLACK")</f>
        <v>BLACK</v>
      </c>
      <c r="G8797" s="20" t="str">
        <f>IFERROR(__xludf.DUMMYFUNCTION("""COMPUTED_VALUE"""),"Uncle Sams Cider (11/12/2021) 02")</f>
        <v>Uncle Sams Cider (11/12/2021) 02</v>
      </c>
      <c r="H8797" s="19"/>
    </row>
    <row r="8798">
      <c r="A8798" s="9"/>
      <c r="B8798" s="15"/>
      <c r="C8798" s="9">
        <f>IFERROR(__xludf.DUMMYFUNCTION("""COMPUTED_VALUE"""),44512.8590475)</f>
        <v>44512.85905</v>
      </c>
      <c r="D8798" s="15">
        <f>IFERROR(__xludf.DUMMYFUNCTION("""COMPUTED_VALUE"""),1.109)</f>
        <v>1.109</v>
      </c>
      <c r="E8798" s="16">
        <f>IFERROR(__xludf.DUMMYFUNCTION("""COMPUTED_VALUE"""),65.0)</f>
        <v>65</v>
      </c>
      <c r="F8798" s="19" t="str">
        <f>IFERROR(__xludf.DUMMYFUNCTION("""COMPUTED_VALUE"""),"BLACK")</f>
        <v>BLACK</v>
      </c>
      <c r="G8798" s="20" t="str">
        <f>IFERROR(__xludf.DUMMYFUNCTION("""COMPUTED_VALUE"""),"Uncle Sams Cider (11/12/2021) 02")</f>
        <v>Uncle Sams Cider (11/12/2021) 02</v>
      </c>
      <c r="H8798" s="19"/>
    </row>
    <row r="8799">
      <c r="A8799" s="9"/>
      <c r="B8799" s="15"/>
      <c r="C8799" s="9">
        <f>IFERROR(__xludf.DUMMYFUNCTION("""COMPUTED_VALUE"""),44512.8486271759)</f>
        <v>44512.84863</v>
      </c>
      <c r="D8799" s="15">
        <f>IFERROR(__xludf.DUMMYFUNCTION("""COMPUTED_VALUE"""),1.109)</f>
        <v>1.109</v>
      </c>
      <c r="E8799" s="16">
        <f>IFERROR(__xludf.DUMMYFUNCTION("""COMPUTED_VALUE"""),66.0)</f>
        <v>66</v>
      </c>
      <c r="F8799" s="19" t="str">
        <f>IFERROR(__xludf.DUMMYFUNCTION("""COMPUTED_VALUE"""),"BLACK")</f>
        <v>BLACK</v>
      </c>
      <c r="G8799" s="20" t="str">
        <f>IFERROR(__xludf.DUMMYFUNCTION("""COMPUTED_VALUE"""),"Uncle Sams Cider (11/12/2021) 02")</f>
        <v>Uncle Sams Cider (11/12/2021) 02</v>
      </c>
      <c r="H8799" s="19"/>
    </row>
    <row r="8800">
      <c r="A8800" s="9"/>
      <c r="B8800" s="15"/>
      <c r="C8800" s="9">
        <f>IFERROR(__xludf.DUMMYFUNCTION("""COMPUTED_VALUE"""),44512.8381933333)</f>
        <v>44512.83819</v>
      </c>
      <c r="D8800" s="15">
        <f>IFERROR(__xludf.DUMMYFUNCTION("""COMPUTED_VALUE"""),1.109)</f>
        <v>1.109</v>
      </c>
      <c r="E8800" s="16">
        <f>IFERROR(__xludf.DUMMYFUNCTION("""COMPUTED_VALUE"""),68.0)</f>
        <v>68</v>
      </c>
      <c r="F8800" s="19" t="str">
        <f>IFERROR(__xludf.DUMMYFUNCTION("""COMPUTED_VALUE"""),"BLACK")</f>
        <v>BLACK</v>
      </c>
      <c r="G8800" s="20" t="str">
        <f>IFERROR(__xludf.DUMMYFUNCTION("""COMPUTED_VALUE"""),"Uncle Sams Cider (11/12/2021) 02")</f>
        <v>Uncle Sams Cider (11/12/2021) 02</v>
      </c>
      <c r="H8800" s="19"/>
    </row>
    <row r="8801">
      <c r="A8801" s="9"/>
      <c r="B8801" s="15"/>
      <c r="C8801" s="9">
        <f>IFERROR(__xludf.DUMMYFUNCTION("""COMPUTED_VALUE"""),44512.8277721064)</f>
        <v>44512.82777</v>
      </c>
      <c r="D8801" s="15">
        <f>IFERROR(__xludf.DUMMYFUNCTION("""COMPUTED_VALUE"""),1.109)</f>
        <v>1.109</v>
      </c>
      <c r="E8801" s="16">
        <f>IFERROR(__xludf.DUMMYFUNCTION("""COMPUTED_VALUE"""),69.0)</f>
        <v>69</v>
      </c>
      <c r="F8801" s="19" t="str">
        <f>IFERROR(__xludf.DUMMYFUNCTION("""COMPUTED_VALUE"""),"BLACK")</f>
        <v>BLACK</v>
      </c>
      <c r="G8801" s="20" t="str">
        <f>IFERROR(__xludf.DUMMYFUNCTION("""COMPUTED_VALUE"""),"Uncle Sams Cider (11/12/2021) 02")</f>
        <v>Uncle Sams Cider (11/12/2021) 02</v>
      </c>
      <c r="H8801" s="19"/>
    </row>
    <row r="8802">
      <c r="A8802" s="9"/>
      <c r="B8802" s="15"/>
      <c r="C8802" s="9">
        <f>IFERROR(__xludf.DUMMYFUNCTION("""COMPUTED_VALUE"""),44512.8173495949)</f>
        <v>44512.81735</v>
      </c>
      <c r="D8802" s="15">
        <f>IFERROR(__xludf.DUMMYFUNCTION("""COMPUTED_VALUE"""),1.109)</f>
        <v>1.109</v>
      </c>
      <c r="E8802" s="16">
        <f>IFERROR(__xludf.DUMMYFUNCTION("""COMPUTED_VALUE"""),70.0)</f>
        <v>70</v>
      </c>
      <c r="F8802" s="19" t="str">
        <f>IFERROR(__xludf.DUMMYFUNCTION("""COMPUTED_VALUE"""),"BLACK")</f>
        <v>BLACK</v>
      </c>
      <c r="G8802" s="20" t="str">
        <f>IFERROR(__xludf.DUMMYFUNCTION("""COMPUTED_VALUE"""),"Uncle Sams Cider (11/12/2021) 02")</f>
        <v>Uncle Sams Cider (11/12/2021) 02</v>
      </c>
      <c r="H8802" s="19"/>
    </row>
    <row r="8803">
      <c r="A8803" s="9"/>
      <c r="B8803" s="15"/>
      <c r="C8803" s="9">
        <f>IFERROR(__xludf.DUMMYFUNCTION("""COMPUTED_VALUE"""),44512.8160347685)</f>
        <v>44512.81603</v>
      </c>
      <c r="D8803" s="15">
        <f>IFERROR(__xludf.DUMMYFUNCTION("""COMPUTED_VALUE"""),1.109)</f>
        <v>1.109</v>
      </c>
      <c r="E8803" s="16">
        <f>IFERROR(__xludf.DUMMYFUNCTION("""COMPUTED_VALUE"""),70.0)</f>
        <v>70</v>
      </c>
      <c r="F8803" s="19" t="str">
        <f>IFERROR(__xludf.DUMMYFUNCTION("""COMPUTED_VALUE"""),"BLACK")</f>
        <v>BLACK</v>
      </c>
      <c r="G8803" s="20" t="str">
        <f>IFERROR(__xludf.DUMMYFUNCTION("""COMPUTED_VALUE"""),"Uncle Sams Cider (11/12/2021) 02")</f>
        <v>Uncle Sams Cider (11/12/2021) 02</v>
      </c>
      <c r="H8803" s="19"/>
    </row>
    <row r="8804">
      <c r="A8804" s="9"/>
      <c r="B8804" s="15"/>
      <c r="C8804" s="9"/>
      <c r="D8804" s="15"/>
      <c r="E8804" s="16"/>
      <c r="F8804" s="19"/>
      <c r="G8804" s="20"/>
      <c r="H8804" s="19"/>
    </row>
    <row r="8805">
      <c r="A8805" s="9"/>
      <c r="B8805" s="15"/>
      <c r="C8805" s="9"/>
      <c r="D8805" s="15"/>
      <c r="E8805" s="16"/>
      <c r="F8805" s="19"/>
      <c r="G8805" s="20"/>
      <c r="H8805" s="19"/>
    </row>
    <row r="8806">
      <c r="A8806" s="9"/>
      <c r="B8806" s="15"/>
      <c r="C8806" s="9"/>
      <c r="D8806" s="15"/>
      <c r="E8806" s="16"/>
      <c r="F8806" s="19"/>
      <c r="G8806" s="20"/>
      <c r="H8806" s="19"/>
    </row>
    <row r="8807">
      <c r="A8807" s="9"/>
      <c r="B8807" s="15"/>
      <c r="C8807" s="9"/>
      <c r="D8807" s="15"/>
      <c r="E8807" s="16"/>
      <c r="F8807" s="19"/>
      <c r="G8807" s="20"/>
      <c r="H8807" s="19"/>
    </row>
    <row r="8808">
      <c r="A8808" s="9"/>
      <c r="B8808" s="15"/>
      <c r="C8808" s="9"/>
      <c r="D8808" s="15"/>
      <c r="E8808" s="16"/>
      <c r="F8808" s="19"/>
      <c r="G8808" s="20"/>
      <c r="H8808" s="19"/>
    </row>
    <row r="8809">
      <c r="A8809" s="9"/>
      <c r="B8809" s="15"/>
      <c r="C8809" s="9"/>
      <c r="D8809" s="15"/>
      <c r="E8809" s="16"/>
      <c r="F8809" s="19"/>
      <c r="G8809" s="20"/>
      <c r="H8809" s="19"/>
    </row>
    <row r="8810">
      <c r="A8810" s="9"/>
      <c r="B8810" s="15"/>
      <c r="C8810" s="9"/>
      <c r="D8810" s="15"/>
      <c r="E8810" s="16"/>
      <c r="F8810" s="19"/>
      <c r="G8810" s="20"/>
      <c r="H8810" s="19"/>
    </row>
    <row r="8811">
      <c r="A8811" s="9"/>
      <c r="B8811" s="15"/>
      <c r="C8811" s="9"/>
      <c r="D8811" s="15"/>
      <c r="E8811" s="16"/>
      <c r="F8811" s="19"/>
      <c r="G8811" s="20"/>
      <c r="H8811" s="19"/>
    </row>
    <row r="8812">
      <c r="A8812" s="9"/>
      <c r="B8812" s="15"/>
      <c r="C8812" s="9"/>
      <c r="D8812" s="15"/>
      <c r="E8812" s="16"/>
      <c r="F8812" s="19"/>
      <c r="G8812" s="20"/>
      <c r="H8812" s="19"/>
    </row>
    <row r="8813">
      <c r="A8813" s="9"/>
      <c r="B8813" s="15"/>
      <c r="C8813" s="9"/>
      <c r="D8813" s="15"/>
      <c r="E8813" s="16"/>
      <c r="F8813" s="19"/>
      <c r="G8813" s="20"/>
      <c r="H8813" s="19"/>
    </row>
    <row r="8814">
      <c r="A8814" s="9"/>
      <c r="B8814" s="15"/>
      <c r="C8814" s="9"/>
      <c r="D8814" s="15"/>
      <c r="E8814" s="16"/>
      <c r="F8814" s="19"/>
      <c r="G8814" s="20"/>
      <c r="H8814" s="19"/>
    </row>
    <row r="8815">
      <c r="A8815" s="9"/>
      <c r="B8815" s="15"/>
      <c r="C8815" s="9"/>
      <c r="D8815" s="15"/>
      <c r="E8815" s="16"/>
      <c r="F8815" s="19"/>
      <c r="G8815" s="20"/>
      <c r="H8815" s="19"/>
    </row>
    <row r="8816">
      <c r="A8816" s="9"/>
      <c r="B8816" s="15"/>
      <c r="C8816" s="9"/>
      <c r="D8816" s="15"/>
      <c r="E8816" s="16"/>
      <c r="F8816" s="19"/>
      <c r="G8816" s="20"/>
      <c r="H8816" s="19"/>
    </row>
    <row r="8817">
      <c r="A8817" s="9"/>
      <c r="B8817" s="15"/>
      <c r="C8817" s="9"/>
      <c r="D8817" s="15"/>
      <c r="E8817" s="16"/>
      <c r="F8817" s="19"/>
      <c r="G8817" s="20"/>
      <c r="H8817" s="19"/>
    </row>
    <row r="8818">
      <c r="A8818" s="9"/>
      <c r="B8818" s="15"/>
      <c r="C8818" s="9"/>
      <c r="D8818" s="15"/>
      <c r="E8818" s="16"/>
      <c r="F8818" s="19"/>
      <c r="G8818" s="20"/>
      <c r="H8818" s="19"/>
    </row>
    <row r="8819">
      <c r="A8819" s="9"/>
      <c r="B8819" s="15"/>
      <c r="C8819" s="9"/>
      <c r="D8819" s="15"/>
      <c r="E8819" s="16"/>
      <c r="F8819" s="19"/>
      <c r="G8819" s="20"/>
      <c r="H8819" s="19"/>
    </row>
    <row r="8820">
      <c r="A8820" s="9"/>
      <c r="B8820" s="15"/>
      <c r="C8820" s="9"/>
      <c r="D8820" s="15"/>
      <c r="E8820" s="16"/>
      <c r="F8820" s="19"/>
      <c r="G8820" s="20"/>
      <c r="H8820" s="19"/>
    </row>
    <row r="8821">
      <c r="A8821" s="9"/>
      <c r="B8821" s="15"/>
      <c r="C8821" s="9"/>
      <c r="D8821" s="15"/>
      <c r="E8821" s="16"/>
      <c r="F8821" s="19"/>
      <c r="G8821" s="20"/>
      <c r="H8821" s="19"/>
    </row>
    <row r="8822">
      <c r="A8822" s="9"/>
      <c r="B8822" s="15"/>
      <c r="C8822" s="9"/>
      <c r="D8822" s="15"/>
      <c r="E8822" s="16"/>
      <c r="F8822" s="19"/>
      <c r="G8822" s="20"/>
      <c r="H8822" s="19"/>
    </row>
    <row r="8823">
      <c r="A8823" s="9"/>
      <c r="B8823" s="15"/>
      <c r="C8823" s="9"/>
      <c r="D8823" s="15"/>
      <c r="E8823" s="16"/>
      <c r="F8823" s="19"/>
      <c r="G8823" s="20"/>
      <c r="H8823" s="19"/>
    </row>
    <row r="8824">
      <c r="A8824" s="9"/>
      <c r="B8824" s="15"/>
      <c r="C8824" s="9"/>
      <c r="D8824" s="15"/>
      <c r="E8824" s="16"/>
      <c r="F8824" s="19"/>
      <c r="G8824" s="20"/>
      <c r="H8824" s="19"/>
    </row>
    <row r="8825">
      <c r="A8825" s="9"/>
      <c r="B8825" s="15"/>
      <c r="C8825" s="9"/>
      <c r="D8825" s="15"/>
      <c r="E8825" s="16"/>
      <c r="F8825" s="19"/>
      <c r="G8825" s="20"/>
      <c r="H8825" s="19"/>
    </row>
    <row r="8826">
      <c r="A8826" s="9"/>
      <c r="B8826" s="15"/>
      <c r="C8826" s="9"/>
      <c r="D8826" s="15"/>
      <c r="E8826" s="16"/>
      <c r="F8826" s="19"/>
      <c r="G8826" s="20"/>
      <c r="H8826" s="19"/>
    </row>
    <row r="8827">
      <c r="A8827" s="9"/>
      <c r="B8827" s="15"/>
      <c r="C8827" s="9"/>
      <c r="D8827" s="15"/>
      <c r="E8827" s="16"/>
      <c r="F8827" s="19"/>
      <c r="G8827" s="20"/>
      <c r="H8827" s="19"/>
    </row>
    <row r="8828">
      <c r="A8828" s="9"/>
      <c r="B8828" s="15"/>
      <c r="C8828" s="9"/>
      <c r="D8828" s="15"/>
      <c r="E8828" s="16"/>
      <c r="F8828" s="19"/>
      <c r="G8828" s="20"/>
      <c r="H8828" s="19"/>
    </row>
    <row r="8829">
      <c r="A8829" s="9"/>
      <c r="B8829" s="15"/>
      <c r="C8829" s="9"/>
      <c r="D8829" s="15"/>
      <c r="E8829" s="16"/>
      <c r="F8829" s="19"/>
      <c r="G8829" s="20"/>
      <c r="H8829" s="19"/>
    </row>
    <row r="8830">
      <c r="A8830" s="9"/>
      <c r="B8830" s="15"/>
      <c r="C8830" s="9"/>
      <c r="D8830" s="15"/>
      <c r="E8830" s="16"/>
      <c r="F8830" s="19"/>
      <c r="G8830" s="20"/>
      <c r="H8830" s="19"/>
    </row>
    <row r="8831">
      <c r="A8831" s="9"/>
      <c r="B8831" s="15"/>
      <c r="C8831" s="9"/>
      <c r="D8831" s="15"/>
      <c r="E8831" s="16"/>
      <c r="F8831" s="19"/>
      <c r="G8831" s="20"/>
      <c r="H8831" s="19"/>
    </row>
    <row r="8832">
      <c r="A8832" s="9"/>
      <c r="B8832" s="15"/>
      <c r="C8832" s="9"/>
      <c r="D8832" s="15"/>
      <c r="E8832" s="16"/>
      <c r="F8832" s="19"/>
      <c r="G8832" s="20"/>
      <c r="H8832" s="19"/>
    </row>
    <row r="8833">
      <c r="A8833" s="9"/>
      <c r="B8833" s="15"/>
      <c r="C8833" s="9"/>
      <c r="D8833" s="15"/>
      <c r="E8833" s="16"/>
      <c r="F8833" s="19"/>
      <c r="G8833" s="20"/>
      <c r="H8833" s="19"/>
    </row>
    <row r="8834">
      <c r="A8834" s="9"/>
      <c r="B8834" s="15"/>
      <c r="C8834" s="9"/>
      <c r="D8834" s="15"/>
      <c r="E8834" s="16"/>
      <c r="F8834" s="19"/>
      <c r="G8834" s="20"/>
      <c r="H8834" s="19"/>
    </row>
    <row r="8835">
      <c r="A8835" s="9"/>
      <c r="B8835" s="15"/>
      <c r="C8835" s="9"/>
      <c r="D8835" s="15"/>
      <c r="E8835" s="16"/>
      <c r="F8835" s="19"/>
      <c r="G8835" s="20"/>
      <c r="H8835" s="19"/>
    </row>
    <row r="8836">
      <c r="A8836" s="9"/>
      <c r="B8836" s="15"/>
      <c r="C8836" s="9"/>
      <c r="D8836" s="15"/>
      <c r="E8836" s="16"/>
      <c r="F8836" s="19"/>
      <c r="G8836" s="20"/>
      <c r="H8836" s="19"/>
    </row>
    <row r="8837">
      <c r="A8837" s="9"/>
      <c r="B8837" s="15"/>
      <c r="C8837" s="9"/>
      <c r="D8837" s="15"/>
      <c r="E8837" s="16"/>
      <c r="F8837" s="19"/>
      <c r="G8837" s="20"/>
      <c r="H8837" s="19"/>
    </row>
    <row r="8838">
      <c r="A8838" s="9"/>
      <c r="B8838" s="15"/>
      <c r="C8838" s="9"/>
      <c r="D8838" s="15"/>
      <c r="E8838" s="16"/>
      <c r="F8838" s="19"/>
      <c r="G8838" s="20"/>
      <c r="H8838" s="19"/>
    </row>
    <row r="8839">
      <c r="A8839" s="9"/>
      <c r="B8839" s="15"/>
      <c r="C8839" s="9"/>
      <c r="D8839" s="15"/>
      <c r="E8839" s="16"/>
      <c r="F8839" s="19"/>
      <c r="G8839" s="20"/>
      <c r="H8839" s="19"/>
    </row>
    <row r="8840">
      <c r="A8840" s="9"/>
      <c r="B8840" s="15"/>
      <c r="C8840" s="9"/>
      <c r="D8840" s="15"/>
      <c r="E8840" s="16"/>
      <c r="F8840" s="19"/>
      <c r="G8840" s="20"/>
      <c r="H8840" s="19"/>
    </row>
    <row r="8841">
      <c r="A8841" s="9"/>
      <c r="B8841" s="15"/>
      <c r="C8841" s="9"/>
      <c r="D8841" s="15"/>
      <c r="E8841" s="16"/>
      <c r="F8841" s="19"/>
      <c r="G8841" s="20"/>
      <c r="H8841" s="19"/>
    </row>
    <row r="8842">
      <c r="A8842" s="9"/>
      <c r="B8842" s="15"/>
      <c r="C8842" s="9"/>
      <c r="D8842" s="15"/>
      <c r="E8842" s="16"/>
      <c r="F8842" s="19"/>
      <c r="G8842" s="20"/>
      <c r="H8842" s="19"/>
    </row>
    <row r="8843">
      <c r="A8843" s="9"/>
      <c r="B8843" s="15"/>
      <c r="C8843" s="9"/>
      <c r="D8843" s="15"/>
      <c r="E8843" s="16"/>
      <c r="F8843" s="19"/>
      <c r="G8843" s="20"/>
      <c r="H8843" s="19"/>
    </row>
    <row r="8844">
      <c r="A8844" s="9"/>
      <c r="B8844" s="15"/>
      <c r="C8844" s="9"/>
      <c r="D8844" s="15"/>
      <c r="E8844" s="16"/>
      <c r="F8844" s="19"/>
      <c r="G8844" s="20"/>
      <c r="H8844" s="19"/>
    </row>
    <row r="8845">
      <c r="A8845" s="9"/>
      <c r="B8845" s="15"/>
      <c r="C8845" s="9"/>
      <c r="D8845" s="15"/>
      <c r="E8845" s="16"/>
      <c r="F8845" s="19"/>
      <c r="G8845" s="20"/>
      <c r="H8845" s="19"/>
    </row>
    <row r="8846">
      <c r="A8846" s="9"/>
      <c r="B8846" s="15"/>
      <c r="C8846" s="9"/>
      <c r="D8846" s="15"/>
      <c r="E8846" s="16"/>
      <c r="F8846" s="19"/>
      <c r="G8846" s="20"/>
      <c r="H8846" s="19"/>
    </row>
    <row r="8847">
      <c r="A8847" s="9"/>
      <c r="B8847" s="15"/>
      <c r="C8847" s="9"/>
      <c r="D8847" s="15"/>
      <c r="E8847" s="16"/>
      <c r="F8847" s="19"/>
      <c r="G8847" s="20"/>
      <c r="H8847" s="19"/>
    </row>
    <row r="8848">
      <c r="A8848" s="9"/>
      <c r="B8848" s="15"/>
      <c r="C8848" s="9"/>
      <c r="D8848" s="15"/>
      <c r="E8848" s="16"/>
      <c r="F8848" s="19"/>
      <c r="G8848" s="20"/>
      <c r="H8848" s="19"/>
    </row>
    <row r="8849">
      <c r="A8849" s="9"/>
      <c r="B8849" s="15"/>
      <c r="C8849" s="9"/>
      <c r="D8849" s="15"/>
      <c r="E8849" s="16"/>
      <c r="F8849" s="19"/>
      <c r="G8849" s="20"/>
      <c r="H8849" s="19"/>
    </row>
    <row r="8850">
      <c r="A8850" s="9"/>
      <c r="B8850" s="15"/>
      <c r="C8850" s="9"/>
      <c r="D8850" s="15"/>
      <c r="E8850" s="16"/>
      <c r="F8850" s="19"/>
      <c r="G8850" s="20"/>
      <c r="H8850" s="19"/>
    </row>
    <row r="8851">
      <c r="A8851" s="9"/>
      <c r="B8851" s="15"/>
      <c r="C8851" s="9"/>
      <c r="D8851" s="15"/>
      <c r="E8851" s="16"/>
      <c r="F8851" s="19"/>
      <c r="G8851" s="20"/>
      <c r="H8851" s="19"/>
    </row>
    <row r="8852">
      <c r="A8852" s="9"/>
      <c r="B8852" s="15"/>
      <c r="C8852" s="9"/>
      <c r="D8852" s="15"/>
      <c r="E8852" s="16"/>
      <c r="F8852" s="19"/>
      <c r="G8852" s="20"/>
      <c r="H8852" s="19"/>
    </row>
    <row r="8853">
      <c r="A8853" s="9"/>
      <c r="B8853" s="15"/>
      <c r="C8853" s="9"/>
      <c r="D8853" s="15"/>
      <c r="E8853" s="16"/>
      <c r="F8853" s="19"/>
      <c r="G8853" s="20"/>
      <c r="H8853" s="19"/>
    </row>
    <row r="8854">
      <c r="A8854" s="9"/>
      <c r="B8854" s="15"/>
      <c r="C8854" s="9"/>
      <c r="D8854" s="15"/>
      <c r="E8854" s="16"/>
      <c r="F8854" s="19"/>
      <c r="G8854" s="20"/>
      <c r="H8854" s="19"/>
    </row>
    <row r="8855">
      <c r="A8855" s="9"/>
      <c r="B8855" s="15"/>
      <c r="C8855" s="9"/>
      <c r="D8855" s="15"/>
      <c r="E8855" s="16"/>
      <c r="F8855" s="19"/>
      <c r="G8855" s="20"/>
      <c r="H8855" s="19"/>
    </row>
    <row r="8856">
      <c r="A8856" s="9"/>
      <c r="B8856" s="15"/>
      <c r="C8856" s="9"/>
      <c r="D8856" s="15"/>
      <c r="E8856" s="16"/>
      <c r="F8856" s="19"/>
      <c r="G8856" s="20"/>
      <c r="H8856" s="19"/>
    </row>
    <row r="8857">
      <c r="A8857" s="9"/>
      <c r="B8857" s="15"/>
      <c r="C8857" s="9"/>
      <c r="D8857" s="15"/>
      <c r="E8857" s="16"/>
      <c r="F8857" s="19"/>
      <c r="G8857" s="20"/>
      <c r="H8857" s="19"/>
    </row>
    <row r="8858">
      <c r="A8858" s="9"/>
      <c r="B8858" s="15"/>
      <c r="C8858" s="9"/>
      <c r="D8858" s="15"/>
      <c r="E8858" s="16"/>
      <c r="F8858" s="19"/>
      <c r="G8858" s="20"/>
      <c r="H8858" s="19"/>
    </row>
    <row r="8859">
      <c r="A8859" s="9"/>
      <c r="B8859" s="15"/>
      <c r="C8859" s="9"/>
      <c r="D8859" s="15"/>
      <c r="E8859" s="16"/>
      <c r="F8859" s="19"/>
      <c r="G8859" s="20"/>
      <c r="H8859" s="19"/>
    </row>
    <row r="8860">
      <c r="A8860" s="9"/>
      <c r="B8860" s="15"/>
      <c r="C8860" s="9"/>
      <c r="D8860" s="15"/>
      <c r="E8860" s="16"/>
      <c r="F8860" s="19"/>
      <c r="G8860" s="20"/>
      <c r="H8860" s="19"/>
    </row>
    <row r="8861">
      <c r="A8861" s="9"/>
      <c r="B8861" s="15"/>
      <c r="C8861" s="9"/>
      <c r="D8861" s="15"/>
      <c r="E8861" s="16"/>
      <c r="F8861" s="19"/>
      <c r="G8861" s="20"/>
      <c r="H8861" s="19"/>
    </row>
    <row r="8862">
      <c r="A8862" s="9"/>
      <c r="B8862" s="15"/>
      <c r="C8862" s="9"/>
      <c r="D8862" s="15"/>
      <c r="E8862" s="16"/>
      <c r="F8862" s="19"/>
      <c r="G8862" s="20"/>
      <c r="H8862" s="19"/>
    </row>
    <row r="8863">
      <c r="A8863" s="9"/>
      <c r="B8863" s="15"/>
      <c r="C8863" s="9"/>
      <c r="D8863" s="15"/>
      <c r="E8863" s="16"/>
      <c r="F8863" s="19"/>
      <c r="G8863" s="20"/>
      <c r="H8863" s="19"/>
    </row>
    <row r="8864">
      <c r="A8864" s="9"/>
      <c r="B8864" s="15"/>
      <c r="C8864" s="9"/>
      <c r="D8864" s="15"/>
      <c r="E8864" s="16"/>
      <c r="F8864" s="19"/>
      <c r="G8864" s="20"/>
      <c r="H8864" s="19"/>
    </row>
    <row r="8865">
      <c r="A8865" s="9"/>
      <c r="B8865" s="15"/>
      <c r="C8865" s="9"/>
      <c r="D8865" s="15"/>
      <c r="E8865" s="16"/>
      <c r="F8865" s="19"/>
      <c r="G8865" s="20"/>
      <c r="H8865" s="19"/>
    </row>
    <row r="8866">
      <c r="A8866" s="9"/>
      <c r="B8866" s="15"/>
      <c r="C8866" s="9"/>
      <c r="D8866" s="15"/>
      <c r="E8866" s="16"/>
      <c r="F8866" s="19"/>
      <c r="G8866" s="20"/>
      <c r="H8866" s="19"/>
    </row>
    <row r="8867">
      <c r="A8867" s="9"/>
      <c r="B8867" s="15"/>
      <c r="C8867" s="9"/>
      <c r="D8867" s="15"/>
      <c r="E8867" s="16"/>
      <c r="F8867" s="19"/>
      <c r="G8867" s="20"/>
      <c r="H8867" s="19"/>
    </row>
    <row r="8868">
      <c r="A8868" s="9"/>
      <c r="B8868" s="15"/>
      <c r="C8868" s="9"/>
      <c r="D8868" s="15"/>
      <c r="E8868" s="16"/>
      <c r="F8868" s="19"/>
      <c r="G8868" s="20"/>
      <c r="H8868" s="19"/>
    </row>
    <row r="8869">
      <c r="A8869" s="9"/>
      <c r="B8869" s="15"/>
      <c r="C8869" s="9"/>
      <c r="D8869" s="15"/>
      <c r="E8869" s="16"/>
      <c r="F8869" s="19"/>
      <c r="G8869" s="20"/>
      <c r="H8869" s="19"/>
    </row>
    <row r="8870">
      <c r="A8870" s="9"/>
      <c r="B8870" s="15"/>
      <c r="C8870" s="9"/>
      <c r="D8870" s="15"/>
      <c r="E8870" s="16"/>
      <c r="F8870" s="19"/>
      <c r="G8870" s="20"/>
      <c r="H8870" s="19"/>
    </row>
    <row r="8871">
      <c r="A8871" s="9"/>
      <c r="B8871" s="15"/>
      <c r="C8871" s="9"/>
      <c r="D8871" s="15"/>
      <c r="E8871" s="16"/>
      <c r="F8871" s="19"/>
      <c r="G8871" s="20"/>
      <c r="H8871" s="19"/>
    </row>
    <row r="8872">
      <c r="A8872" s="9"/>
      <c r="B8872" s="15"/>
      <c r="C8872" s="9"/>
      <c r="D8872" s="15"/>
      <c r="E8872" s="16"/>
      <c r="F8872" s="19"/>
      <c r="G8872" s="20"/>
      <c r="H8872" s="19"/>
    </row>
    <row r="8873">
      <c r="A8873" s="9"/>
      <c r="B8873" s="15"/>
      <c r="C8873" s="9"/>
      <c r="D8873" s="15"/>
      <c r="E8873" s="16"/>
      <c r="F8873" s="19"/>
      <c r="G8873" s="20"/>
      <c r="H8873" s="19"/>
    </row>
    <row r="8874">
      <c r="A8874" s="9"/>
      <c r="B8874" s="15"/>
      <c r="C8874" s="9"/>
      <c r="D8874" s="15"/>
      <c r="E8874" s="16"/>
      <c r="F8874" s="19"/>
      <c r="G8874" s="20"/>
      <c r="H8874" s="19"/>
    </row>
    <row r="8875">
      <c r="A8875" s="9"/>
      <c r="B8875" s="15"/>
      <c r="C8875" s="9"/>
      <c r="D8875" s="15"/>
      <c r="E8875" s="16"/>
      <c r="F8875" s="19"/>
      <c r="G8875" s="20"/>
      <c r="H8875" s="19"/>
    </row>
    <row r="8876">
      <c r="A8876" s="9"/>
      <c r="B8876" s="15"/>
      <c r="C8876" s="9"/>
      <c r="D8876" s="15"/>
      <c r="E8876" s="16"/>
      <c r="F8876" s="19"/>
      <c r="G8876" s="20"/>
      <c r="H8876" s="19"/>
    </row>
    <row r="8877">
      <c r="A8877" s="9"/>
      <c r="B8877" s="15"/>
      <c r="C8877" s="9"/>
      <c r="D8877" s="15"/>
      <c r="E8877" s="16"/>
      <c r="F8877" s="19"/>
      <c r="G8877" s="20"/>
      <c r="H8877" s="19"/>
    </row>
    <row r="8878">
      <c r="A8878" s="9"/>
      <c r="B8878" s="15"/>
      <c r="C8878" s="9"/>
      <c r="D8878" s="15"/>
      <c r="E8878" s="16"/>
      <c r="F8878" s="19"/>
      <c r="G8878" s="20"/>
      <c r="H8878" s="19"/>
    </row>
    <row r="8879">
      <c r="A8879" s="9"/>
      <c r="B8879" s="15"/>
      <c r="C8879" s="9"/>
      <c r="D8879" s="15"/>
      <c r="E8879" s="16"/>
      <c r="F8879" s="19"/>
      <c r="G8879" s="20"/>
      <c r="H8879" s="19"/>
    </row>
    <row r="8880">
      <c r="A8880" s="9"/>
      <c r="B8880" s="15"/>
      <c r="C8880" s="9"/>
      <c r="D8880" s="15"/>
      <c r="E8880" s="16"/>
      <c r="F8880" s="19"/>
      <c r="G8880" s="20"/>
      <c r="H8880" s="19"/>
    </row>
    <row r="8881">
      <c r="A8881" s="9"/>
      <c r="B8881" s="15"/>
      <c r="C8881" s="9"/>
      <c r="D8881" s="15"/>
      <c r="E8881" s="16"/>
      <c r="F8881" s="19"/>
      <c r="G8881" s="20"/>
      <c r="H8881" s="19"/>
    </row>
    <row r="8882">
      <c r="A8882" s="9"/>
      <c r="B8882" s="15"/>
      <c r="C8882" s="9"/>
      <c r="D8882" s="15"/>
      <c r="E8882" s="16"/>
      <c r="F8882" s="19"/>
      <c r="G8882" s="20"/>
      <c r="H8882" s="19"/>
    </row>
    <row r="8883">
      <c r="A8883" s="9"/>
      <c r="B8883" s="15"/>
      <c r="C8883" s="9"/>
      <c r="D8883" s="15"/>
      <c r="E8883" s="16"/>
      <c r="F8883" s="19"/>
      <c r="G8883" s="20"/>
      <c r="H8883" s="19"/>
    </row>
    <row r="8884">
      <c r="A8884" s="9"/>
      <c r="B8884" s="15"/>
      <c r="C8884" s="9"/>
      <c r="D8884" s="15"/>
      <c r="E8884" s="16"/>
      <c r="F8884" s="19"/>
      <c r="G8884" s="20"/>
      <c r="H8884" s="19"/>
    </row>
    <row r="8885">
      <c r="A8885" s="9"/>
      <c r="B8885" s="15"/>
      <c r="C8885" s="9"/>
      <c r="D8885" s="15"/>
      <c r="E8885" s="16"/>
      <c r="F8885" s="19"/>
      <c r="G8885" s="20"/>
      <c r="H8885" s="19"/>
    </row>
    <row r="8886">
      <c r="A8886" s="9"/>
      <c r="B8886" s="15"/>
      <c r="C8886" s="9"/>
      <c r="D8886" s="15"/>
      <c r="E8886" s="16"/>
      <c r="F8886" s="19"/>
      <c r="G8886" s="20"/>
      <c r="H8886" s="19"/>
    </row>
    <row r="8887">
      <c r="A8887" s="9"/>
      <c r="B8887" s="15"/>
      <c r="C8887" s="9"/>
      <c r="D8887" s="15"/>
      <c r="E8887" s="16"/>
      <c r="F8887" s="19"/>
      <c r="G8887" s="20"/>
      <c r="H8887" s="19"/>
    </row>
    <row r="8888">
      <c r="A8888" s="9"/>
      <c r="B8888" s="15"/>
      <c r="C8888" s="9"/>
      <c r="D8888" s="15"/>
      <c r="E8888" s="16"/>
      <c r="F8888" s="19"/>
      <c r="G8888" s="20"/>
      <c r="H8888" s="19"/>
    </row>
    <row r="8889">
      <c r="A8889" s="9"/>
      <c r="B8889" s="15"/>
      <c r="C8889" s="9"/>
      <c r="D8889" s="15"/>
      <c r="E8889" s="16"/>
      <c r="F8889" s="19"/>
      <c r="G8889" s="20"/>
      <c r="H8889" s="19"/>
    </row>
    <row r="8890">
      <c r="A8890" s="9"/>
      <c r="B8890" s="15"/>
      <c r="C8890" s="9"/>
      <c r="D8890" s="15"/>
      <c r="E8890" s="16"/>
      <c r="F8890" s="19"/>
      <c r="G8890" s="20"/>
      <c r="H8890" s="19"/>
    </row>
    <row r="8891">
      <c r="A8891" s="9"/>
      <c r="B8891" s="15"/>
      <c r="C8891" s="9"/>
      <c r="D8891" s="15"/>
      <c r="E8891" s="16"/>
      <c r="F8891" s="19"/>
      <c r="G8891" s="20"/>
      <c r="H8891" s="19"/>
    </row>
    <row r="8892">
      <c r="A8892" s="9"/>
      <c r="B8892" s="15"/>
      <c r="C8892" s="9"/>
      <c r="D8892" s="15"/>
      <c r="E8892" s="16"/>
      <c r="F8892" s="19"/>
      <c r="G8892" s="20"/>
      <c r="H8892" s="19"/>
    </row>
    <row r="8893">
      <c r="A8893" s="9"/>
      <c r="B8893" s="15"/>
      <c r="C8893" s="9"/>
      <c r="D8893" s="15"/>
      <c r="E8893" s="16"/>
      <c r="F8893" s="19"/>
      <c r="G8893" s="20"/>
      <c r="H8893" s="19"/>
    </row>
    <row r="8894">
      <c r="A8894" s="9"/>
      <c r="B8894" s="15"/>
      <c r="C8894" s="9"/>
      <c r="D8894" s="15"/>
      <c r="E8894" s="16"/>
      <c r="F8894" s="19"/>
      <c r="G8894" s="20"/>
      <c r="H8894" s="19"/>
    </row>
    <row r="8895">
      <c r="A8895" s="9"/>
      <c r="B8895" s="15"/>
      <c r="C8895" s="9"/>
      <c r="D8895" s="15"/>
      <c r="E8895" s="16"/>
      <c r="F8895" s="19"/>
      <c r="G8895" s="20"/>
      <c r="H8895" s="19"/>
    </row>
    <row r="8896">
      <c r="A8896" s="9"/>
      <c r="B8896" s="15"/>
      <c r="C8896" s="9"/>
      <c r="D8896" s="15"/>
      <c r="E8896" s="16"/>
      <c r="F8896" s="19"/>
      <c r="G8896" s="20"/>
      <c r="H8896" s="19"/>
    </row>
    <row r="8897">
      <c r="A8897" s="9"/>
      <c r="B8897" s="15"/>
      <c r="C8897" s="9"/>
      <c r="D8897" s="15"/>
      <c r="E8897" s="16"/>
      <c r="F8897" s="19"/>
      <c r="G8897" s="20"/>
      <c r="H8897" s="19"/>
    </row>
    <row r="8898">
      <c r="A8898" s="9"/>
      <c r="B8898" s="15"/>
      <c r="C8898" s="9"/>
      <c r="D8898" s="15"/>
      <c r="E8898" s="16"/>
      <c r="F8898" s="19"/>
      <c r="G8898" s="20"/>
      <c r="H8898" s="19"/>
    </row>
    <row r="8899">
      <c r="A8899" s="9"/>
      <c r="B8899" s="15"/>
      <c r="C8899" s="9"/>
      <c r="D8899" s="15"/>
      <c r="E8899" s="16"/>
      <c r="F8899" s="19"/>
      <c r="G8899" s="20"/>
      <c r="H8899" s="19"/>
    </row>
    <row r="8900">
      <c r="A8900" s="9"/>
      <c r="B8900" s="15"/>
      <c r="C8900" s="9"/>
      <c r="D8900" s="15"/>
      <c r="E8900" s="16"/>
      <c r="F8900" s="19"/>
      <c r="G8900" s="20"/>
      <c r="H8900" s="19"/>
    </row>
    <row r="8901">
      <c r="A8901" s="9"/>
      <c r="B8901" s="15"/>
      <c r="C8901" s="9"/>
      <c r="D8901" s="15"/>
      <c r="E8901" s="16"/>
      <c r="F8901" s="19"/>
      <c r="G8901" s="20"/>
      <c r="H8901" s="19"/>
    </row>
    <row r="8902">
      <c r="A8902" s="9"/>
      <c r="B8902" s="15"/>
      <c r="C8902" s="9"/>
      <c r="D8902" s="15"/>
      <c r="E8902" s="16"/>
      <c r="F8902" s="19"/>
      <c r="G8902" s="20"/>
      <c r="H8902" s="19"/>
    </row>
    <row r="8903">
      <c r="A8903" s="9"/>
      <c r="B8903" s="15"/>
      <c r="C8903" s="9"/>
      <c r="D8903" s="15"/>
      <c r="E8903" s="16"/>
      <c r="F8903" s="19"/>
      <c r="G8903" s="20"/>
      <c r="H8903" s="19"/>
    </row>
    <row r="8904">
      <c r="A8904" s="9"/>
      <c r="B8904" s="15"/>
      <c r="C8904" s="9"/>
      <c r="D8904" s="15"/>
      <c r="E8904" s="16"/>
      <c r="F8904" s="19"/>
      <c r="G8904" s="20"/>
      <c r="H8904" s="19"/>
    </row>
    <row r="8905">
      <c r="A8905" s="9"/>
      <c r="B8905" s="15"/>
      <c r="C8905" s="9"/>
      <c r="D8905" s="15"/>
      <c r="E8905" s="16"/>
      <c r="F8905" s="19"/>
      <c r="G8905" s="20"/>
      <c r="H8905" s="19"/>
    </row>
    <row r="8906">
      <c r="A8906" s="9"/>
      <c r="B8906" s="15"/>
      <c r="C8906" s="9"/>
      <c r="D8906" s="15"/>
      <c r="E8906" s="16"/>
      <c r="F8906" s="19"/>
      <c r="G8906" s="20"/>
      <c r="H8906" s="19"/>
    </row>
    <row r="8907">
      <c r="A8907" s="9"/>
      <c r="B8907" s="15"/>
      <c r="C8907" s="9"/>
      <c r="D8907" s="15"/>
      <c r="E8907" s="16"/>
      <c r="F8907" s="19"/>
      <c r="G8907" s="20"/>
      <c r="H8907" s="19"/>
    </row>
    <row r="8908">
      <c r="A8908" s="9"/>
      <c r="B8908" s="15"/>
      <c r="C8908" s="9"/>
      <c r="D8908" s="15"/>
      <c r="E8908" s="16"/>
      <c r="F8908" s="19"/>
      <c r="G8908" s="20"/>
      <c r="H8908" s="19"/>
    </row>
    <row r="8909">
      <c r="A8909" s="9"/>
      <c r="B8909" s="15"/>
      <c r="C8909" s="9"/>
      <c r="D8909" s="15"/>
      <c r="E8909" s="16"/>
      <c r="F8909" s="19"/>
      <c r="G8909" s="20"/>
      <c r="H8909" s="19"/>
    </row>
    <row r="8910">
      <c r="A8910" s="9"/>
      <c r="B8910" s="15"/>
      <c r="C8910" s="9"/>
      <c r="D8910" s="15"/>
      <c r="E8910" s="16"/>
      <c r="F8910" s="19"/>
      <c r="G8910" s="20"/>
      <c r="H8910" s="19"/>
    </row>
    <row r="8911">
      <c r="A8911" s="9"/>
      <c r="B8911" s="15"/>
      <c r="C8911" s="9"/>
      <c r="D8911" s="15"/>
      <c r="E8911" s="16"/>
      <c r="F8911" s="19"/>
      <c r="G8911" s="20"/>
      <c r="H8911" s="19"/>
    </row>
    <row r="8912">
      <c r="A8912" s="9"/>
      <c r="B8912" s="15"/>
      <c r="C8912" s="9"/>
      <c r="D8912" s="15"/>
      <c r="E8912" s="16"/>
      <c r="F8912" s="19"/>
      <c r="G8912" s="20"/>
      <c r="H8912" s="19"/>
    </row>
    <row r="8913">
      <c r="A8913" s="9"/>
      <c r="B8913" s="15"/>
      <c r="C8913" s="9"/>
      <c r="D8913" s="15"/>
      <c r="E8913" s="16"/>
      <c r="F8913" s="19"/>
      <c r="G8913" s="20"/>
      <c r="H8913" s="19"/>
    </row>
    <row r="8914">
      <c r="A8914" s="9"/>
      <c r="B8914" s="15"/>
      <c r="C8914" s="9"/>
      <c r="D8914" s="15"/>
      <c r="E8914" s="16"/>
      <c r="F8914" s="19"/>
      <c r="G8914" s="20"/>
      <c r="H8914" s="19"/>
    </row>
    <row r="8915">
      <c r="A8915" s="9"/>
      <c r="B8915" s="15"/>
      <c r="C8915" s="9"/>
      <c r="D8915" s="15"/>
      <c r="E8915" s="16"/>
      <c r="F8915" s="19"/>
      <c r="G8915" s="20"/>
      <c r="H8915" s="19"/>
    </row>
    <row r="8916">
      <c r="A8916" s="9"/>
      <c r="B8916" s="15"/>
      <c r="C8916" s="9"/>
      <c r="D8916" s="15"/>
      <c r="E8916" s="16"/>
      <c r="F8916" s="19"/>
      <c r="G8916" s="20"/>
      <c r="H8916" s="19"/>
    </row>
    <row r="8917">
      <c r="A8917" s="9"/>
      <c r="B8917" s="15"/>
      <c r="C8917" s="9"/>
      <c r="D8917" s="15"/>
      <c r="E8917" s="16"/>
      <c r="F8917" s="19"/>
      <c r="G8917" s="20"/>
      <c r="H8917" s="19"/>
    </row>
    <row r="8918">
      <c r="A8918" s="9"/>
      <c r="B8918" s="15"/>
      <c r="C8918" s="9"/>
      <c r="D8918" s="15"/>
      <c r="E8918" s="16"/>
      <c r="F8918" s="19"/>
      <c r="G8918" s="20"/>
      <c r="H8918" s="19"/>
    </row>
    <row r="8919">
      <c r="A8919" s="9"/>
      <c r="B8919" s="15"/>
      <c r="C8919" s="9"/>
      <c r="D8919" s="15"/>
      <c r="E8919" s="16"/>
      <c r="F8919" s="19"/>
      <c r="G8919" s="20"/>
      <c r="H8919" s="19"/>
    </row>
    <row r="8920">
      <c r="A8920" s="9"/>
      <c r="B8920" s="15"/>
      <c r="C8920" s="9"/>
      <c r="D8920" s="15"/>
      <c r="E8920" s="16"/>
      <c r="F8920" s="19"/>
      <c r="G8920" s="20"/>
      <c r="H8920" s="19"/>
    </row>
    <row r="8921">
      <c r="A8921" s="9"/>
      <c r="B8921" s="15"/>
      <c r="C8921" s="9"/>
      <c r="D8921" s="15"/>
      <c r="E8921" s="16"/>
      <c r="F8921" s="19"/>
      <c r="G8921" s="20"/>
      <c r="H8921" s="19"/>
    </row>
    <row r="8922">
      <c r="A8922" s="9"/>
      <c r="B8922" s="15"/>
      <c r="C8922" s="9"/>
      <c r="D8922" s="15"/>
      <c r="E8922" s="16"/>
      <c r="F8922" s="19"/>
      <c r="G8922" s="20"/>
      <c r="H8922" s="19"/>
    </row>
    <row r="8923">
      <c r="A8923" s="9"/>
      <c r="B8923" s="15"/>
      <c r="C8923" s="9"/>
      <c r="D8923" s="15"/>
      <c r="E8923" s="16"/>
      <c r="F8923" s="19"/>
      <c r="G8923" s="20"/>
      <c r="H8923" s="19"/>
    </row>
    <row r="8924">
      <c r="A8924" s="9"/>
      <c r="B8924" s="15"/>
      <c r="C8924" s="9"/>
      <c r="D8924" s="15"/>
      <c r="E8924" s="16"/>
      <c r="F8924" s="19"/>
      <c r="G8924" s="20"/>
      <c r="H8924" s="19"/>
    </row>
    <row r="8925">
      <c r="A8925" s="9"/>
      <c r="B8925" s="15"/>
      <c r="C8925" s="9"/>
      <c r="D8925" s="15"/>
      <c r="E8925" s="16"/>
      <c r="F8925" s="19"/>
      <c r="G8925" s="20"/>
      <c r="H8925" s="19"/>
    </row>
    <row r="8926">
      <c r="A8926" s="9"/>
      <c r="B8926" s="15"/>
      <c r="C8926" s="9"/>
      <c r="D8926" s="15"/>
      <c r="E8926" s="16"/>
      <c r="F8926" s="19"/>
      <c r="G8926" s="20"/>
      <c r="H8926" s="19"/>
    </row>
    <row r="8927">
      <c r="A8927" s="9"/>
      <c r="B8927" s="15"/>
      <c r="C8927" s="9"/>
      <c r="D8927" s="15"/>
      <c r="E8927" s="16"/>
      <c r="F8927" s="19"/>
      <c r="G8927" s="20"/>
      <c r="H8927" s="19"/>
    </row>
    <row r="8928">
      <c r="A8928" s="9"/>
      <c r="B8928" s="15"/>
      <c r="C8928" s="9"/>
      <c r="D8928" s="15"/>
      <c r="E8928" s="16"/>
      <c r="F8928" s="19"/>
      <c r="G8928" s="20"/>
      <c r="H8928" s="19"/>
    </row>
    <row r="8929">
      <c r="A8929" s="9"/>
      <c r="B8929" s="15"/>
      <c r="C8929" s="9"/>
      <c r="D8929" s="15"/>
      <c r="E8929" s="16"/>
      <c r="F8929" s="19"/>
      <c r="G8929" s="20"/>
      <c r="H8929" s="19"/>
    </row>
    <row r="8930">
      <c r="A8930" s="9"/>
      <c r="B8930" s="15"/>
      <c r="C8930" s="9"/>
      <c r="D8930" s="15"/>
      <c r="E8930" s="16"/>
      <c r="F8930" s="19"/>
      <c r="G8930" s="20"/>
      <c r="H8930" s="19"/>
    </row>
    <row r="8931">
      <c r="A8931" s="9"/>
      <c r="B8931" s="15"/>
      <c r="C8931" s="9"/>
      <c r="D8931" s="15"/>
      <c r="E8931" s="16"/>
      <c r="F8931" s="19"/>
      <c r="G8931" s="20"/>
      <c r="H8931" s="19"/>
    </row>
    <row r="8932">
      <c r="A8932" s="9"/>
      <c r="B8932" s="15"/>
      <c r="C8932" s="9"/>
      <c r="D8932" s="15"/>
      <c r="E8932" s="16"/>
      <c r="F8932" s="19"/>
      <c r="G8932" s="20"/>
      <c r="H8932" s="19"/>
    </row>
    <row r="8933">
      <c r="A8933" s="9"/>
      <c r="B8933" s="15"/>
      <c r="C8933" s="9"/>
      <c r="D8933" s="15"/>
      <c r="E8933" s="16"/>
      <c r="F8933" s="19"/>
      <c r="G8933" s="20"/>
      <c r="H8933" s="19"/>
    </row>
    <row r="8934">
      <c r="A8934" s="9"/>
      <c r="B8934" s="15"/>
      <c r="C8934" s="9"/>
      <c r="D8934" s="15"/>
      <c r="E8934" s="16"/>
      <c r="F8934" s="19"/>
      <c r="G8934" s="20"/>
      <c r="H8934" s="19"/>
    </row>
    <row r="8935">
      <c r="A8935" s="9"/>
      <c r="B8935" s="15"/>
      <c r="C8935" s="9"/>
      <c r="D8935" s="15"/>
      <c r="E8935" s="16"/>
      <c r="F8935" s="19"/>
      <c r="G8935" s="20"/>
      <c r="H8935" s="19"/>
    </row>
    <row r="8936">
      <c r="A8936" s="9"/>
      <c r="B8936" s="15"/>
      <c r="C8936" s="9"/>
      <c r="D8936" s="15"/>
      <c r="E8936" s="16"/>
      <c r="F8936" s="19"/>
      <c r="G8936" s="20"/>
      <c r="H8936" s="19"/>
    </row>
    <row r="8937">
      <c r="A8937" s="9"/>
      <c r="B8937" s="15"/>
      <c r="C8937" s="9"/>
      <c r="D8937" s="15"/>
      <c r="E8937" s="16"/>
      <c r="F8937" s="19"/>
      <c r="G8937" s="20"/>
      <c r="H8937" s="19"/>
    </row>
    <row r="8938">
      <c r="A8938" s="9"/>
      <c r="B8938" s="15"/>
      <c r="C8938" s="9"/>
      <c r="D8938" s="15"/>
      <c r="E8938" s="16"/>
      <c r="F8938" s="19"/>
      <c r="G8938" s="20"/>
      <c r="H8938" s="19"/>
    </row>
    <row r="8939">
      <c r="A8939" s="9"/>
      <c r="B8939" s="15"/>
      <c r="C8939" s="9"/>
      <c r="D8939" s="15"/>
      <c r="E8939" s="16"/>
      <c r="F8939" s="19"/>
      <c r="G8939" s="20"/>
      <c r="H8939" s="19"/>
    </row>
    <row r="8940">
      <c r="A8940" s="9"/>
      <c r="B8940" s="15"/>
      <c r="C8940" s="9"/>
      <c r="D8940" s="15"/>
      <c r="E8940" s="16"/>
      <c r="F8940" s="19"/>
      <c r="G8940" s="20"/>
      <c r="H8940" s="19"/>
    </row>
    <row r="8941">
      <c r="A8941" s="9"/>
      <c r="B8941" s="15"/>
      <c r="C8941" s="9"/>
      <c r="D8941" s="15"/>
      <c r="E8941" s="16"/>
      <c r="F8941" s="19"/>
      <c r="G8941" s="20"/>
      <c r="H8941" s="19"/>
    </row>
    <row r="8942">
      <c r="A8942" s="9"/>
      <c r="B8942" s="15"/>
      <c r="C8942" s="9"/>
      <c r="D8942" s="15"/>
      <c r="E8942" s="16"/>
      <c r="F8942" s="19"/>
      <c r="G8942" s="20"/>
      <c r="H8942" s="19"/>
    </row>
    <row r="8943">
      <c r="A8943" s="9"/>
      <c r="B8943" s="15"/>
      <c r="C8943" s="9"/>
      <c r="D8943" s="15"/>
      <c r="E8943" s="16"/>
      <c r="F8943" s="19"/>
      <c r="G8943" s="20"/>
      <c r="H8943" s="19"/>
    </row>
    <row r="8944">
      <c r="A8944" s="9"/>
      <c r="B8944" s="15"/>
      <c r="C8944" s="9"/>
      <c r="D8944" s="15"/>
      <c r="E8944" s="16"/>
      <c r="F8944" s="19"/>
      <c r="G8944" s="20"/>
      <c r="H8944" s="19"/>
    </row>
    <row r="8945">
      <c r="A8945" s="9"/>
      <c r="B8945" s="15"/>
      <c r="C8945" s="9"/>
      <c r="D8945" s="15"/>
      <c r="E8945" s="16"/>
      <c r="F8945" s="19"/>
      <c r="G8945" s="20"/>
      <c r="H8945" s="19"/>
    </row>
    <row r="8946">
      <c r="A8946" s="9"/>
      <c r="B8946" s="15"/>
      <c r="C8946" s="9"/>
      <c r="D8946" s="15"/>
      <c r="E8946" s="16"/>
      <c r="F8946" s="19"/>
      <c r="G8946" s="20"/>
      <c r="H8946" s="19"/>
    </row>
    <row r="8947">
      <c r="A8947" s="9"/>
      <c r="B8947" s="15"/>
      <c r="C8947" s="9"/>
      <c r="D8947" s="15"/>
      <c r="E8947" s="16"/>
      <c r="F8947" s="19"/>
      <c r="G8947" s="20"/>
      <c r="H8947" s="19"/>
    </row>
    <row r="8948">
      <c r="A8948" s="9"/>
      <c r="B8948" s="15"/>
      <c r="C8948" s="9"/>
      <c r="D8948" s="15"/>
      <c r="E8948" s="16"/>
      <c r="F8948" s="19"/>
      <c r="G8948" s="20"/>
      <c r="H8948" s="19"/>
    </row>
    <row r="8949">
      <c r="A8949" s="9"/>
      <c r="B8949" s="15"/>
      <c r="C8949" s="9"/>
      <c r="D8949" s="15"/>
      <c r="E8949" s="16"/>
      <c r="F8949" s="19"/>
      <c r="G8949" s="20"/>
      <c r="H8949" s="19"/>
    </row>
    <row r="8950">
      <c r="A8950" s="9"/>
      <c r="B8950" s="15"/>
      <c r="C8950" s="9"/>
      <c r="D8950" s="15"/>
      <c r="E8950" s="16"/>
      <c r="F8950" s="19"/>
      <c r="G8950" s="20"/>
      <c r="H8950" s="19"/>
    </row>
    <row r="8951">
      <c r="A8951" s="9"/>
      <c r="B8951" s="15"/>
      <c r="C8951" s="9"/>
      <c r="D8951" s="15"/>
      <c r="E8951" s="16"/>
      <c r="F8951" s="19"/>
      <c r="G8951" s="20"/>
      <c r="H8951" s="19"/>
    </row>
    <row r="8952">
      <c r="A8952" s="9"/>
      <c r="B8952" s="15"/>
      <c r="C8952" s="9"/>
      <c r="D8952" s="15"/>
      <c r="E8952" s="16"/>
      <c r="F8952" s="19"/>
      <c r="G8952" s="20"/>
      <c r="H8952" s="19"/>
    </row>
    <row r="8953">
      <c r="A8953" s="9"/>
      <c r="B8953" s="15"/>
      <c r="C8953" s="9"/>
      <c r="D8953" s="15"/>
      <c r="E8953" s="16"/>
      <c r="F8953" s="19"/>
      <c r="G8953" s="20"/>
      <c r="H8953" s="19"/>
    </row>
    <row r="8954">
      <c r="A8954" s="9"/>
      <c r="B8954" s="15"/>
      <c r="C8954" s="9"/>
      <c r="D8954" s="15"/>
      <c r="E8954" s="16"/>
      <c r="F8954" s="19"/>
      <c r="G8954" s="20"/>
      <c r="H8954" s="19"/>
    </row>
    <row r="8955">
      <c r="A8955" s="9"/>
      <c r="B8955" s="15"/>
      <c r="C8955" s="9"/>
      <c r="D8955" s="15"/>
      <c r="E8955" s="16"/>
      <c r="F8955" s="19"/>
      <c r="G8955" s="20"/>
      <c r="H8955" s="19"/>
    </row>
    <row r="8956">
      <c r="A8956" s="9"/>
      <c r="B8956" s="15"/>
      <c r="C8956" s="9"/>
      <c r="D8956" s="15"/>
      <c r="E8956" s="16"/>
      <c r="F8956" s="19"/>
      <c r="G8956" s="20"/>
      <c r="H8956" s="19"/>
    </row>
    <row r="8957">
      <c r="A8957" s="9"/>
      <c r="B8957" s="15"/>
      <c r="C8957" s="9"/>
      <c r="D8957" s="15"/>
      <c r="E8957" s="16"/>
      <c r="F8957" s="19"/>
      <c r="G8957" s="20"/>
      <c r="H8957" s="19"/>
    </row>
    <row r="8958">
      <c r="A8958" s="9"/>
      <c r="B8958" s="15"/>
      <c r="C8958" s="9"/>
      <c r="D8958" s="15"/>
      <c r="E8958" s="16"/>
      <c r="F8958" s="19"/>
      <c r="G8958" s="20"/>
      <c r="H8958" s="19"/>
    </row>
    <row r="8959">
      <c r="A8959" s="9"/>
      <c r="B8959" s="15"/>
      <c r="C8959" s="9"/>
      <c r="D8959" s="15"/>
      <c r="E8959" s="16"/>
      <c r="F8959" s="19"/>
      <c r="G8959" s="20"/>
      <c r="H8959" s="19"/>
    </row>
    <row r="8960">
      <c r="A8960" s="9"/>
      <c r="B8960" s="15"/>
      <c r="C8960" s="9"/>
      <c r="D8960" s="15"/>
      <c r="E8960" s="16"/>
      <c r="F8960" s="19"/>
      <c r="G8960" s="20"/>
      <c r="H8960" s="19"/>
    </row>
    <row r="8961">
      <c r="A8961" s="9"/>
      <c r="B8961" s="15"/>
      <c r="C8961" s="9"/>
      <c r="D8961" s="15"/>
      <c r="E8961" s="16"/>
      <c r="F8961" s="19"/>
      <c r="G8961" s="20"/>
      <c r="H8961" s="19"/>
    </row>
    <row r="8962">
      <c r="A8962" s="9"/>
      <c r="B8962" s="15"/>
      <c r="C8962" s="9"/>
      <c r="D8962" s="15"/>
      <c r="E8962" s="16"/>
      <c r="F8962" s="19"/>
      <c r="G8962" s="20"/>
      <c r="H8962" s="19"/>
    </row>
    <row r="8963">
      <c r="A8963" s="9"/>
      <c r="B8963" s="15"/>
      <c r="C8963" s="9"/>
      <c r="D8963" s="15"/>
      <c r="E8963" s="16"/>
      <c r="F8963" s="19"/>
      <c r="G8963" s="20"/>
      <c r="H8963" s="19"/>
    </row>
    <row r="8964">
      <c r="A8964" s="9"/>
      <c r="B8964" s="15"/>
      <c r="C8964" s="9"/>
      <c r="D8964" s="15"/>
      <c r="E8964" s="16"/>
      <c r="F8964" s="19"/>
      <c r="G8964" s="20"/>
      <c r="H8964" s="19"/>
    </row>
    <row r="8965">
      <c r="A8965" s="9"/>
      <c r="B8965" s="15"/>
      <c r="C8965" s="9"/>
      <c r="D8965" s="15"/>
      <c r="E8965" s="16"/>
      <c r="F8965" s="19"/>
      <c r="G8965" s="20"/>
      <c r="H8965" s="19"/>
    </row>
    <row r="8966">
      <c r="A8966" s="9"/>
      <c r="B8966" s="15"/>
      <c r="C8966" s="9"/>
      <c r="D8966" s="15"/>
      <c r="E8966" s="16"/>
      <c r="F8966" s="19"/>
      <c r="G8966" s="20"/>
      <c r="H8966" s="19"/>
    </row>
    <row r="8967">
      <c r="A8967" s="9"/>
      <c r="B8967" s="15"/>
      <c r="C8967" s="9"/>
      <c r="D8967" s="15"/>
      <c r="E8967" s="16"/>
      <c r="F8967" s="19"/>
      <c r="G8967" s="20"/>
      <c r="H8967" s="19"/>
    </row>
    <row r="8968">
      <c r="A8968" s="9"/>
      <c r="B8968" s="15"/>
      <c r="C8968" s="9"/>
      <c r="D8968" s="15"/>
      <c r="E8968" s="16"/>
      <c r="F8968" s="19"/>
      <c r="G8968" s="20"/>
      <c r="H8968" s="19"/>
    </row>
    <row r="8969">
      <c r="A8969" s="9"/>
      <c r="B8969" s="15"/>
      <c r="C8969" s="9"/>
      <c r="D8969" s="15"/>
      <c r="E8969" s="16"/>
      <c r="F8969" s="19"/>
      <c r="G8969" s="20"/>
      <c r="H8969" s="19"/>
    </row>
    <row r="8970">
      <c r="A8970" s="9"/>
      <c r="B8970" s="15"/>
      <c r="C8970" s="9"/>
      <c r="D8970" s="15"/>
      <c r="E8970" s="16"/>
      <c r="F8970" s="19"/>
      <c r="G8970" s="20"/>
      <c r="H8970" s="19"/>
    </row>
    <row r="8971">
      <c r="A8971" s="9"/>
      <c r="B8971" s="15"/>
      <c r="C8971" s="9"/>
      <c r="D8971" s="15"/>
      <c r="E8971" s="16"/>
      <c r="F8971" s="19"/>
      <c r="G8971" s="20"/>
      <c r="H8971" s="19"/>
    </row>
    <row r="8972">
      <c r="A8972" s="9"/>
      <c r="B8972" s="15"/>
      <c r="C8972" s="9"/>
      <c r="D8972" s="15"/>
      <c r="E8972" s="16"/>
      <c r="F8972" s="19"/>
      <c r="G8972" s="20"/>
      <c r="H8972" s="19"/>
    </row>
    <row r="8973">
      <c r="A8973" s="9"/>
      <c r="B8973" s="15"/>
      <c r="C8973" s="9"/>
      <c r="D8973" s="15"/>
      <c r="E8973" s="16"/>
      <c r="F8973" s="19"/>
      <c r="G8973" s="20"/>
      <c r="H8973" s="19"/>
    </row>
    <row r="8974">
      <c r="A8974" s="9"/>
      <c r="B8974" s="15"/>
      <c r="C8974" s="9"/>
      <c r="D8974" s="15"/>
      <c r="E8974" s="16"/>
      <c r="F8974" s="19"/>
      <c r="G8974" s="20"/>
      <c r="H8974" s="19"/>
    </row>
    <row r="8975">
      <c r="A8975" s="9"/>
      <c r="B8975" s="15"/>
      <c r="C8975" s="9"/>
      <c r="D8975" s="15"/>
      <c r="E8975" s="16"/>
      <c r="F8975" s="19"/>
      <c r="G8975" s="20"/>
      <c r="H8975" s="19"/>
    </row>
    <row r="8976">
      <c r="A8976" s="9"/>
      <c r="B8976" s="15"/>
      <c r="C8976" s="9"/>
      <c r="D8976" s="15"/>
      <c r="E8976" s="16"/>
      <c r="F8976" s="19"/>
      <c r="G8976" s="20"/>
      <c r="H8976" s="19"/>
    </row>
    <row r="8977">
      <c r="A8977" s="9"/>
      <c r="B8977" s="15"/>
      <c r="C8977" s="9"/>
      <c r="D8977" s="15"/>
      <c r="E8977" s="16"/>
      <c r="F8977" s="19"/>
      <c r="G8977" s="20"/>
      <c r="H8977" s="19"/>
    </row>
    <row r="8978">
      <c r="A8978" s="9"/>
      <c r="B8978" s="15"/>
      <c r="C8978" s="9"/>
      <c r="D8978" s="15"/>
      <c r="E8978" s="16"/>
      <c r="F8978" s="19"/>
      <c r="G8978" s="20"/>
      <c r="H8978" s="19"/>
    </row>
    <row r="8979">
      <c r="A8979" s="9"/>
      <c r="B8979" s="15"/>
      <c r="C8979" s="9"/>
      <c r="D8979" s="15"/>
      <c r="E8979" s="16"/>
      <c r="F8979" s="19"/>
      <c r="G8979" s="20"/>
      <c r="H8979" s="19"/>
    </row>
    <row r="8980">
      <c r="A8980" s="9"/>
      <c r="B8980" s="15"/>
      <c r="C8980" s="9"/>
      <c r="D8980" s="15"/>
      <c r="E8980" s="16"/>
      <c r="F8980" s="19"/>
      <c r="G8980" s="20"/>
      <c r="H8980" s="19"/>
    </row>
    <row r="8981">
      <c r="A8981" s="9"/>
      <c r="B8981" s="15"/>
      <c r="C8981" s="9"/>
      <c r="D8981" s="15"/>
      <c r="E8981" s="16"/>
      <c r="F8981" s="19"/>
      <c r="G8981" s="20"/>
      <c r="H8981" s="19"/>
    </row>
    <row r="8982">
      <c r="A8982" s="9"/>
      <c r="B8982" s="15"/>
      <c r="C8982" s="9"/>
      <c r="D8982" s="15"/>
      <c r="E8982" s="16"/>
      <c r="F8982" s="19"/>
      <c r="G8982" s="20"/>
      <c r="H8982" s="19"/>
    </row>
    <row r="8983">
      <c r="A8983" s="9"/>
      <c r="B8983" s="15"/>
      <c r="C8983" s="9"/>
      <c r="D8983" s="15"/>
      <c r="E8983" s="16"/>
      <c r="F8983" s="19"/>
      <c r="G8983" s="20"/>
      <c r="H8983" s="19"/>
    </row>
    <row r="8984">
      <c r="A8984" s="9"/>
      <c r="B8984" s="15"/>
      <c r="C8984" s="9"/>
      <c r="D8984" s="15"/>
      <c r="E8984" s="16"/>
      <c r="F8984" s="19"/>
      <c r="G8984" s="20"/>
      <c r="H8984" s="19"/>
    </row>
    <row r="8985">
      <c r="A8985" s="9"/>
      <c r="B8985" s="15"/>
      <c r="C8985" s="9"/>
      <c r="D8985" s="15"/>
      <c r="E8985" s="16"/>
      <c r="F8985" s="19"/>
      <c r="G8985" s="20"/>
      <c r="H8985" s="19"/>
    </row>
    <row r="8986">
      <c r="A8986" s="9"/>
      <c r="B8986" s="15"/>
      <c r="C8986" s="9"/>
      <c r="D8986" s="15"/>
      <c r="E8986" s="16"/>
      <c r="F8986" s="19"/>
      <c r="G8986" s="20"/>
      <c r="H8986" s="19"/>
    </row>
    <row r="8987">
      <c r="A8987" s="9"/>
      <c r="B8987" s="15"/>
      <c r="C8987" s="9"/>
      <c r="D8987" s="15"/>
      <c r="E8987" s="16"/>
      <c r="F8987" s="19"/>
      <c r="G8987" s="20"/>
      <c r="H8987" s="19"/>
    </row>
    <row r="8988">
      <c r="A8988" s="9"/>
      <c r="B8988" s="15"/>
      <c r="C8988" s="9"/>
      <c r="D8988" s="15"/>
      <c r="E8988" s="16"/>
      <c r="F8988" s="19"/>
      <c r="G8988" s="20"/>
      <c r="H8988" s="19"/>
    </row>
    <row r="8989">
      <c r="A8989" s="9"/>
      <c r="B8989" s="15"/>
      <c r="C8989" s="9"/>
      <c r="D8989" s="15"/>
      <c r="E8989" s="16"/>
      <c r="F8989" s="19"/>
      <c r="G8989" s="20"/>
      <c r="H8989" s="19"/>
    </row>
    <row r="8990">
      <c r="A8990" s="9"/>
      <c r="B8990" s="15"/>
      <c r="C8990" s="9"/>
      <c r="D8990" s="15"/>
      <c r="E8990" s="16"/>
      <c r="F8990" s="19"/>
      <c r="G8990" s="20"/>
      <c r="H8990" s="19"/>
    </row>
    <row r="8991">
      <c r="A8991" s="9"/>
      <c r="B8991" s="15"/>
      <c r="C8991" s="9"/>
      <c r="D8991" s="15"/>
      <c r="E8991" s="16"/>
      <c r="F8991" s="19"/>
      <c r="G8991" s="20"/>
      <c r="H8991" s="19"/>
    </row>
    <row r="8992">
      <c r="A8992" s="9"/>
      <c r="B8992" s="15"/>
      <c r="C8992" s="9"/>
      <c r="D8992" s="15"/>
      <c r="E8992" s="16"/>
      <c r="F8992" s="19"/>
      <c r="G8992" s="20"/>
      <c r="H8992" s="19"/>
    </row>
    <row r="8993">
      <c r="A8993" s="9"/>
      <c r="B8993" s="15"/>
      <c r="C8993" s="9"/>
      <c r="D8993" s="15"/>
      <c r="E8993" s="16"/>
      <c r="F8993" s="19"/>
      <c r="G8993" s="20"/>
      <c r="H8993" s="19"/>
    </row>
    <row r="8994">
      <c r="A8994" s="9"/>
      <c r="B8994" s="15"/>
      <c r="C8994" s="9"/>
      <c r="D8994" s="15"/>
      <c r="E8994" s="16"/>
      <c r="F8994" s="19"/>
      <c r="G8994" s="20"/>
      <c r="H8994" s="19"/>
    </row>
    <row r="8995">
      <c r="A8995" s="9"/>
      <c r="B8995" s="15"/>
      <c r="C8995" s="9"/>
      <c r="D8995" s="15"/>
      <c r="E8995" s="16"/>
      <c r="F8995" s="19"/>
      <c r="G8995" s="20"/>
      <c r="H8995" s="19"/>
    </row>
    <row r="8996">
      <c r="A8996" s="9"/>
      <c r="B8996" s="15"/>
      <c r="C8996" s="9"/>
      <c r="D8996" s="15"/>
      <c r="E8996" s="16"/>
      <c r="F8996" s="19"/>
      <c r="G8996" s="20"/>
      <c r="H8996" s="19"/>
    </row>
    <row r="8997">
      <c r="A8997" s="9"/>
      <c r="B8997" s="15"/>
      <c r="C8997" s="9"/>
      <c r="D8997" s="15"/>
      <c r="E8997" s="16"/>
      <c r="F8997" s="19"/>
      <c r="G8997" s="20"/>
      <c r="H8997" s="19"/>
    </row>
    <row r="8998">
      <c r="A8998" s="9"/>
      <c r="B8998" s="15"/>
      <c r="C8998" s="9"/>
      <c r="D8998" s="15"/>
      <c r="E8998" s="16"/>
      <c r="F8998" s="19"/>
      <c r="G8998" s="20"/>
      <c r="H8998" s="19"/>
    </row>
    <row r="8999">
      <c r="A8999" s="9"/>
      <c r="B8999" s="15"/>
      <c r="C8999" s="9"/>
      <c r="D8999" s="15"/>
      <c r="E8999" s="16"/>
      <c r="F8999" s="19"/>
      <c r="G8999" s="20"/>
      <c r="H8999" s="19"/>
    </row>
    <row r="9000">
      <c r="A9000" s="9"/>
      <c r="B9000" s="15"/>
      <c r="C9000" s="9"/>
      <c r="D9000" s="15"/>
      <c r="E9000" s="16"/>
      <c r="F9000" s="19"/>
      <c r="G9000" s="20"/>
      <c r="H9000" s="19"/>
    </row>
    <row r="9001">
      <c r="A9001" s="9"/>
      <c r="B9001" s="15"/>
      <c r="C9001" s="9"/>
      <c r="D9001" s="15"/>
      <c r="E9001" s="16"/>
      <c r="F9001" s="19"/>
      <c r="G9001" s="20"/>
      <c r="H9001" s="19"/>
    </row>
    <row r="9002">
      <c r="A9002" s="9"/>
      <c r="B9002" s="15"/>
      <c r="C9002" s="9"/>
      <c r="D9002" s="15"/>
      <c r="E9002" s="16"/>
      <c r="F9002" s="19"/>
      <c r="G9002" s="20"/>
      <c r="H9002" s="19"/>
    </row>
    <row r="9003">
      <c r="A9003" s="9"/>
      <c r="B9003" s="15"/>
      <c r="C9003" s="9"/>
      <c r="D9003" s="15"/>
      <c r="E9003" s="16"/>
      <c r="F9003" s="19"/>
      <c r="G9003" s="20"/>
      <c r="H9003" s="19"/>
    </row>
    <row r="9004">
      <c r="A9004" s="9"/>
      <c r="B9004" s="15"/>
      <c r="C9004" s="9"/>
      <c r="D9004" s="15"/>
      <c r="E9004" s="16"/>
      <c r="F9004" s="19"/>
      <c r="G9004" s="20"/>
      <c r="H9004" s="19"/>
    </row>
    <row r="9005">
      <c r="A9005" s="9"/>
      <c r="B9005" s="15"/>
      <c r="C9005" s="9"/>
      <c r="D9005" s="15"/>
      <c r="E9005" s="16"/>
      <c r="F9005" s="19"/>
      <c r="G9005" s="20"/>
      <c r="H9005" s="19"/>
    </row>
    <row r="9006">
      <c r="A9006" s="9"/>
      <c r="B9006" s="15"/>
      <c r="C9006" s="9"/>
      <c r="D9006" s="15"/>
      <c r="E9006" s="16"/>
      <c r="F9006" s="19"/>
      <c r="G9006" s="20"/>
      <c r="H9006" s="19"/>
    </row>
    <row r="9007">
      <c r="A9007" s="9"/>
      <c r="B9007" s="15"/>
      <c r="C9007" s="9"/>
      <c r="D9007" s="15"/>
      <c r="E9007" s="16"/>
      <c r="F9007" s="19"/>
      <c r="G9007" s="20"/>
      <c r="H9007" s="19"/>
    </row>
    <row r="9008">
      <c r="A9008" s="9"/>
      <c r="B9008" s="15"/>
      <c r="C9008" s="9"/>
      <c r="D9008" s="15"/>
      <c r="E9008" s="16"/>
      <c r="F9008" s="19"/>
      <c r="G9008" s="20"/>
      <c r="H9008" s="19"/>
    </row>
    <row r="9009">
      <c r="A9009" s="9"/>
      <c r="B9009" s="15"/>
      <c r="C9009" s="9"/>
      <c r="D9009" s="15"/>
      <c r="E9009" s="16"/>
      <c r="F9009" s="19"/>
      <c r="G9009" s="20"/>
      <c r="H9009" s="19"/>
    </row>
    <row r="9010">
      <c r="A9010" s="9"/>
      <c r="B9010" s="15"/>
      <c r="C9010" s="9"/>
      <c r="D9010" s="15"/>
      <c r="E9010" s="16"/>
      <c r="F9010" s="19"/>
      <c r="G9010" s="20"/>
      <c r="H9010" s="19"/>
    </row>
    <row r="9011">
      <c r="A9011" s="9"/>
      <c r="B9011" s="15"/>
      <c r="C9011" s="9"/>
      <c r="D9011" s="15"/>
      <c r="E9011" s="16"/>
      <c r="F9011" s="19"/>
      <c r="G9011" s="20"/>
      <c r="H9011" s="19"/>
    </row>
    <row r="9012">
      <c r="A9012" s="9"/>
      <c r="B9012" s="15"/>
      <c r="C9012" s="9"/>
      <c r="D9012" s="15"/>
      <c r="E9012" s="16"/>
      <c r="F9012" s="19"/>
      <c r="G9012" s="20"/>
      <c r="H9012" s="19"/>
    </row>
    <row r="9013">
      <c r="A9013" s="9"/>
      <c r="B9013" s="15"/>
      <c r="C9013" s="9"/>
      <c r="D9013" s="15"/>
      <c r="E9013" s="16"/>
      <c r="F9013" s="19"/>
      <c r="G9013" s="20"/>
      <c r="H9013" s="19"/>
    </row>
    <row r="9014">
      <c r="A9014" s="9"/>
      <c r="B9014" s="15"/>
      <c r="C9014" s="9"/>
      <c r="D9014" s="15"/>
      <c r="E9014" s="16"/>
      <c r="F9014" s="19"/>
      <c r="G9014" s="20"/>
      <c r="H9014" s="19"/>
    </row>
    <row r="9015">
      <c r="A9015" s="9"/>
      <c r="B9015" s="15"/>
      <c r="C9015" s="9"/>
      <c r="D9015" s="15"/>
      <c r="E9015" s="16"/>
      <c r="F9015" s="19"/>
      <c r="G9015" s="20"/>
      <c r="H9015" s="19"/>
    </row>
    <row r="9016">
      <c r="A9016" s="9"/>
      <c r="B9016" s="15"/>
      <c r="C9016" s="9"/>
      <c r="D9016" s="15"/>
      <c r="E9016" s="16"/>
      <c r="F9016" s="19"/>
      <c r="G9016" s="20"/>
      <c r="H9016" s="19"/>
    </row>
    <row r="9017">
      <c r="A9017" s="9"/>
      <c r="B9017" s="15"/>
      <c r="C9017" s="9"/>
      <c r="D9017" s="15"/>
      <c r="E9017" s="16"/>
      <c r="F9017" s="19"/>
      <c r="G9017" s="20"/>
      <c r="H9017" s="19"/>
    </row>
    <row r="9018">
      <c r="A9018" s="9"/>
      <c r="B9018" s="15"/>
      <c r="C9018" s="9"/>
      <c r="D9018" s="15"/>
      <c r="E9018" s="16"/>
      <c r="F9018" s="19"/>
      <c r="G9018" s="20"/>
      <c r="H9018" s="19"/>
    </row>
    <row r="9019">
      <c r="A9019" s="9"/>
      <c r="B9019" s="15"/>
      <c r="C9019" s="9"/>
      <c r="D9019" s="15"/>
      <c r="E9019" s="16"/>
      <c r="F9019" s="19"/>
      <c r="G9019" s="20"/>
      <c r="H9019" s="19"/>
    </row>
    <row r="9020">
      <c r="A9020" s="9"/>
      <c r="B9020" s="15"/>
      <c r="C9020" s="9"/>
      <c r="D9020" s="15"/>
      <c r="E9020" s="16"/>
      <c r="F9020" s="19"/>
      <c r="G9020" s="20"/>
      <c r="H9020" s="19"/>
    </row>
    <row r="9021">
      <c r="A9021" s="9"/>
      <c r="B9021" s="15"/>
      <c r="C9021" s="9"/>
      <c r="D9021" s="15"/>
      <c r="E9021" s="16"/>
      <c r="F9021" s="19"/>
      <c r="G9021" s="20"/>
      <c r="H9021" s="19"/>
    </row>
    <row r="9022">
      <c r="A9022" s="9"/>
      <c r="B9022" s="15"/>
      <c r="C9022" s="9"/>
      <c r="D9022" s="15"/>
      <c r="E9022" s="16"/>
      <c r="F9022" s="19"/>
      <c r="G9022" s="20"/>
      <c r="H9022" s="19"/>
    </row>
    <row r="9023">
      <c r="A9023" s="9"/>
      <c r="B9023" s="15"/>
      <c r="C9023" s="9"/>
      <c r="D9023" s="15"/>
      <c r="E9023" s="16"/>
      <c r="F9023" s="19"/>
      <c r="G9023" s="20"/>
      <c r="H9023" s="19"/>
    </row>
    <row r="9024">
      <c r="A9024" s="9"/>
      <c r="B9024" s="15"/>
      <c r="C9024" s="9"/>
      <c r="D9024" s="15"/>
      <c r="E9024" s="16"/>
      <c r="F9024" s="19"/>
      <c r="G9024" s="20"/>
      <c r="H9024" s="19"/>
    </row>
    <row r="9025">
      <c r="A9025" s="9"/>
      <c r="B9025" s="15"/>
      <c r="C9025" s="9"/>
      <c r="D9025" s="15"/>
      <c r="E9025" s="16"/>
      <c r="F9025" s="19"/>
      <c r="G9025" s="20"/>
      <c r="H9025" s="19"/>
    </row>
    <row r="9026">
      <c r="A9026" s="9"/>
      <c r="B9026" s="15"/>
      <c r="C9026" s="9"/>
      <c r="D9026" s="15"/>
      <c r="E9026" s="16"/>
      <c r="F9026" s="19"/>
      <c r="G9026" s="20"/>
      <c r="H9026" s="19"/>
    </row>
    <row r="9027">
      <c r="A9027" s="9"/>
      <c r="B9027" s="15"/>
      <c r="C9027" s="9"/>
      <c r="D9027" s="15"/>
      <c r="E9027" s="16"/>
      <c r="F9027" s="19"/>
      <c r="G9027" s="20"/>
      <c r="H9027" s="19"/>
    </row>
    <row r="9028">
      <c r="A9028" s="9"/>
      <c r="B9028" s="15"/>
      <c r="C9028" s="9"/>
      <c r="D9028" s="15"/>
      <c r="E9028" s="16"/>
      <c r="F9028" s="19"/>
      <c r="G9028" s="20"/>
      <c r="H9028" s="19"/>
    </row>
    <row r="9029">
      <c r="A9029" s="9"/>
      <c r="B9029" s="15"/>
      <c r="C9029" s="9"/>
      <c r="D9029" s="15"/>
      <c r="E9029" s="16"/>
      <c r="F9029" s="19"/>
      <c r="G9029" s="20"/>
      <c r="H9029" s="19"/>
    </row>
    <row r="9030">
      <c r="A9030" s="9"/>
      <c r="B9030" s="15"/>
      <c r="C9030" s="9"/>
      <c r="D9030" s="15"/>
      <c r="E9030" s="16"/>
      <c r="F9030" s="19"/>
      <c r="G9030" s="20"/>
      <c r="H9030" s="19"/>
    </row>
    <row r="9031">
      <c r="A9031" s="9"/>
      <c r="B9031" s="15"/>
      <c r="C9031" s="9"/>
      <c r="D9031" s="15"/>
      <c r="E9031" s="16"/>
      <c r="F9031" s="19"/>
      <c r="G9031" s="20"/>
      <c r="H9031" s="19"/>
    </row>
    <row r="9032">
      <c r="A9032" s="9"/>
      <c r="B9032" s="15"/>
      <c r="C9032" s="9"/>
      <c r="D9032" s="15"/>
      <c r="E9032" s="16"/>
      <c r="F9032" s="19"/>
      <c r="G9032" s="20"/>
      <c r="H9032" s="19"/>
    </row>
    <row r="9033">
      <c r="A9033" s="9"/>
      <c r="B9033" s="15"/>
      <c r="C9033" s="9"/>
      <c r="D9033" s="15"/>
      <c r="E9033" s="16"/>
      <c r="F9033" s="19"/>
      <c r="G9033" s="20"/>
      <c r="H9033" s="19"/>
    </row>
    <row r="9034">
      <c r="A9034" s="9"/>
      <c r="B9034" s="15"/>
      <c r="C9034" s="9"/>
      <c r="D9034" s="15"/>
      <c r="E9034" s="16"/>
      <c r="F9034" s="19"/>
      <c r="G9034" s="20"/>
      <c r="H9034" s="19"/>
    </row>
    <row r="9035">
      <c r="A9035" s="9"/>
      <c r="B9035" s="15"/>
      <c r="C9035" s="9"/>
      <c r="D9035" s="15"/>
      <c r="E9035" s="16"/>
      <c r="F9035" s="19"/>
      <c r="G9035" s="20"/>
      <c r="H9035" s="19"/>
    </row>
    <row r="9036">
      <c r="A9036" s="9"/>
      <c r="B9036" s="15"/>
      <c r="C9036" s="9"/>
      <c r="D9036" s="15"/>
      <c r="E9036" s="16"/>
      <c r="F9036" s="19"/>
      <c r="G9036" s="20"/>
      <c r="H9036" s="19"/>
    </row>
    <row r="9037">
      <c r="A9037" s="9"/>
      <c r="B9037" s="15"/>
      <c r="C9037" s="9"/>
      <c r="D9037" s="15"/>
      <c r="E9037" s="16"/>
      <c r="F9037" s="19"/>
      <c r="G9037" s="20"/>
      <c r="H9037" s="19"/>
    </row>
    <row r="9038">
      <c r="A9038" s="9"/>
      <c r="B9038" s="15"/>
      <c r="C9038" s="9"/>
      <c r="D9038" s="15"/>
      <c r="E9038" s="16"/>
      <c r="F9038" s="19"/>
      <c r="G9038" s="20"/>
      <c r="H9038" s="19"/>
    </row>
    <row r="9039">
      <c r="A9039" s="9"/>
      <c r="B9039" s="15"/>
      <c r="C9039" s="9"/>
      <c r="D9039" s="15"/>
      <c r="E9039" s="16"/>
      <c r="F9039" s="19"/>
      <c r="G9039" s="20"/>
      <c r="H9039" s="19"/>
    </row>
    <row r="9040">
      <c r="A9040" s="9"/>
      <c r="B9040" s="15"/>
      <c r="C9040" s="9"/>
      <c r="D9040" s="15"/>
      <c r="E9040" s="16"/>
      <c r="F9040" s="19"/>
      <c r="G9040" s="20"/>
      <c r="H9040" s="19"/>
    </row>
    <row r="9041">
      <c r="A9041" s="9"/>
      <c r="B9041" s="15"/>
      <c r="C9041" s="9"/>
      <c r="D9041" s="15"/>
      <c r="E9041" s="16"/>
      <c r="F9041" s="19"/>
      <c r="G9041" s="20"/>
      <c r="H9041" s="19"/>
    </row>
    <row r="9042">
      <c r="A9042" s="9"/>
      <c r="B9042" s="15"/>
      <c r="C9042" s="9"/>
      <c r="D9042" s="15"/>
      <c r="E9042" s="16"/>
      <c r="F9042" s="19"/>
      <c r="G9042" s="20"/>
      <c r="H9042" s="19"/>
    </row>
    <row r="9043">
      <c r="A9043" s="9"/>
      <c r="B9043" s="15"/>
      <c r="C9043" s="9"/>
      <c r="D9043" s="15"/>
      <c r="E9043" s="16"/>
      <c r="F9043" s="19"/>
      <c r="G9043" s="20"/>
      <c r="H9043" s="19"/>
    </row>
    <row r="9044">
      <c r="A9044" s="9"/>
      <c r="B9044" s="15"/>
      <c r="C9044" s="9"/>
      <c r="D9044" s="15"/>
      <c r="E9044" s="16"/>
      <c r="F9044" s="19"/>
      <c r="G9044" s="20"/>
      <c r="H9044" s="19"/>
    </row>
    <row r="9045">
      <c r="A9045" s="9"/>
      <c r="B9045" s="15"/>
      <c r="C9045" s="9"/>
      <c r="D9045" s="15"/>
      <c r="E9045" s="16"/>
      <c r="F9045" s="19"/>
      <c r="G9045" s="20"/>
      <c r="H9045" s="19"/>
    </row>
    <row r="9046">
      <c r="A9046" s="9"/>
      <c r="B9046" s="15"/>
      <c r="C9046" s="9"/>
      <c r="D9046" s="15"/>
      <c r="E9046" s="16"/>
      <c r="F9046" s="19"/>
      <c r="G9046" s="20"/>
      <c r="H9046" s="19"/>
    </row>
    <row r="9047">
      <c r="A9047" s="9"/>
      <c r="B9047" s="15"/>
      <c r="C9047" s="9"/>
      <c r="D9047" s="15"/>
      <c r="E9047" s="16"/>
      <c r="F9047" s="19"/>
      <c r="G9047" s="20"/>
      <c r="H9047" s="19"/>
    </row>
    <row r="9048">
      <c r="A9048" s="9"/>
      <c r="B9048" s="15"/>
      <c r="C9048" s="9"/>
      <c r="D9048" s="15"/>
      <c r="E9048" s="16"/>
      <c r="F9048" s="19"/>
      <c r="G9048" s="20"/>
      <c r="H9048" s="19"/>
    </row>
    <row r="9049">
      <c r="A9049" s="9"/>
      <c r="B9049" s="15"/>
      <c r="C9049" s="9"/>
      <c r="D9049" s="15"/>
      <c r="E9049" s="16"/>
      <c r="F9049" s="19"/>
      <c r="G9049" s="20"/>
      <c r="H9049" s="19"/>
    </row>
    <row r="9050">
      <c r="A9050" s="9"/>
      <c r="B9050" s="15"/>
      <c r="C9050" s="9"/>
      <c r="D9050" s="15"/>
      <c r="E9050" s="16"/>
      <c r="F9050" s="19"/>
      <c r="G9050" s="20"/>
      <c r="H9050" s="19"/>
    </row>
    <row r="9051">
      <c r="A9051" s="9"/>
      <c r="B9051" s="15"/>
      <c r="C9051" s="9"/>
      <c r="D9051" s="15"/>
      <c r="E9051" s="16"/>
      <c r="F9051" s="19"/>
      <c r="G9051" s="20"/>
      <c r="H9051" s="19"/>
    </row>
    <row r="9052">
      <c r="A9052" s="9"/>
      <c r="B9052" s="15"/>
      <c r="C9052" s="9"/>
      <c r="D9052" s="15"/>
      <c r="E9052" s="16"/>
      <c r="F9052" s="19"/>
      <c r="G9052" s="20"/>
      <c r="H9052" s="19"/>
    </row>
    <row r="9053">
      <c r="A9053" s="9"/>
      <c r="B9053" s="15"/>
      <c r="C9053" s="9"/>
      <c r="D9053" s="15"/>
      <c r="E9053" s="16"/>
      <c r="F9053" s="19"/>
      <c r="G9053" s="20"/>
      <c r="H9053" s="19"/>
    </row>
    <row r="9054">
      <c r="A9054" s="9"/>
      <c r="B9054" s="15"/>
      <c r="C9054" s="9"/>
      <c r="D9054" s="15"/>
      <c r="E9054" s="16"/>
      <c r="F9054" s="19"/>
      <c r="G9054" s="20"/>
      <c r="H9054" s="19"/>
    </row>
    <row r="9055">
      <c r="A9055" s="9"/>
      <c r="B9055" s="15"/>
      <c r="C9055" s="9"/>
      <c r="D9055" s="15"/>
      <c r="E9055" s="16"/>
      <c r="F9055" s="19"/>
      <c r="G9055" s="20"/>
      <c r="H9055" s="19"/>
    </row>
    <row r="9056">
      <c r="A9056" s="9"/>
      <c r="B9056" s="15"/>
      <c r="C9056" s="9"/>
      <c r="D9056" s="15"/>
      <c r="E9056" s="16"/>
      <c r="F9056" s="19"/>
      <c r="G9056" s="20"/>
      <c r="H9056" s="19"/>
    </row>
    <row r="9057">
      <c r="A9057" s="9"/>
      <c r="B9057" s="15"/>
      <c r="C9057" s="9"/>
      <c r="D9057" s="15"/>
      <c r="E9057" s="16"/>
      <c r="F9057" s="19"/>
      <c r="G9057" s="20"/>
      <c r="H9057" s="19"/>
    </row>
    <row r="9058">
      <c r="A9058" s="9"/>
      <c r="B9058" s="15"/>
      <c r="C9058" s="9"/>
      <c r="D9058" s="15"/>
      <c r="E9058" s="16"/>
      <c r="F9058" s="19"/>
      <c r="G9058" s="20"/>
      <c r="H9058" s="19"/>
    </row>
    <row r="9059">
      <c r="A9059" s="9"/>
      <c r="B9059" s="15"/>
      <c r="C9059" s="9"/>
      <c r="D9059" s="15"/>
      <c r="E9059" s="16"/>
      <c r="F9059" s="19"/>
      <c r="G9059" s="20"/>
      <c r="H9059" s="19"/>
    </row>
    <row r="9060">
      <c r="A9060" s="9"/>
      <c r="B9060" s="15"/>
      <c r="C9060" s="9"/>
      <c r="D9060" s="15"/>
      <c r="E9060" s="16"/>
      <c r="F9060" s="19"/>
      <c r="G9060" s="20"/>
      <c r="H9060" s="19"/>
    </row>
    <row r="9061">
      <c r="A9061" s="9"/>
      <c r="B9061" s="15"/>
      <c r="C9061" s="9"/>
      <c r="D9061" s="15"/>
      <c r="E9061" s="16"/>
      <c r="F9061" s="19"/>
      <c r="G9061" s="20"/>
      <c r="H9061" s="19"/>
    </row>
    <row r="9062">
      <c r="A9062" s="9"/>
      <c r="B9062" s="15"/>
      <c r="C9062" s="9"/>
      <c r="D9062" s="15"/>
      <c r="E9062" s="16"/>
      <c r="F9062" s="19"/>
      <c r="G9062" s="20"/>
      <c r="H9062" s="19"/>
    </row>
    <row r="9063">
      <c r="A9063" s="9"/>
      <c r="B9063" s="15"/>
      <c r="C9063" s="9"/>
      <c r="D9063" s="15"/>
      <c r="E9063" s="16"/>
      <c r="F9063" s="19"/>
      <c r="G9063" s="20"/>
      <c r="H9063" s="19"/>
    </row>
    <row r="9064">
      <c r="A9064" s="9"/>
      <c r="B9064" s="15"/>
      <c r="C9064" s="9"/>
      <c r="D9064" s="15"/>
      <c r="E9064" s="16"/>
      <c r="F9064" s="19"/>
      <c r="G9064" s="20"/>
      <c r="H9064" s="19"/>
    </row>
    <row r="9065">
      <c r="A9065" s="9"/>
      <c r="B9065" s="15"/>
      <c r="C9065" s="9"/>
      <c r="D9065" s="15"/>
      <c r="E9065" s="16"/>
      <c r="F9065" s="19"/>
      <c r="G9065" s="20"/>
      <c r="H9065" s="19"/>
    </row>
    <row r="9066">
      <c r="A9066" s="9"/>
      <c r="B9066" s="15"/>
      <c r="C9066" s="9"/>
      <c r="D9066" s="15"/>
      <c r="E9066" s="16"/>
      <c r="F9066" s="19"/>
      <c r="G9066" s="20"/>
      <c r="H9066" s="19"/>
    </row>
    <row r="9067">
      <c r="A9067" s="9"/>
      <c r="B9067" s="15"/>
      <c r="C9067" s="9"/>
      <c r="D9067" s="15"/>
      <c r="E9067" s="16"/>
      <c r="F9067" s="19"/>
      <c r="G9067" s="20"/>
      <c r="H9067" s="19"/>
    </row>
    <row r="9068">
      <c r="A9068" s="9"/>
      <c r="B9068" s="15"/>
      <c r="C9068" s="9"/>
      <c r="D9068" s="15"/>
      <c r="E9068" s="16"/>
      <c r="F9068" s="19"/>
      <c r="G9068" s="20"/>
      <c r="H9068" s="19"/>
    </row>
    <row r="9069">
      <c r="A9069" s="9"/>
      <c r="B9069" s="15"/>
      <c r="C9069" s="9"/>
      <c r="D9069" s="15"/>
      <c r="E9069" s="16"/>
      <c r="F9069" s="19"/>
      <c r="G9069" s="20"/>
      <c r="H9069" s="19"/>
    </row>
    <row r="9070">
      <c r="A9070" s="9"/>
      <c r="B9070" s="15"/>
      <c r="C9070" s="9"/>
      <c r="D9070" s="15"/>
      <c r="E9070" s="16"/>
      <c r="F9070" s="19"/>
      <c r="G9070" s="20"/>
      <c r="H9070" s="19"/>
    </row>
    <row r="9071">
      <c r="A9071" s="9"/>
      <c r="B9071" s="15"/>
      <c r="C9071" s="9"/>
      <c r="D9071" s="15"/>
      <c r="E9071" s="16"/>
      <c r="F9071" s="19"/>
      <c r="G9071" s="20"/>
      <c r="H9071" s="19"/>
    </row>
    <row r="9072">
      <c r="A9072" s="9"/>
      <c r="B9072" s="15"/>
      <c r="C9072" s="9"/>
      <c r="D9072" s="15"/>
      <c r="E9072" s="16"/>
      <c r="F9072" s="19"/>
      <c r="G9072" s="20"/>
      <c r="H9072" s="19"/>
    </row>
    <row r="9073">
      <c r="A9073" s="9"/>
      <c r="B9073" s="15"/>
      <c r="C9073" s="9"/>
      <c r="D9073" s="15"/>
      <c r="E9073" s="16"/>
      <c r="F9073" s="19"/>
      <c r="G9073" s="20"/>
      <c r="H9073" s="19"/>
    </row>
    <row r="9074">
      <c r="A9074" s="9"/>
      <c r="B9074" s="15"/>
      <c r="C9074" s="9"/>
      <c r="D9074" s="15"/>
      <c r="E9074" s="16"/>
      <c r="F9074" s="19"/>
      <c r="G9074" s="20"/>
      <c r="H9074" s="19"/>
    </row>
    <row r="9075">
      <c r="A9075" s="9"/>
      <c r="B9075" s="15"/>
      <c r="C9075" s="9"/>
      <c r="D9075" s="15"/>
      <c r="E9075" s="16"/>
      <c r="F9075" s="19"/>
      <c r="G9075" s="20"/>
      <c r="H9075" s="19"/>
    </row>
    <row r="9076">
      <c r="A9076" s="9"/>
      <c r="B9076" s="15"/>
      <c r="C9076" s="9"/>
      <c r="D9076" s="15"/>
      <c r="E9076" s="16"/>
      <c r="F9076" s="19"/>
      <c r="G9076" s="20"/>
      <c r="H9076" s="19"/>
    </row>
    <row r="9077">
      <c r="A9077" s="9"/>
      <c r="B9077" s="15"/>
      <c r="C9077" s="9"/>
      <c r="D9077" s="15"/>
      <c r="E9077" s="16"/>
      <c r="F9077" s="19"/>
      <c r="G9077" s="20"/>
      <c r="H9077" s="19"/>
    </row>
    <row r="9078">
      <c r="A9078" s="9"/>
      <c r="B9078" s="15"/>
      <c r="C9078" s="9"/>
      <c r="D9078" s="15"/>
      <c r="E9078" s="16"/>
      <c r="F9078" s="19"/>
      <c r="G9078" s="20"/>
      <c r="H9078" s="19"/>
    </row>
    <row r="9079">
      <c r="A9079" s="9"/>
      <c r="B9079" s="15"/>
      <c r="C9079" s="9"/>
      <c r="D9079" s="15"/>
      <c r="E9079" s="16"/>
      <c r="F9079" s="19"/>
      <c r="G9079" s="20"/>
      <c r="H9079" s="19"/>
    </row>
    <row r="9080">
      <c r="A9080" s="9"/>
      <c r="B9080" s="15"/>
      <c r="C9080" s="9"/>
      <c r="D9080" s="15"/>
      <c r="E9080" s="16"/>
      <c r="F9080" s="19"/>
      <c r="G9080" s="20"/>
      <c r="H9080" s="19"/>
    </row>
    <row r="9081">
      <c r="A9081" s="9"/>
      <c r="B9081" s="15"/>
      <c r="C9081" s="9"/>
      <c r="D9081" s="15"/>
      <c r="E9081" s="16"/>
      <c r="F9081" s="19"/>
      <c r="G9081" s="20"/>
      <c r="H9081" s="19"/>
    </row>
    <row r="9082">
      <c r="A9082" s="9"/>
      <c r="B9082" s="15"/>
      <c r="C9082" s="9"/>
      <c r="D9082" s="15"/>
      <c r="E9082" s="16"/>
      <c r="F9082" s="19"/>
      <c r="G9082" s="20"/>
      <c r="H9082" s="19"/>
    </row>
    <row r="9083">
      <c r="A9083" s="9"/>
      <c r="B9083" s="15"/>
      <c r="C9083" s="9"/>
      <c r="D9083" s="15"/>
      <c r="E9083" s="16"/>
      <c r="F9083" s="19"/>
      <c r="G9083" s="20"/>
      <c r="H9083" s="19"/>
    </row>
    <row r="9084">
      <c r="A9084" s="9"/>
      <c r="B9084" s="15"/>
      <c r="C9084" s="9"/>
      <c r="D9084" s="15"/>
      <c r="E9084" s="16"/>
      <c r="F9084" s="19"/>
      <c r="G9084" s="20"/>
      <c r="H9084" s="19"/>
    </row>
    <row r="9085">
      <c r="A9085" s="9"/>
      <c r="B9085" s="15"/>
      <c r="C9085" s="9"/>
      <c r="D9085" s="15"/>
      <c r="E9085" s="16"/>
      <c r="F9085" s="19"/>
      <c r="G9085" s="20"/>
      <c r="H9085" s="19"/>
    </row>
    <row r="9086">
      <c r="A9086" s="9"/>
      <c r="B9086" s="15"/>
      <c r="C9086" s="9"/>
      <c r="D9086" s="15"/>
      <c r="E9086" s="16"/>
      <c r="F9086" s="19"/>
      <c r="G9086" s="20"/>
      <c r="H9086" s="19"/>
    </row>
    <row r="9087">
      <c r="A9087" s="9"/>
      <c r="B9087" s="15"/>
      <c r="C9087" s="9"/>
      <c r="D9087" s="15"/>
      <c r="E9087" s="16"/>
      <c r="F9087" s="19"/>
      <c r="G9087" s="20"/>
      <c r="H9087" s="19"/>
    </row>
    <row r="9088">
      <c r="A9088" s="9"/>
      <c r="B9088" s="15"/>
      <c r="C9088" s="9"/>
      <c r="D9088" s="15"/>
      <c r="E9088" s="16"/>
      <c r="F9088" s="19"/>
      <c r="G9088" s="20"/>
      <c r="H9088" s="19"/>
    </row>
    <row r="9089">
      <c r="A9089" s="9"/>
      <c r="B9089" s="15"/>
      <c r="C9089" s="9"/>
      <c r="D9089" s="15"/>
      <c r="E9089" s="16"/>
      <c r="F9089" s="19"/>
      <c r="G9089" s="20"/>
      <c r="H9089" s="19"/>
    </row>
    <row r="9090">
      <c r="A9090" s="9"/>
      <c r="B9090" s="15"/>
      <c r="C9090" s="9"/>
      <c r="D9090" s="15"/>
      <c r="E9090" s="16"/>
      <c r="F9090" s="19"/>
      <c r="G9090" s="20"/>
      <c r="H9090" s="19"/>
    </row>
    <row r="9091">
      <c r="A9091" s="9"/>
      <c r="B9091" s="15"/>
      <c r="C9091" s="9"/>
      <c r="D9091" s="15"/>
      <c r="E9091" s="16"/>
      <c r="F9091" s="19"/>
      <c r="G9091" s="20"/>
      <c r="H9091" s="19"/>
    </row>
    <row r="9092">
      <c r="A9092" s="9"/>
      <c r="B9092" s="15"/>
      <c r="C9092" s="9"/>
      <c r="D9092" s="15"/>
      <c r="E9092" s="16"/>
      <c r="F9092" s="19"/>
      <c r="G9092" s="20"/>
      <c r="H9092" s="19"/>
    </row>
    <row r="9093">
      <c r="A9093" s="9"/>
      <c r="B9093" s="15"/>
      <c r="C9093" s="9"/>
      <c r="D9093" s="15"/>
      <c r="E9093" s="16"/>
      <c r="F9093" s="19"/>
      <c r="G9093" s="20"/>
      <c r="H9093" s="19"/>
    </row>
    <row r="9094">
      <c r="A9094" s="9"/>
      <c r="B9094" s="15"/>
      <c r="C9094" s="9"/>
      <c r="D9094" s="15"/>
      <c r="E9094" s="16"/>
      <c r="F9094" s="19"/>
      <c r="G9094" s="20"/>
      <c r="H9094" s="19"/>
    </row>
    <row r="9095">
      <c r="A9095" s="9"/>
      <c r="B9095" s="15"/>
      <c r="C9095" s="9"/>
      <c r="D9095" s="15"/>
      <c r="E9095" s="16"/>
      <c r="F9095" s="19"/>
      <c r="G9095" s="20"/>
      <c r="H9095" s="19"/>
    </row>
    <row r="9096">
      <c r="A9096" s="9"/>
      <c r="B9096" s="15"/>
      <c r="C9096" s="9"/>
      <c r="D9096" s="15"/>
      <c r="E9096" s="16"/>
      <c r="F9096" s="19"/>
      <c r="G9096" s="20"/>
      <c r="H9096" s="19"/>
    </row>
    <row r="9097">
      <c r="A9097" s="9"/>
      <c r="B9097" s="15"/>
      <c r="C9097" s="9"/>
      <c r="D9097" s="15"/>
      <c r="E9097" s="16"/>
      <c r="F9097" s="19"/>
      <c r="G9097" s="20"/>
      <c r="H9097" s="19"/>
    </row>
    <row r="9098">
      <c r="A9098" s="9"/>
      <c r="B9098" s="15"/>
      <c r="C9098" s="9"/>
      <c r="D9098" s="15"/>
      <c r="E9098" s="16"/>
      <c r="F9098" s="19"/>
      <c r="G9098" s="20"/>
      <c r="H9098" s="19"/>
    </row>
    <row r="9099">
      <c r="A9099" s="9"/>
      <c r="B9099" s="15"/>
      <c r="C9099" s="9"/>
      <c r="D9099" s="15"/>
      <c r="E9099" s="16"/>
      <c r="F9099" s="19"/>
      <c r="G9099" s="20"/>
      <c r="H9099" s="19"/>
    </row>
    <row r="9100">
      <c r="A9100" s="9"/>
      <c r="B9100" s="15"/>
      <c r="C9100" s="9"/>
      <c r="D9100" s="15"/>
      <c r="E9100" s="16"/>
      <c r="F9100" s="19"/>
      <c r="G9100" s="20"/>
      <c r="H9100" s="19"/>
    </row>
    <row r="9101">
      <c r="A9101" s="9"/>
      <c r="B9101" s="15"/>
      <c r="C9101" s="9"/>
      <c r="D9101" s="15"/>
      <c r="E9101" s="16"/>
      <c r="F9101" s="19"/>
      <c r="G9101" s="20"/>
      <c r="H9101" s="19"/>
    </row>
    <row r="9102">
      <c r="A9102" s="9"/>
      <c r="B9102" s="15"/>
      <c r="C9102" s="9"/>
      <c r="D9102" s="15"/>
      <c r="E9102" s="16"/>
      <c r="F9102" s="19"/>
      <c r="G9102" s="20"/>
      <c r="H9102" s="19"/>
    </row>
    <row r="9103">
      <c r="A9103" s="9"/>
      <c r="B9103" s="15"/>
      <c r="C9103" s="9"/>
      <c r="D9103" s="15"/>
      <c r="E9103" s="16"/>
      <c r="F9103" s="19"/>
      <c r="G9103" s="20"/>
      <c r="H9103" s="19"/>
    </row>
    <row r="9104">
      <c r="A9104" s="9"/>
      <c r="B9104" s="15"/>
      <c r="C9104" s="9"/>
      <c r="D9104" s="15"/>
      <c r="E9104" s="16"/>
      <c r="F9104" s="19"/>
      <c r="G9104" s="20"/>
      <c r="H9104" s="19"/>
    </row>
    <row r="9105">
      <c r="A9105" s="9"/>
      <c r="B9105" s="15"/>
      <c r="C9105" s="9"/>
      <c r="D9105" s="15"/>
      <c r="E9105" s="16"/>
      <c r="F9105" s="19"/>
      <c r="G9105" s="20"/>
      <c r="H9105" s="19"/>
    </row>
    <row r="9106">
      <c r="A9106" s="9"/>
      <c r="B9106" s="15"/>
      <c r="C9106" s="9"/>
      <c r="D9106" s="15"/>
      <c r="E9106" s="16"/>
      <c r="F9106" s="19"/>
      <c r="G9106" s="20"/>
      <c r="H9106" s="19"/>
    </row>
    <row r="9107">
      <c r="A9107" s="9"/>
      <c r="B9107" s="15"/>
      <c r="C9107" s="9"/>
      <c r="D9107" s="15"/>
      <c r="E9107" s="16"/>
      <c r="F9107" s="19"/>
      <c r="G9107" s="20"/>
      <c r="H9107" s="19"/>
    </row>
    <row r="9108">
      <c r="A9108" s="9"/>
      <c r="B9108" s="15"/>
      <c r="C9108" s="9"/>
      <c r="D9108" s="15"/>
      <c r="E9108" s="16"/>
      <c r="F9108" s="19"/>
      <c r="G9108" s="20"/>
      <c r="H9108" s="19"/>
    </row>
    <row r="9109">
      <c r="A9109" s="9"/>
      <c r="B9109" s="15"/>
      <c r="C9109" s="9"/>
      <c r="D9109" s="15"/>
      <c r="E9109" s="16"/>
      <c r="F9109" s="19"/>
      <c r="G9109" s="20"/>
      <c r="H9109" s="19"/>
    </row>
    <row r="9110">
      <c r="A9110" s="9"/>
      <c r="B9110" s="15"/>
      <c r="C9110" s="9"/>
      <c r="D9110" s="15"/>
      <c r="E9110" s="16"/>
      <c r="F9110" s="19"/>
      <c r="G9110" s="20"/>
      <c r="H9110" s="19"/>
    </row>
    <row r="9111">
      <c r="A9111" s="9"/>
      <c r="B9111" s="15"/>
      <c r="C9111" s="9"/>
      <c r="D9111" s="15"/>
      <c r="E9111" s="16"/>
      <c r="F9111" s="19"/>
      <c r="G9111" s="20"/>
      <c r="H9111" s="19"/>
    </row>
    <row r="9112">
      <c r="A9112" s="9"/>
      <c r="B9112" s="15"/>
      <c r="C9112" s="9"/>
      <c r="D9112" s="15"/>
      <c r="E9112" s="16"/>
      <c r="F9112" s="19"/>
      <c r="G9112" s="20"/>
      <c r="H9112" s="19"/>
    </row>
    <row r="9113">
      <c r="A9113" s="9"/>
      <c r="B9113" s="15"/>
      <c r="C9113" s="9"/>
      <c r="D9113" s="15"/>
      <c r="E9113" s="16"/>
      <c r="F9113" s="19"/>
      <c r="G9113" s="20"/>
      <c r="H9113" s="19"/>
    </row>
    <row r="9114">
      <c r="A9114" s="9"/>
      <c r="B9114" s="15"/>
      <c r="C9114" s="9"/>
      <c r="D9114" s="15"/>
      <c r="E9114" s="16"/>
      <c r="F9114" s="19"/>
      <c r="G9114" s="20"/>
      <c r="H9114" s="19"/>
    </row>
    <row r="9115">
      <c r="A9115" s="9"/>
      <c r="B9115" s="15"/>
      <c r="C9115" s="9"/>
      <c r="D9115" s="15"/>
      <c r="E9115" s="16"/>
      <c r="F9115" s="19"/>
      <c r="G9115" s="20"/>
      <c r="H9115" s="19"/>
    </row>
    <row r="9116">
      <c r="A9116" s="9"/>
      <c r="B9116" s="15"/>
      <c r="C9116" s="9"/>
      <c r="D9116" s="15"/>
      <c r="E9116" s="16"/>
      <c r="F9116" s="19"/>
      <c r="G9116" s="20"/>
      <c r="H9116" s="19"/>
    </row>
    <row r="9117">
      <c r="A9117" s="9"/>
      <c r="B9117" s="15"/>
      <c r="C9117" s="9"/>
      <c r="D9117" s="15"/>
      <c r="E9117" s="16"/>
      <c r="F9117" s="19"/>
      <c r="G9117" s="20"/>
      <c r="H9117" s="19"/>
    </row>
    <row r="9118">
      <c r="A9118" s="9"/>
      <c r="B9118" s="15"/>
      <c r="C9118" s="9"/>
      <c r="D9118" s="15"/>
      <c r="E9118" s="16"/>
      <c r="F9118" s="19"/>
      <c r="G9118" s="20"/>
      <c r="H9118" s="19"/>
    </row>
    <row r="9119">
      <c r="A9119" s="9"/>
      <c r="B9119" s="15"/>
      <c r="C9119" s="9"/>
      <c r="D9119" s="15"/>
      <c r="E9119" s="16"/>
      <c r="F9119" s="19"/>
      <c r="G9119" s="20"/>
      <c r="H9119" s="19"/>
    </row>
    <row r="9120">
      <c r="A9120" s="9"/>
      <c r="B9120" s="15"/>
      <c r="C9120" s="9"/>
      <c r="D9120" s="15"/>
      <c r="E9120" s="16"/>
      <c r="F9120" s="19"/>
      <c r="G9120" s="20"/>
      <c r="H9120" s="19"/>
    </row>
    <row r="9121">
      <c r="A9121" s="9"/>
      <c r="B9121" s="15"/>
      <c r="C9121" s="9"/>
      <c r="D9121" s="15"/>
      <c r="E9121" s="16"/>
      <c r="F9121" s="19"/>
      <c r="G9121" s="20"/>
      <c r="H9121" s="19"/>
    </row>
    <row r="9122">
      <c r="A9122" s="9"/>
      <c r="B9122" s="15"/>
      <c r="C9122" s="9"/>
      <c r="D9122" s="15"/>
      <c r="E9122" s="16"/>
      <c r="F9122" s="19"/>
      <c r="G9122" s="20"/>
      <c r="H9122" s="19"/>
    </row>
    <row r="9123">
      <c r="A9123" s="9"/>
      <c r="B9123" s="15"/>
      <c r="C9123" s="9"/>
      <c r="D9123" s="15"/>
      <c r="E9123" s="16"/>
      <c r="F9123" s="19"/>
      <c r="G9123" s="20"/>
      <c r="H9123" s="19"/>
    </row>
    <row r="9124">
      <c r="A9124" s="9"/>
      <c r="B9124" s="15"/>
      <c r="C9124" s="9"/>
      <c r="D9124" s="15"/>
      <c r="E9124" s="16"/>
      <c r="F9124" s="19"/>
      <c r="G9124" s="20"/>
      <c r="H9124" s="19"/>
    </row>
    <row r="9125">
      <c r="A9125" s="9"/>
      <c r="B9125" s="15"/>
      <c r="C9125" s="9"/>
      <c r="D9125" s="15"/>
      <c r="E9125" s="16"/>
      <c r="F9125" s="19"/>
      <c r="G9125" s="20"/>
      <c r="H9125" s="19"/>
    </row>
    <row r="9126">
      <c r="A9126" s="9"/>
      <c r="B9126" s="15"/>
      <c r="C9126" s="9"/>
      <c r="D9126" s="15"/>
      <c r="E9126" s="16"/>
      <c r="F9126" s="19"/>
      <c r="G9126" s="20"/>
      <c r="H9126" s="19"/>
    </row>
    <row r="9127">
      <c r="A9127" s="9"/>
      <c r="B9127" s="15"/>
      <c r="C9127" s="9"/>
      <c r="D9127" s="15"/>
      <c r="E9127" s="16"/>
      <c r="F9127" s="19"/>
      <c r="G9127" s="20"/>
      <c r="H9127" s="19"/>
    </row>
    <row r="9128">
      <c r="A9128" s="9"/>
      <c r="B9128" s="15"/>
      <c r="C9128" s="9"/>
      <c r="D9128" s="15"/>
      <c r="E9128" s="16"/>
      <c r="F9128" s="19"/>
      <c r="G9128" s="20"/>
      <c r="H9128" s="19"/>
    </row>
    <row r="9129">
      <c r="A9129" s="9"/>
      <c r="B9129" s="15"/>
      <c r="C9129" s="9"/>
      <c r="D9129" s="15"/>
      <c r="E9129" s="16"/>
      <c r="F9129" s="19"/>
      <c r="G9129" s="20"/>
      <c r="H9129" s="19"/>
    </row>
    <row r="9130">
      <c r="A9130" s="9"/>
      <c r="B9130" s="15"/>
      <c r="C9130" s="9"/>
      <c r="D9130" s="15"/>
      <c r="E9130" s="16"/>
      <c r="F9130" s="19"/>
      <c r="G9130" s="20"/>
      <c r="H9130" s="19"/>
    </row>
    <row r="9131">
      <c r="A9131" s="9"/>
      <c r="B9131" s="15"/>
      <c r="C9131" s="9"/>
      <c r="D9131" s="15"/>
      <c r="E9131" s="16"/>
      <c r="F9131" s="19"/>
      <c r="G9131" s="20"/>
      <c r="H9131" s="19"/>
    </row>
    <row r="9132">
      <c r="A9132" s="9"/>
      <c r="B9132" s="15"/>
      <c r="C9132" s="9"/>
      <c r="D9132" s="15"/>
      <c r="E9132" s="16"/>
      <c r="F9132" s="19"/>
      <c r="G9132" s="20"/>
      <c r="H9132" s="19"/>
    </row>
    <row r="9133">
      <c r="A9133" s="9"/>
      <c r="B9133" s="15"/>
      <c r="C9133" s="9"/>
      <c r="D9133" s="15"/>
      <c r="E9133" s="16"/>
      <c r="F9133" s="19"/>
      <c r="G9133" s="20"/>
      <c r="H9133" s="19"/>
    </row>
    <row r="9134">
      <c r="A9134" s="9"/>
      <c r="B9134" s="15"/>
      <c r="C9134" s="9"/>
      <c r="D9134" s="15"/>
      <c r="E9134" s="16"/>
      <c r="F9134" s="19"/>
      <c r="G9134" s="20"/>
      <c r="H9134" s="19"/>
    </row>
    <row r="9135">
      <c r="A9135" s="9"/>
      <c r="B9135" s="15"/>
      <c r="C9135" s="9"/>
      <c r="D9135" s="15"/>
      <c r="E9135" s="16"/>
      <c r="F9135" s="19"/>
      <c r="G9135" s="20"/>
      <c r="H9135" s="19"/>
    </row>
    <row r="9136">
      <c r="A9136" s="9"/>
      <c r="B9136" s="15"/>
      <c r="C9136" s="9"/>
      <c r="D9136" s="15"/>
      <c r="E9136" s="16"/>
      <c r="F9136" s="19"/>
      <c r="G9136" s="20"/>
      <c r="H9136" s="19"/>
    </row>
    <row r="9137">
      <c r="A9137" s="9"/>
      <c r="B9137" s="15"/>
      <c r="C9137" s="9"/>
      <c r="D9137" s="15"/>
      <c r="E9137" s="16"/>
      <c r="F9137" s="19"/>
      <c r="G9137" s="20"/>
      <c r="H9137" s="19"/>
    </row>
    <row r="9138">
      <c r="A9138" s="9"/>
      <c r="B9138" s="15"/>
      <c r="C9138" s="9"/>
      <c r="D9138" s="15"/>
      <c r="E9138" s="16"/>
      <c r="F9138" s="19"/>
      <c r="G9138" s="20"/>
      <c r="H9138" s="19"/>
    </row>
    <row r="9139">
      <c r="A9139" s="9"/>
      <c r="B9139" s="15"/>
      <c r="C9139" s="9"/>
      <c r="D9139" s="15"/>
      <c r="E9139" s="16"/>
      <c r="F9139" s="19"/>
      <c r="G9139" s="20"/>
      <c r="H9139" s="19"/>
    </row>
    <row r="9140">
      <c r="A9140" s="9"/>
      <c r="B9140" s="15"/>
      <c r="C9140" s="9"/>
      <c r="D9140" s="15"/>
      <c r="E9140" s="16"/>
      <c r="F9140" s="19"/>
      <c r="G9140" s="20"/>
      <c r="H9140" s="19"/>
    </row>
    <row r="9141">
      <c r="A9141" s="9"/>
      <c r="B9141" s="15"/>
      <c r="C9141" s="9"/>
      <c r="D9141" s="15"/>
      <c r="E9141" s="16"/>
      <c r="F9141" s="19"/>
      <c r="G9141" s="20"/>
      <c r="H9141" s="19"/>
    </row>
    <row r="9142">
      <c r="A9142" s="9"/>
      <c r="B9142" s="15"/>
      <c r="C9142" s="9"/>
      <c r="D9142" s="15"/>
      <c r="E9142" s="16"/>
      <c r="F9142" s="19"/>
      <c r="G9142" s="20"/>
      <c r="H9142" s="19"/>
    </row>
    <row r="9143">
      <c r="A9143" s="9"/>
      <c r="B9143" s="15"/>
      <c r="C9143" s="9"/>
      <c r="D9143" s="15"/>
      <c r="E9143" s="16"/>
      <c r="F9143" s="19"/>
      <c r="G9143" s="20"/>
      <c r="H9143" s="19"/>
    </row>
    <row r="9144">
      <c r="A9144" s="9"/>
      <c r="B9144" s="15"/>
      <c r="C9144" s="9"/>
      <c r="D9144" s="15"/>
      <c r="E9144" s="16"/>
      <c r="F9144" s="19"/>
      <c r="G9144" s="20"/>
      <c r="H9144" s="19"/>
    </row>
    <row r="9145">
      <c r="A9145" s="9"/>
      <c r="B9145" s="15"/>
      <c r="C9145" s="9"/>
      <c r="D9145" s="15"/>
      <c r="E9145" s="16"/>
      <c r="F9145" s="19"/>
      <c r="G9145" s="20"/>
      <c r="H9145" s="19"/>
    </row>
    <row r="9146">
      <c r="A9146" s="9"/>
      <c r="B9146" s="15"/>
      <c r="C9146" s="9"/>
      <c r="D9146" s="15"/>
      <c r="E9146" s="16"/>
      <c r="F9146" s="19"/>
      <c r="G9146" s="20"/>
      <c r="H9146" s="19"/>
    </row>
    <row r="9147">
      <c r="A9147" s="9"/>
      <c r="B9147" s="15"/>
      <c r="C9147" s="9"/>
      <c r="D9147" s="15"/>
      <c r="E9147" s="16"/>
      <c r="F9147" s="19"/>
      <c r="G9147" s="20"/>
      <c r="H9147" s="19"/>
    </row>
    <row r="9148">
      <c r="A9148" s="9"/>
      <c r="B9148" s="15"/>
      <c r="C9148" s="9"/>
      <c r="D9148" s="15"/>
      <c r="E9148" s="16"/>
      <c r="F9148" s="19"/>
      <c r="G9148" s="20"/>
      <c r="H9148" s="19"/>
    </row>
    <row r="9149">
      <c r="A9149" s="9"/>
      <c r="B9149" s="15"/>
      <c r="C9149" s="9"/>
      <c r="D9149" s="15"/>
      <c r="E9149" s="16"/>
      <c r="F9149" s="19"/>
      <c r="G9149" s="20"/>
      <c r="H9149" s="19"/>
    </row>
    <row r="9150">
      <c r="A9150" s="9"/>
      <c r="B9150" s="15"/>
      <c r="C9150" s="9"/>
      <c r="D9150" s="15"/>
      <c r="E9150" s="16"/>
      <c r="F9150" s="19"/>
      <c r="G9150" s="20"/>
      <c r="H9150" s="19"/>
    </row>
    <row r="9151">
      <c r="A9151" s="9"/>
      <c r="B9151" s="15"/>
      <c r="C9151" s="9"/>
      <c r="D9151" s="15"/>
      <c r="E9151" s="16"/>
      <c r="F9151" s="19"/>
      <c r="G9151" s="20"/>
      <c r="H9151" s="19"/>
    </row>
    <row r="9152">
      <c r="A9152" s="9"/>
      <c r="B9152" s="15"/>
      <c r="C9152" s="9"/>
      <c r="D9152" s="15"/>
      <c r="E9152" s="16"/>
      <c r="F9152" s="19"/>
      <c r="G9152" s="20"/>
      <c r="H9152" s="19"/>
    </row>
    <row r="9153">
      <c r="A9153" s="9"/>
      <c r="B9153" s="15"/>
      <c r="C9153" s="9"/>
      <c r="D9153" s="15"/>
      <c r="E9153" s="16"/>
      <c r="F9153" s="19"/>
      <c r="G9153" s="20"/>
      <c r="H9153" s="19"/>
    </row>
    <row r="9154">
      <c r="A9154" s="9"/>
      <c r="B9154" s="15"/>
      <c r="C9154" s="9"/>
      <c r="D9154" s="15"/>
      <c r="E9154" s="16"/>
      <c r="F9154" s="19"/>
      <c r="G9154" s="20"/>
      <c r="H9154" s="19"/>
    </row>
    <row r="9155">
      <c r="A9155" s="9"/>
      <c r="B9155" s="15"/>
      <c r="C9155" s="9"/>
      <c r="D9155" s="15"/>
      <c r="E9155" s="16"/>
      <c r="F9155" s="19"/>
      <c r="G9155" s="20"/>
      <c r="H9155" s="19"/>
    </row>
    <row r="9156">
      <c r="A9156" s="9"/>
      <c r="B9156" s="15"/>
      <c r="C9156" s="9"/>
      <c r="D9156" s="15"/>
      <c r="E9156" s="16"/>
      <c r="F9156" s="19"/>
      <c r="G9156" s="20"/>
      <c r="H9156" s="19"/>
    </row>
    <row r="9157">
      <c r="A9157" s="9"/>
      <c r="B9157" s="15"/>
      <c r="C9157" s="9"/>
      <c r="D9157" s="15"/>
      <c r="E9157" s="16"/>
      <c r="F9157" s="19"/>
      <c r="G9157" s="20"/>
      <c r="H9157" s="19"/>
    </row>
    <row r="9158">
      <c r="A9158" s="9"/>
      <c r="B9158" s="15"/>
      <c r="C9158" s="9"/>
      <c r="D9158" s="15"/>
      <c r="E9158" s="16"/>
      <c r="F9158" s="19"/>
      <c r="G9158" s="20"/>
      <c r="H9158" s="19"/>
    </row>
    <row r="9159">
      <c r="A9159" s="9"/>
      <c r="B9159" s="15"/>
      <c r="C9159" s="9"/>
      <c r="D9159" s="15"/>
      <c r="E9159" s="16"/>
      <c r="F9159" s="19"/>
      <c r="G9159" s="20"/>
      <c r="H9159" s="19"/>
    </row>
    <row r="9160">
      <c r="A9160" s="9"/>
      <c r="B9160" s="15"/>
      <c r="C9160" s="9"/>
      <c r="D9160" s="15"/>
      <c r="E9160" s="16"/>
      <c r="F9160" s="19"/>
      <c r="G9160" s="20"/>
      <c r="H9160" s="19"/>
    </row>
    <row r="9161">
      <c r="A9161" s="9"/>
      <c r="B9161" s="15"/>
      <c r="C9161" s="9"/>
      <c r="D9161" s="15"/>
      <c r="E9161" s="16"/>
      <c r="F9161" s="19"/>
      <c r="G9161" s="20"/>
      <c r="H9161" s="19"/>
    </row>
    <row r="9162">
      <c r="A9162" s="9"/>
      <c r="B9162" s="15"/>
      <c r="C9162" s="9"/>
      <c r="D9162" s="15"/>
      <c r="E9162" s="16"/>
      <c r="F9162" s="19"/>
      <c r="G9162" s="20"/>
      <c r="H9162" s="19"/>
    </row>
    <row r="9163">
      <c r="A9163" s="9"/>
      <c r="B9163" s="15"/>
      <c r="C9163" s="9"/>
      <c r="D9163" s="15"/>
      <c r="E9163" s="16"/>
      <c r="F9163" s="19"/>
      <c r="G9163" s="20"/>
      <c r="H9163" s="19"/>
    </row>
    <row r="9164">
      <c r="A9164" s="9"/>
      <c r="B9164" s="15"/>
      <c r="C9164" s="9"/>
      <c r="D9164" s="15"/>
      <c r="E9164" s="16"/>
      <c r="F9164" s="19"/>
      <c r="G9164" s="20"/>
      <c r="H9164" s="19"/>
    </row>
    <row r="9165">
      <c r="A9165" s="9"/>
      <c r="B9165" s="15"/>
      <c r="C9165" s="9"/>
      <c r="D9165" s="15"/>
      <c r="E9165" s="16"/>
      <c r="F9165" s="19"/>
      <c r="G9165" s="20"/>
      <c r="H9165" s="19"/>
    </row>
    <row r="9166">
      <c r="A9166" s="9"/>
      <c r="B9166" s="15"/>
      <c r="C9166" s="9"/>
      <c r="D9166" s="15"/>
      <c r="E9166" s="16"/>
      <c r="F9166" s="19"/>
      <c r="G9166" s="20"/>
      <c r="H9166" s="19"/>
    </row>
    <row r="9167">
      <c r="A9167" s="9"/>
      <c r="B9167" s="15"/>
      <c r="C9167" s="9"/>
      <c r="D9167" s="15"/>
      <c r="E9167" s="16"/>
      <c r="F9167" s="19"/>
      <c r="G9167" s="20"/>
      <c r="H9167" s="19"/>
    </row>
    <row r="9168">
      <c r="A9168" s="9"/>
      <c r="B9168" s="15"/>
      <c r="C9168" s="9"/>
      <c r="D9168" s="15"/>
      <c r="E9168" s="16"/>
      <c r="F9168" s="19"/>
      <c r="G9168" s="20"/>
      <c r="H9168" s="19"/>
    </row>
    <row r="9169">
      <c r="A9169" s="9"/>
      <c r="B9169" s="15"/>
      <c r="C9169" s="9"/>
      <c r="D9169" s="15"/>
      <c r="E9169" s="16"/>
      <c r="F9169" s="19"/>
      <c r="G9169" s="20"/>
      <c r="H9169" s="19"/>
    </row>
    <row r="9170">
      <c r="A9170" s="9"/>
      <c r="B9170" s="15"/>
      <c r="C9170" s="9"/>
      <c r="D9170" s="15"/>
      <c r="E9170" s="16"/>
      <c r="F9170" s="19"/>
      <c r="G9170" s="20"/>
      <c r="H9170" s="19"/>
    </row>
    <row r="9171">
      <c r="A9171" s="9"/>
      <c r="B9171" s="15"/>
      <c r="C9171" s="9"/>
      <c r="D9171" s="15"/>
      <c r="E9171" s="16"/>
      <c r="F9171" s="19"/>
      <c r="G9171" s="20"/>
      <c r="H9171" s="19"/>
    </row>
    <row r="9172">
      <c r="A9172" s="9"/>
      <c r="B9172" s="15"/>
      <c r="C9172" s="9"/>
      <c r="D9172" s="15"/>
      <c r="E9172" s="16"/>
      <c r="F9172" s="19"/>
      <c r="G9172" s="20"/>
      <c r="H9172" s="19"/>
    </row>
    <row r="9173">
      <c r="A9173" s="9"/>
      <c r="B9173" s="15"/>
      <c r="C9173" s="9"/>
      <c r="D9173" s="15"/>
      <c r="E9173" s="16"/>
      <c r="F9173" s="19"/>
      <c r="G9173" s="20"/>
      <c r="H9173" s="19"/>
    </row>
    <row r="9174">
      <c r="A9174" s="9"/>
      <c r="B9174" s="15"/>
      <c r="C9174" s="9"/>
      <c r="D9174" s="15"/>
      <c r="E9174" s="16"/>
      <c r="F9174" s="19"/>
      <c r="G9174" s="20"/>
      <c r="H9174" s="19"/>
    </row>
    <row r="9175">
      <c r="A9175" s="9"/>
      <c r="B9175" s="15"/>
      <c r="C9175" s="9"/>
      <c r="D9175" s="15"/>
      <c r="E9175" s="16"/>
      <c r="F9175" s="19"/>
      <c r="G9175" s="20"/>
      <c r="H9175" s="19"/>
    </row>
    <row r="9176">
      <c r="A9176" s="9"/>
      <c r="B9176" s="15"/>
      <c r="C9176" s="9"/>
      <c r="D9176" s="15"/>
      <c r="E9176" s="16"/>
      <c r="F9176" s="19"/>
      <c r="G9176" s="20"/>
      <c r="H9176" s="19"/>
    </row>
    <row r="9177">
      <c r="A9177" s="9"/>
      <c r="B9177" s="15"/>
      <c r="C9177" s="9"/>
      <c r="D9177" s="15"/>
      <c r="E9177" s="16"/>
      <c r="F9177" s="19"/>
      <c r="G9177" s="20"/>
      <c r="H9177" s="19"/>
    </row>
    <row r="9178">
      <c r="A9178" s="9"/>
      <c r="B9178" s="15"/>
      <c r="C9178" s="9"/>
      <c r="D9178" s="15"/>
      <c r="E9178" s="16"/>
      <c r="F9178" s="19"/>
      <c r="G9178" s="20"/>
      <c r="H9178" s="19"/>
    </row>
    <row r="9179">
      <c r="A9179" s="9"/>
      <c r="B9179" s="15"/>
      <c r="C9179" s="9"/>
      <c r="D9179" s="15"/>
      <c r="E9179" s="16"/>
      <c r="F9179" s="19"/>
      <c r="G9179" s="20"/>
      <c r="H9179" s="19"/>
    </row>
    <row r="9180">
      <c r="A9180" s="9"/>
      <c r="B9180" s="15"/>
      <c r="C9180" s="9"/>
      <c r="D9180" s="15"/>
      <c r="E9180" s="16"/>
      <c r="F9180" s="19"/>
      <c r="G9180" s="20"/>
      <c r="H9180" s="19"/>
    </row>
    <row r="9181">
      <c r="A9181" s="9"/>
      <c r="B9181" s="15"/>
      <c r="C9181" s="9"/>
      <c r="D9181" s="15"/>
      <c r="E9181" s="16"/>
      <c r="F9181" s="19"/>
      <c r="G9181" s="20"/>
      <c r="H9181" s="19"/>
    </row>
    <row r="9182">
      <c r="A9182" s="9"/>
      <c r="B9182" s="15"/>
      <c r="C9182" s="9"/>
      <c r="D9182" s="15"/>
      <c r="E9182" s="16"/>
      <c r="F9182" s="19"/>
      <c r="G9182" s="20"/>
      <c r="H9182" s="19"/>
    </row>
    <row r="9183">
      <c r="A9183" s="9"/>
      <c r="B9183" s="15"/>
      <c r="C9183" s="9"/>
      <c r="D9183" s="15"/>
      <c r="E9183" s="16"/>
      <c r="F9183" s="19"/>
      <c r="G9183" s="20"/>
      <c r="H9183" s="19"/>
    </row>
    <row r="9184">
      <c r="A9184" s="9"/>
      <c r="B9184" s="15"/>
      <c r="C9184" s="9"/>
      <c r="D9184" s="15"/>
      <c r="E9184" s="16"/>
      <c r="F9184" s="19"/>
      <c r="G9184" s="20"/>
      <c r="H9184" s="19"/>
    </row>
    <row r="9185">
      <c r="A9185" s="9"/>
      <c r="B9185" s="15"/>
      <c r="C9185" s="9"/>
      <c r="D9185" s="15"/>
      <c r="E9185" s="16"/>
      <c r="F9185" s="19"/>
      <c r="G9185" s="20"/>
      <c r="H9185" s="19"/>
    </row>
    <row r="9186">
      <c r="A9186" s="9"/>
      <c r="B9186" s="15"/>
      <c r="C9186" s="9"/>
      <c r="D9186" s="15"/>
      <c r="E9186" s="16"/>
      <c r="F9186" s="19"/>
      <c r="G9186" s="20"/>
      <c r="H9186" s="19"/>
    </row>
    <row r="9187">
      <c r="A9187" s="9"/>
      <c r="B9187" s="15"/>
      <c r="C9187" s="9"/>
      <c r="D9187" s="15"/>
      <c r="E9187" s="16"/>
      <c r="F9187" s="19"/>
      <c r="G9187" s="20"/>
      <c r="H9187" s="19"/>
    </row>
    <row r="9188">
      <c r="A9188" s="9"/>
      <c r="B9188" s="15"/>
      <c r="C9188" s="9"/>
      <c r="D9188" s="15"/>
      <c r="E9188" s="16"/>
      <c r="F9188" s="19"/>
      <c r="G9188" s="20"/>
      <c r="H9188" s="19"/>
    </row>
    <row r="9189">
      <c r="A9189" s="9"/>
      <c r="B9189" s="15"/>
      <c r="C9189" s="9"/>
      <c r="D9189" s="15"/>
      <c r="E9189" s="16"/>
      <c r="F9189" s="19"/>
      <c r="G9189" s="20"/>
      <c r="H9189" s="19"/>
    </row>
    <row r="9190">
      <c r="A9190" s="9"/>
      <c r="B9190" s="15"/>
      <c r="C9190" s="9"/>
      <c r="D9190" s="15"/>
      <c r="E9190" s="16"/>
      <c r="F9190" s="19"/>
      <c r="G9190" s="20"/>
      <c r="H9190" s="19"/>
    </row>
    <row r="9191">
      <c r="A9191" s="9"/>
      <c r="B9191" s="15"/>
      <c r="C9191" s="9"/>
      <c r="D9191" s="15"/>
      <c r="E9191" s="16"/>
      <c r="F9191" s="19"/>
      <c r="G9191" s="20"/>
      <c r="H9191" s="19"/>
    </row>
    <row r="9192">
      <c r="A9192" s="9"/>
      <c r="B9192" s="15"/>
      <c r="C9192" s="9"/>
      <c r="D9192" s="15"/>
      <c r="E9192" s="16"/>
      <c r="F9192" s="19"/>
      <c r="G9192" s="20"/>
      <c r="H9192" s="19"/>
    </row>
    <row r="9193">
      <c r="A9193" s="9"/>
      <c r="B9193" s="15"/>
      <c r="C9193" s="9"/>
      <c r="D9193" s="15"/>
      <c r="E9193" s="16"/>
      <c r="F9193" s="19"/>
      <c r="G9193" s="20"/>
      <c r="H9193" s="19"/>
    </row>
    <row r="9194">
      <c r="A9194" s="9"/>
      <c r="B9194" s="15"/>
      <c r="C9194" s="9"/>
      <c r="D9194" s="15"/>
      <c r="E9194" s="16"/>
      <c r="F9194" s="19"/>
      <c r="G9194" s="20"/>
      <c r="H9194" s="19"/>
    </row>
    <row r="9195">
      <c r="A9195" s="9"/>
      <c r="B9195" s="15"/>
      <c r="C9195" s="9"/>
      <c r="D9195" s="15"/>
      <c r="E9195" s="16"/>
      <c r="F9195" s="19"/>
      <c r="G9195" s="20"/>
      <c r="H9195" s="19"/>
    </row>
    <row r="9196">
      <c r="A9196" s="9"/>
      <c r="B9196" s="15"/>
      <c r="C9196" s="9"/>
      <c r="D9196" s="15"/>
      <c r="E9196" s="16"/>
      <c r="F9196" s="19"/>
      <c r="G9196" s="20"/>
      <c r="H9196" s="19"/>
    </row>
    <row r="9197">
      <c r="A9197" s="9"/>
      <c r="B9197" s="15"/>
      <c r="C9197" s="9"/>
      <c r="D9197" s="15"/>
      <c r="E9197" s="16"/>
      <c r="F9197" s="19"/>
      <c r="G9197" s="20"/>
      <c r="H9197" s="19"/>
    </row>
    <row r="9198">
      <c r="A9198" s="9"/>
      <c r="B9198" s="15"/>
      <c r="C9198" s="9"/>
      <c r="D9198" s="15"/>
      <c r="E9198" s="16"/>
      <c r="F9198" s="19"/>
      <c r="G9198" s="20"/>
      <c r="H9198" s="19"/>
    </row>
    <row r="9199">
      <c r="A9199" s="9"/>
      <c r="B9199" s="15"/>
      <c r="C9199" s="9"/>
      <c r="D9199" s="15"/>
      <c r="E9199" s="16"/>
      <c r="F9199" s="19"/>
      <c r="G9199" s="20"/>
      <c r="H9199" s="19"/>
    </row>
    <row r="9200">
      <c r="A9200" s="9"/>
      <c r="B9200" s="15"/>
      <c r="C9200" s="9"/>
      <c r="D9200" s="15"/>
      <c r="E9200" s="16"/>
      <c r="F9200" s="19"/>
      <c r="G9200" s="20"/>
      <c r="H9200" s="19"/>
    </row>
    <row r="9201">
      <c r="A9201" s="9"/>
      <c r="B9201" s="15"/>
      <c r="C9201" s="9"/>
      <c r="D9201" s="15"/>
      <c r="E9201" s="16"/>
      <c r="F9201" s="19"/>
      <c r="G9201" s="20"/>
      <c r="H9201" s="19"/>
    </row>
    <row r="9202">
      <c r="A9202" s="9"/>
      <c r="B9202" s="15"/>
      <c r="C9202" s="9"/>
      <c r="D9202" s="15"/>
      <c r="E9202" s="16"/>
      <c r="F9202" s="19"/>
      <c r="G9202" s="20"/>
      <c r="H9202" s="19"/>
    </row>
    <row r="9203">
      <c r="A9203" s="9"/>
      <c r="B9203" s="15"/>
      <c r="C9203" s="9"/>
      <c r="D9203" s="15"/>
      <c r="E9203" s="16"/>
      <c r="F9203" s="19"/>
      <c r="G9203" s="20"/>
      <c r="H9203" s="19"/>
    </row>
    <row r="9204">
      <c r="A9204" s="9"/>
      <c r="B9204" s="15"/>
      <c r="C9204" s="9"/>
      <c r="D9204" s="15"/>
      <c r="E9204" s="16"/>
      <c r="F9204" s="19"/>
      <c r="G9204" s="20"/>
      <c r="H9204" s="19"/>
    </row>
    <row r="9205">
      <c r="A9205" s="9"/>
      <c r="B9205" s="15"/>
      <c r="C9205" s="9"/>
      <c r="D9205" s="15"/>
      <c r="E9205" s="16"/>
      <c r="F9205" s="19"/>
      <c r="G9205" s="20"/>
      <c r="H9205" s="19"/>
    </row>
    <row r="9206">
      <c r="A9206" s="9"/>
      <c r="B9206" s="15"/>
      <c r="C9206" s="9"/>
      <c r="D9206" s="15"/>
      <c r="E9206" s="16"/>
      <c r="F9206" s="19"/>
      <c r="G9206" s="20"/>
      <c r="H9206" s="19"/>
    </row>
    <row r="9207">
      <c r="A9207" s="9"/>
      <c r="B9207" s="15"/>
      <c r="C9207" s="9"/>
      <c r="D9207" s="15"/>
      <c r="E9207" s="16"/>
      <c r="F9207" s="19"/>
      <c r="G9207" s="20"/>
      <c r="H9207" s="19"/>
    </row>
    <row r="9208">
      <c r="A9208" s="9"/>
      <c r="B9208" s="15"/>
      <c r="C9208" s="9"/>
      <c r="D9208" s="15"/>
      <c r="E9208" s="16"/>
      <c r="F9208" s="19"/>
      <c r="G9208" s="20"/>
      <c r="H9208" s="19"/>
    </row>
    <row r="9209">
      <c r="A9209" s="9"/>
      <c r="B9209" s="15"/>
      <c r="C9209" s="9"/>
      <c r="D9209" s="15"/>
      <c r="E9209" s="16"/>
      <c r="F9209" s="19"/>
      <c r="G9209" s="20"/>
      <c r="H9209" s="19"/>
    </row>
    <row r="9210">
      <c r="A9210" s="9"/>
      <c r="B9210" s="15"/>
      <c r="C9210" s="9"/>
      <c r="D9210" s="15"/>
      <c r="E9210" s="16"/>
      <c r="F9210" s="19"/>
      <c r="G9210" s="20"/>
      <c r="H9210" s="19"/>
    </row>
    <row r="9211">
      <c r="A9211" s="9"/>
      <c r="B9211" s="15"/>
      <c r="C9211" s="9"/>
      <c r="D9211" s="15"/>
      <c r="E9211" s="16"/>
      <c r="F9211" s="19"/>
      <c r="G9211" s="20"/>
      <c r="H9211" s="19"/>
    </row>
    <row r="9212">
      <c r="A9212" s="9"/>
      <c r="B9212" s="15"/>
      <c r="C9212" s="9"/>
      <c r="D9212" s="15"/>
      <c r="E9212" s="16"/>
      <c r="F9212" s="19"/>
      <c r="G9212" s="20"/>
      <c r="H9212" s="19"/>
    </row>
    <row r="9213">
      <c r="A9213" s="9"/>
      <c r="B9213" s="15"/>
      <c r="C9213" s="9"/>
      <c r="D9213" s="15"/>
      <c r="E9213" s="16"/>
      <c r="F9213" s="19"/>
      <c r="G9213" s="20"/>
      <c r="H9213" s="19"/>
    </row>
    <row r="9214">
      <c r="A9214" s="9"/>
      <c r="B9214" s="15"/>
      <c r="C9214" s="9"/>
      <c r="D9214" s="15"/>
      <c r="E9214" s="16"/>
      <c r="F9214" s="19"/>
      <c r="G9214" s="20"/>
      <c r="H9214" s="19"/>
    </row>
    <row r="9215">
      <c r="A9215" s="9"/>
      <c r="B9215" s="15"/>
      <c r="C9215" s="9"/>
      <c r="D9215" s="15"/>
      <c r="E9215" s="16"/>
      <c r="F9215" s="19"/>
      <c r="G9215" s="20"/>
      <c r="H9215" s="19"/>
    </row>
    <row r="9216">
      <c r="A9216" s="9"/>
      <c r="B9216" s="15"/>
      <c r="C9216" s="9"/>
      <c r="D9216" s="15"/>
      <c r="E9216" s="16"/>
      <c r="F9216" s="19"/>
      <c r="G9216" s="20"/>
      <c r="H9216" s="19"/>
    </row>
    <row r="9217">
      <c r="A9217" s="9"/>
      <c r="B9217" s="15"/>
      <c r="C9217" s="9"/>
      <c r="D9217" s="15"/>
      <c r="E9217" s="16"/>
      <c r="F9217" s="19"/>
      <c r="G9217" s="20"/>
      <c r="H9217" s="19"/>
    </row>
    <row r="9218">
      <c r="A9218" s="9"/>
      <c r="B9218" s="15"/>
      <c r="C9218" s="9"/>
      <c r="D9218" s="15"/>
      <c r="E9218" s="16"/>
      <c r="F9218" s="19"/>
      <c r="G9218" s="20"/>
      <c r="H9218" s="19"/>
    </row>
    <row r="9219">
      <c r="A9219" s="9"/>
      <c r="B9219" s="15"/>
      <c r="C9219" s="9"/>
      <c r="D9219" s="15"/>
      <c r="E9219" s="16"/>
      <c r="F9219" s="19"/>
      <c r="G9219" s="20"/>
      <c r="H9219" s="19"/>
    </row>
    <row r="9220">
      <c r="A9220" s="9"/>
      <c r="B9220" s="15"/>
      <c r="C9220" s="9"/>
      <c r="D9220" s="15"/>
      <c r="E9220" s="16"/>
      <c r="F9220" s="19"/>
      <c r="G9220" s="20"/>
      <c r="H9220" s="19"/>
    </row>
    <row r="9221">
      <c r="A9221" s="9"/>
      <c r="B9221" s="15"/>
      <c r="C9221" s="9"/>
      <c r="D9221" s="15"/>
      <c r="E9221" s="16"/>
      <c r="F9221" s="19"/>
      <c r="G9221" s="20"/>
      <c r="H9221" s="19"/>
    </row>
    <row r="9222">
      <c r="A9222" s="9"/>
      <c r="B9222" s="15"/>
      <c r="C9222" s="9"/>
      <c r="D9222" s="15"/>
      <c r="E9222" s="16"/>
      <c r="F9222" s="19"/>
      <c r="G9222" s="20"/>
      <c r="H9222" s="19"/>
    </row>
    <row r="9223">
      <c r="A9223" s="9"/>
      <c r="B9223" s="15"/>
      <c r="C9223" s="9"/>
      <c r="D9223" s="15"/>
      <c r="E9223" s="16"/>
      <c r="F9223" s="19"/>
      <c r="G9223" s="20"/>
      <c r="H9223" s="19"/>
    </row>
    <row r="9224">
      <c r="A9224" s="9"/>
      <c r="B9224" s="15"/>
      <c r="C9224" s="9"/>
      <c r="D9224" s="15"/>
      <c r="E9224" s="16"/>
      <c r="F9224" s="19"/>
      <c r="G9224" s="20"/>
      <c r="H9224" s="19"/>
    </row>
    <row r="9225">
      <c r="A9225" s="9"/>
      <c r="B9225" s="15"/>
      <c r="C9225" s="9"/>
      <c r="D9225" s="15"/>
      <c r="E9225" s="16"/>
      <c r="F9225" s="19"/>
      <c r="G9225" s="20"/>
      <c r="H9225" s="19"/>
    </row>
    <row r="9226">
      <c r="A9226" s="9"/>
      <c r="B9226" s="15"/>
      <c r="C9226" s="9"/>
      <c r="D9226" s="15"/>
      <c r="E9226" s="16"/>
      <c r="F9226" s="19"/>
      <c r="G9226" s="20"/>
      <c r="H9226" s="19"/>
    </row>
    <row r="9227">
      <c r="A9227" s="9"/>
      <c r="B9227" s="15"/>
      <c r="C9227" s="9"/>
      <c r="D9227" s="15"/>
      <c r="E9227" s="16"/>
      <c r="F9227" s="19"/>
      <c r="G9227" s="20"/>
      <c r="H9227" s="19"/>
    </row>
    <row r="9228">
      <c r="A9228" s="9"/>
      <c r="B9228" s="15"/>
      <c r="C9228" s="9"/>
      <c r="D9228" s="15"/>
      <c r="E9228" s="16"/>
      <c r="F9228" s="19"/>
      <c r="G9228" s="20"/>
      <c r="H9228" s="19"/>
    </row>
    <row r="9229">
      <c r="A9229" s="9"/>
      <c r="B9229" s="15"/>
      <c r="C9229" s="9"/>
      <c r="D9229" s="15"/>
      <c r="E9229" s="16"/>
      <c r="F9229" s="19"/>
      <c r="G9229" s="20"/>
      <c r="H9229" s="19"/>
    </row>
    <row r="9230">
      <c r="A9230" s="9"/>
      <c r="B9230" s="15"/>
      <c r="C9230" s="9"/>
      <c r="D9230" s="15"/>
      <c r="E9230" s="16"/>
      <c r="F9230" s="19"/>
      <c r="G9230" s="20"/>
      <c r="H9230" s="19"/>
    </row>
    <row r="9231">
      <c r="A9231" s="9"/>
      <c r="B9231" s="15"/>
      <c r="C9231" s="9"/>
      <c r="D9231" s="15"/>
      <c r="E9231" s="16"/>
      <c r="F9231" s="19"/>
      <c r="G9231" s="20"/>
      <c r="H9231" s="19"/>
    </row>
    <row r="9232">
      <c r="A9232" s="9"/>
      <c r="B9232" s="15"/>
      <c r="C9232" s="9"/>
      <c r="D9232" s="15"/>
      <c r="E9232" s="16"/>
      <c r="F9232" s="19"/>
      <c r="G9232" s="20"/>
      <c r="H9232" s="19"/>
    </row>
    <row r="9233">
      <c r="A9233" s="9"/>
      <c r="B9233" s="15"/>
      <c r="C9233" s="9"/>
      <c r="D9233" s="15"/>
      <c r="E9233" s="16"/>
      <c r="F9233" s="19"/>
      <c r="G9233" s="20"/>
      <c r="H9233" s="19"/>
    </row>
    <row r="9234">
      <c r="A9234" s="9"/>
      <c r="B9234" s="15"/>
      <c r="C9234" s="9"/>
      <c r="D9234" s="15"/>
      <c r="E9234" s="16"/>
      <c r="F9234" s="19"/>
      <c r="G9234" s="20"/>
      <c r="H9234" s="19"/>
    </row>
    <row r="9235">
      <c r="A9235" s="9"/>
      <c r="B9235" s="15"/>
      <c r="C9235" s="9"/>
      <c r="D9235" s="15"/>
      <c r="E9235" s="16"/>
      <c r="F9235" s="19"/>
      <c r="G9235" s="20"/>
      <c r="H9235" s="19"/>
    </row>
    <row r="9236">
      <c r="A9236" s="9"/>
      <c r="B9236" s="15"/>
      <c r="C9236" s="9"/>
      <c r="D9236" s="15"/>
      <c r="E9236" s="16"/>
      <c r="F9236" s="19"/>
      <c r="G9236" s="20"/>
      <c r="H9236" s="19"/>
    </row>
    <row r="9237">
      <c r="A9237" s="9"/>
      <c r="B9237" s="15"/>
      <c r="C9237" s="9"/>
      <c r="D9237" s="15"/>
      <c r="E9237" s="16"/>
      <c r="F9237" s="19"/>
      <c r="G9237" s="20"/>
      <c r="H9237" s="19"/>
    </row>
    <row r="9238">
      <c r="A9238" s="9"/>
      <c r="B9238" s="15"/>
      <c r="C9238" s="9"/>
      <c r="D9238" s="15"/>
      <c r="E9238" s="16"/>
      <c r="F9238" s="19"/>
      <c r="G9238" s="20"/>
      <c r="H9238" s="19"/>
    </row>
    <row r="9239">
      <c r="A9239" s="9"/>
      <c r="B9239" s="15"/>
      <c r="C9239" s="9"/>
      <c r="D9239" s="15"/>
      <c r="E9239" s="16"/>
      <c r="F9239" s="19"/>
      <c r="G9239" s="20"/>
      <c r="H9239" s="19"/>
    </row>
    <row r="9240">
      <c r="A9240" s="9"/>
      <c r="B9240" s="15"/>
      <c r="C9240" s="9"/>
      <c r="D9240" s="15"/>
      <c r="E9240" s="16"/>
      <c r="F9240" s="19"/>
      <c r="G9240" s="20"/>
      <c r="H9240" s="19"/>
    </row>
    <row r="9241">
      <c r="A9241" s="9"/>
      <c r="B9241" s="15"/>
      <c r="C9241" s="9"/>
      <c r="D9241" s="15"/>
      <c r="E9241" s="16"/>
      <c r="F9241" s="19"/>
      <c r="G9241" s="20"/>
      <c r="H9241" s="19"/>
    </row>
    <row r="9242">
      <c r="A9242" s="9"/>
      <c r="B9242" s="15"/>
      <c r="C9242" s="9"/>
      <c r="D9242" s="15"/>
      <c r="E9242" s="16"/>
      <c r="F9242" s="19"/>
      <c r="G9242" s="20"/>
      <c r="H9242" s="19"/>
    </row>
    <row r="9243">
      <c r="A9243" s="9"/>
      <c r="B9243" s="15"/>
      <c r="C9243" s="9"/>
      <c r="D9243" s="15"/>
      <c r="E9243" s="16"/>
      <c r="F9243" s="19"/>
      <c r="G9243" s="20"/>
      <c r="H9243" s="19"/>
    </row>
    <row r="9244">
      <c r="A9244" s="9"/>
      <c r="B9244" s="15"/>
      <c r="C9244" s="9"/>
      <c r="D9244" s="15"/>
      <c r="E9244" s="16"/>
      <c r="F9244" s="19"/>
      <c r="G9244" s="20"/>
      <c r="H9244" s="19"/>
    </row>
    <row r="9245">
      <c r="A9245" s="9"/>
      <c r="B9245" s="15"/>
      <c r="C9245" s="9"/>
      <c r="D9245" s="15"/>
      <c r="E9245" s="16"/>
      <c r="F9245" s="19"/>
      <c r="G9245" s="20"/>
      <c r="H9245" s="19"/>
    </row>
    <row r="9246">
      <c r="A9246" s="9"/>
      <c r="B9246" s="15"/>
      <c r="C9246" s="9"/>
      <c r="D9246" s="15"/>
      <c r="E9246" s="16"/>
      <c r="F9246" s="19"/>
      <c r="G9246" s="20"/>
      <c r="H9246" s="19"/>
    </row>
    <row r="9247">
      <c r="A9247" s="9"/>
      <c r="B9247" s="15"/>
      <c r="C9247" s="9"/>
      <c r="D9247" s="15"/>
      <c r="E9247" s="16"/>
      <c r="F9247" s="19"/>
      <c r="G9247" s="20"/>
      <c r="H9247" s="19"/>
    </row>
    <row r="9248">
      <c r="A9248" s="9"/>
      <c r="B9248" s="15"/>
      <c r="C9248" s="9"/>
      <c r="D9248" s="15"/>
      <c r="E9248" s="16"/>
      <c r="F9248" s="19"/>
      <c r="G9248" s="20"/>
      <c r="H9248" s="19"/>
    </row>
    <row r="9249">
      <c r="A9249" s="9"/>
      <c r="B9249" s="15"/>
      <c r="C9249" s="9"/>
      <c r="D9249" s="15"/>
      <c r="E9249" s="16"/>
      <c r="F9249" s="19"/>
      <c r="G9249" s="20"/>
      <c r="H9249" s="19"/>
    </row>
    <row r="9250">
      <c r="A9250" s="9"/>
      <c r="B9250" s="15"/>
      <c r="C9250" s="9"/>
      <c r="D9250" s="15"/>
      <c r="E9250" s="16"/>
      <c r="F9250" s="19"/>
      <c r="G9250" s="20"/>
      <c r="H9250" s="19"/>
    </row>
    <row r="9251">
      <c r="A9251" s="9"/>
      <c r="B9251" s="15"/>
      <c r="C9251" s="9"/>
      <c r="D9251" s="15"/>
      <c r="E9251" s="16"/>
      <c r="F9251" s="19"/>
      <c r="G9251" s="20"/>
      <c r="H9251" s="19"/>
    </row>
    <row r="9252">
      <c r="A9252" s="9"/>
      <c r="B9252" s="15"/>
      <c r="C9252" s="9"/>
      <c r="D9252" s="15"/>
      <c r="E9252" s="16"/>
      <c r="F9252" s="19"/>
      <c r="G9252" s="20"/>
      <c r="H9252" s="19"/>
    </row>
    <row r="9253">
      <c r="A9253" s="9"/>
      <c r="B9253" s="15"/>
      <c r="C9253" s="9"/>
      <c r="D9253" s="15"/>
      <c r="E9253" s="16"/>
      <c r="F9253" s="19"/>
      <c r="G9253" s="20"/>
      <c r="H9253" s="19"/>
    </row>
    <row r="9254">
      <c r="A9254" s="9"/>
      <c r="B9254" s="15"/>
      <c r="C9254" s="9"/>
      <c r="D9254" s="15"/>
      <c r="E9254" s="16"/>
      <c r="F9254" s="19"/>
      <c r="G9254" s="20"/>
      <c r="H9254" s="19"/>
    </row>
    <row r="9255">
      <c r="A9255" s="9"/>
      <c r="B9255" s="15"/>
      <c r="C9255" s="9"/>
      <c r="D9255" s="15"/>
      <c r="E9255" s="16"/>
      <c r="F9255" s="19"/>
      <c r="G9255" s="20"/>
      <c r="H9255" s="19"/>
    </row>
    <row r="9256">
      <c r="A9256" s="9"/>
      <c r="B9256" s="15"/>
      <c r="C9256" s="9"/>
      <c r="D9256" s="15"/>
      <c r="E9256" s="16"/>
      <c r="F9256" s="19"/>
      <c r="G9256" s="20"/>
      <c r="H9256" s="19"/>
    </row>
    <row r="9257">
      <c r="A9257" s="9"/>
      <c r="B9257" s="15"/>
      <c r="C9257" s="9"/>
      <c r="D9257" s="15"/>
      <c r="E9257" s="16"/>
      <c r="F9257" s="19"/>
      <c r="G9257" s="20"/>
      <c r="H9257" s="19"/>
    </row>
    <row r="9258">
      <c r="A9258" s="9"/>
      <c r="B9258" s="15"/>
      <c r="C9258" s="9"/>
      <c r="D9258" s="15"/>
      <c r="E9258" s="16"/>
      <c r="F9258" s="19"/>
      <c r="G9258" s="20"/>
      <c r="H9258" s="19"/>
    </row>
    <row r="9259">
      <c r="A9259" s="9"/>
      <c r="B9259" s="15"/>
      <c r="C9259" s="9"/>
      <c r="D9259" s="15"/>
      <c r="E9259" s="16"/>
      <c r="F9259" s="19"/>
      <c r="G9259" s="20"/>
      <c r="H9259" s="19"/>
    </row>
    <row r="9260">
      <c r="A9260" s="9"/>
      <c r="B9260" s="15"/>
      <c r="C9260" s="9"/>
      <c r="D9260" s="15"/>
      <c r="E9260" s="16"/>
      <c r="F9260" s="19"/>
      <c r="G9260" s="20"/>
      <c r="H9260" s="19"/>
    </row>
    <row r="9261">
      <c r="A9261" s="9"/>
      <c r="B9261" s="15"/>
      <c r="C9261" s="9"/>
      <c r="D9261" s="15"/>
      <c r="E9261" s="16"/>
      <c r="F9261" s="19"/>
      <c r="G9261" s="20"/>
      <c r="H9261" s="19"/>
    </row>
    <row r="9262">
      <c r="A9262" s="9"/>
      <c r="B9262" s="15"/>
      <c r="C9262" s="9"/>
      <c r="D9262" s="15"/>
      <c r="E9262" s="16"/>
      <c r="F9262" s="19"/>
      <c r="G9262" s="20"/>
      <c r="H9262" s="19"/>
    </row>
    <row r="9263">
      <c r="A9263" s="9"/>
      <c r="B9263" s="15"/>
      <c r="C9263" s="9"/>
      <c r="D9263" s="15"/>
      <c r="E9263" s="16"/>
      <c r="F9263" s="19"/>
      <c r="G9263" s="20"/>
      <c r="H9263" s="19"/>
    </row>
    <row r="9264">
      <c r="A9264" s="9"/>
      <c r="B9264" s="15"/>
      <c r="C9264" s="9"/>
      <c r="D9264" s="15"/>
      <c r="E9264" s="16"/>
      <c r="F9264" s="19"/>
      <c r="G9264" s="20"/>
      <c r="H9264" s="19"/>
    </row>
    <row r="9265">
      <c r="A9265" s="9"/>
      <c r="B9265" s="15"/>
      <c r="C9265" s="9"/>
      <c r="D9265" s="15"/>
      <c r="E9265" s="16"/>
      <c r="F9265" s="19"/>
      <c r="G9265" s="20"/>
      <c r="H9265" s="19"/>
    </row>
    <row r="9266">
      <c r="A9266" s="9"/>
      <c r="B9266" s="15"/>
      <c r="C9266" s="9"/>
      <c r="D9266" s="15"/>
      <c r="E9266" s="16"/>
      <c r="F9266" s="19"/>
      <c r="G9266" s="20"/>
      <c r="H9266" s="19"/>
    </row>
    <row r="9267">
      <c r="A9267" s="9"/>
      <c r="B9267" s="15"/>
      <c r="C9267" s="9"/>
      <c r="D9267" s="15"/>
      <c r="E9267" s="16"/>
      <c r="F9267" s="19"/>
      <c r="G9267" s="20"/>
      <c r="H9267" s="19"/>
    </row>
    <row r="9268">
      <c r="A9268" s="9"/>
      <c r="B9268" s="15"/>
      <c r="C9268" s="9"/>
      <c r="D9268" s="15"/>
      <c r="E9268" s="16"/>
      <c r="F9268" s="19"/>
      <c r="G9268" s="20"/>
      <c r="H9268" s="19"/>
    </row>
    <row r="9269">
      <c r="A9269" s="9"/>
      <c r="B9269" s="15"/>
      <c r="C9269" s="9"/>
      <c r="D9269" s="15"/>
      <c r="E9269" s="16"/>
      <c r="F9269" s="19"/>
      <c r="G9269" s="20"/>
      <c r="H9269" s="19"/>
    </row>
    <row r="9270">
      <c r="A9270" s="9"/>
      <c r="B9270" s="15"/>
      <c r="C9270" s="9"/>
      <c r="D9270" s="15"/>
      <c r="E9270" s="16"/>
      <c r="F9270" s="19"/>
      <c r="G9270" s="20"/>
      <c r="H9270" s="19"/>
    </row>
    <row r="9271">
      <c r="A9271" s="9"/>
      <c r="B9271" s="15"/>
      <c r="C9271" s="9"/>
      <c r="D9271" s="15"/>
      <c r="E9271" s="16"/>
      <c r="F9271" s="19"/>
      <c r="G9271" s="20"/>
      <c r="H9271" s="19"/>
    </row>
    <row r="9272">
      <c r="A9272" s="9"/>
      <c r="B9272" s="15"/>
      <c r="C9272" s="9"/>
      <c r="D9272" s="15"/>
      <c r="E9272" s="16"/>
      <c r="F9272" s="19"/>
      <c r="G9272" s="20"/>
      <c r="H9272" s="19"/>
    </row>
    <row r="9273">
      <c r="A9273" s="9"/>
      <c r="B9273" s="15"/>
      <c r="C9273" s="9"/>
      <c r="D9273" s="15"/>
      <c r="E9273" s="16"/>
      <c r="F9273" s="19"/>
      <c r="G9273" s="20"/>
      <c r="H9273" s="19"/>
    </row>
    <row r="9274">
      <c r="A9274" s="9"/>
      <c r="B9274" s="15"/>
      <c r="C9274" s="9"/>
      <c r="D9274" s="15"/>
      <c r="E9274" s="16"/>
      <c r="F9274" s="19"/>
      <c r="G9274" s="20"/>
      <c r="H9274" s="19"/>
    </row>
    <row r="9275">
      <c r="A9275" s="9"/>
      <c r="B9275" s="15"/>
      <c r="C9275" s="9"/>
      <c r="D9275" s="15"/>
      <c r="E9275" s="16"/>
      <c r="F9275" s="19"/>
      <c r="G9275" s="20"/>
      <c r="H9275" s="19"/>
    </row>
    <row r="9276">
      <c r="A9276" s="9"/>
      <c r="B9276" s="15"/>
      <c r="C9276" s="9"/>
      <c r="D9276" s="15"/>
      <c r="E9276" s="16"/>
      <c r="F9276" s="19"/>
      <c r="G9276" s="20"/>
      <c r="H9276" s="19"/>
    </row>
    <row r="9277">
      <c r="A9277" s="9"/>
      <c r="B9277" s="15"/>
      <c r="C9277" s="9"/>
      <c r="D9277" s="15"/>
      <c r="E9277" s="16"/>
      <c r="F9277" s="19"/>
      <c r="G9277" s="20"/>
      <c r="H9277" s="19"/>
    </row>
    <row r="9278">
      <c r="A9278" s="9"/>
      <c r="B9278" s="15"/>
      <c r="C9278" s="9"/>
      <c r="D9278" s="15"/>
      <c r="E9278" s="16"/>
      <c r="F9278" s="19"/>
      <c r="G9278" s="20"/>
      <c r="H9278" s="19"/>
    </row>
    <row r="9279">
      <c r="A9279" s="9"/>
      <c r="B9279" s="15"/>
      <c r="C9279" s="9"/>
      <c r="D9279" s="15"/>
      <c r="E9279" s="16"/>
      <c r="F9279" s="19"/>
      <c r="G9279" s="20"/>
      <c r="H9279" s="19"/>
    </row>
    <row r="9280">
      <c r="A9280" s="9"/>
      <c r="B9280" s="15"/>
      <c r="C9280" s="9"/>
      <c r="D9280" s="15"/>
      <c r="E9280" s="16"/>
      <c r="F9280" s="19"/>
      <c r="G9280" s="20"/>
      <c r="H9280" s="19"/>
    </row>
    <row r="9281">
      <c r="A9281" s="9"/>
      <c r="B9281" s="15"/>
      <c r="C9281" s="9"/>
      <c r="D9281" s="15"/>
      <c r="E9281" s="16"/>
      <c r="F9281" s="19"/>
      <c r="G9281" s="20"/>
      <c r="H9281" s="19"/>
    </row>
    <row r="9282">
      <c r="A9282" s="9"/>
      <c r="B9282" s="15"/>
      <c r="C9282" s="9"/>
      <c r="D9282" s="15"/>
      <c r="E9282" s="16"/>
      <c r="F9282" s="19"/>
      <c r="G9282" s="20"/>
      <c r="H9282" s="19"/>
    </row>
    <row r="9283">
      <c r="A9283" s="9"/>
      <c r="B9283" s="15"/>
      <c r="C9283" s="9"/>
      <c r="D9283" s="15"/>
      <c r="E9283" s="16"/>
      <c r="F9283" s="19"/>
      <c r="G9283" s="20"/>
      <c r="H9283" s="19"/>
    </row>
    <row r="9284">
      <c r="A9284" s="9"/>
      <c r="B9284" s="15"/>
      <c r="C9284" s="9"/>
      <c r="D9284" s="15"/>
      <c r="E9284" s="16"/>
      <c r="F9284" s="19"/>
      <c r="G9284" s="20"/>
      <c r="H9284" s="19"/>
    </row>
    <row r="9285">
      <c r="A9285" s="9"/>
      <c r="B9285" s="15"/>
      <c r="C9285" s="9"/>
      <c r="D9285" s="15"/>
      <c r="E9285" s="16"/>
      <c r="F9285" s="19"/>
      <c r="G9285" s="20"/>
      <c r="H9285" s="19"/>
    </row>
    <row r="9286">
      <c r="A9286" s="9"/>
      <c r="B9286" s="15"/>
      <c r="C9286" s="9"/>
      <c r="D9286" s="15"/>
      <c r="E9286" s="16"/>
      <c r="F9286" s="19"/>
      <c r="G9286" s="20"/>
      <c r="H9286" s="19"/>
    </row>
    <row r="9287">
      <c r="A9287" s="9"/>
      <c r="B9287" s="15"/>
      <c r="C9287" s="9"/>
      <c r="D9287" s="15"/>
      <c r="E9287" s="16"/>
      <c r="F9287" s="19"/>
      <c r="G9287" s="20"/>
      <c r="H9287" s="19"/>
    </row>
    <row r="9288">
      <c r="A9288" s="9"/>
      <c r="B9288" s="15"/>
      <c r="C9288" s="9"/>
      <c r="D9288" s="15"/>
      <c r="E9288" s="16"/>
      <c r="F9288" s="19"/>
      <c r="G9288" s="20"/>
      <c r="H9288" s="19"/>
    </row>
    <row r="9289">
      <c r="A9289" s="9"/>
      <c r="B9289" s="15"/>
      <c r="C9289" s="9"/>
      <c r="D9289" s="15"/>
      <c r="E9289" s="16"/>
      <c r="F9289" s="19"/>
      <c r="G9289" s="20"/>
      <c r="H9289" s="19"/>
    </row>
    <row r="9290">
      <c r="A9290" s="9"/>
      <c r="B9290" s="15"/>
      <c r="C9290" s="9"/>
      <c r="D9290" s="15"/>
      <c r="E9290" s="16"/>
      <c r="F9290" s="19"/>
      <c r="G9290" s="20"/>
      <c r="H9290" s="19"/>
    </row>
    <row r="9291">
      <c r="A9291" s="9"/>
      <c r="B9291" s="15"/>
      <c r="C9291" s="9"/>
      <c r="D9291" s="15"/>
      <c r="E9291" s="16"/>
      <c r="F9291" s="19"/>
      <c r="G9291" s="20"/>
      <c r="H9291" s="19"/>
    </row>
    <row r="9292">
      <c r="A9292" s="9"/>
      <c r="B9292" s="15"/>
      <c r="C9292" s="9"/>
      <c r="D9292" s="15"/>
      <c r="E9292" s="16"/>
      <c r="F9292" s="19"/>
      <c r="G9292" s="20"/>
      <c r="H9292" s="19"/>
    </row>
    <row r="9293">
      <c r="A9293" s="9"/>
      <c r="B9293" s="15"/>
      <c r="C9293" s="9"/>
      <c r="D9293" s="15"/>
      <c r="E9293" s="16"/>
      <c r="F9293" s="19"/>
      <c r="G9293" s="20"/>
      <c r="H9293" s="19"/>
    </row>
    <row r="9294">
      <c r="A9294" s="9"/>
      <c r="B9294" s="15"/>
      <c r="C9294" s="9"/>
      <c r="D9294" s="15"/>
      <c r="E9294" s="16"/>
      <c r="F9294" s="19"/>
      <c r="G9294" s="20"/>
      <c r="H9294" s="19"/>
    </row>
    <row r="9295">
      <c r="A9295" s="9"/>
      <c r="B9295" s="15"/>
      <c r="C9295" s="9"/>
      <c r="D9295" s="15"/>
      <c r="E9295" s="16"/>
      <c r="F9295" s="19"/>
      <c r="G9295" s="20"/>
      <c r="H9295" s="19"/>
    </row>
    <row r="9296">
      <c r="A9296" s="9"/>
      <c r="B9296" s="15"/>
      <c r="C9296" s="9"/>
      <c r="D9296" s="15"/>
      <c r="E9296" s="16"/>
      <c r="F9296" s="19"/>
      <c r="G9296" s="20"/>
      <c r="H9296" s="19"/>
    </row>
    <row r="9297">
      <c r="A9297" s="9"/>
      <c r="B9297" s="15"/>
      <c r="C9297" s="9"/>
      <c r="D9297" s="15"/>
      <c r="E9297" s="16"/>
      <c r="F9297" s="19"/>
      <c r="G9297" s="20"/>
      <c r="H9297" s="19"/>
    </row>
    <row r="9298">
      <c r="A9298" s="9"/>
      <c r="B9298" s="15"/>
      <c r="C9298" s="9"/>
      <c r="D9298" s="15"/>
      <c r="E9298" s="16"/>
      <c r="F9298" s="19"/>
      <c r="G9298" s="20"/>
      <c r="H9298" s="19"/>
    </row>
    <row r="9299">
      <c r="A9299" s="9"/>
      <c r="B9299" s="15"/>
      <c r="C9299" s="9"/>
      <c r="D9299" s="15"/>
      <c r="E9299" s="16"/>
      <c r="F9299" s="19"/>
      <c r="G9299" s="20"/>
      <c r="H9299" s="19"/>
    </row>
    <row r="9300">
      <c r="A9300" s="9"/>
      <c r="B9300" s="15"/>
      <c r="C9300" s="9"/>
      <c r="D9300" s="15"/>
      <c r="E9300" s="16"/>
      <c r="F9300" s="19"/>
      <c r="G9300" s="20"/>
      <c r="H9300" s="19"/>
    </row>
    <row r="9301">
      <c r="A9301" s="9"/>
      <c r="B9301" s="15"/>
      <c r="C9301" s="9"/>
      <c r="D9301" s="15"/>
      <c r="E9301" s="16"/>
      <c r="F9301" s="19"/>
      <c r="G9301" s="20"/>
      <c r="H9301" s="19"/>
    </row>
    <row r="9302">
      <c r="A9302" s="9"/>
      <c r="B9302" s="15"/>
      <c r="C9302" s="9"/>
      <c r="D9302" s="15"/>
      <c r="E9302" s="16"/>
      <c r="F9302" s="19"/>
      <c r="G9302" s="20"/>
      <c r="H9302" s="19"/>
    </row>
    <row r="9303">
      <c r="A9303" s="9"/>
      <c r="B9303" s="15"/>
      <c r="C9303" s="9"/>
      <c r="D9303" s="15"/>
      <c r="E9303" s="16"/>
      <c r="F9303" s="19"/>
      <c r="G9303" s="20"/>
      <c r="H9303" s="19"/>
    </row>
    <row r="9304">
      <c r="A9304" s="9"/>
      <c r="B9304" s="15"/>
      <c r="C9304" s="9"/>
      <c r="D9304" s="15"/>
      <c r="E9304" s="16"/>
      <c r="F9304" s="19"/>
      <c r="G9304" s="20"/>
      <c r="H9304" s="19"/>
    </row>
    <row r="9305">
      <c r="A9305" s="9"/>
      <c r="B9305" s="15"/>
      <c r="C9305" s="9"/>
      <c r="D9305" s="15"/>
      <c r="E9305" s="16"/>
      <c r="F9305" s="19"/>
      <c r="G9305" s="20"/>
      <c r="H9305" s="19"/>
    </row>
    <row r="9306">
      <c r="A9306" s="9"/>
      <c r="B9306" s="15"/>
      <c r="C9306" s="9"/>
      <c r="D9306" s="15"/>
      <c r="E9306" s="16"/>
      <c r="F9306" s="19"/>
      <c r="G9306" s="20"/>
      <c r="H9306" s="19"/>
    </row>
    <row r="9307">
      <c r="A9307" s="9"/>
      <c r="B9307" s="15"/>
      <c r="C9307" s="9"/>
      <c r="D9307" s="15"/>
      <c r="E9307" s="16"/>
      <c r="F9307" s="19"/>
      <c r="G9307" s="20"/>
      <c r="H9307" s="19"/>
    </row>
    <row r="9308">
      <c r="A9308" s="9"/>
      <c r="B9308" s="15"/>
      <c r="C9308" s="9"/>
      <c r="D9308" s="15"/>
      <c r="E9308" s="16"/>
      <c r="F9308" s="19"/>
      <c r="G9308" s="20"/>
      <c r="H9308" s="19"/>
    </row>
    <row r="9309">
      <c r="A9309" s="9"/>
      <c r="B9309" s="15"/>
      <c r="C9309" s="9"/>
      <c r="D9309" s="15"/>
      <c r="E9309" s="16"/>
      <c r="F9309" s="19"/>
      <c r="G9309" s="20"/>
      <c r="H9309" s="19"/>
    </row>
    <row r="9310">
      <c r="A9310" s="9"/>
      <c r="B9310" s="15"/>
      <c r="C9310" s="9"/>
      <c r="D9310" s="15"/>
      <c r="E9310" s="16"/>
      <c r="F9310" s="19"/>
      <c r="G9310" s="20"/>
      <c r="H9310" s="19"/>
    </row>
    <row r="9311">
      <c r="A9311" s="9"/>
      <c r="B9311" s="15"/>
      <c r="C9311" s="9"/>
      <c r="D9311" s="15"/>
      <c r="E9311" s="16"/>
      <c r="F9311" s="19"/>
      <c r="G9311" s="20"/>
      <c r="H9311" s="19"/>
    </row>
    <row r="9312">
      <c r="A9312" s="9"/>
      <c r="B9312" s="15"/>
      <c r="C9312" s="9"/>
      <c r="D9312" s="15"/>
      <c r="E9312" s="16"/>
      <c r="F9312" s="19"/>
      <c r="G9312" s="20"/>
      <c r="H9312" s="19"/>
    </row>
    <row r="9313">
      <c r="A9313" s="9"/>
      <c r="B9313" s="15"/>
      <c r="C9313" s="9"/>
      <c r="D9313" s="15"/>
      <c r="E9313" s="16"/>
      <c r="F9313" s="19"/>
      <c r="G9313" s="20"/>
      <c r="H9313" s="19"/>
    </row>
    <row r="9314">
      <c r="A9314" s="9"/>
      <c r="B9314" s="15"/>
      <c r="C9314" s="9"/>
      <c r="D9314" s="15"/>
      <c r="E9314" s="16"/>
      <c r="F9314" s="19"/>
      <c r="G9314" s="20"/>
      <c r="H9314" s="19"/>
    </row>
    <row r="9315">
      <c r="A9315" s="9"/>
      <c r="B9315" s="15"/>
      <c r="C9315" s="9"/>
      <c r="D9315" s="15"/>
      <c r="E9315" s="16"/>
      <c r="F9315" s="19"/>
      <c r="G9315" s="20"/>
      <c r="H9315" s="19"/>
    </row>
    <row r="9316">
      <c r="A9316" s="9"/>
      <c r="B9316" s="15"/>
      <c r="C9316" s="9"/>
      <c r="D9316" s="15"/>
      <c r="E9316" s="16"/>
      <c r="F9316" s="19"/>
      <c r="G9316" s="20"/>
      <c r="H9316" s="19"/>
    </row>
    <row r="9317">
      <c r="A9317" s="9"/>
      <c r="B9317" s="15"/>
      <c r="C9317" s="9"/>
      <c r="D9317" s="15"/>
      <c r="E9317" s="16"/>
      <c r="F9317" s="19"/>
      <c r="G9317" s="20"/>
      <c r="H9317" s="19"/>
    </row>
    <row r="9318">
      <c r="A9318" s="9"/>
      <c r="B9318" s="15"/>
      <c r="C9318" s="9"/>
      <c r="D9318" s="15"/>
      <c r="E9318" s="16"/>
      <c r="F9318" s="19"/>
      <c r="G9318" s="20"/>
      <c r="H9318" s="19"/>
    </row>
    <row r="9319">
      <c r="A9319" s="9"/>
      <c r="B9319" s="15"/>
      <c r="C9319" s="9"/>
      <c r="D9319" s="15"/>
      <c r="E9319" s="16"/>
      <c r="F9319" s="19"/>
      <c r="G9319" s="20"/>
      <c r="H9319" s="19"/>
    </row>
    <row r="9320">
      <c r="A9320" s="9"/>
      <c r="B9320" s="15"/>
      <c r="C9320" s="9"/>
      <c r="D9320" s="15"/>
      <c r="E9320" s="16"/>
      <c r="F9320" s="19"/>
      <c r="G9320" s="20"/>
      <c r="H9320" s="19"/>
    </row>
    <row r="9321">
      <c r="A9321" s="9"/>
      <c r="B9321" s="15"/>
      <c r="C9321" s="9"/>
      <c r="D9321" s="15"/>
      <c r="E9321" s="16"/>
      <c r="F9321" s="19"/>
      <c r="G9321" s="20"/>
      <c r="H9321" s="19"/>
    </row>
    <row r="9322">
      <c r="A9322" s="9"/>
      <c r="B9322" s="15"/>
      <c r="C9322" s="9"/>
      <c r="D9322" s="15"/>
      <c r="E9322" s="16"/>
      <c r="F9322" s="19"/>
      <c r="G9322" s="20"/>
      <c r="H9322" s="19"/>
    </row>
    <row r="9323">
      <c r="A9323" s="9"/>
      <c r="B9323" s="15"/>
      <c r="C9323" s="9"/>
      <c r="D9323" s="15"/>
      <c r="E9323" s="16"/>
      <c r="F9323" s="19"/>
      <c r="G9323" s="20"/>
      <c r="H9323" s="19"/>
    </row>
    <row r="9324">
      <c r="A9324" s="9"/>
      <c r="B9324" s="15"/>
      <c r="C9324" s="9"/>
      <c r="D9324" s="15"/>
      <c r="E9324" s="16"/>
      <c r="F9324" s="19"/>
      <c r="G9324" s="20"/>
      <c r="H9324" s="19"/>
    </row>
    <row r="9325">
      <c r="A9325" s="9"/>
      <c r="B9325" s="15"/>
      <c r="C9325" s="9"/>
      <c r="D9325" s="15"/>
      <c r="E9325" s="16"/>
      <c r="F9325" s="19"/>
      <c r="G9325" s="20"/>
      <c r="H9325" s="19"/>
    </row>
    <row r="9326">
      <c r="A9326" s="9"/>
      <c r="B9326" s="15"/>
      <c r="C9326" s="9"/>
      <c r="D9326" s="15"/>
      <c r="E9326" s="16"/>
      <c r="F9326" s="19"/>
      <c r="G9326" s="20"/>
      <c r="H9326" s="19"/>
    </row>
    <row r="9327">
      <c r="A9327" s="9"/>
      <c r="B9327" s="15"/>
      <c r="C9327" s="9"/>
      <c r="D9327" s="15"/>
      <c r="E9327" s="16"/>
      <c r="F9327" s="19"/>
      <c r="G9327" s="20"/>
      <c r="H9327" s="19"/>
    </row>
    <row r="9328">
      <c r="A9328" s="9"/>
      <c r="B9328" s="15"/>
      <c r="C9328" s="9"/>
      <c r="D9328" s="15"/>
      <c r="E9328" s="16"/>
      <c r="F9328" s="19"/>
      <c r="G9328" s="20"/>
      <c r="H9328" s="19"/>
    </row>
    <row r="9329">
      <c r="A9329" s="9"/>
      <c r="B9329" s="15"/>
      <c r="C9329" s="9"/>
      <c r="D9329" s="15"/>
      <c r="E9329" s="16"/>
      <c r="F9329" s="19"/>
      <c r="G9329" s="20"/>
      <c r="H9329" s="19"/>
    </row>
    <row r="9330">
      <c r="A9330" s="9"/>
      <c r="B9330" s="15"/>
      <c r="C9330" s="9"/>
      <c r="D9330" s="15"/>
      <c r="E9330" s="16"/>
      <c r="F9330" s="19"/>
      <c r="G9330" s="20"/>
      <c r="H9330" s="19"/>
    </row>
    <row r="9331">
      <c r="A9331" s="9"/>
      <c r="B9331" s="15"/>
      <c r="C9331" s="9"/>
      <c r="D9331" s="15"/>
      <c r="E9331" s="16"/>
      <c r="F9331" s="19"/>
      <c r="G9331" s="20"/>
      <c r="H9331" s="19"/>
    </row>
    <row r="9332">
      <c r="A9332" s="9"/>
      <c r="B9332" s="15"/>
      <c r="C9332" s="9"/>
      <c r="D9332" s="15"/>
      <c r="E9332" s="16"/>
      <c r="F9332" s="19"/>
      <c r="G9332" s="20"/>
      <c r="H9332" s="19"/>
    </row>
    <row r="9333">
      <c r="A9333" s="9"/>
      <c r="B9333" s="15"/>
      <c r="C9333" s="9"/>
      <c r="D9333" s="15"/>
      <c r="E9333" s="16"/>
      <c r="F9333" s="19"/>
      <c r="G9333" s="20"/>
      <c r="H9333" s="19"/>
    </row>
    <row r="9334">
      <c r="A9334" s="9"/>
      <c r="B9334" s="15"/>
      <c r="C9334" s="9"/>
      <c r="D9334" s="15"/>
      <c r="E9334" s="16"/>
      <c r="F9334" s="19"/>
      <c r="G9334" s="20"/>
      <c r="H9334" s="19"/>
    </row>
    <row r="9335">
      <c r="A9335" s="9"/>
      <c r="B9335" s="15"/>
      <c r="C9335" s="9"/>
      <c r="D9335" s="15"/>
      <c r="E9335" s="16"/>
      <c r="F9335" s="19"/>
      <c r="G9335" s="20"/>
      <c r="H9335" s="19"/>
    </row>
    <row r="9336">
      <c r="A9336" s="9"/>
      <c r="B9336" s="15"/>
      <c r="C9336" s="9"/>
      <c r="D9336" s="15"/>
      <c r="E9336" s="16"/>
      <c r="F9336" s="19"/>
      <c r="G9336" s="20"/>
      <c r="H9336" s="19"/>
    </row>
    <row r="9337">
      <c r="A9337" s="9"/>
      <c r="B9337" s="15"/>
      <c r="C9337" s="9"/>
      <c r="D9337" s="15"/>
      <c r="E9337" s="16"/>
      <c r="F9337" s="19"/>
      <c r="G9337" s="20"/>
      <c r="H9337" s="19"/>
    </row>
    <row r="9338">
      <c r="A9338" s="9"/>
      <c r="B9338" s="15"/>
      <c r="C9338" s="9"/>
      <c r="D9338" s="15"/>
      <c r="E9338" s="16"/>
      <c r="F9338" s="19"/>
      <c r="G9338" s="20"/>
      <c r="H9338" s="19"/>
    </row>
    <row r="9339">
      <c r="A9339" s="9"/>
      <c r="B9339" s="15"/>
      <c r="C9339" s="9"/>
      <c r="D9339" s="15"/>
      <c r="E9339" s="16"/>
      <c r="F9339" s="19"/>
      <c r="G9339" s="20"/>
      <c r="H9339" s="19"/>
    </row>
    <row r="9340">
      <c r="A9340" s="9"/>
      <c r="B9340" s="15"/>
      <c r="C9340" s="9"/>
      <c r="D9340" s="15"/>
      <c r="E9340" s="16"/>
      <c r="F9340" s="19"/>
      <c r="G9340" s="20"/>
      <c r="H9340" s="19"/>
    </row>
    <row r="9341">
      <c r="A9341" s="9"/>
      <c r="B9341" s="15"/>
      <c r="C9341" s="9"/>
      <c r="D9341" s="15"/>
      <c r="E9341" s="16"/>
      <c r="F9341" s="19"/>
      <c r="G9341" s="20"/>
      <c r="H9341" s="19"/>
    </row>
    <row r="9342">
      <c r="A9342" s="9"/>
      <c r="B9342" s="15"/>
      <c r="C9342" s="9"/>
      <c r="D9342" s="15"/>
      <c r="E9342" s="16"/>
      <c r="F9342" s="19"/>
      <c r="G9342" s="20"/>
      <c r="H9342" s="19"/>
    </row>
    <row r="9343">
      <c r="A9343" s="9"/>
      <c r="B9343" s="15"/>
      <c r="C9343" s="9"/>
      <c r="D9343" s="15"/>
      <c r="E9343" s="16"/>
      <c r="F9343" s="19"/>
      <c r="G9343" s="20"/>
      <c r="H9343" s="19"/>
    </row>
    <row r="9344">
      <c r="A9344" s="9"/>
      <c r="B9344" s="15"/>
      <c r="C9344" s="9"/>
      <c r="D9344" s="15"/>
      <c r="E9344" s="16"/>
      <c r="F9344" s="19"/>
      <c r="G9344" s="20"/>
      <c r="H9344" s="19"/>
    </row>
    <row r="9345">
      <c r="A9345" s="9"/>
      <c r="B9345" s="15"/>
      <c r="C9345" s="9"/>
      <c r="D9345" s="15"/>
      <c r="E9345" s="16"/>
      <c r="F9345" s="19"/>
      <c r="G9345" s="20"/>
      <c r="H9345" s="19"/>
    </row>
    <row r="9346">
      <c r="A9346" s="9"/>
      <c r="B9346" s="15"/>
      <c r="C9346" s="9"/>
      <c r="D9346" s="15"/>
      <c r="E9346" s="16"/>
      <c r="F9346" s="19"/>
      <c r="G9346" s="20"/>
      <c r="H9346" s="19"/>
    </row>
    <row r="9347">
      <c r="A9347" s="9"/>
      <c r="B9347" s="15"/>
      <c r="C9347" s="9"/>
      <c r="D9347" s="15"/>
      <c r="E9347" s="16"/>
      <c r="F9347" s="19"/>
      <c r="G9347" s="20"/>
      <c r="H9347" s="19"/>
    </row>
    <row r="9348">
      <c r="A9348" s="9"/>
      <c r="B9348" s="15"/>
      <c r="C9348" s="9"/>
      <c r="D9348" s="15"/>
      <c r="E9348" s="16"/>
      <c r="F9348" s="19"/>
      <c r="G9348" s="20"/>
      <c r="H9348" s="19"/>
    </row>
    <row r="9349">
      <c r="A9349" s="9"/>
      <c r="B9349" s="15"/>
      <c r="C9349" s="9"/>
      <c r="D9349" s="15"/>
      <c r="E9349" s="16"/>
      <c r="F9349" s="19"/>
      <c r="G9349" s="20"/>
      <c r="H9349" s="19"/>
    </row>
    <row r="9350">
      <c r="A9350" s="9"/>
      <c r="B9350" s="15"/>
      <c r="C9350" s="9"/>
      <c r="D9350" s="15"/>
      <c r="E9350" s="16"/>
      <c r="F9350" s="19"/>
      <c r="G9350" s="20"/>
      <c r="H9350" s="19"/>
    </row>
    <row r="9351">
      <c r="A9351" s="9"/>
      <c r="B9351" s="15"/>
      <c r="C9351" s="9"/>
      <c r="D9351" s="15"/>
      <c r="E9351" s="16"/>
      <c r="F9351" s="19"/>
      <c r="G9351" s="20"/>
      <c r="H9351" s="19"/>
    </row>
    <row r="9352">
      <c r="A9352" s="9"/>
      <c r="B9352" s="15"/>
      <c r="C9352" s="9"/>
      <c r="D9352" s="15"/>
      <c r="E9352" s="16"/>
      <c r="F9352" s="19"/>
      <c r="G9352" s="20"/>
      <c r="H9352" s="19"/>
    </row>
    <row r="9353">
      <c r="A9353" s="9"/>
      <c r="B9353" s="15"/>
      <c r="C9353" s="9"/>
      <c r="D9353" s="15"/>
      <c r="E9353" s="16"/>
      <c r="F9353" s="19"/>
      <c r="G9353" s="20"/>
      <c r="H9353" s="19"/>
    </row>
    <row r="9354">
      <c r="A9354" s="9"/>
      <c r="B9354" s="15"/>
      <c r="C9354" s="9"/>
      <c r="D9354" s="15"/>
      <c r="E9354" s="16"/>
      <c r="F9354" s="19"/>
      <c r="G9354" s="20"/>
      <c r="H9354" s="19"/>
    </row>
    <row r="9355">
      <c r="A9355" s="9"/>
      <c r="B9355" s="15"/>
      <c r="C9355" s="9"/>
      <c r="D9355" s="15"/>
      <c r="E9355" s="16"/>
      <c r="F9355" s="19"/>
      <c r="G9355" s="20"/>
      <c r="H9355" s="19"/>
    </row>
    <row r="9356">
      <c r="A9356" s="9"/>
      <c r="B9356" s="15"/>
      <c r="C9356" s="9"/>
      <c r="D9356" s="15"/>
      <c r="E9356" s="16"/>
      <c r="F9356" s="19"/>
      <c r="G9356" s="20"/>
      <c r="H9356" s="19"/>
    </row>
    <row r="9357">
      <c r="A9357" s="9"/>
      <c r="B9357" s="15"/>
      <c r="C9357" s="9"/>
      <c r="D9357" s="15"/>
      <c r="E9357" s="16"/>
      <c r="F9357" s="19"/>
      <c r="G9357" s="20"/>
      <c r="H9357" s="19"/>
    </row>
    <row r="9358">
      <c r="A9358" s="9"/>
      <c r="B9358" s="15"/>
      <c r="C9358" s="9"/>
      <c r="D9358" s="15"/>
      <c r="E9358" s="16"/>
      <c r="F9358" s="19"/>
      <c r="G9358" s="20"/>
      <c r="H9358" s="19"/>
    </row>
    <row r="9359">
      <c r="A9359" s="9"/>
      <c r="B9359" s="15"/>
      <c r="C9359" s="9"/>
      <c r="D9359" s="15"/>
      <c r="E9359" s="16"/>
      <c r="F9359" s="19"/>
      <c r="G9359" s="20"/>
      <c r="H9359" s="19"/>
    </row>
    <row r="9360">
      <c r="A9360" s="9"/>
      <c r="B9360" s="15"/>
      <c r="C9360" s="9"/>
      <c r="D9360" s="15"/>
      <c r="E9360" s="16"/>
      <c r="F9360" s="19"/>
      <c r="G9360" s="20"/>
      <c r="H9360" s="19"/>
    </row>
    <row r="9361">
      <c r="A9361" s="9"/>
      <c r="B9361" s="15"/>
      <c r="C9361" s="9"/>
      <c r="D9361" s="15"/>
      <c r="E9361" s="16"/>
      <c r="F9361" s="19"/>
      <c r="G9361" s="20"/>
      <c r="H9361" s="19"/>
    </row>
    <row r="9362">
      <c r="A9362" s="9"/>
      <c r="B9362" s="15"/>
      <c r="C9362" s="9"/>
      <c r="D9362" s="15"/>
      <c r="E9362" s="16"/>
      <c r="F9362" s="19"/>
      <c r="G9362" s="20"/>
      <c r="H9362" s="19"/>
    </row>
    <row r="9363">
      <c r="A9363" s="9"/>
      <c r="B9363" s="15"/>
      <c r="C9363" s="9"/>
      <c r="D9363" s="15"/>
      <c r="E9363" s="16"/>
      <c r="F9363" s="19"/>
      <c r="G9363" s="20"/>
      <c r="H9363" s="19"/>
    </row>
    <row r="9364">
      <c r="A9364" s="9"/>
      <c r="B9364" s="15"/>
      <c r="C9364" s="9"/>
      <c r="D9364" s="15"/>
      <c r="E9364" s="16"/>
      <c r="F9364" s="19"/>
      <c r="G9364" s="20"/>
      <c r="H9364" s="19"/>
    </row>
    <row r="9365">
      <c r="A9365" s="9"/>
      <c r="B9365" s="15"/>
      <c r="C9365" s="9"/>
      <c r="D9365" s="15"/>
      <c r="E9365" s="16"/>
      <c r="F9365" s="19"/>
      <c r="G9365" s="20"/>
      <c r="H9365" s="19"/>
    </row>
    <row r="9366">
      <c r="A9366" s="9"/>
      <c r="B9366" s="15"/>
      <c r="C9366" s="9"/>
      <c r="D9366" s="15"/>
      <c r="E9366" s="16"/>
      <c r="F9366" s="19"/>
      <c r="G9366" s="20"/>
      <c r="H9366" s="19"/>
    </row>
    <row r="9367">
      <c r="A9367" s="9"/>
      <c r="B9367" s="15"/>
      <c r="C9367" s="9"/>
      <c r="D9367" s="15"/>
      <c r="E9367" s="16"/>
      <c r="F9367" s="19"/>
      <c r="G9367" s="20"/>
      <c r="H9367" s="19"/>
    </row>
    <row r="9368">
      <c r="A9368" s="9"/>
      <c r="B9368" s="15"/>
      <c r="C9368" s="9"/>
      <c r="D9368" s="15"/>
      <c r="E9368" s="16"/>
      <c r="F9368" s="19"/>
      <c r="G9368" s="20"/>
      <c r="H9368" s="19"/>
    </row>
    <row r="9369">
      <c r="A9369" s="9"/>
      <c r="B9369" s="15"/>
      <c r="C9369" s="9"/>
      <c r="D9369" s="15"/>
      <c r="E9369" s="16"/>
      <c r="F9369" s="19"/>
      <c r="G9369" s="20"/>
      <c r="H9369" s="19"/>
    </row>
    <row r="9370">
      <c r="A9370" s="9"/>
      <c r="B9370" s="15"/>
      <c r="C9370" s="9"/>
      <c r="D9370" s="15"/>
      <c r="E9370" s="16"/>
      <c r="F9370" s="19"/>
      <c r="G9370" s="20"/>
      <c r="H9370" s="19"/>
    </row>
    <row r="9371">
      <c r="A9371" s="9"/>
      <c r="B9371" s="15"/>
      <c r="C9371" s="9"/>
      <c r="D9371" s="15"/>
      <c r="E9371" s="16"/>
      <c r="F9371" s="19"/>
      <c r="G9371" s="20"/>
      <c r="H9371" s="19"/>
    </row>
    <row r="9372">
      <c r="A9372" s="9"/>
      <c r="B9372" s="15"/>
      <c r="C9372" s="9"/>
      <c r="D9372" s="15"/>
      <c r="E9372" s="16"/>
      <c r="F9372" s="19"/>
      <c r="G9372" s="20"/>
      <c r="H9372" s="19"/>
    </row>
    <row r="9373">
      <c r="A9373" s="9"/>
      <c r="B9373" s="15"/>
      <c r="C9373" s="9"/>
      <c r="D9373" s="15"/>
      <c r="E9373" s="16"/>
      <c r="F9373" s="19"/>
      <c r="G9373" s="20"/>
      <c r="H9373" s="19"/>
    </row>
    <row r="9374">
      <c r="A9374" s="9"/>
      <c r="B9374" s="15"/>
      <c r="C9374" s="9"/>
      <c r="D9374" s="15"/>
      <c r="E9374" s="16"/>
      <c r="F9374" s="19"/>
      <c r="G9374" s="20"/>
      <c r="H9374" s="19"/>
    </row>
    <row r="9375">
      <c r="A9375" s="9"/>
      <c r="B9375" s="15"/>
      <c r="C9375" s="9"/>
      <c r="D9375" s="15"/>
      <c r="E9375" s="16"/>
      <c r="F9375" s="19"/>
      <c r="G9375" s="20"/>
      <c r="H9375" s="19"/>
    </row>
    <row r="9376">
      <c r="A9376" s="9"/>
      <c r="B9376" s="15"/>
      <c r="C9376" s="9"/>
      <c r="D9376" s="15"/>
      <c r="E9376" s="16"/>
      <c r="F9376" s="19"/>
      <c r="G9376" s="20"/>
      <c r="H9376" s="19"/>
    </row>
    <row r="9377">
      <c r="A9377" s="9"/>
      <c r="B9377" s="15"/>
      <c r="C9377" s="9"/>
      <c r="D9377" s="15"/>
      <c r="E9377" s="16"/>
      <c r="F9377" s="19"/>
      <c r="G9377" s="20"/>
      <c r="H9377" s="19"/>
    </row>
    <row r="9378">
      <c r="A9378" s="9"/>
      <c r="B9378" s="15"/>
      <c r="C9378" s="9"/>
      <c r="D9378" s="15"/>
      <c r="E9378" s="16"/>
      <c r="F9378" s="19"/>
      <c r="G9378" s="20"/>
      <c r="H9378" s="19"/>
    </row>
    <row r="9379">
      <c r="A9379" s="9"/>
      <c r="B9379" s="15"/>
      <c r="C9379" s="9"/>
      <c r="D9379" s="15"/>
      <c r="E9379" s="16"/>
      <c r="F9379" s="19"/>
      <c r="G9379" s="20"/>
      <c r="H9379" s="19"/>
    </row>
    <row r="9380">
      <c r="A9380" s="9"/>
      <c r="B9380" s="15"/>
      <c r="C9380" s="9"/>
      <c r="D9380" s="15"/>
      <c r="E9380" s="16"/>
      <c r="F9380" s="19"/>
      <c r="G9380" s="20"/>
      <c r="H9380" s="19"/>
    </row>
    <row r="9381">
      <c r="A9381" s="9"/>
      <c r="B9381" s="15"/>
      <c r="C9381" s="9"/>
      <c r="D9381" s="15"/>
      <c r="E9381" s="16"/>
      <c r="F9381" s="19"/>
      <c r="G9381" s="20"/>
      <c r="H9381" s="19"/>
    </row>
    <row r="9382">
      <c r="A9382" s="9"/>
      <c r="B9382" s="15"/>
      <c r="C9382" s="9"/>
      <c r="D9382" s="15"/>
      <c r="E9382" s="16"/>
      <c r="F9382" s="19"/>
      <c r="G9382" s="20"/>
      <c r="H9382" s="19"/>
    </row>
    <row r="9383">
      <c r="A9383" s="9"/>
      <c r="B9383" s="15"/>
      <c r="C9383" s="9"/>
      <c r="D9383" s="15"/>
      <c r="E9383" s="16"/>
      <c r="F9383" s="19"/>
      <c r="G9383" s="20"/>
      <c r="H9383" s="19"/>
    </row>
    <row r="9384">
      <c r="A9384" s="9"/>
      <c r="B9384" s="15"/>
      <c r="C9384" s="9"/>
      <c r="D9384" s="15"/>
      <c r="E9384" s="16"/>
      <c r="F9384" s="19"/>
      <c r="G9384" s="20"/>
      <c r="H9384" s="19"/>
    </row>
    <row r="9385">
      <c r="A9385" s="9"/>
      <c r="B9385" s="15"/>
      <c r="C9385" s="9"/>
      <c r="D9385" s="15"/>
      <c r="E9385" s="16"/>
      <c r="F9385" s="19"/>
      <c r="G9385" s="20"/>
      <c r="H9385" s="19"/>
    </row>
    <row r="9386">
      <c r="A9386" s="9"/>
      <c r="B9386" s="15"/>
      <c r="C9386" s="9"/>
      <c r="D9386" s="15"/>
      <c r="E9386" s="16"/>
      <c r="F9386" s="19"/>
      <c r="G9386" s="20"/>
      <c r="H9386" s="19"/>
    </row>
    <row r="9387">
      <c r="A9387" s="9"/>
      <c r="B9387" s="15"/>
      <c r="C9387" s="9"/>
      <c r="D9387" s="15"/>
      <c r="E9387" s="16"/>
      <c r="F9387" s="19"/>
      <c r="G9387" s="20"/>
      <c r="H9387" s="19"/>
    </row>
    <row r="9388">
      <c r="A9388" s="9"/>
      <c r="B9388" s="15"/>
      <c r="C9388" s="9"/>
      <c r="D9388" s="15"/>
      <c r="E9388" s="16"/>
      <c r="F9388" s="19"/>
      <c r="G9388" s="20"/>
      <c r="H9388" s="19"/>
    </row>
    <row r="9389">
      <c r="A9389" s="9"/>
      <c r="B9389" s="15"/>
      <c r="C9389" s="9"/>
      <c r="D9389" s="15"/>
      <c r="E9389" s="16"/>
      <c r="F9389" s="19"/>
      <c r="G9389" s="20"/>
      <c r="H9389" s="19"/>
    </row>
    <row r="9390">
      <c r="A9390" s="9"/>
      <c r="B9390" s="15"/>
      <c r="C9390" s="9"/>
      <c r="D9390" s="15"/>
      <c r="E9390" s="16"/>
      <c r="F9390" s="19"/>
      <c r="G9390" s="20"/>
      <c r="H9390" s="19"/>
    </row>
    <row r="9391">
      <c r="A9391" s="9"/>
      <c r="B9391" s="15"/>
      <c r="C9391" s="9"/>
      <c r="D9391" s="15"/>
      <c r="E9391" s="16"/>
      <c r="F9391" s="19"/>
      <c r="G9391" s="20"/>
      <c r="H9391" s="19"/>
    </row>
    <row r="9392">
      <c r="A9392" s="9"/>
      <c r="B9392" s="15"/>
      <c r="C9392" s="9"/>
      <c r="D9392" s="15"/>
      <c r="E9392" s="16"/>
      <c r="F9392" s="19"/>
      <c r="G9392" s="20"/>
      <c r="H9392" s="19"/>
    </row>
    <row r="9393">
      <c r="A9393" s="9"/>
      <c r="B9393" s="15"/>
      <c r="C9393" s="9"/>
      <c r="D9393" s="15"/>
      <c r="E9393" s="16"/>
      <c r="F9393" s="19"/>
      <c r="G9393" s="20"/>
      <c r="H9393" s="19"/>
    </row>
    <row r="9394">
      <c r="A9394" s="9"/>
      <c r="B9394" s="15"/>
      <c r="C9394" s="9"/>
      <c r="D9394" s="15"/>
      <c r="E9394" s="16"/>
      <c r="F9394" s="19"/>
      <c r="G9394" s="20"/>
      <c r="H9394" s="19"/>
    </row>
    <row r="9395">
      <c r="A9395" s="9"/>
      <c r="B9395" s="15"/>
      <c r="C9395" s="9"/>
      <c r="D9395" s="15"/>
      <c r="E9395" s="16"/>
      <c r="F9395" s="19"/>
      <c r="G9395" s="20"/>
      <c r="H9395" s="19"/>
    </row>
    <row r="9396">
      <c r="A9396" s="9"/>
      <c r="B9396" s="15"/>
      <c r="C9396" s="9"/>
      <c r="D9396" s="15"/>
      <c r="E9396" s="16"/>
      <c r="F9396" s="19"/>
      <c r="G9396" s="20"/>
      <c r="H9396" s="19"/>
    </row>
    <row r="9397">
      <c r="A9397" s="9"/>
      <c r="B9397" s="15"/>
      <c r="C9397" s="9"/>
      <c r="D9397" s="15"/>
      <c r="E9397" s="16"/>
      <c r="F9397" s="19"/>
      <c r="G9397" s="20"/>
      <c r="H9397" s="19"/>
    </row>
    <row r="9398">
      <c r="A9398" s="9"/>
      <c r="B9398" s="15"/>
      <c r="C9398" s="9"/>
      <c r="D9398" s="15"/>
      <c r="E9398" s="16"/>
      <c r="F9398" s="19"/>
      <c r="G9398" s="20"/>
      <c r="H9398" s="19"/>
    </row>
    <row r="9399">
      <c r="A9399" s="9"/>
      <c r="B9399" s="15"/>
      <c r="C9399" s="9"/>
      <c r="D9399" s="15"/>
      <c r="E9399" s="16"/>
      <c r="F9399" s="19"/>
      <c r="G9399" s="20"/>
      <c r="H9399" s="19"/>
    </row>
    <row r="9400">
      <c r="A9400" s="9"/>
      <c r="B9400" s="15"/>
      <c r="C9400" s="9"/>
      <c r="D9400" s="15"/>
      <c r="E9400" s="16"/>
      <c r="F9400" s="19"/>
      <c r="G9400" s="20"/>
      <c r="H9400" s="19"/>
    </row>
    <row r="9401">
      <c r="A9401" s="9"/>
      <c r="B9401" s="15"/>
      <c r="C9401" s="9"/>
      <c r="D9401" s="15"/>
      <c r="E9401" s="16"/>
      <c r="F9401" s="19"/>
      <c r="G9401" s="20"/>
      <c r="H9401" s="19"/>
    </row>
    <row r="9402">
      <c r="A9402" s="9"/>
      <c r="B9402" s="15"/>
      <c r="C9402" s="9"/>
      <c r="D9402" s="15"/>
      <c r="E9402" s="16"/>
      <c r="F9402" s="19"/>
      <c r="G9402" s="20"/>
      <c r="H9402" s="19"/>
    </row>
    <row r="9403">
      <c r="A9403" s="9"/>
      <c r="B9403" s="15"/>
      <c r="C9403" s="9"/>
      <c r="D9403" s="15"/>
      <c r="E9403" s="16"/>
      <c r="F9403" s="19"/>
      <c r="G9403" s="20"/>
      <c r="H9403" s="19"/>
    </row>
    <row r="9404">
      <c r="A9404" s="9"/>
      <c r="B9404" s="15"/>
      <c r="C9404" s="9"/>
      <c r="D9404" s="15"/>
      <c r="E9404" s="16"/>
      <c r="F9404" s="19"/>
      <c r="G9404" s="20"/>
      <c r="H9404" s="19"/>
    </row>
    <row r="9405">
      <c r="A9405" s="9"/>
      <c r="B9405" s="15"/>
      <c r="C9405" s="9"/>
      <c r="D9405" s="15"/>
      <c r="E9405" s="16"/>
      <c r="F9405" s="19"/>
      <c r="G9405" s="20"/>
      <c r="H9405" s="19"/>
    </row>
    <row r="9406">
      <c r="A9406" s="9"/>
      <c r="B9406" s="15"/>
      <c r="C9406" s="9"/>
      <c r="D9406" s="15"/>
      <c r="E9406" s="16"/>
      <c r="F9406" s="19"/>
      <c r="G9406" s="20"/>
      <c r="H9406" s="19"/>
    </row>
    <row r="9407">
      <c r="A9407" s="9"/>
      <c r="B9407" s="15"/>
      <c r="C9407" s="9"/>
      <c r="D9407" s="15"/>
      <c r="E9407" s="16"/>
      <c r="F9407" s="19"/>
      <c r="G9407" s="20"/>
      <c r="H9407" s="19"/>
    </row>
    <row r="9408">
      <c r="A9408" s="9"/>
      <c r="B9408" s="15"/>
      <c r="C9408" s="9"/>
      <c r="D9408" s="15"/>
      <c r="E9408" s="16"/>
      <c r="F9408" s="19"/>
      <c r="G9408" s="20"/>
      <c r="H9408" s="19"/>
    </row>
    <row r="9409">
      <c r="A9409" s="9"/>
      <c r="B9409" s="15"/>
      <c r="C9409" s="9"/>
      <c r="D9409" s="15"/>
      <c r="E9409" s="16"/>
      <c r="F9409" s="19"/>
      <c r="G9409" s="20"/>
      <c r="H9409" s="19"/>
    </row>
    <row r="9410">
      <c r="A9410" s="9"/>
      <c r="B9410" s="15"/>
      <c r="C9410" s="9"/>
      <c r="D9410" s="15"/>
      <c r="E9410" s="16"/>
      <c r="F9410" s="19"/>
      <c r="G9410" s="20"/>
      <c r="H9410" s="19"/>
    </row>
    <row r="9411">
      <c r="A9411" s="9"/>
      <c r="B9411" s="15"/>
      <c r="C9411" s="9"/>
      <c r="D9411" s="15"/>
      <c r="E9411" s="16"/>
      <c r="F9411" s="19"/>
      <c r="G9411" s="20"/>
      <c r="H9411" s="19"/>
    </row>
    <row r="9412">
      <c r="A9412" s="9"/>
      <c r="B9412" s="15"/>
      <c r="C9412" s="9"/>
      <c r="D9412" s="15"/>
      <c r="E9412" s="16"/>
      <c r="F9412" s="19"/>
      <c r="G9412" s="20"/>
      <c r="H9412" s="19"/>
    </row>
    <row r="9413">
      <c r="A9413" s="9"/>
      <c r="B9413" s="15"/>
      <c r="C9413" s="9"/>
      <c r="D9413" s="15"/>
      <c r="E9413" s="16"/>
      <c r="F9413" s="19"/>
      <c r="G9413" s="20"/>
      <c r="H9413" s="19"/>
    </row>
    <row r="9414">
      <c r="A9414" s="9"/>
      <c r="B9414" s="15"/>
      <c r="C9414" s="9"/>
      <c r="D9414" s="15"/>
      <c r="E9414" s="16"/>
      <c r="F9414" s="19"/>
      <c r="G9414" s="20"/>
      <c r="H9414" s="19"/>
    </row>
    <row r="9415">
      <c r="A9415" s="9"/>
      <c r="B9415" s="15"/>
      <c r="C9415" s="9"/>
      <c r="D9415" s="15"/>
      <c r="E9415" s="16"/>
      <c r="F9415" s="19"/>
      <c r="G9415" s="20"/>
      <c r="H9415" s="19"/>
    </row>
    <row r="9416">
      <c r="A9416" s="9"/>
      <c r="B9416" s="15"/>
      <c r="C9416" s="9"/>
      <c r="D9416" s="15"/>
      <c r="E9416" s="16"/>
      <c r="F9416" s="19"/>
      <c r="G9416" s="20"/>
      <c r="H9416" s="19"/>
    </row>
    <row r="9417">
      <c r="A9417" s="9"/>
      <c r="B9417" s="15"/>
      <c r="C9417" s="9"/>
      <c r="D9417" s="15"/>
      <c r="E9417" s="16"/>
      <c r="F9417" s="19"/>
      <c r="G9417" s="20"/>
      <c r="H9417" s="19"/>
    </row>
    <row r="9418">
      <c r="A9418" s="9"/>
      <c r="B9418" s="15"/>
      <c r="C9418" s="9"/>
      <c r="D9418" s="15"/>
      <c r="E9418" s="16"/>
      <c r="F9418" s="19"/>
      <c r="G9418" s="20"/>
      <c r="H9418" s="19"/>
    </row>
    <row r="9419">
      <c r="A9419" s="9"/>
      <c r="B9419" s="15"/>
      <c r="C9419" s="9"/>
      <c r="D9419" s="15"/>
      <c r="E9419" s="16"/>
      <c r="F9419" s="19"/>
      <c r="G9419" s="20"/>
      <c r="H9419" s="19"/>
    </row>
    <row r="9420">
      <c r="A9420" s="9"/>
      <c r="B9420" s="15"/>
      <c r="C9420" s="9"/>
      <c r="D9420" s="15"/>
      <c r="E9420" s="16"/>
      <c r="F9420" s="19"/>
      <c r="G9420" s="20"/>
      <c r="H9420" s="19"/>
    </row>
    <row r="9421">
      <c r="A9421" s="9"/>
      <c r="B9421" s="15"/>
      <c r="C9421" s="9"/>
      <c r="D9421" s="15"/>
      <c r="E9421" s="16"/>
      <c r="F9421" s="19"/>
      <c r="G9421" s="20"/>
      <c r="H9421" s="19"/>
    </row>
    <row r="9422">
      <c r="A9422" s="9"/>
      <c r="B9422" s="15"/>
      <c r="C9422" s="9"/>
      <c r="D9422" s="15"/>
      <c r="E9422" s="16"/>
      <c r="F9422" s="19"/>
      <c r="G9422" s="20"/>
      <c r="H9422" s="19"/>
    </row>
    <row r="9423">
      <c r="A9423" s="9"/>
      <c r="B9423" s="15"/>
      <c r="C9423" s="9"/>
      <c r="D9423" s="15"/>
      <c r="E9423" s="16"/>
      <c r="F9423" s="19"/>
      <c r="G9423" s="20"/>
      <c r="H9423" s="19"/>
    </row>
    <row r="9424">
      <c r="A9424" s="9"/>
      <c r="B9424" s="15"/>
      <c r="C9424" s="9"/>
      <c r="D9424" s="15"/>
      <c r="E9424" s="16"/>
      <c r="F9424" s="19"/>
      <c r="G9424" s="20"/>
      <c r="H9424" s="19"/>
    </row>
    <row r="9425">
      <c r="A9425" s="9"/>
      <c r="B9425" s="15"/>
      <c r="C9425" s="9"/>
      <c r="D9425" s="15"/>
      <c r="E9425" s="16"/>
      <c r="F9425" s="19"/>
      <c r="G9425" s="20"/>
      <c r="H9425" s="19"/>
    </row>
    <row r="9426">
      <c r="A9426" s="9"/>
      <c r="B9426" s="15"/>
      <c r="C9426" s="9"/>
      <c r="D9426" s="15"/>
      <c r="E9426" s="16"/>
      <c r="F9426" s="19"/>
      <c r="G9426" s="20"/>
      <c r="H9426" s="19"/>
    </row>
    <row r="9427">
      <c r="A9427" s="9"/>
      <c r="B9427" s="15"/>
      <c r="C9427" s="9"/>
      <c r="D9427" s="15"/>
      <c r="E9427" s="16"/>
      <c r="F9427" s="19"/>
      <c r="G9427" s="20"/>
      <c r="H9427" s="19"/>
    </row>
    <row r="9428">
      <c r="A9428" s="9"/>
      <c r="B9428" s="15"/>
      <c r="C9428" s="9"/>
      <c r="D9428" s="15"/>
      <c r="E9428" s="16"/>
      <c r="F9428" s="19"/>
      <c r="G9428" s="20"/>
      <c r="H9428" s="19"/>
    </row>
    <row r="9429">
      <c r="A9429" s="9"/>
      <c r="B9429" s="15"/>
      <c r="C9429" s="9"/>
      <c r="D9429" s="15"/>
      <c r="E9429" s="16"/>
      <c r="F9429" s="19"/>
      <c r="G9429" s="20"/>
      <c r="H9429" s="19"/>
    </row>
    <row r="9430">
      <c r="A9430" s="9"/>
      <c r="B9430" s="15"/>
      <c r="C9430" s="9"/>
      <c r="D9430" s="15"/>
      <c r="E9430" s="16"/>
      <c r="F9430" s="19"/>
      <c r="G9430" s="20"/>
      <c r="H9430" s="19"/>
    </row>
    <row r="9431">
      <c r="A9431" s="9"/>
      <c r="B9431" s="15"/>
      <c r="C9431" s="9"/>
      <c r="D9431" s="15"/>
      <c r="E9431" s="16"/>
      <c r="F9431" s="19"/>
      <c r="G9431" s="20"/>
      <c r="H9431" s="19"/>
    </row>
    <row r="9432">
      <c r="A9432" s="9"/>
      <c r="B9432" s="15"/>
      <c r="C9432" s="9"/>
      <c r="D9432" s="15"/>
      <c r="E9432" s="16"/>
      <c r="F9432" s="19"/>
      <c r="G9432" s="20"/>
      <c r="H9432" s="19"/>
    </row>
    <row r="9433">
      <c r="A9433" s="9"/>
      <c r="B9433" s="15"/>
      <c r="C9433" s="9"/>
      <c r="D9433" s="15"/>
      <c r="E9433" s="16"/>
      <c r="F9433" s="19"/>
      <c r="G9433" s="20"/>
      <c r="H9433" s="19"/>
    </row>
    <row r="9434">
      <c r="A9434" s="9"/>
      <c r="B9434" s="15"/>
      <c r="C9434" s="9"/>
      <c r="D9434" s="15"/>
      <c r="E9434" s="16"/>
      <c r="F9434" s="19"/>
      <c r="G9434" s="20"/>
      <c r="H9434" s="19"/>
    </row>
    <row r="9435">
      <c r="A9435" s="9"/>
      <c r="B9435" s="15"/>
      <c r="C9435" s="9"/>
      <c r="D9435" s="15"/>
      <c r="E9435" s="16"/>
      <c r="F9435" s="19"/>
      <c r="G9435" s="20"/>
      <c r="H9435" s="19"/>
    </row>
    <row r="9436">
      <c r="A9436" s="9"/>
      <c r="B9436" s="15"/>
      <c r="C9436" s="9"/>
      <c r="D9436" s="15"/>
      <c r="E9436" s="16"/>
      <c r="F9436" s="19"/>
      <c r="G9436" s="20"/>
      <c r="H9436" s="19"/>
    </row>
    <row r="9437">
      <c r="A9437" s="9"/>
      <c r="B9437" s="15"/>
      <c r="C9437" s="9"/>
      <c r="D9437" s="15"/>
      <c r="E9437" s="16"/>
      <c r="F9437" s="19"/>
      <c r="G9437" s="20"/>
      <c r="H9437" s="19"/>
    </row>
    <row r="9438">
      <c r="A9438" s="9"/>
      <c r="B9438" s="15"/>
      <c r="C9438" s="9"/>
      <c r="D9438" s="15"/>
      <c r="E9438" s="16"/>
      <c r="F9438" s="19"/>
      <c r="G9438" s="20"/>
      <c r="H9438" s="19"/>
    </row>
    <row r="9439">
      <c r="A9439" s="9"/>
      <c r="B9439" s="15"/>
      <c r="C9439" s="9"/>
      <c r="D9439" s="15"/>
      <c r="E9439" s="16"/>
      <c r="F9439" s="19"/>
      <c r="G9439" s="20"/>
      <c r="H9439" s="19"/>
    </row>
    <row r="9440">
      <c r="A9440" s="9"/>
      <c r="B9440" s="15"/>
      <c r="C9440" s="9"/>
      <c r="D9440" s="15"/>
      <c r="E9440" s="16"/>
      <c r="F9440" s="19"/>
      <c r="G9440" s="20"/>
      <c r="H9440" s="19"/>
    </row>
    <row r="9441">
      <c r="A9441" s="9"/>
      <c r="B9441" s="15"/>
      <c r="C9441" s="9"/>
      <c r="D9441" s="15"/>
      <c r="E9441" s="16"/>
      <c r="F9441" s="19"/>
      <c r="G9441" s="20"/>
      <c r="H9441" s="19"/>
    </row>
    <row r="9442">
      <c r="A9442" s="9"/>
      <c r="B9442" s="15"/>
      <c r="C9442" s="9"/>
      <c r="D9442" s="15"/>
      <c r="E9442" s="16"/>
      <c r="F9442" s="19"/>
      <c r="G9442" s="20"/>
      <c r="H9442" s="19"/>
    </row>
    <row r="9443">
      <c r="A9443" s="9"/>
      <c r="B9443" s="15"/>
      <c r="C9443" s="9"/>
      <c r="D9443" s="15"/>
      <c r="E9443" s="16"/>
      <c r="F9443" s="19"/>
      <c r="G9443" s="20"/>
      <c r="H9443" s="19"/>
    </row>
    <row r="9444">
      <c r="A9444" s="9"/>
      <c r="B9444" s="15"/>
      <c r="C9444" s="9"/>
      <c r="D9444" s="15"/>
      <c r="E9444" s="16"/>
      <c r="F9444" s="19"/>
      <c r="G9444" s="20"/>
      <c r="H9444" s="19"/>
    </row>
    <row r="9445">
      <c r="A9445" s="9"/>
      <c r="B9445" s="15"/>
      <c r="C9445" s="9"/>
      <c r="D9445" s="15"/>
      <c r="E9445" s="16"/>
      <c r="F9445" s="19"/>
      <c r="G9445" s="20"/>
      <c r="H9445" s="19"/>
    </row>
    <row r="9446">
      <c r="A9446" s="9"/>
      <c r="B9446" s="15"/>
      <c r="C9446" s="9"/>
      <c r="D9446" s="15"/>
      <c r="E9446" s="16"/>
      <c r="F9446" s="19"/>
      <c r="G9446" s="20"/>
      <c r="H9446" s="19"/>
    </row>
    <row r="9447">
      <c r="A9447" s="9"/>
      <c r="B9447" s="15"/>
      <c r="C9447" s="9"/>
      <c r="D9447" s="15"/>
      <c r="E9447" s="16"/>
      <c r="F9447" s="19"/>
      <c r="G9447" s="20"/>
      <c r="H9447" s="19"/>
    </row>
    <row r="9448">
      <c r="A9448" s="9"/>
      <c r="B9448" s="15"/>
      <c r="C9448" s="9"/>
      <c r="D9448" s="15"/>
      <c r="E9448" s="16"/>
      <c r="F9448" s="19"/>
      <c r="G9448" s="20"/>
      <c r="H9448" s="19"/>
    </row>
    <row r="9449">
      <c r="A9449" s="9"/>
      <c r="B9449" s="15"/>
      <c r="C9449" s="9"/>
      <c r="D9449" s="15"/>
      <c r="E9449" s="16"/>
      <c r="F9449" s="19"/>
      <c r="G9449" s="20"/>
      <c r="H9449" s="19"/>
    </row>
    <row r="9450">
      <c r="A9450" s="9"/>
      <c r="B9450" s="15"/>
      <c r="C9450" s="9"/>
      <c r="D9450" s="15"/>
      <c r="E9450" s="16"/>
      <c r="F9450" s="19"/>
      <c r="G9450" s="20"/>
      <c r="H9450" s="19"/>
    </row>
    <row r="9451">
      <c r="A9451" s="9"/>
      <c r="B9451" s="15"/>
      <c r="C9451" s="9"/>
      <c r="D9451" s="15"/>
      <c r="E9451" s="16"/>
      <c r="F9451" s="19"/>
      <c r="G9451" s="20"/>
      <c r="H9451" s="19"/>
    </row>
    <row r="9452">
      <c r="A9452" s="9"/>
      <c r="B9452" s="15"/>
      <c r="C9452" s="9"/>
      <c r="D9452" s="15"/>
      <c r="E9452" s="16"/>
      <c r="F9452" s="19"/>
      <c r="G9452" s="20"/>
      <c r="H9452" s="19"/>
    </row>
    <row r="9453">
      <c r="A9453" s="9"/>
      <c r="B9453" s="15"/>
      <c r="C9453" s="9"/>
      <c r="D9453" s="15"/>
      <c r="E9453" s="16"/>
      <c r="F9453" s="19"/>
      <c r="G9453" s="20"/>
      <c r="H9453" s="19"/>
    </row>
    <row r="9454">
      <c r="A9454" s="9"/>
      <c r="B9454" s="15"/>
      <c r="C9454" s="9"/>
      <c r="D9454" s="15"/>
      <c r="E9454" s="16"/>
      <c r="F9454" s="19"/>
      <c r="G9454" s="20"/>
      <c r="H9454" s="19"/>
    </row>
    <row r="9455">
      <c r="A9455" s="9"/>
      <c r="B9455" s="15"/>
      <c r="C9455" s="9"/>
      <c r="D9455" s="15"/>
      <c r="E9455" s="16"/>
      <c r="F9455" s="19"/>
      <c r="G9455" s="20"/>
      <c r="H9455" s="19"/>
    </row>
    <row r="9456">
      <c r="A9456" s="9"/>
      <c r="B9456" s="15"/>
      <c r="C9456" s="9"/>
      <c r="D9456" s="15"/>
      <c r="E9456" s="16"/>
      <c r="F9456" s="19"/>
      <c r="G9456" s="20"/>
      <c r="H9456" s="19"/>
    </row>
    <row r="9457">
      <c r="A9457" s="9"/>
      <c r="B9457" s="15"/>
      <c r="C9457" s="9"/>
      <c r="D9457" s="15"/>
      <c r="E9457" s="16"/>
      <c r="F9457" s="19"/>
      <c r="G9457" s="20"/>
      <c r="H9457" s="19"/>
    </row>
    <row r="9458">
      <c r="A9458" s="9"/>
      <c r="B9458" s="15"/>
      <c r="C9458" s="9"/>
      <c r="D9458" s="15"/>
      <c r="E9458" s="16"/>
      <c r="F9458" s="19"/>
      <c r="G9458" s="20"/>
      <c r="H9458" s="19"/>
    </row>
    <row r="9459">
      <c r="A9459" s="9"/>
      <c r="B9459" s="15"/>
      <c r="C9459" s="9"/>
      <c r="D9459" s="15"/>
      <c r="E9459" s="16"/>
      <c r="F9459" s="19"/>
      <c r="G9459" s="20"/>
      <c r="H9459" s="19"/>
    </row>
    <row r="9460">
      <c r="A9460" s="9"/>
      <c r="B9460" s="15"/>
      <c r="C9460" s="9"/>
      <c r="D9460" s="15"/>
      <c r="E9460" s="16"/>
      <c r="F9460" s="19"/>
      <c r="G9460" s="20"/>
      <c r="H9460" s="19"/>
    </row>
    <row r="9461">
      <c r="A9461" s="9"/>
      <c r="B9461" s="15"/>
      <c r="C9461" s="9"/>
      <c r="D9461" s="15"/>
      <c r="E9461" s="16"/>
      <c r="F9461" s="19"/>
      <c r="G9461" s="20"/>
      <c r="H9461" s="19"/>
    </row>
    <row r="9462">
      <c r="A9462" s="9"/>
      <c r="B9462" s="15"/>
      <c r="C9462" s="9"/>
      <c r="D9462" s="15"/>
      <c r="E9462" s="16"/>
      <c r="F9462" s="19"/>
      <c r="G9462" s="20"/>
      <c r="H9462" s="19"/>
    </row>
    <row r="9463">
      <c r="A9463" s="9"/>
      <c r="B9463" s="15"/>
      <c r="C9463" s="9"/>
      <c r="D9463" s="15"/>
      <c r="E9463" s="16"/>
      <c r="F9463" s="19"/>
      <c r="G9463" s="20"/>
      <c r="H9463" s="19"/>
    </row>
    <row r="9464">
      <c r="A9464" s="9"/>
      <c r="B9464" s="15"/>
      <c r="C9464" s="9"/>
      <c r="D9464" s="15"/>
      <c r="E9464" s="16"/>
      <c r="F9464" s="19"/>
      <c r="G9464" s="20"/>
      <c r="H9464" s="19"/>
    </row>
    <row r="9465">
      <c r="A9465" s="9"/>
      <c r="B9465" s="15"/>
      <c r="C9465" s="9"/>
      <c r="D9465" s="15"/>
      <c r="E9465" s="16"/>
      <c r="F9465" s="19"/>
      <c r="G9465" s="20"/>
      <c r="H9465" s="19"/>
    </row>
    <row r="9466">
      <c r="A9466" s="9"/>
      <c r="B9466" s="15"/>
      <c r="C9466" s="9"/>
      <c r="D9466" s="15"/>
      <c r="E9466" s="16"/>
      <c r="F9466" s="19"/>
      <c r="G9466" s="20"/>
      <c r="H9466" s="19"/>
    </row>
    <row r="9467">
      <c r="A9467" s="9"/>
      <c r="B9467" s="15"/>
      <c r="C9467" s="9"/>
      <c r="D9467" s="15"/>
      <c r="E9467" s="16"/>
      <c r="F9467" s="19"/>
      <c r="G9467" s="20"/>
      <c r="H9467" s="19"/>
    </row>
    <row r="9468">
      <c r="A9468" s="9"/>
      <c r="B9468" s="15"/>
      <c r="C9468" s="9"/>
      <c r="D9468" s="15"/>
      <c r="E9468" s="16"/>
      <c r="F9468" s="19"/>
      <c r="G9468" s="20"/>
      <c r="H9468" s="19"/>
    </row>
    <row r="9469">
      <c r="A9469" s="9"/>
      <c r="B9469" s="15"/>
      <c r="C9469" s="9"/>
      <c r="D9469" s="15"/>
      <c r="E9469" s="16"/>
      <c r="F9469" s="19"/>
      <c r="G9469" s="20"/>
      <c r="H9469" s="19"/>
    </row>
    <row r="9470">
      <c r="A9470" s="9"/>
      <c r="B9470" s="15"/>
      <c r="C9470" s="9"/>
      <c r="D9470" s="15"/>
      <c r="E9470" s="16"/>
      <c r="F9470" s="19"/>
      <c r="G9470" s="20"/>
      <c r="H9470" s="19"/>
    </row>
    <row r="9471">
      <c r="A9471" s="9"/>
      <c r="B9471" s="15"/>
      <c r="C9471" s="9"/>
      <c r="D9471" s="15"/>
      <c r="E9471" s="16"/>
      <c r="F9471" s="19"/>
      <c r="G9471" s="20"/>
      <c r="H9471" s="19"/>
    </row>
    <row r="9472">
      <c r="A9472" s="9"/>
      <c r="B9472" s="15"/>
      <c r="C9472" s="9"/>
      <c r="D9472" s="15"/>
      <c r="E9472" s="16"/>
      <c r="F9472" s="19"/>
      <c r="G9472" s="20"/>
      <c r="H9472" s="19"/>
    </row>
    <row r="9473">
      <c r="A9473" s="9"/>
      <c r="B9473" s="15"/>
      <c r="C9473" s="9"/>
      <c r="D9473" s="15"/>
      <c r="E9473" s="16"/>
      <c r="F9473" s="19"/>
      <c r="G9473" s="20"/>
      <c r="H9473" s="19"/>
    </row>
    <row r="9474">
      <c r="A9474" s="9"/>
      <c r="B9474" s="15"/>
      <c r="C9474" s="9"/>
      <c r="D9474" s="15"/>
      <c r="E9474" s="16"/>
      <c r="F9474" s="19"/>
      <c r="G9474" s="20"/>
      <c r="H9474" s="19"/>
    </row>
    <row r="9475">
      <c r="A9475" s="9"/>
      <c r="B9475" s="15"/>
      <c r="C9475" s="9"/>
      <c r="D9475" s="15"/>
      <c r="E9475" s="16"/>
      <c r="F9475" s="19"/>
      <c r="G9475" s="20"/>
      <c r="H9475" s="19"/>
    </row>
    <row r="9476">
      <c r="A9476" s="9"/>
      <c r="B9476" s="15"/>
      <c r="C9476" s="9"/>
      <c r="D9476" s="15"/>
      <c r="E9476" s="16"/>
      <c r="F9476" s="19"/>
      <c r="G9476" s="20"/>
      <c r="H9476" s="19"/>
    </row>
    <row r="9477">
      <c r="A9477" s="9"/>
      <c r="B9477" s="15"/>
      <c r="C9477" s="9"/>
      <c r="D9477" s="15"/>
      <c r="E9477" s="16"/>
      <c r="F9477" s="19"/>
      <c r="G9477" s="20"/>
      <c r="H9477" s="19"/>
    </row>
    <row r="9478">
      <c r="A9478" s="9"/>
      <c r="B9478" s="15"/>
      <c r="C9478" s="9"/>
      <c r="D9478" s="15"/>
      <c r="E9478" s="16"/>
      <c r="F9478" s="19"/>
      <c r="G9478" s="20"/>
      <c r="H9478" s="19"/>
    </row>
    <row r="9479">
      <c r="A9479" s="9"/>
      <c r="B9479" s="15"/>
      <c r="C9479" s="9"/>
      <c r="D9479" s="15"/>
      <c r="E9479" s="16"/>
      <c r="F9479" s="19"/>
      <c r="G9479" s="20"/>
      <c r="H9479" s="19"/>
    </row>
    <row r="9480">
      <c r="A9480" s="9"/>
      <c r="B9480" s="15"/>
      <c r="C9480" s="9"/>
      <c r="D9480" s="15"/>
      <c r="E9480" s="16"/>
      <c r="F9480" s="19"/>
      <c r="G9480" s="20"/>
      <c r="H9480" s="19"/>
    </row>
    <row r="9481">
      <c r="A9481" s="9"/>
      <c r="B9481" s="15"/>
      <c r="C9481" s="9"/>
      <c r="D9481" s="15"/>
      <c r="E9481" s="16"/>
      <c r="F9481" s="19"/>
      <c r="G9481" s="20"/>
      <c r="H9481" s="19"/>
    </row>
    <row r="9482">
      <c r="A9482" s="9"/>
      <c r="B9482" s="15"/>
      <c r="C9482" s="9"/>
      <c r="D9482" s="15"/>
      <c r="E9482" s="16"/>
      <c r="F9482" s="19"/>
      <c r="G9482" s="20"/>
      <c r="H9482" s="19"/>
    </row>
    <row r="9483">
      <c r="A9483" s="9"/>
      <c r="B9483" s="15"/>
      <c r="C9483" s="9"/>
      <c r="D9483" s="15"/>
      <c r="E9483" s="16"/>
      <c r="F9483" s="19"/>
      <c r="G9483" s="20"/>
      <c r="H9483" s="19"/>
    </row>
    <row r="9484">
      <c r="A9484" s="9"/>
      <c r="B9484" s="15"/>
      <c r="C9484" s="9"/>
      <c r="D9484" s="15"/>
      <c r="E9484" s="16"/>
      <c r="F9484" s="19"/>
      <c r="G9484" s="20"/>
      <c r="H9484" s="19"/>
    </row>
    <row r="9485">
      <c r="A9485" s="9"/>
      <c r="B9485" s="15"/>
      <c r="C9485" s="9"/>
      <c r="D9485" s="15"/>
      <c r="E9485" s="16"/>
      <c r="F9485" s="19"/>
      <c r="G9485" s="20"/>
      <c r="H9485" s="19"/>
    </row>
    <row r="9486">
      <c r="A9486" s="9"/>
      <c r="B9486" s="15"/>
      <c r="C9486" s="9"/>
      <c r="D9486" s="15"/>
      <c r="E9486" s="16"/>
      <c r="F9486" s="19"/>
      <c r="G9486" s="20"/>
      <c r="H9486" s="19"/>
    </row>
    <row r="9487">
      <c r="A9487" s="9"/>
      <c r="B9487" s="15"/>
      <c r="C9487" s="9"/>
      <c r="D9487" s="15"/>
      <c r="E9487" s="16"/>
      <c r="F9487" s="19"/>
      <c r="G9487" s="20"/>
      <c r="H9487" s="19"/>
    </row>
    <row r="9488">
      <c r="A9488" s="9"/>
      <c r="B9488" s="15"/>
      <c r="C9488" s="9"/>
      <c r="D9488" s="15"/>
      <c r="E9488" s="16"/>
      <c r="F9488" s="19"/>
      <c r="G9488" s="20"/>
      <c r="H9488" s="19"/>
    </row>
    <row r="9489">
      <c r="A9489" s="9"/>
      <c r="B9489" s="15"/>
      <c r="C9489" s="9"/>
      <c r="D9489" s="15"/>
      <c r="E9489" s="16"/>
      <c r="F9489" s="19"/>
      <c r="G9489" s="20"/>
      <c r="H9489" s="19"/>
    </row>
    <row r="9490">
      <c r="A9490" s="9"/>
      <c r="B9490" s="15"/>
      <c r="C9490" s="9"/>
      <c r="D9490" s="15"/>
      <c r="E9490" s="16"/>
      <c r="F9490" s="19"/>
      <c r="G9490" s="20"/>
      <c r="H9490" s="19"/>
    </row>
    <row r="9491">
      <c r="A9491" s="9"/>
      <c r="B9491" s="15"/>
      <c r="C9491" s="9"/>
      <c r="D9491" s="15"/>
      <c r="E9491" s="16"/>
      <c r="F9491" s="19"/>
      <c r="G9491" s="20"/>
      <c r="H9491" s="19"/>
    </row>
    <row r="9492">
      <c r="A9492" s="9"/>
      <c r="B9492" s="15"/>
      <c r="C9492" s="9"/>
      <c r="D9492" s="15"/>
      <c r="E9492" s="16"/>
      <c r="F9492" s="19"/>
      <c r="G9492" s="20"/>
      <c r="H9492" s="19"/>
    </row>
    <row r="9493">
      <c r="A9493" s="9"/>
      <c r="B9493" s="15"/>
      <c r="C9493" s="9"/>
      <c r="D9493" s="15"/>
      <c r="E9493" s="16"/>
      <c r="F9493" s="19"/>
      <c r="G9493" s="20"/>
      <c r="H9493" s="19"/>
    </row>
    <row r="9494">
      <c r="A9494" s="9"/>
      <c r="B9494" s="15"/>
      <c r="C9494" s="9"/>
      <c r="D9494" s="15"/>
      <c r="E9494" s="16"/>
      <c r="F9494" s="19"/>
      <c r="G9494" s="20"/>
      <c r="H9494" s="19"/>
    </row>
    <row r="9495">
      <c r="A9495" s="9"/>
      <c r="B9495" s="15"/>
      <c r="C9495" s="9"/>
      <c r="D9495" s="15"/>
      <c r="E9495" s="16"/>
      <c r="F9495" s="19"/>
      <c r="G9495" s="20"/>
      <c r="H9495" s="19"/>
    </row>
    <row r="9496">
      <c r="A9496" s="9"/>
      <c r="B9496" s="15"/>
      <c r="C9496" s="9"/>
      <c r="D9496" s="15"/>
      <c r="E9496" s="16"/>
      <c r="F9496" s="19"/>
      <c r="G9496" s="20"/>
      <c r="H9496" s="19"/>
    </row>
    <row r="9497">
      <c r="A9497" s="9"/>
      <c r="B9497" s="15"/>
      <c r="C9497" s="9"/>
      <c r="D9497" s="15"/>
      <c r="E9497" s="16"/>
      <c r="F9497" s="19"/>
      <c r="G9497" s="20"/>
      <c r="H9497" s="19"/>
    </row>
    <row r="9498">
      <c r="A9498" s="9"/>
      <c r="B9498" s="15"/>
      <c r="C9498" s="9"/>
      <c r="D9498" s="15"/>
      <c r="E9498" s="16"/>
      <c r="F9498" s="19"/>
      <c r="G9498" s="20"/>
      <c r="H9498" s="19"/>
    </row>
    <row r="9499">
      <c r="A9499" s="9"/>
      <c r="B9499" s="15"/>
      <c r="C9499" s="9"/>
      <c r="D9499" s="15"/>
      <c r="E9499" s="16"/>
      <c r="F9499" s="19"/>
      <c r="G9499" s="20"/>
      <c r="H9499" s="19"/>
    </row>
    <row r="9500">
      <c r="A9500" s="9"/>
      <c r="B9500" s="15"/>
      <c r="C9500" s="9"/>
      <c r="D9500" s="15"/>
      <c r="E9500" s="16"/>
      <c r="F9500" s="19"/>
      <c r="G9500" s="20"/>
      <c r="H9500" s="19"/>
    </row>
    <row r="9501">
      <c r="A9501" s="9"/>
      <c r="B9501" s="15"/>
      <c r="C9501" s="9"/>
      <c r="D9501" s="15"/>
      <c r="E9501" s="16"/>
      <c r="F9501" s="19"/>
      <c r="G9501" s="20"/>
      <c r="H9501" s="19"/>
    </row>
    <row r="9502">
      <c r="A9502" s="9"/>
      <c r="B9502" s="15"/>
      <c r="C9502" s="9"/>
      <c r="D9502" s="15"/>
      <c r="E9502" s="16"/>
      <c r="F9502" s="19"/>
      <c r="G9502" s="20"/>
      <c r="H9502" s="19"/>
    </row>
    <row r="9503">
      <c r="A9503" s="9"/>
      <c r="B9503" s="15"/>
      <c r="C9503" s="9"/>
      <c r="D9503" s="15"/>
      <c r="E9503" s="16"/>
      <c r="F9503" s="19"/>
      <c r="G9503" s="20"/>
      <c r="H9503" s="19"/>
    </row>
    <row r="9504">
      <c r="A9504" s="9"/>
      <c r="B9504" s="15"/>
      <c r="C9504" s="9"/>
      <c r="D9504" s="15"/>
      <c r="E9504" s="16"/>
      <c r="F9504" s="19"/>
      <c r="G9504" s="20"/>
      <c r="H9504" s="19"/>
    </row>
    <row r="9505">
      <c r="A9505" s="9"/>
      <c r="B9505" s="15"/>
      <c r="C9505" s="9"/>
      <c r="D9505" s="15"/>
      <c r="E9505" s="16"/>
      <c r="F9505" s="19"/>
      <c r="G9505" s="20"/>
      <c r="H9505" s="19"/>
    </row>
    <row r="9506">
      <c r="A9506" s="9"/>
      <c r="B9506" s="15"/>
      <c r="C9506" s="9"/>
      <c r="D9506" s="15"/>
      <c r="E9506" s="16"/>
      <c r="F9506" s="19"/>
      <c r="G9506" s="20"/>
      <c r="H9506" s="19"/>
    </row>
    <row r="9507">
      <c r="A9507" s="9"/>
      <c r="B9507" s="15"/>
      <c r="C9507" s="9"/>
      <c r="D9507" s="15"/>
      <c r="E9507" s="16"/>
      <c r="F9507" s="19"/>
      <c r="G9507" s="20"/>
      <c r="H9507" s="19"/>
    </row>
    <row r="9508">
      <c r="A9508" s="9"/>
      <c r="B9508" s="15"/>
      <c r="C9508" s="9"/>
      <c r="D9508" s="15"/>
      <c r="E9508" s="16"/>
      <c r="F9508" s="19"/>
      <c r="G9508" s="20"/>
      <c r="H9508" s="19"/>
    </row>
    <row r="9509">
      <c r="A9509" s="9"/>
      <c r="B9509" s="15"/>
      <c r="C9509" s="9"/>
      <c r="D9509" s="15"/>
      <c r="E9509" s="16"/>
      <c r="F9509" s="19"/>
      <c r="G9509" s="20"/>
      <c r="H9509" s="19"/>
    </row>
    <row r="9510">
      <c r="A9510" s="9"/>
      <c r="B9510" s="15"/>
      <c r="C9510" s="9"/>
      <c r="D9510" s="15"/>
      <c r="E9510" s="16"/>
      <c r="F9510" s="19"/>
      <c r="G9510" s="20"/>
      <c r="H9510" s="19"/>
    </row>
    <row r="9511">
      <c r="A9511" s="9"/>
      <c r="B9511" s="15"/>
      <c r="C9511" s="9"/>
      <c r="D9511" s="15"/>
      <c r="E9511" s="16"/>
      <c r="F9511" s="19"/>
      <c r="G9511" s="20"/>
      <c r="H9511" s="19"/>
    </row>
    <row r="9512">
      <c r="A9512" s="9"/>
      <c r="B9512" s="15"/>
      <c r="C9512" s="9"/>
      <c r="D9512" s="15"/>
      <c r="E9512" s="16"/>
      <c r="F9512" s="19"/>
      <c r="G9512" s="20"/>
      <c r="H9512" s="19"/>
    </row>
    <row r="9513">
      <c r="A9513" s="9"/>
      <c r="B9513" s="15"/>
      <c r="C9513" s="9"/>
      <c r="D9513" s="15"/>
      <c r="E9513" s="16"/>
      <c r="F9513" s="19"/>
      <c r="G9513" s="20"/>
      <c r="H9513" s="19"/>
    </row>
    <row r="9514">
      <c r="A9514" s="9"/>
      <c r="B9514" s="15"/>
      <c r="C9514" s="9"/>
      <c r="D9514" s="15"/>
      <c r="E9514" s="16"/>
      <c r="F9514" s="19"/>
      <c r="G9514" s="20"/>
      <c r="H9514" s="19"/>
    </row>
    <row r="9515">
      <c r="A9515" s="9"/>
      <c r="B9515" s="15"/>
      <c r="C9515" s="9"/>
      <c r="D9515" s="15"/>
      <c r="E9515" s="16"/>
      <c r="F9515" s="19"/>
      <c r="G9515" s="20"/>
      <c r="H9515" s="19"/>
    </row>
    <row r="9516">
      <c r="A9516" s="9"/>
      <c r="B9516" s="15"/>
      <c r="C9516" s="9"/>
      <c r="D9516" s="15"/>
      <c r="E9516" s="16"/>
      <c r="F9516" s="19"/>
      <c r="G9516" s="20"/>
      <c r="H9516" s="19"/>
    </row>
    <row r="9517">
      <c r="A9517" s="9"/>
      <c r="B9517" s="15"/>
      <c r="C9517" s="9"/>
      <c r="D9517" s="15"/>
      <c r="E9517" s="16"/>
      <c r="F9517" s="19"/>
      <c r="G9517" s="20"/>
      <c r="H9517" s="19"/>
    </row>
    <row r="9518">
      <c r="A9518" s="9"/>
      <c r="B9518" s="15"/>
      <c r="C9518" s="9"/>
      <c r="D9518" s="15"/>
      <c r="E9518" s="16"/>
      <c r="F9518" s="19"/>
      <c r="G9518" s="20"/>
      <c r="H9518" s="19"/>
    </row>
    <row r="9519">
      <c r="A9519" s="9"/>
      <c r="B9519" s="15"/>
      <c r="C9519" s="9"/>
      <c r="D9519" s="15"/>
      <c r="E9519" s="16"/>
      <c r="F9519" s="19"/>
      <c r="G9519" s="20"/>
      <c r="H9519" s="19"/>
    </row>
    <row r="9520">
      <c r="A9520" s="9"/>
      <c r="B9520" s="15"/>
      <c r="C9520" s="9"/>
      <c r="D9520" s="15"/>
      <c r="E9520" s="16"/>
      <c r="F9520" s="19"/>
      <c r="G9520" s="20"/>
      <c r="H9520" s="19"/>
    </row>
    <row r="9521">
      <c r="A9521" s="9"/>
      <c r="B9521" s="15"/>
      <c r="C9521" s="9"/>
      <c r="D9521" s="15"/>
      <c r="E9521" s="16"/>
      <c r="F9521" s="19"/>
      <c r="G9521" s="20"/>
      <c r="H9521" s="19"/>
    </row>
    <row r="9522">
      <c r="A9522" s="9"/>
      <c r="B9522" s="15"/>
      <c r="C9522" s="9"/>
      <c r="D9522" s="15"/>
      <c r="E9522" s="16"/>
      <c r="F9522" s="19"/>
      <c r="G9522" s="20"/>
      <c r="H9522" s="19"/>
    </row>
    <row r="9523">
      <c r="A9523" s="9"/>
      <c r="B9523" s="15"/>
      <c r="C9523" s="9"/>
      <c r="D9523" s="15"/>
      <c r="E9523" s="16"/>
      <c r="F9523" s="19"/>
      <c r="G9523" s="20"/>
      <c r="H9523" s="19"/>
    </row>
    <row r="9524">
      <c r="A9524" s="9"/>
      <c r="B9524" s="15"/>
      <c r="C9524" s="9"/>
      <c r="D9524" s="15"/>
      <c r="E9524" s="16"/>
      <c r="F9524" s="19"/>
      <c r="G9524" s="20"/>
      <c r="H9524" s="19"/>
    </row>
    <row r="9525">
      <c r="A9525" s="9"/>
      <c r="B9525" s="15"/>
      <c r="C9525" s="9"/>
      <c r="D9525" s="15"/>
      <c r="E9525" s="16"/>
      <c r="F9525" s="19"/>
      <c r="G9525" s="20"/>
      <c r="H9525" s="19"/>
    </row>
    <row r="9526">
      <c r="A9526" s="9"/>
      <c r="B9526" s="15"/>
      <c r="C9526" s="9"/>
      <c r="D9526" s="15"/>
      <c r="E9526" s="16"/>
      <c r="F9526" s="19"/>
      <c r="G9526" s="20"/>
      <c r="H9526" s="19"/>
    </row>
    <row r="9527">
      <c r="A9527" s="9"/>
      <c r="B9527" s="15"/>
      <c r="C9527" s="9"/>
      <c r="D9527" s="15"/>
      <c r="E9527" s="16"/>
      <c r="F9527" s="19"/>
      <c r="G9527" s="20"/>
      <c r="H9527" s="19"/>
    </row>
    <row r="9528">
      <c r="A9528" s="9"/>
      <c r="B9528" s="15"/>
      <c r="C9528" s="9"/>
      <c r="D9528" s="15"/>
      <c r="E9528" s="16"/>
      <c r="F9528" s="19"/>
      <c r="G9528" s="20"/>
      <c r="H9528" s="19"/>
    </row>
    <row r="9529">
      <c r="A9529" s="9"/>
      <c r="B9529" s="15"/>
      <c r="C9529" s="9"/>
      <c r="D9529" s="15"/>
      <c r="E9529" s="16"/>
      <c r="F9529" s="19"/>
      <c r="G9529" s="20"/>
      <c r="H9529" s="19"/>
    </row>
    <row r="9530">
      <c r="A9530" s="9"/>
      <c r="B9530" s="15"/>
      <c r="C9530" s="9"/>
      <c r="D9530" s="15"/>
      <c r="E9530" s="16"/>
      <c r="F9530" s="19"/>
      <c r="G9530" s="20"/>
      <c r="H9530" s="19"/>
    </row>
    <row r="9531">
      <c r="A9531" s="9"/>
      <c r="B9531" s="15"/>
      <c r="C9531" s="9"/>
      <c r="D9531" s="15"/>
      <c r="E9531" s="16"/>
      <c r="F9531" s="19"/>
      <c r="G9531" s="20"/>
      <c r="H9531" s="19"/>
    </row>
    <row r="9532">
      <c r="A9532" s="9"/>
      <c r="B9532" s="15"/>
      <c r="C9532" s="9"/>
      <c r="D9532" s="15"/>
      <c r="E9532" s="16"/>
      <c r="F9532" s="19"/>
      <c r="G9532" s="20"/>
      <c r="H9532" s="19"/>
    </row>
    <row r="9533">
      <c r="A9533" s="9"/>
      <c r="B9533" s="15"/>
      <c r="C9533" s="9"/>
      <c r="D9533" s="15"/>
      <c r="E9533" s="16"/>
      <c r="F9533" s="19"/>
      <c r="G9533" s="20"/>
      <c r="H9533" s="19"/>
    </row>
    <row r="9534">
      <c r="A9534" s="9"/>
      <c r="B9534" s="15"/>
      <c r="C9534" s="9"/>
      <c r="D9534" s="15"/>
      <c r="E9534" s="16"/>
      <c r="F9534" s="19"/>
      <c r="G9534" s="20"/>
      <c r="H9534" s="19"/>
    </row>
    <row r="9535">
      <c r="A9535" s="9"/>
      <c r="B9535" s="15"/>
      <c r="C9535" s="9"/>
      <c r="D9535" s="15"/>
      <c r="E9535" s="16"/>
      <c r="F9535" s="19"/>
      <c r="G9535" s="20"/>
      <c r="H9535" s="19"/>
    </row>
    <row r="9536">
      <c r="A9536" s="9"/>
      <c r="B9536" s="15"/>
      <c r="C9536" s="9"/>
      <c r="D9536" s="15"/>
      <c r="E9536" s="16"/>
      <c r="F9536" s="19"/>
      <c r="G9536" s="20"/>
      <c r="H9536" s="19"/>
    </row>
    <row r="9537">
      <c r="A9537" s="9"/>
      <c r="B9537" s="15"/>
      <c r="C9537" s="9"/>
      <c r="D9537" s="15"/>
      <c r="E9537" s="16"/>
      <c r="F9537" s="19"/>
      <c r="G9537" s="20"/>
      <c r="H9537" s="19"/>
    </row>
    <row r="9538">
      <c r="A9538" s="9"/>
      <c r="B9538" s="15"/>
      <c r="C9538" s="9"/>
      <c r="D9538" s="15"/>
      <c r="E9538" s="16"/>
      <c r="F9538" s="19"/>
      <c r="G9538" s="20"/>
      <c r="H9538" s="19"/>
    </row>
    <row r="9539">
      <c r="A9539" s="9"/>
      <c r="B9539" s="15"/>
      <c r="C9539" s="9"/>
      <c r="D9539" s="15"/>
      <c r="E9539" s="16"/>
      <c r="F9539" s="19"/>
      <c r="G9539" s="20"/>
      <c r="H9539" s="19"/>
    </row>
    <row r="9540">
      <c r="A9540" s="9"/>
      <c r="B9540" s="15"/>
      <c r="C9540" s="9"/>
      <c r="D9540" s="15"/>
      <c r="E9540" s="16"/>
      <c r="F9540" s="19"/>
      <c r="G9540" s="20"/>
      <c r="H9540" s="19"/>
    </row>
    <row r="9541">
      <c r="A9541" s="9"/>
      <c r="B9541" s="15"/>
      <c r="C9541" s="9"/>
      <c r="D9541" s="15"/>
      <c r="E9541" s="16"/>
      <c r="F9541" s="19"/>
      <c r="G9541" s="20"/>
      <c r="H9541" s="19"/>
    </row>
    <row r="9542">
      <c r="A9542" s="9"/>
      <c r="B9542" s="15"/>
      <c r="C9542" s="9"/>
      <c r="D9542" s="15"/>
      <c r="E9542" s="16"/>
      <c r="F9542" s="19"/>
      <c r="G9542" s="20"/>
      <c r="H9542" s="19"/>
    </row>
    <row r="9543">
      <c r="A9543" s="9"/>
      <c r="B9543" s="15"/>
      <c r="C9543" s="9"/>
      <c r="D9543" s="15"/>
      <c r="E9543" s="16"/>
      <c r="F9543" s="19"/>
      <c r="G9543" s="20"/>
      <c r="H9543" s="19"/>
    </row>
    <row r="9544">
      <c r="A9544" s="9"/>
      <c r="B9544" s="15"/>
      <c r="C9544" s="9"/>
      <c r="D9544" s="15"/>
      <c r="E9544" s="16"/>
      <c r="F9544" s="19"/>
      <c r="G9544" s="20"/>
      <c r="H9544" s="19"/>
    </row>
    <row r="9545">
      <c r="A9545" s="9"/>
      <c r="B9545" s="15"/>
      <c r="C9545" s="9"/>
      <c r="D9545" s="15"/>
      <c r="E9545" s="16"/>
      <c r="F9545" s="19"/>
      <c r="G9545" s="20"/>
      <c r="H9545" s="19"/>
    </row>
    <row r="9546">
      <c r="A9546" s="9"/>
      <c r="B9546" s="15"/>
      <c r="C9546" s="9"/>
      <c r="D9546" s="15"/>
      <c r="E9546" s="16"/>
      <c r="F9546" s="19"/>
      <c r="G9546" s="20"/>
      <c r="H9546" s="19"/>
    </row>
    <row r="9547">
      <c r="A9547" s="9"/>
      <c r="B9547" s="15"/>
      <c r="C9547" s="9"/>
      <c r="D9547" s="15"/>
      <c r="E9547" s="16"/>
      <c r="F9547" s="19"/>
      <c r="G9547" s="20"/>
      <c r="H9547" s="19"/>
    </row>
    <row r="9548">
      <c r="A9548" s="9"/>
      <c r="B9548" s="15"/>
      <c r="C9548" s="9"/>
      <c r="D9548" s="15"/>
      <c r="E9548" s="16"/>
      <c r="F9548" s="19"/>
      <c r="G9548" s="20"/>
      <c r="H9548" s="19"/>
    </row>
    <row r="9549">
      <c r="A9549" s="9"/>
      <c r="B9549" s="15"/>
      <c r="C9549" s="9"/>
      <c r="D9549" s="15"/>
      <c r="E9549" s="16"/>
      <c r="F9549" s="19"/>
      <c r="G9549" s="20"/>
      <c r="H9549" s="19"/>
    </row>
    <row r="9550">
      <c r="A9550" s="9"/>
      <c r="B9550" s="15"/>
      <c r="C9550" s="9"/>
      <c r="D9550" s="15"/>
      <c r="E9550" s="16"/>
      <c r="F9550" s="19"/>
      <c r="G9550" s="20"/>
      <c r="H9550" s="19"/>
    </row>
    <row r="9551">
      <c r="A9551" s="9"/>
      <c r="B9551" s="15"/>
      <c r="C9551" s="9"/>
      <c r="D9551" s="15"/>
      <c r="E9551" s="16"/>
      <c r="F9551" s="19"/>
      <c r="G9551" s="20"/>
      <c r="H9551" s="19"/>
    </row>
    <row r="9552">
      <c r="A9552" s="9"/>
      <c r="B9552" s="15"/>
      <c r="C9552" s="9"/>
      <c r="D9552" s="15"/>
      <c r="E9552" s="16"/>
      <c r="F9552" s="19"/>
      <c r="G9552" s="20"/>
      <c r="H9552" s="19"/>
    </row>
    <row r="9553">
      <c r="A9553" s="9"/>
      <c r="B9553" s="15"/>
      <c r="C9553" s="9"/>
      <c r="D9553" s="15"/>
      <c r="E9553" s="16"/>
      <c r="F9553" s="19"/>
      <c r="G9553" s="20"/>
      <c r="H9553" s="19"/>
    </row>
    <row r="9554">
      <c r="A9554" s="9"/>
      <c r="B9554" s="15"/>
      <c r="C9554" s="9"/>
      <c r="D9554" s="15"/>
      <c r="E9554" s="16"/>
      <c r="F9554" s="19"/>
      <c r="G9554" s="20"/>
      <c r="H9554" s="19"/>
    </row>
    <row r="9555">
      <c r="A9555" s="9"/>
      <c r="B9555" s="15"/>
      <c r="C9555" s="9"/>
      <c r="D9555" s="15"/>
      <c r="E9555" s="16"/>
      <c r="F9555" s="19"/>
      <c r="G9555" s="20"/>
      <c r="H9555" s="19"/>
    </row>
    <row r="9556">
      <c r="A9556" s="9"/>
      <c r="B9556" s="15"/>
      <c r="C9556" s="9"/>
      <c r="D9556" s="15"/>
      <c r="E9556" s="16"/>
      <c r="F9556" s="19"/>
      <c r="G9556" s="20"/>
      <c r="H9556" s="19"/>
    </row>
    <row r="9557">
      <c r="A9557" s="9"/>
      <c r="B9557" s="15"/>
      <c r="C9557" s="9"/>
      <c r="D9557" s="15"/>
      <c r="E9557" s="16"/>
      <c r="F9557" s="19"/>
      <c r="G9557" s="20"/>
      <c r="H9557" s="19"/>
    </row>
    <row r="9558">
      <c r="A9558" s="9"/>
      <c r="B9558" s="15"/>
      <c r="C9558" s="9"/>
      <c r="D9558" s="15"/>
      <c r="E9558" s="16"/>
      <c r="F9558" s="19"/>
      <c r="G9558" s="20"/>
      <c r="H9558" s="19"/>
    </row>
    <row r="9559">
      <c r="A9559" s="9"/>
      <c r="B9559" s="15"/>
      <c r="C9559" s="9"/>
      <c r="D9559" s="15"/>
      <c r="E9559" s="16"/>
      <c r="F9559" s="19"/>
      <c r="G9559" s="20"/>
      <c r="H9559" s="19"/>
    </row>
    <row r="9560">
      <c r="A9560" s="9"/>
      <c r="B9560" s="15"/>
      <c r="C9560" s="9"/>
      <c r="D9560" s="15"/>
      <c r="E9560" s="16"/>
      <c r="F9560" s="19"/>
      <c r="G9560" s="20"/>
      <c r="H9560" s="19"/>
    </row>
    <row r="9561">
      <c r="A9561" s="9"/>
      <c r="B9561" s="15"/>
      <c r="C9561" s="9"/>
      <c r="D9561" s="15"/>
      <c r="E9561" s="16"/>
      <c r="F9561" s="19"/>
      <c r="G9561" s="20"/>
      <c r="H9561" s="19"/>
    </row>
    <row r="9562">
      <c r="A9562" s="9"/>
      <c r="B9562" s="15"/>
      <c r="C9562" s="9"/>
      <c r="D9562" s="15"/>
      <c r="E9562" s="16"/>
      <c r="F9562" s="19"/>
      <c r="G9562" s="20"/>
      <c r="H9562" s="19"/>
    </row>
    <row r="9563">
      <c r="A9563" s="9"/>
      <c r="B9563" s="15"/>
      <c r="C9563" s="9"/>
      <c r="D9563" s="15"/>
      <c r="E9563" s="16"/>
      <c r="F9563" s="19"/>
      <c r="G9563" s="20"/>
      <c r="H9563" s="19"/>
    </row>
    <row r="9564">
      <c r="A9564" s="9"/>
      <c r="B9564" s="15"/>
      <c r="C9564" s="9"/>
      <c r="D9564" s="15"/>
      <c r="E9564" s="16"/>
      <c r="F9564" s="19"/>
      <c r="G9564" s="20"/>
      <c r="H9564" s="19"/>
    </row>
    <row r="9565">
      <c r="A9565" s="9"/>
      <c r="B9565" s="15"/>
      <c r="C9565" s="9"/>
      <c r="D9565" s="15"/>
      <c r="E9565" s="16"/>
      <c r="F9565" s="19"/>
      <c r="G9565" s="20"/>
      <c r="H9565" s="19"/>
    </row>
    <row r="9566">
      <c r="A9566" s="9"/>
      <c r="B9566" s="15"/>
      <c r="C9566" s="9"/>
      <c r="D9566" s="15"/>
      <c r="E9566" s="16"/>
      <c r="F9566" s="19"/>
      <c r="G9566" s="20"/>
      <c r="H9566" s="19"/>
    </row>
    <row r="9567">
      <c r="A9567" s="9"/>
      <c r="B9567" s="15"/>
      <c r="C9567" s="9"/>
      <c r="D9567" s="15"/>
      <c r="E9567" s="16"/>
      <c r="F9567" s="19"/>
      <c r="G9567" s="20"/>
      <c r="H9567" s="19"/>
    </row>
    <row r="9568">
      <c r="A9568" s="9"/>
      <c r="B9568" s="15"/>
      <c r="C9568" s="9"/>
      <c r="D9568" s="15"/>
      <c r="E9568" s="16"/>
      <c r="F9568" s="19"/>
      <c r="G9568" s="20"/>
      <c r="H9568" s="19"/>
    </row>
    <row r="9569">
      <c r="A9569" s="9"/>
      <c r="B9569" s="15"/>
      <c r="C9569" s="9"/>
      <c r="D9569" s="15"/>
      <c r="E9569" s="16"/>
      <c r="F9569" s="19"/>
      <c r="G9569" s="20"/>
      <c r="H9569" s="19"/>
    </row>
    <row r="9570">
      <c r="A9570" s="9"/>
      <c r="B9570" s="15"/>
      <c r="C9570" s="9"/>
      <c r="D9570" s="15"/>
      <c r="E9570" s="16"/>
      <c r="F9570" s="19"/>
      <c r="G9570" s="20"/>
      <c r="H9570" s="19"/>
    </row>
    <row r="9571">
      <c r="A9571" s="9"/>
      <c r="B9571" s="15"/>
      <c r="C9571" s="9"/>
      <c r="D9571" s="15"/>
      <c r="E9571" s="16"/>
      <c r="F9571" s="19"/>
      <c r="G9571" s="20"/>
      <c r="H9571" s="19"/>
    </row>
    <row r="9572">
      <c r="A9572" s="9"/>
      <c r="B9572" s="15"/>
      <c r="C9572" s="9"/>
      <c r="D9572" s="15"/>
      <c r="E9572" s="16"/>
      <c r="F9572" s="19"/>
      <c r="G9572" s="20"/>
      <c r="H9572" s="19"/>
    </row>
    <row r="9573">
      <c r="A9573" s="9"/>
      <c r="B9573" s="15"/>
      <c r="C9573" s="9"/>
      <c r="D9573" s="15"/>
      <c r="E9573" s="16"/>
      <c r="F9573" s="19"/>
      <c r="G9573" s="20"/>
      <c r="H9573" s="19"/>
    </row>
    <row r="9574">
      <c r="A9574" s="9"/>
      <c r="B9574" s="15"/>
      <c r="C9574" s="9"/>
      <c r="D9574" s="15"/>
      <c r="E9574" s="16"/>
      <c r="F9574" s="19"/>
      <c r="G9574" s="20"/>
      <c r="H9574" s="19"/>
    </row>
    <row r="9575">
      <c r="A9575" s="9"/>
      <c r="B9575" s="15"/>
      <c r="C9575" s="9"/>
      <c r="D9575" s="15"/>
      <c r="E9575" s="16"/>
      <c r="F9575" s="19"/>
      <c r="G9575" s="20"/>
      <c r="H9575" s="19"/>
    </row>
    <row r="9576">
      <c r="A9576" s="9"/>
      <c r="B9576" s="15"/>
      <c r="C9576" s="9"/>
      <c r="D9576" s="15"/>
      <c r="E9576" s="16"/>
      <c r="F9576" s="19"/>
      <c r="G9576" s="20"/>
      <c r="H9576" s="19"/>
    </row>
    <row r="9577">
      <c r="A9577" s="9"/>
      <c r="B9577" s="15"/>
      <c r="C9577" s="9"/>
      <c r="D9577" s="15"/>
      <c r="E9577" s="16"/>
      <c r="F9577" s="19"/>
      <c r="G9577" s="20"/>
      <c r="H9577" s="19"/>
    </row>
    <row r="9578">
      <c r="A9578" s="9"/>
      <c r="B9578" s="15"/>
      <c r="C9578" s="9"/>
      <c r="D9578" s="15"/>
      <c r="E9578" s="16"/>
      <c r="F9578" s="19"/>
      <c r="G9578" s="20"/>
      <c r="H9578" s="19"/>
    </row>
    <row r="9579">
      <c r="A9579" s="9"/>
      <c r="B9579" s="15"/>
      <c r="C9579" s="9"/>
      <c r="D9579" s="15"/>
      <c r="E9579" s="16"/>
      <c r="F9579" s="19"/>
      <c r="G9579" s="20"/>
      <c r="H9579" s="19"/>
    </row>
    <row r="9580">
      <c r="A9580" s="9"/>
      <c r="B9580" s="15"/>
      <c r="C9580" s="9"/>
      <c r="D9580" s="15"/>
      <c r="E9580" s="16"/>
      <c r="F9580" s="19"/>
      <c r="G9580" s="20"/>
      <c r="H9580" s="19"/>
    </row>
    <row r="9581">
      <c r="A9581" s="9"/>
      <c r="B9581" s="15"/>
      <c r="C9581" s="9"/>
      <c r="D9581" s="15"/>
      <c r="E9581" s="16"/>
      <c r="F9581" s="19"/>
      <c r="G9581" s="20"/>
      <c r="H9581" s="19"/>
    </row>
    <row r="9582">
      <c r="A9582" s="9"/>
      <c r="B9582" s="15"/>
      <c r="C9582" s="9"/>
      <c r="D9582" s="15"/>
      <c r="E9582" s="16"/>
      <c r="F9582" s="19"/>
      <c r="G9582" s="20"/>
      <c r="H9582" s="19"/>
    </row>
    <row r="9583">
      <c r="A9583" s="9"/>
      <c r="B9583" s="15"/>
      <c r="C9583" s="9"/>
      <c r="D9583" s="15"/>
      <c r="E9583" s="16"/>
      <c r="F9583" s="19"/>
      <c r="G9583" s="20"/>
      <c r="H9583" s="19"/>
    </row>
    <row r="9584">
      <c r="A9584" s="9"/>
      <c r="B9584" s="15"/>
      <c r="C9584" s="9"/>
      <c r="D9584" s="15"/>
      <c r="E9584" s="16"/>
      <c r="F9584" s="19"/>
      <c r="G9584" s="20"/>
      <c r="H9584" s="19"/>
    </row>
    <row r="9585">
      <c r="A9585" s="9"/>
      <c r="B9585" s="15"/>
      <c r="C9585" s="9"/>
      <c r="D9585" s="15"/>
      <c r="E9585" s="16"/>
      <c r="F9585" s="19"/>
      <c r="G9585" s="20"/>
      <c r="H9585" s="19"/>
    </row>
    <row r="9586">
      <c r="A9586" s="9"/>
      <c r="B9586" s="15"/>
      <c r="C9586" s="9"/>
      <c r="D9586" s="15"/>
      <c r="E9586" s="16"/>
      <c r="F9586" s="19"/>
      <c r="G9586" s="20"/>
      <c r="H9586" s="19"/>
    </row>
    <row r="9587">
      <c r="A9587" s="9"/>
      <c r="B9587" s="15"/>
      <c r="C9587" s="9"/>
      <c r="D9587" s="15"/>
      <c r="E9587" s="16"/>
      <c r="F9587" s="19"/>
      <c r="G9587" s="20"/>
      <c r="H9587" s="19"/>
    </row>
    <row r="9588">
      <c r="A9588" s="9"/>
      <c r="B9588" s="15"/>
      <c r="C9588" s="9"/>
      <c r="D9588" s="15"/>
      <c r="E9588" s="16"/>
      <c r="F9588" s="19"/>
      <c r="G9588" s="20"/>
      <c r="H9588" s="19"/>
    </row>
    <row r="9589">
      <c r="A9589" s="9"/>
      <c r="B9589" s="15"/>
      <c r="C9589" s="9"/>
      <c r="D9589" s="15"/>
      <c r="E9589" s="16"/>
      <c r="F9589" s="19"/>
      <c r="G9589" s="20"/>
      <c r="H9589" s="19"/>
    </row>
    <row r="9590">
      <c r="A9590" s="9"/>
      <c r="B9590" s="15"/>
      <c r="C9590" s="9"/>
      <c r="D9590" s="15"/>
      <c r="E9590" s="16"/>
      <c r="F9590" s="19"/>
      <c r="G9590" s="20"/>
      <c r="H9590" s="19"/>
    </row>
    <row r="9591">
      <c r="A9591" s="9"/>
      <c r="B9591" s="15"/>
      <c r="C9591" s="9"/>
      <c r="D9591" s="15"/>
      <c r="E9591" s="16"/>
      <c r="F9591" s="19"/>
      <c r="G9591" s="20"/>
      <c r="H9591" s="19"/>
    </row>
    <row r="9592">
      <c r="A9592" s="9"/>
      <c r="B9592" s="15"/>
      <c r="C9592" s="9"/>
      <c r="D9592" s="15"/>
      <c r="E9592" s="16"/>
      <c r="F9592" s="19"/>
      <c r="G9592" s="20"/>
      <c r="H9592" s="19"/>
    </row>
    <row r="9593">
      <c r="A9593" s="9"/>
      <c r="B9593" s="15"/>
      <c r="C9593" s="9"/>
      <c r="D9593" s="15"/>
      <c r="E9593" s="16"/>
      <c r="F9593" s="19"/>
      <c r="G9593" s="20"/>
      <c r="H9593" s="19"/>
    </row>
    <row r="9594">
      <c r="A9594" s="9"/>
      <c r="B9594" s="15"/>
      <c r="C9594" s="9"/>
      <c r="D9594" s="15"/>
      <c r="E9594" s="16"/>
      <c r="F9594" s="19"/>
      <c r="G9594" s="20"/>
      <c r="H9594" s="19"/>
    </row>
    <row r="9595">
      <c r="A9595" s="9"/>
      <c r="B9595" s="15"/>
      <c r="C9595" s="9"/>
      <c r="D9595" s="15"/>
      <c r="E9595" s="16"/>
      <c r="F9595" s="19"/>
      <c r="G9595" s="20"/>
      <c r="H9595" s="19"/>
    </row>
    <row r="9596">
      <c r="A9596" s="9"/>
      <c r="B9596" s="15"/>
      <c r="C9596" s="9"/>
      <c r="D9596" s="15"/>
      <c r="E9596" s="16"/>
      <c r="F9596" s="19"/>
      <c r="G9596" s="20"/>
      <c r="H9596" s="19"/>
    </row>
    <row r="9597">
      <c r="A9597" s="9"/>
      <c r="B9597" s="15"/>
      <c r="C9597" s="9"/>
      <c r="D9597" s="15"/>
      <c r="E9597" s="16"/>
      <c r="F9597" s="19"/>
      <c r="G9597" s="20"/>
      <c r="H9597" s="19"/>
    </row>
    <row r="9598">
      <c r="A9598" s="9"/>
      <c r="B9598" s="15"/>
      <c r="C9598" s="9"/>
      <c r="D9598" s="15"/>
      <c r="E9598" s="16"/>
      <c r="F9598" s="19"/>
      <c r="G9598" s="20"/>
      <c r="H9598" s="19"/>
    </row>
    <row r="9599">
      <c r="A9599" s="9"/>
      <c r="B9599" s="15"/>
      <c r="C9599" s="9"/>
      <c r="D9599" s="15"/>
      <c r="E9599" s="16"/>
      <c r="F9599" s="19"/>
      <c r="G9599" s="20"/>
      <c r="H9599" s="19"/>
    </row>
    <row r="9600">
      <c r="A9600" s="9"/>
      <c r="B9600" s="15"/>
      <c r="C9600" s="9"/>
      <c r="D9600" s="15"/>
      <c r="E9600" s="16"/>
      <c r="F9600" s="19"/>
      <c r="G9600" s="20"/>
      <c r="H9600" s="19"/>
    </row>
    <row r="9601">
      <c r="A9601" s="9"/>
      <c r="B9601" s="15"/>
      <c r="C9601" s="9"/>
      <c r="D9601" s="15"/>
      <c r="E9601" s="16"/>
      <c r="F9601" s="19"/>
      <c r="G9601" s="20"/>
      <c r="H9601" s="19"/>
    </row>
    <row r="9602">
      <c r="A9602" s="9"/>
      <c r="B9602" s="15"/>
      <c r="C9602" s="9"/>
      <c r="D9602" s="15"/>
      <c r="E9602" s="16"/>
      <c r="F9602" s="19"/>
      <c r="G9602" s="20"/>
      <c r="H9602" s="19"/>
    </row>
    <row r="9603">
      <c r="A9603" s="9"/>
      <c r="B9603" s="15"/>
      <c r="C9603" s="9"/>
      <c r="D9603" s="15"/>
      <c r="E9603" s="16"/>
      <c r="F9603" s="19"/>
      <c r="G9603" s="20"/>
      <c r="H9603" s="19"/>
    </row>
    <row r="9604">
      <c r="A9604" s="9"/>
      <c r="B9604" s="15"/>
      <c r="C9604" s="9"/>
      <c r="D9604" s="15"/>
      <c r="E9604" s="16"/>
      <c r="F9604" s="19"/>
      <c r="G9604" s="20"/>
      <c r="H9604" s="19"/>
    </row>
    <row r="9605">
      <c r="A9605" s="9"/>
      <c r="B9605" s="15"/>
      <c r="C9605" s="9"/>
      <c r="D9605" s="15"/>
      <c r="E9605" s="16"/>
      <c r="F9605" s="19"/>
      <c r="G9605" s="20"/>
      <c r="H9605" s="19"/>
    </row>
    <row r="9606">
      <c r="A9606" s="9"/>
      <c r="B9606" s="15"/>
      <c r="C9606" s="9"/>
      <c r="D9606" s="15"/>
      <c r="E9606" s="16"/>
      <c r="F9606" s="19"/>
      <c r="G9606" s="20"/>
      <c r="H9606" s="19"/>
    </row>
    <row r="9607">
      <c r="A9607" s="9"/>
      <c r="B9607" s="15"/>
      <c r="C9607" s="9"/>
      <c r="D9607" s="15"/>
      <c r="E9607" s="16"/>
      <c r="F9607" s="19"/>
      <c r="G9607" s="20"/>
      <c r="H9607" s="19"/>
    </row>
    <row r="9608">
      <c r="A9608" s="9"/>
      <c r="B9608" s="15"/>
      <c r="C9608" s="9"/>
      <c r="D9608" s="15"/>
      <c r="E9608" s="16"/>
      <c r="F9608" s="19"/>
      <c r="G9608" s="20"/>
      <c r="H9608" s="19"/>
    </row>
    <row r="9609">
      <c r="A9609" s="9"/>
      <c r="B9609" s="15"/>
      <c r="C9609" s="9"/>
      <c r="D9609" s="15"/>
      <c r="E9609" s="16"/>
      <c r="F9609" s="19"/>
      <c r="G9609" s="20"/>
      <c r="H9609" s="19"/>
    </row>
    <row r="9610">
      <c r="A9610" s="9"/>
      <c r="B9610" s="15"/>
      <c r="C9610" s="9"/>
      <c r="D9610" s="15"/>
      <c r="E9610" s="16"/>
      <c r="F9610" s="19"/>
      <c r="G9610" s="20"/>
      <c r="H9610" s="19"/>
    </row>
    <row r="9611">
      <c r="A9611" s="9"/>
      <c r="B9611" s="15"/>
      <c r="C9611" s="9"/>
      <c r="D9611" s="15"/>
      <c r="E9611" s="16"/>
      <c r="F9611" s="19"/>
      <c r="G9611" s="20"/>
      <c r="H9611" s="19"/>
    </row>
    <row r="9612">
      <c r="A9612" s="9"/>
      <c r="B9612" s="15"/>
      <c r="C9612" s="9"/>
      <c r="D9612" s="15"/>
      <c r="E9612" s="16"/>
      <c r="F9612" s="19"/>
      <c r="G9612" s="20"/>
      <c r="H9612" s="19"/>
    </row>
    <row r="9613">
      <c r="A9613" s="9"/>
      <c r="B9613" s="15"/>
      <c r="C9613" s="9"/>
      <c r="D9613" s="15"/>
      <c r="E9613" s="16"/>
      <c r="F9613" s="19"/>
      <c r="G9613" s="20"/>
      <c r="H9613" s="19"/>
    </row>
    <row r="9614">
      <c r="A9614" s="9"/>
      <c r="B9614" s="15"/>
      <c r="C9614" s="9"/>
      <c r="D9614" s="15"/>
      <c r="E9614" s="16"/>
      <c r="F9614" s="19"/>
      <c r="G9614" s="20"/>
      <c r="H9614" s="19"/>
    </row>
    <row r="9615">
      <c r="A9615" s="9"/>
      <c r="B9615" s="15"/>
      <c r="C9615" s="9"/>
      <c r="D9615" s="15"/>
      <c r="E9615" s="16"/>
      <c r="F9615" s="19"/>
      <c r="G9615" s="20"/>
      <c r="H9615" s="19"/>
    </row>
    <row r="9616">
      <c r="A9616" s="9"/>
      <c r="B9616" s="15"/>
      <c r="C9616" s="9"/>
      <c r="D9616" s="15"/>
      <c r="E9616" s="16"/>
      <c r="F9616" s="19"/>
      <c r="G9616" s="20"/>
      <c r="H9616" s="19"/>
    </row>
    <row r="9617">
      <c r="A9617" s="9"/>
      <c r="B9617" s="15"/>
      <c r="C9617" s="9"/>
      <c r="D9617" s="15"/>
      <c r="E9617" s="16"/>
      <c r="F9617" s="19"/>
      <c r="G9617" s="20"/>
      <c r="H9617" s="19"/>
    </row>
    <row r="9618">
      <c r="A9618" s="9"/>
      <c r="B9618" s="15"/>
      <c r="C9618" s="9"/>
      <c r="D9618" s="15"/>
      <c r="E9618" s="16"/>
      <c r="F9618" s="19"/>
      <c r="G9618" s="20"/>
      <c r="H9618" s="19"/>
    </row>
    <row r="9619">
      <c r="A9619" s="9"/>
      <c r="B9619" s="15"/>
      <c r="C9619" s="9"/>
      <c r="D9619" s="15"/>
      <c r="E9619" s="16"/>
      <c r="F9619" s="19"/>
      <c r="G9619" s="20"/>
      <c r="H9619" s="19"/>
    </row>
    <row r="9620">
      <c r="A9620" s="9"/>
      <c r="B9620" s="15"/>
      <c r="C9620" s="9"/>
      <c r="D9620" s="15"/>
      <c r="E9620" s="16"/>
      <c r="F9620" s="19"/>
      <c r="G9620" s="20"/>
      <c r="H9620" s="19"/>
    </row>
    <row r="9621">
      <c r="A9621" s="9"/>
      <c r="B9621" s="15"/>
      <c r="C9621" s="9"/>
      <c r="D9621" s="15"/>
      <c r="E9621" s="16"/>
      <c r="F9621" s="19"/>
      <c r="G9621" s="20"/>
      <c r="H9621" s="19"/>
    </row>
    <row r="9622">
      <c r="A9622" s="9"/>
      <c r="B9622" s="15"/>
      <c r="C9622" s="9"/>
      <c r="D9622" s="15"/>
      <c r="E9622" s="16"/>
      <c r="F9622" s="19"/>
      <c r="G9622" s="20"/>
      <c r="H9622" s="19"/>
    </row>
    <row r="9623">
      <c r="A9623" s="9"/>
      <c r="B9623" s="15"/>
      <c r="C9623" s="9"/>
      <c r="D9623" s="15"/>
      <c r="E9623" s="16"/>
      <c r="F9623" s="19"/>
      <c r="G9623" s="20"/>
      <c r="H9623" s="19"/>
    </row>
    <row r="9624">
      <c r="A9624" s="9"/>
      <c r="B9624" s="15"/>
      <c r="C9624" s="9"/>
      <c r="D9624" s="15"/>
      <c r="E9624" s="16"/>
      <c r="F9624" s="19"/>
      <c r="G9624" s="20"/>
      <c r="H9624" s="19"/>
    </row>
    <row r="9625">
      <c r="A9625" s="9"/>
      <c r="B9625" s="15"/>
      <c r="C9625" s="9"/>
      <c r="D9625" s="15"/>
      <c r="E9625" s="16"/>
      <c r="F9625" s="19"/>
      <c r="G9625" s="20"/>
      <c r="H9625" s="19"/>
    </row>
    <row r="9626">
      <c r="A9626" s="9"/>
      <c r="B9626" s="15"/>
      <c r="C9626" s="9"/>
      <c r="D9626" s="15"/>
      <c r="E9626" s="16"/>
      <c r="F9626" s="19"/>
      <c r="G9626" s="20"/>
      <c r="H9626" s="19"/>
    </row>
    <row r="9627">
      <c r="A9627" s="9"/>
      <c r="B9627" s="15"/>
      <c r="C9627" s="9"/>
      <c r="D9627" s="15"/>
      <c r="E9627" s="16"/>
      <c r="F9627" s="19"/>
      <c r="G9627" s="20"/>
      <c r="H9627" s="19"/>
    </row>
    <row r="9628">
      <c r="A9628" s="9"/>
      <c r="B9628" s="15"/>
      <c r="C9628" s="9"/>
      <c r="D9628" s="15"/>
      <c r="E9628" s="16"/>
      <c r="F9628" s="19"/>
      <c r="G9628" s="20"/>
      <c r="H9628" s="19"/>
    </row>
    <row r="9629">
      <c r="A9629" s="9"/>
      <c r="B9629" s="15"/>
      <c r="C9629" s="9"/>
      <c r="D9629" s="15"/>
      <c r="E9629" s="16"/>
      <c r="F9629" s="19"/>
      <c r="G9629" s="20"/>
      <c r="H9629" s="19"/>
    </row>
    <row r="9630">
      <c r="A9630" s="9"/>
      <c r="B9630" s="15"/>
      <c r="C9630" s="9"/>
      <c r="D9630" s="15"/>
      <c r="E9630" s="16"/>
      <c r="F9630" s="19"/>
      <c r="G9630" s="20"/>
      <c r="H9630" s="19"/>
    </row>
    <row r="9631">
      <c r="A9631" s="9"/>
      <c r="B9631" s="15"/>
      <c r="C9631" s="9"/>
      <c r="D9631" s="15"/>
      <c r="E9631" s="16"/>
      <c r="F9631" s="19"/>
      <c r="G9631" s="20"/>
      <c r="H9631" s="19"/>
    </row>
    <row r="9632">
      <c r="A9632" s="9"/>
      <c r="B9632" s="15"/>
      <c r="C9632" s="9"/>
      <c r="D9632" s="15"/>
      <c r="E9632" s="16"/>
      <c r="F9632" s="19"/>
      <c r="G9632" s="20"/>
      <c r="H9632" s="19"/>
    </row>
    <row r="9633">
      <c r="A9633" s="9"/>
      <c r="B9633" s="15"/>
      <c r="C9633" s="9"/>
      <c r="D9633" s="15"/>
      <c r="E9633" s="16"/>
      <c r="F9633" s="19"/>
      <c r="G9633" s="20"/>
      <c r="H9633" s="19"/>
    </row>
    <row r="9634">
      <c r="A9634" s="9"/>
      <c r="B9634" s="15"/>
      <c r="C9634" s="9"/>
      <c r="D9634" s="15"/>
      <c r="E9634" s="16"/>
      <c r="F9634" s="19"/>
      <c r="G9634" s="20"/>
      <c r="H9634" s="19"/>
    </row>
    <row r="9635">
      <c r="A9635" s="9"/>
      <c r="B9635" s="15"/>
      <c r="C9635" s="9"/>
      <c r="D9635" s="15"/>
      <c r="E9635" s="16"/>
      <c r="F9635" s="19"/>
      <c r="G9635" s="20"/>
      <c r="H9635" s="19"/>
    </row>
    <row r="9636">
      <c r="A9636" s="9"/>
      <c r="B9636" s="15"/>
      <c r="C9636" s="9"/>
      <c r="D9636" s="15"/>
      <c r="E9636" s="16"/>
      <c r="F9636" s="19"/>
      <c r="G9636" s="20"/>
      <c r="H9636" s="19"/>
    </row>
    <row r="9637">
      <c r="A9637" s="9"/>
      <c r="B9637" s="15"/>
      <c r="C9637" s="9"/>
      <c r="D9637" s="15"/>
      <c r="E9637" s="16"/>
      <c r="F9637" s="19"/>
      <c r="G9637" s="20"/>
      <c r="H9637" s="19"/>
    </row>
    <row r="9638">
      <c r="A9638" s="9"/>
      <c r="B9638" s="15"/>
      <c r="C9638" s="9"/>
      <c r="D9638" s="15"/>
      <c r="E9638" s="16"/>
      <c r="F9638" s="19"/>
      <c r="G9638" s="20"/>
      <c r="H9638" s="19"/>
    </row>
    <row r="9639">
      <c r="A9639" s="9"/>
      <c r="B9639" s="15"/>
      <c r="C9639" s="9"/>
      <c r="D9639" s="15"/>
      <c r="E9639" s="16"/>
      <c r="F9639" s="19"/>
      <c r="G9639" s="20"/>
      <c r="H9639" s="19"/>
    </row>
    <row r="9640">
      <c r="A9640" s="9"/>
      <c r="B9640" s="15"/>
      <c r="C9640" s="9"/>
      <c r="D9640" s="15"/>
      <c r="E9640" s="16"/>
      <c r="F9640" s="19"/>
      <c r="G9640" s="20"/>
      <c r="H9640" s="19"/>
    </row>
    <row r="9641">
      <c r="A9641" s="9"/>
      <c r="B9641" s="15"/>
      <c r="C9641" s="9"/>
      <c r="D9641" s="15"/>
      <c r="E9641" s="16"/>
      <c r="F9641" s="19"/>
      <c r="G9641" s="20"/>
      <c r="H9641" s="19"/>
    </row>
    <row r="9642">
      <c r="A9642" s="9"/>
      <c r="B9642" s="15"/>
      <c r="C9642" s="9"/>
      <c r="D9642" s="15"/>
      <c r="E9642" s="16"/>
      <c r="F9642" s="19"/>
      <c r="G9642" s="20"/>
      <c r="H9642" s="19"/>
    </row>
    <row r="9643">
      <c r="A9643" s="9"/>
      <c r="B9643" s="15"/>
      <c r="C9643" s="9"/>
      <c r="D9643" s="15"/>
      <c r="E9643" s="16"/>
      <c r="F9643" s="19"/>
      <c r="G9643" s="20"/>
      <c r="H9643" s="19"/>
    </row>
    <row r="9644">
      <c r="A9644" s="9"/>
      <c r="B9644" s="15"/>
      <c r="C9644" s="9"/>
      <c r="D9644" s="15"/>
      <c r="E9644" s="16"/>
      <c r="F9644" s="19"/>
      <c r="G9644" s="20"/>
      <c r="H9644" s="19"/>
    </row>
    <row r="9645">
      <c r="A9645" s="9"/>
      <c r="B9645" s="15"/>
      <c r="C9645" s="9"/>
      <c r="D9645" s="15"/>
      <c r="E9645" s="16"/>
      <c r="F9645" s="19"/>
      <c r="G9645" s="20"/>
      <c r="H9645" s="19"/>
    </row>
    <row r="9646">
      <c r="A9646" s="9"/>
      <c r="B9646" s="15"/>
      <c r="C9646" s="9"/>
      <c r="D9646" s="15"/>
      <c r="E9646" s="16"/>
      <c r="F9646" s="19"/>
      <c r="G9646" s="20"/>
      <c r="H9646" s="19"/>
    </row>
    <row r="9647">
      <c r="A9647" s="9"/>
      <c r="B9647" s="15"/>
      <c r="C9647" s="9"/>
      <c r="D9647" s="15"/>
      <c r="E9647" s="16"/>
      <c r="F9647" s="19"/>
      <c r="G9647" s="20"/>
      <c r="H9647" s="19"/>
    </row>
    <row r="9648">
      <c r="A9648" s="9"/>
      <c r="B9648" s="15"/>
      <c r="C9648" s="9"/>
      <c r="D9648" s="15"/>
      <c r="E9648" s="16"/>
      <c r="F9648" s="19"/>
      <c r="G9648" s="20"/>
      <c r="H9648" s="19"/>
    </row>
    <row r="9649">
      <c r="A9649" s="9"/>
      <c r="B9649" s="15"/>
      <c r="C9649" s="9"/>
      <c r="D9649" s="15"/>
      <c r="E9649" s="16"/>
      <c r="F9649" s="19"/>
      <c r="G9649" s="20"/>
      <c r="H9649" s="19"/>
    </row>
    <row r="9650">
      <c r="A9650" s="9"/>
      <c r="B9650" s="15"/>
      <c r="C9650" s="9"/>
      <c r="D9650" s="15"/>
      <c r="E9650" s="16"/>
      <c r="F9650" s="19"/>
      <c r="G9650" s="20"/>
      <c r="H9650" s="19"/>
    </row>
    <row r="9651">
      <c r="A9651" s="9"/>
      <c r="B9651" s="15"/>
      <c r="C9651" s="9"/>
      <c r="D9651" s="15"/>
      <c r="E9651" s="16"/>
      <c r="F9651" s="19"/>
      <c r="G9651" s="20"/>
      <c r="H9651" s="19"/>
    </row>
    <row r="9652">
      <c r="A9652" s="9"/>
      <c r="B9652" s="15"/>
      <c r="C9652" s="9"/>
      <c r="D9652" s="15"/>
      <c r="E9652" s="16"/>
      <c r="F9652" s="19"/>
      <c r="G9652" s="20"/>
      <c r="H9652" s="19"/>
    </row>
    <row r="9653">
      <c r="A9653" s="9"/>
      <c r="B9653" s="15"/>
      <c r="C9653" s="9"/>
      <c r="D9653" s="15"/>
      <c r="E9653" s="16"/>
      <c r="F9653" s="19"/>
      <c r="G9653" s="20"/>
      <c r="H9653" s="19"/>
    </row>
    <row r="9654">
      <c r="A9654" s="9"/>
      <c r="B9654" s="15"/>
      <c r="C9654" s="9"/>
      <c r="D9654" s="15"/>
      <c r="E9654" s="16"/>
      <c r="F9654" s="19"/>
      <c r="G9654" s="20"/>
      <c r="H9654" s="19"/>
    </row>
    <row r="9655">
      <c r="A9655" s="9"/>
      <c r="B9655" s="15"/>
      <c r="C9655" s="9"/>
      <c r="D9655" s="15"/>
      <c r="E9655" s="16"/>
      <c r="F9655" s="19"/>
      <c r="G9655" s="20"/>
      <c r="H9655" s="19"/>
    </row>
    <row r="9656">
      <c r="A9656" s="9"/>
      <c r="B9656" s="15"/>
      <c r="C9656" s="9"/>
      <c r="D9656" s="15"/>
      <c r="E9656" s="16"/>
      <c r="F9656" s="19"/>
      <c r="G9656" s="20"/>
      <c r="H9656" s="19"/>
    </row>
    <row r="9657">
      <c r="A9657" s="9"/>
      <c r="B9657" s="15"/>
      <c r="C9657" s="9"/>
      <c r="D9657" s="15"/>
      <c r="E9657" s="16"/>
      <c r="F9657" s="19"/>
      <c r="G9657" s="20"/>
      <c r="H9657" s="19"/>
    </row>
    <row r="9658">
      <c r="A9658" s="9"/>
      <c r="B9658" s="15"/>
      <c r="C9658" s="9"/>
      <c r="D9658" s="15"/>
      <c r="E9658" s="16"/>
      <c r="F9658" s="19"/>
      <c r="G9658" s="20"/>
      <c r="H9658" s="19"/>
    </row>
    <row r="9659">
      <c r="A9659" s="9"/>
      <c r="B9659" s="15"/>
      <c r="C9659" s="9"/>
      <c r="D9659" s="15"/>
      <c r="E9659" s="16"/>
      <c r="F9659" s="19"/>
      <c r="G9659" s="20"/>
      <c r="H9659" s="19"/>
    </row>
    <row r="9660">
      <c r="A9660" s="9"/>
      <c r="B9660" s="15"/>
      <c r="C9660" s="9"/>
      <c r="D9660" s="15"/>
      <c r="E9660" s="16"/>
      <c r="F9660" s="19"/>
      <c r="G9660" s="20"/>
      <c r="H9660" s="19"/>
    </row>
    <row r="9661">
      <c r="A9661" s="9"/>
      <c r="B9661" s="15"/>
      <c r="C9661" s="9"/>
      <c r="D9661" s="15"/>
      <c r="E9661" s="16"/>
      <c r="F9661" s="19"/>
      <c r="G9661" s="20"/>
      <c r="H9661" s="19"/>
    </row>
    <row r="9662">
      <c r="A9662" s="9"/>
      <c r="B9662" s="15"/>
      <c r="C9662" s="9"/>
      <c r="D9662" s="15"/>
      <c r="E9662" s="16"/>
      <c r="F9662" s="19"/>
      <c r="G9662" s="20"/>
      <c r="H9662" s="19"/>
    </row>
    <row r="9663">
      <c r="A9663" s="9"/>
      <c r="B9663" s="15"/>
      <c r="C9663" s="9"/>
      <c r="D9663" s="15"/>
      <c r="E9663" s="16"/>
      <c r="F9663" s="19"/>
      <c r="G9663" s="20"/>
      <c r="H9663" s="19"/>
    </row>
    <row r="9664">
      <c r="A9664" s="9"/>
      <c r="B9664" s="15"/>
      <c r="C9664" s="9"/>
      <c r="D9664" s="15"/>
      <c r="E9664" s="16"/>
      <c r="F9664" s="19"/>
      <c r="G9664" s="20"/>
      <c r="H9664" s="19"/>
    </row>
    <row r="9665">
      <c r="A9665" s="9"/>
      <c r="B9665" s="15"/>
      <c r="C9665" s="9"/>
      <c r="D9665" s="15"/>
      <c r="E9665" s="16"/>
      <c r="F9665" s="19"/>
      <c r="G9665" s="20"/>
      <c r="H9665" s="19"/>
    </row>
    <row r="9666">
      <c r="A9666" s="9"/>
      <c r="B9666" s="15"/>
      <c r="C9666" s="9"/>
      <c r="D9666" s="15"/>
      <c r="E9666" s="16"/>
      <c r="F9666" s="19"/>
      <c r="G9666" s="20"/>
      <c r="H9666" s="19"/>
    </row>
    <row r="9667">
      <c r="A9667" s="9"/>
      <c r="B9667" s="15"/>
      <c r="C9667" s="9"/>
      <c r="D9667" s="15"/>
      <c r="E9667" s="16"/>
      <c r="F9667" s="19"/>
      <c r="G9667" s="20"/>
      <c r="H9667" s="19"/>
    </row>
    <row r="9668">
      <c r="A9668" s="9"/>
      <c r="B9668" s="15"/>
      <c r="C9668" s="9"/>
      <c r="D9668" s="15"/>
      <c r="E9668" s="16"/>
      <c r="F9668" s="19"/>
      <c r="G9668" s="20"/>
      <c r="H9668" s="19"/>
    </row>
    <row r="9669">
      <c r="A9669" s="9"/>
      <c r="B9669" s="15"/>
      <c r="C9669" s="9"/>
      <c r="D9669" s="15"/>
      <c r="E9669" s="16"/>
      <c r="F9669" s="19"/>
      <c r="G9669" s="20"/>
      <c r="H9669" s="19"/>
    </row>
    <row r="9670">
      <c r="A9670" s="9"/>
      <c r="B9670" s="15"/>
      <c r="C9670" s="9"/>
      <c r="D9670" s="15"/>
      <c r="E9670" s="16"/>
      <c r="F9670" s="19"/>
      <c r="G9670" s="20"/>
      <c r="H9670" s="19"/>
    </row>
    <row r="9671">
      <c r="A9671" s="9"/>
      <c r="B9671" s="15"/>
      <c r="C9671" s="9"/>
      <c r="D9671" s="15"/>
      <c r="E9671" s="16"/>
      <c r="F9671" s="19"/>
      <c r="G9671" s="20"/>
      <c r="H9671" s="19"/>
    </row>
    <row r="9672">
      <c r="A9672" s="9"/>
      <c r="B9672" s="15"/>
      <c r="C9672" s="9"/>
      <c r="D9672" s="15"/>
      <c r="E9672" s="16"/>
      <c r="F9672" s="19"/>
      <c r="G9672" s="20"/>
      <c r="H9672" s="19"/>
    </row>
    <row r="9673">
      <c r="A9673" s="9"/>
      <c r="B9673" s="15"/>
      <c r="C9673" s="9"/>
      <c r="D9673" s="15"/>
      <c r="E9673" s="16"/>
      <c r="F9673" s="19"/>
      <c r="G9673" s="20"/>
      <c r="H9673" s="19"/>
    </row>
    <row r="9674">
      <c r="A9674" s="9"/>
      <c r="B9674" s="15"/>
      <c r="C9674" s="9"/>
      <c r="D9674" s="15"/>
      <c r="E9674" s="16"/>
      <c r="F9674" s="19"/>
      <c r="G9674" s="20"/>
      <c r="H9674" s="19"/>
    </row>
    <row r="9675">
      <c r="A9675" s="9"/>
      <c r="B9675" s="15"/>
      <c r="C9675" s="9"/>
      <c r="D9675" s="15"/>
      <c r="E9675" s="16"/>
      <c r="F9675" s="19"/>
      <c r="G9675" s="20"/>
      <c r="H9675" s="19"/>
    </row>
    <row r="9676">
      <c r="A9676" s="9"/>
      <c r="B9676" s="15"/>
      <c r="C9676" s="9"/>
      <c r="D9676" s="15"/>
      <c r="E9676" s="16"/>
      <c r="F9676" s="19"/>
      <c r="G9676" s="20"/>
      <c r="H9676" s="19"/>
    </row>
    <row r="9677">
      <c r="A9677" s="9"/>
      <c r="B9677" s="15"/>
      <c r="C9677" s="9"/>
      <c r="D9677" s="15"/>
      <c r="E9677" s="16"/>
      <c r="F9677" s="19"/>
      <c r="G9677" s="20"/>
      <c r="H9677" s="19"/>
    </row>
    <row r="9678">
      <c r="A9678" s="9"/>
      <c r="B9678" s="15"/>
      <c r="C9678" s="9"/>
      <c r="D9678" s="15"/>
      <c r="E9678" s="16"/>
      <c r="F9678" s="19"/>
      <c r="G9678" s="20"/>
      <c r="H9678" s="19"/>
    </row>
    <row r="9679">
      <c r="A9679" s="9"/>
      <c r="B9679" s="15"/>
      <c r="C9679" s="9"/>
      <c r="D9679" s="15"/>
      <c r="E9679" s="16"/>
      <c r="F9679" s="19"/>
      <c r="G9679" s="20"/>
      <c r="H9679" s="19"/>
    </row>
    <row r="9680">
      <c r="A9680" s="9"/>
      <c r="B9680" s="15"/>
      <c r="C9680" s="9"/>
      <c r="D9680" s="15"/>
      <c r="E9680" s="16"/>
      <c r="F9680" s="19"/>
      <c r="G9680" s="20"/>
      <c r="H9680" s="19"/>
    </row>
    <row r="9681">
      <c r="A9681" s="9"/>
      <c r="B9681" s="15"/>
      <c r="C9681" s="9"/>
      <c r="D9681" s="15"/>
      <c r="E9681" s="16"/>
      <c r="F9681" s="19"/>
      <c r="G9681" s="20"/>
      <c r="H9681" s="19"/>
    </row>
    <row r="9682">
      <c r="A9682" s="9"/>
      <c r="B9682" s="15"/>
      <c r="C9682" s="9"/>
      <c r="D9682" s="15"/>
      <c r="E9682" s="16"/>
      <c r="F9682" s="19"/>
      <c r="G9682" s="20"/>
      <c r="H9682" s="19"/>
    </row>
    <row r="9683">
      <c r="A9683" s="9"/>
      <c r="B9683" s="15"/>
      <c r="C9683" s="9"/>
      <c r="D9683" s="15"/>
      <c r="E9683" s="16"/>
      <c r="F9683" s="19"/>
      <c r="G9683" s="20"/>
      <c r="H9683" s="19"/>
    </row>
    <row r="9684">
      <c r="A9684" s="9"/>
      <c r="B9684" s="15"/>
      <c r="C9684" s="9"/>
      <c r="D9684" s="15"/>
      <c r="E9684" s="16"/>
      <c r="F9684" s="19"/>
      <c r="G9684" s="20"/>
      <c r="H9684" s="19"/>
    </row>
    <row r="9685">
      <c r="A9685" s="9"/>
      <c r="B9685" s="15"/>
      <c r="C9685" s="9"/>
      <c r="D9685" s="15"/>
      <c r="E9685" s="16"/>
      <c r="F9685" s="19"/>
      <c r="G9685" s="20"/>
      <c r="H9685" s="19"/>
    </row>
    <row r="9686">
      <c r="A9686" s="9"/>
      <c r="B9686" s="15"/>
      <c r="C9686" s="9"/>
      <c r="D9686" s="15"/>
      <c r="E9686" s="16"/>
      <c r="F9686" s="19"/>
      <c r="G9686" s="20"/>
      <c r="H9686" s="19"/>
    </row>
    <row r="9687">
      <c r="A9687" s="9"/>
      <c r="B9687" s="15"/>
      <c r="C9687" s="9"/>
      <c r="D9687" s="15"/>
      <c r="E9687" s="16"/>
      <c r="F9687" s="19"/>
      <c r="G9687" s="20"/>
      <c r="H9687" s="19"/>
    </row>
    <row r="9688">
      <c r="A9688" s="9"/>
      <c r="B9688" s="15"/>
      <c r="C9688" s="9"/>
      <c r="D9688" s="15"/>
      <c r="E9688" s="16"/>
      <c r="F9688" s="19"/>
      <c r="G9688" s="20"/>
      <c r="H9688" s="19"/>
    </row>
    <row r="9689">
      <c r="A9689" s="9"/>
      <c r="B9689" s="15"/>
      <c r="C9689" s="9"/>
      <c r="D9689" s="15"/>
      <c r="E9689" s="16"/>
      <c r="F9689" s="19"/>
      <c r="G9689" s="20"/>
      <c r="H9689" s="19"/>
    </row>
    <row r="9690">
      <c r="A9690" s="9"/>
      <c r="B9690" s="15"/>
      <c r="C9690" s="9"/>
      <c r="D9690" s="15"/>
      <c r="E9690" s="16"/>
      <c r="F9690" s="19"/>
      <c r="G9690" s="20"/>
      <c r="H9690" s="19"/>
    </row>
    <row r="9691">
      <c r="A9691" s="9"/>
      <c r="B9691" s="15"/>
      <c r="C9691" s="9"/>
      <c r="D9691" s="15"/>
      <c r="E9691" s="16"/>
      <c r="F9691" s="19"/>
      <c r="G9691" s="20"/>
      <c r="H9691" s="19"/>
    </row>
    <row r="9692">
      <c r="A9692" s="9"/>
      <c r="B9692" s="15"/>
      <c r="C9692" s="9"/>
      <c r="D9692" s="15"/>
      <c r="E9692" s="16"/>
      <c r="F9692" s="19"/>
      <c r="G9692" s="20"/>
      <c r="H9692" s="19"/>
    </row>
    <row r="9693">
      <c r="A9693" s="9"/>
      <c r="B9693" s="15"/>
      <c r="C9693" s="9"/>
      <c r="D9693" s="15"/>
      <c r="E9693" s="16"/>
      <c r="F9693" s="19"/>
      <c r="G9693" s="20"/>
      <c r="H9693" s="19"/>
    </row>
    <row r="9694">
      <c r="A9694" s="9"/>
      <c r="B9694" s="15"/>
      <c r="C9694" s="9"/>
      <c r="D9694" s="15"/>
      <c r="E9694" s="16"/>
      <c r="F9694" s="19"/>
      <c r="G9694" s="20"/>
      <c r="H9694" s="19"/>
    </row>
    <row r="9695">
      <c r="A9695" s="9"/>
      <c r="B9695" s="15"/>
      <c r="C9695" s="9"/>
      <c r="D9695" s="15"/>
      <c r="E9695" s="16"/>
      <c r="F9695" s="19"/>
      <c r="G9695" s="20"/>
      <c r="H9695" s="19"/>
    </row>
    <row r="9696">
      <c r="A9696" s="9"/>
      <c r="B9696" s="15"/>
      <c r="C9696" s="9"/>
      <c r="D9696" s="15"/>
      <c r="E9696" s="16"/>
      <c r="F9696" s="19"/>
      <c r="G9696" s="20"/>
      <c r="H9696" s="19"/>
    </row>
    <row r="9697">
      <c r="A9697" s="9"/>
      <c r="B9697" s="15"/>
      <c r="C9697" s="9"/>
      <c r="D9697" s="15"/>
      <c r="E9697" s="16"/>
      <c r="F9697" s="19"/>
      <c r="G9697" s="20"/>
      <c r="H9697" s="19"/>
    </row>
    <row r="9698">
      <c r="A9698" s="9"/>
      <c r="B9698" s="15"/>
      <c r="C9698" s="9"/>
      <c r="D9698" s="15"/>
      <c r="E9698" s="16"/>
      <c r="F9698" s="19"/>
      <c r="G9698" s="20"/>
      <c r="H9698" s="19"/>
    </row>
    <row r="9699">
      <c r="A9699" s="9"/>
      <c r="B9699" s="15"/>
      <c r="C9699" s="9"/>
      <c r="D9699" s="15"/>
      <c r="E9699" s="16"/>
      <c r="F9699" s="19"/>
      <c r="G9699" s="20"/>
      <c r="H9699" s="19"/>
    </row>
    <row r="9700">
      <c r="A9700" s="9"/>
      <c r="B9700" s="15"/>
      <c r="C9700" s="9"/>
      <c r="D9700" s="15"/>
      <c r="E9700" s="16"/>
      <c r="F9700" s="19"/>
      <c r="G9700" s="20"/>
      <c r="H9700" s="19"/>
    </row>
    <row r="9701">
      <c r="A9701" s="9"/>
      <c r="B9701" s="15"/>
      <c r="C9701" s="9"/>
      <c r="D9701" s="15"/>
      <c r="E9701" s="16"/>
      <c r="F9701" s="19"/>
      <c r="G9701" s="20"/>
      <c r="H9701" s="19"/>
    </row>
    <row r="9702">
      <c r="A9702" s="9"/>
      <c r="B9702" s="15"/>
      <c r="C9702" s="9"/>
      <c r="D9702" s="15"/>
      <c r="E9702" s="16"/>
      <c r="F9702" s="19"/>
      <c r="G9702" s="20"/>
      <c r="H9702" s="19"/>
    </row>
    <row r="9703">
      <c r="A9703" s="9"/>
      <c r="B9703" s="15"/>
      <c r="C9703" s="9"/>
      <c r="D9703" s="15"/>
      <c r="E9703" s="16"/>
      <c r="F9703" s="19"/>
      <c r="G9703" s="20"/>
      <c r="H9703" s="19"/>
    </row>
    <row r="9704">
      <c r="A9704" s="9"/>
      <c r="B9704" s="15"/>
      <c r="C9704" s="9"/>
      <c r="D9704" s="15"/>
      <c r="E9704" s="16"/>
      <c r="F9704" s="19"/>
      <c r="G9704" s="20"/>
      <c r="H9704" s="19"/>
    </row>
    <row r="9705">
      <c r="A9705" s="9"/>
      <c r="B9705" s="15"/>
      <c r="C9705" s="9"/>
      <c r="D9705" s="15"/>
      <c r="E9705" s="16"/>
      <c r="F9705" s="19"/>
      <c r="G9705" s="20"/>
      <c r="H9705" s="19"/>
    </row>
    <row r="9706">
      <c r="A9706" s="9"/>
      <c r="B9706" s="15"/>
      <c r="C9706" s="9"/>
      <c r="D9706" s="15"/>
      <c r="E9706" s="16"/>
      <c r="F9706" s="19"/>
      <c r="G9706" s="20"/>
      <c r="H9706" s="19"/>
    </row>
    <row r="9707">
      <c r="A9707" s="9"/>
      <c r="B9707" s="15"/>
      <c r="C9707" s="9"/>
      <c r="D9707" s="15"/>
      <c r="E9707" s="16"/>
      <c r="F9707" s="19"/>
      <c r="G9707" s="20"/>
      <c r="H9707" s="19"/>
    </row>
    <row r="9708">
      <c r="A9708" s="9"/>
      <c r="B9708" s="15"/>
      <c r="C9708" s="9"/>
      <c r="D9708" s="15"/>
      <c r="E9708" s="16"/>
      <c r="F9708" s="19"/>
      <c r="G9708" s="20"/>
      <c r="H9708" s="19"/>
    </row>
    <row r="9709">
      <c r="A9709" s="9"/>
      <c r="B9709" s="15"/>
      <c r="C9709" s="9"/>
      <c r="D9709" s="15"/>
      <c r="E9709" s="16"/>
      <c r="F9709" s="19"/>
      <c r="G9709" s="20"/>
      <c r="H9709" s="19"/>
    </row>
    <row r="9710">
      <c r="A9710" s="9"/>
      <c r="B9710" s="15"/>
      <c r="C9710" s="9"/>
      <c r="D9710" s="15"/>
      <c r="E9710" s="16"/>
      <c r="F9710" s="19"/>
      <c r="G9710" s="20"/>
      <c r="H9710" s="19"/>
    </row>
    <row r="9711">
      <c r="A9711" s="9"/>
      <c r="B9711" s="15"/>
      <c r="C9711" s="9"/>
      <c r="D9711" s="15"/>
      <c r="E9711" s="16"/>
      <c r="F9711" s="19"/>
      <c r="G9711" s="20"/>
      <c r="H9711" s="19"/>
    </row>
    <row r="9712">
      <c r="A9712" s="9"/>
      <c r="B9712" s="15"/>
      <c r="C9712" s="9"/>
      <c r="D9712" s="15"/>
      <c r="E9712" s="16"/>
      <c r="F9712" s="19"/>
      <c r="G9712" s="20"/>
      <c r="H9712" s="19"/>
    </row>
    <row r="9713">
      <c r="A9713" s="9"/>
      <c r="B9713" s="15"/>
      <c r="C9713" s="9"/>
      <c r="D9713" s="15"/>
      <c r="E9713" s="16"/>
      <c r="F9713" s="19"/>
      <c r="G9713" s="20"/>
      <c r="H9713" s="19"/>
    </row>
    <row r="9714">
      <c r="A9714" s="9"/>
      <c r="B9714" s="15"/>
      <c r="C9714" s="9"/>
      <c r="D9714" s="15"/>
      <c r="E9714" s="16"/>
      <c r="F9714" s="19"/>
      <c r="G9714" s="20"/>
      <c r="H9714" s="19"/>
    </row>
    <row r="9715">
      <c r="A9715" s="9"/>
      <c r="B9715" s="15"/>
      <c r="C9715" s="9"/>
      <c r="D9715" s="15"/>
      <c r="E9715" s="16"/>
      <c r="F9715" s="19"/>
      <c r="G9715" s="20"/>
      <c r="H9715" s="19"/>
    </row>
    <row r="9716">
      <c r="A9716" s="9"/>
      <c r="B9716" s="15"/>
      <c r="C9716" s="9"/>
      <c r="D9716" s="15"/>
      <c r="E9716" s="16"/>
      <c r="F9716" s="19"/>
      <c r="G9716" s="20"/>
      <c r="H9716" s="19"/>
    </row>
    <row r="9717">
      <c r="A9717" s="9"/>
      <c r="B9717" s="15"/>
      <c r="C9717" s="9"/>
      <c r="D9717" s="15"/>
      <c r="E9717" s="16"/>
      <c r="F9717" s="19"/>
      <c r="G9717" s="20"/>
      <c r="H9717" s="19"/>
    </row>
    <row r="9718">
      <c r="A9718" s="9"/>
      <c r="B9718" s="15"/>
      <c r="C9718" s="9"/>
      <c r="D9718" s="15"/>
      <c r="E9718" s="16"/>
      <c r="F9718" s="19"/>
      <c r="G9718" s="20"/>
      <c r="H9718" s="19"/>
    </row>
    <row r="9719">
      <c r="A9719" s="9"/>
      <c r="B9719" s="15"/>
      <c r="C9719" s="9"/>
      <c r="D9719" s="15"/>
      <c r="E9719" s="16"/>
      <c r="F9719" s="19"/>
      <c r="G9719" s="20"/>
      <c r="H9719" s="19"/>
    </row>
    <row r="9720">
      <c r="A9720" s="9"/>
      <c r="B9720" s="15"/>
      <c r="C9720" s="9"/>
      <c r="D9720" s="15"/>
      <c r="E9720" s="16"/>
      <c r="F9720" s="19"/>
      <c r="G9720" s="20"/>
      <c r="H9720" s="19"/>
    </row>
    <row r="9721">
      <c r="A9721" s="9"/>
      <c r="B9721" s="15"/>
      <c r="C9721" s="9"/>
      <c r="D9721" s="15"/>
      <c r="E9721" s="16"/>
      <c r="F9721" s="19"/>
      <c r="G9721" s="20"/>
      <c r="H9721" s="19"/>
    </row>
    <row r="9722">
      <c r="A9722" s="9"/>
      <c r="B9722" s="15"/>
      <c r="C9722" s="9"/>
      <c r="D9722" s="15"/>
      <c r="E9722" s="16"/>
      <c r="F9722" s="19"/>
      <c r="G9722" s="20"/>
      <c r="H9722" s="19"/>
    </row>
    <row r="9723">
      <c r="A9723" s="9"/>
      <c r="B9723" s="15"/>
      <c r="C9723" s="9"/>
      <c r="D9723" s="15"/>
      <c r="E9723" s="16"/>
      <c r="F9723" s="19"/>
      <c r="G9723" s="20"/>
      <c r="H9723" s="19"/>
    </row>
    <row r="9724">
      <c r="A9724" s="9"/>
      <c r="B9724" s="15"/>
      <c r="C9724" s="9"/>
      <c r="D9724" s="15"/>
      <c r="E9724" s="16"/>
      <c r="F9724" s="19"/>
      <c r="G9724" s="20"/>
      <c r="H9724" s="19"/>
    </row>
    <row r="9725">
      <c r="A9725" s="9"/>
      <c r="B9725" s="15"/>
      <c r="C9725" s="9"/>
      <c r="D9725" s="15"/>
      <c r="E9725" s="16"/>
      <c r="F9725" s="19"/>
      <c r="G9725" s="20"/>
      <c r="H9725" s="19"/>
    </row>
    <row r="9726">
      <c r="A9726" s="9"/>
      <c r="B9726" s="15"/>
      <c r="C9726" s="9"/>
      <c r="D9726" s="15"/>
      <c r="E9726" s="16"/>
      <c r="F9726" s="19"/>
      <c r="G9726" s="20"/>
      <c r="H9726" s="19"/>
    </row>
    <row r="9727">
      <c r="A9727" s="9"/>
      <c r="B9727" s="15"/>
      <c r="C9727" s="9"/>
      <c r="D9727" s="15"/>
      <c r="E9727" s="16"/>
      <c r="F9727" s="19"/>
      <c r="G9727" s="20"/>
      <c r="H9727" s="19"/>
    </row>
    <row r="9728">
      <c r="A9728" s="9"/>
      <c r="B9728" s="15"/>
      <c r="C9728" s="9"/>
      <c r="D9728" s="15"/>
      <c r="E9728" s="16"/>
      <c r="F9728" s="19"/>
      <c r="G9728" s="20"/>
      <c r="H9728" s="19"/>
    </row>
    <row r="9729">
      <c r="A9729" s="9"/>
      <c r="B9729" s="15"/>
      <c r="C9729" s="9"/>
      <c r="D9729" s="15"/>
      <c r="E9729" s="16"/>
      <c r="F9729" s="19"/>
      <c r="G9729" s="20"/>
      <c r="H9729" s="19"/>
    </row>
    <row r="9730">
      <c r="A9730" s="9"/>
      <c r="B9730" s="15"/>
      <c r="C9730" s="9"/>
      <c r="D9730" s="15"/>
      <c r="E9730" s="16"/>
      <c r="F9730" s="19"/>
      <c r="G9730" s="20"/>
      <c r="H9730" s="19"/>
    </row>
    <row r="9731">
      <c r="A9731" s="9"/>
      <c r="B9731" s="15"/>
      <c r="C9731" s="9"/>
      <c r="D9731" s="15"/>
      <c r="E9731" s="16"/>
      <c r="F9731" s="19"/>
      <c r="G9731" s="20"/>
      <c r="H9731" s="19"/>
    </row>
    <row r="9732">
      <c r="A9732" s="9"/>
      <c r="B9732" s="15"/>
      <c r="C9732" s="9"/>
      <c r="D9732" s="15"/>
      <c r="E9732" s="16"/>
      <c r="F9732" s="19"/>
      <c r="G9732" s="20"/>
      <c r="H9732" s="19"/>
    </row>
    <row r="9733">
      <c r="A9733" s="9"/>
      <c r="B9733" s="15"/>
      <c r="C9733" s="9"/>
      <c r="D9733" s="15"/>
      <c r="E9733" s="16"/>
      <c r="F9733" s="19"/>
      <c r="G9733" s="20"/>
      <c r="H9733" s="19"/>
    </row>
    <row r="9734">
      <c r="A9734" s="9"/>
      <c r="B9734" s="15"/>
      <c r="C9734" s="9"/>
      <c r="D9734" s="15"/>
      <c r="E9734" s="16"/>
      <c r="F9734" s="19"/>
      <c r="G9734" s="20"/>
      <c r="H9734" s="19"/>
    </row>
    <row r="9735">
      <c r="A9735" s="9"/>
      <c r="B9735" s="15"/>
      <c r="C9735" s="9"/>
      <c r="D9735" s="15"/>
      <c r="E9735" s="16"/>
      <c r="F9735" s="19"/>
      <c r="G9735" s="20"/>
      <c r="H9735" s="19"/>
    </row>
    <row r="9736">
      <c r="A9736" s="9"/>
      <c r="B9736" s="15"/>
      <c r="C9736" s="9"/>
      <c r="D9736" s="15"/>
      <c r="E9736" s="16"/>
      <c r="F9736" s="19"/>
      <c r="G9736" s="20"/>
      <c r="H9736" s="19"/>
    </row>
    <row r="9737">
      <c r="A9737" s="9"/>
      <c r="B9737" s="15"/>
      <c r="C9737" s="9"/>
      <c r="D9737" s="15"/>
      <c r="E9737" s="16"/>
      <c r="F9737" s="19"/>
      <c r="G9737" s="20"/>
      <c r="H9737" s="19"/>
    </row>
    <row r="9738">
      <c r="A9738" s="9"/>
      <c r="B9738" s="15"/>
      <c r="C9738" s="9"/>
      <c r="D9738" s="15"/>
      <c r="E9738" s="16"/>
      <c r="F9738" s="19"/>
      <c r="G9738" s="20"/>
      <c r="H9738" s="19"/>
    </row>
    <row r="9739">
      <c r="A9739" s="9"/>
      <c r="B9739" s="15"/>
      <c r="C9739" s="9"/>
      <c r="D9739" s="15"/>
      <c r="E9739" s="16"/>
      <c r="F9739" s="19"/>
      <c r="G9739" s="20"/>
      <c r="H9739" s="19"/>
    </row>
    <row r="9740">
      <c r="A9740" s="9"/>
      <c r="B9740" s="15"/>
      <c r="C9740" s="9"/>
      <c r="D9740" s="15"/>
      <c r="E9740" s="16"/>
      <c r="F9740" s="19"/>
      <c r="G9740" s="20"/>
      <c r="H9740" s="19"/>
    </row>
    <row r="9741">
      <c r="A9741" s="9"/>
      <c r="B9741" s="15"/>
      <c r="C9741" s="9"/>
      <c r="D9741" s="15"/>
      <c r="E9741" s="16"/>
      <c r="F9741" s="19"/>
      <c r="G9741" s="20"/>
      <c r="H9741" s="19"/>
    </row>
    <row r="9742">
      <c r="A9742" s="9"/>
      <c r="B9742" s="15"/>
      <c r="C9742" s="9"/>
      <c r="D9742" s="15"/>
      <c r="E9742" s="16"/>
      <c r="F9742" s="19"/>
      <c r="G9742" s="20"/>
      <c r="H9742" s="19"/>
    </row>
    <row r="9743">
      <c r="A9743" s="9"/>
      <c r="B9743" s="15"/>
      <c r="C9743" s="9"/>
      <c r="D9743" s="15"/>
      <c r="E9743" s="16"/>
      <c r="F9743" s="19"/>
      <c r="G9743" s="20"/>
      <c r="H9743" s="19"/>
    </row>
    <row r="9744">
      <c r="A9744" s="9"/>
      <c r="B9744" s="15"/>
      <c r="C9744" s="9"/>
      <c r="D9744" s="15"/>
      <c r="E9744" s="16"/>
      <c r="F9744" s="19"/>
      <c r="G9744" s="20"/>
      <c r="H9744" s="19"/>
    </row>
    <row r="9745">
      <c r="A9745" s="9"/>
      <c r="B9745" s="15"/>
      <c r="C9745" s="9"/>
      <c r="D9745" s="15"/>
      <c r="E9745" s="16"/>
      <c r="F9745" s="19"/>
      <c r="G9745" s="20"/>
      <c r="H9745" s="19"/>
    </row>
    <row r="9746">
      <c r="A9746" s="9"/>
      <c r="B9746" s="15"/>
      <c r="C9746" s="9"/>
      <c r="D9746" s="15"/>
      <c r="E9746" s="16"/>
      <c r="F9746" s="19"/>
      <c r="G9746" s="20"/>
      <c r="H9746" s="19"/>
    </row>
    <row r="9747">
      <c r="A9747" s="9"/>
      <c r="B9747" s="15"/>
      <c r="C9747" s="9"/>
      <c r="D9747" s="15"/>
      <c r="E9747" s="16"/>
      <c r="F9747" s="19"/>
      <c r="G9747" s="20"/>
      <c r="H9747" s="19"/>
    </row>
    <row r="9748">
      <c r="A9748" s="9"/>
      <c r="B9748" s="15"/>
      <c r="C9748" s="9"/>
      <c r="D9748" s="15"/>
      <c r="E9748" s="16"/>
      <c r="F9748" s="19"/>
      <c r="G9748" s="20"/>
      <c r="H9748" s="19"/>
    </row>
    <row r="9749">
      <c r="A9749" s="9"/>
      <c r="B9749" s="15"/>
      <c r="C9749" s="9"/>
      <c r="D9749" s="15"/>
      <c r="E9749" s="16"/>
      <c r="F9749" s="19"/>
      <c r="G9749" s="20"/>
      <c r="H9749" s="19"/>
    </row>
    <row r="9750">
      <c r="A9750" s="9"/>
      <c r="B9750" s="15"/>
      <c r="C9750" s="9"/>
      <c r="D9750" s="15"/>
      <c r="E9750" s="16"/>
      <c r="F9750" s="19"/>
      <c r="G9750" s="20"/>
      <c r="H9750" s="19"/>
    </row>
    <row r="9751">
      <c r="A9751" s="9"/>
      <c r="B9751" s="15"/>
      <c r="C9751" s="9"/>
      <c r="D9751" s="15"/>
      <c r="E9751" s="16"/>
      <c r="F9751" s="19"/>
      <c r="G9751" s="20"/>
      <c r="H9751" s="19"/>
    </row>
    <row r="9752">
      <c r="A9752" s="9"/>
      <c r="B9752" s="15"/>
      <c r="C9752" s="9"/>
      <c r="D9752" s="15"/>
      <c r="E9752" s="16"/>
      <c r="F9752" s="19"/>
      <c r="G9752" s="20"/>
      <c r="H9752" s="19"/>
    </row>
    <row r="9753">
      <c r="A9753" s="9"/>
      <c r="B9753" s="15"/>
      <c r="C9753" s="9"/>
      <c r="D9753" s="15"/>
      <c r="E9753" s="16"/>
      <c r="F9753" s="19"/>
      <c r="G9753" s="20"/>
      <c r="H9753" s="19"/>
    </row>
    <row r="9754">
      <c r="A9754" s="9"/>
      <c r="B9754" s="15"/>
      <c r="C9754" s="9"/>
      <c r="D9754" s="15"/>
      <c r="E9754" s="16"/>
      <c r="F9754" s="19"/>
      <c r="G9754" s="20"/>
      <c r="H9754" s="19"/>
    </row>
    <row r="9755">
      <c r="A9755" s="9"/>
      <c r="B9755" s="15"/>
      <c r="C9755" s="9"/>
      <c r="D9755" s="15"/>
      <c r="E9755" s="16"/>
      <c r="F9755" s="19"/>
      <c r="G9755" s="20"/>
      <c r="H9755" s="19"/>
    </row>
    <row r="9756">
      <c r="A9756" s="9"/>
      <c r="B9756" s="15"/>
      <c r="C9756" s="9"/>
      <c r="D9756" s="15"/>
      <c r="E9756" s="16"/>
      <c r="F9756" s="19"/>
      <c r="G9756" s="20"/>
      <c r="H9756" s="19"/>
    </row>
    <row r="9757">
      <c r="A9757" s="9"/>
      <c r="B9757" s="15"/>
      <c r="C9757" s="9"/>
      <c r="D9757" s="15"/>
      <c r="E9757" s="16"/>
      <c r="F9757" s="19"/>
      <c r="G9757" s="20"/>
      <c r="H9757" s="19"/>
    </row>
    <row r="9758">
      <c r="A9758" s="9"/>
      <c r="B9758" s="15"/>
      <c r="C9758" s="9"/>
      <c r="D9758" s="15"/>
      <c r="E9758" s="16"/>
      <c r="F9758" s="19"/>
      <c r="G9758" s="20"/>
      <c r="H9758" s="19"/>
    </row>
    <row r="9759">
      <c r="A9759" s="9"/>
      <c r="B9759" s="15"/>
      <c r="C9759" s="9"/>
      <c r="D9759" s="15"/>
      <c r="E9759" s="16"/>
      <c r="F9759" s="19"/>
      <c r="G9759" s="20"/>
      <c r="H9759" s="19"/>
    </row>
    <row r="9760">
      <c r="A9760" s="9"/>
      <c r="B9760" s="15"/>
      <c r="C9760" s="9"/>
      <c r="D9760" s="15"/>
      <c r="E9760" s="16"/>
      <c r="F9760" s="19"/>
      <c r="G9760" s="20"/>
      <c r="H9760" s="19"/>
    </row>
    <row r="9761">
      <c r="A9761" s="9"/>
      <c r="B9761" s="15"/>
      <c r="C9761" s="9"/>
      <c r="D9761" s="15"/>
      <c r="E9761" s="16"/>
      <c r="F9761" s="19"/>
      <c r="G9761" s="20"/>
      <c r="H9761" s="19"/>
    </row>
    <row r="9762">
      <c r="A9762" s="9"/>
      <c r="B9762" s="15"/>
      <c r="C9762" s="9"/>
      <c r="D9762" s="15"/>
      <c r="E9762" s="16"/>
      <c r="F9762" s="19"/>
      <c r="G9762" s="20"/>
      <c r="H9762" s="19"/>
    </row>
    <row r="9763">
      <c r="A9763" s="9"/>
      <c r="B9763" s="15"/>
      <c r="C9763" s="9"/>
      <c r="D9763" s="15"/>
      <c r="E9763" s="16"/>
      <c r="F9763" s="19"/>
      <c r="G9763" s="20"/>
      <c r="H9763" s="19"/>
    </row>
    <row r="9764">
      <c r="A9764" s="9"/>
      <c r="B9764" s="15"/>
      <c r="C9764" s="9"/>
      <c r="D9764" s="15"/>
      <c r="E9764" s="16"/>
      <c r="F9764" s="19"/>
      <c r="G9764" s="20"/>
      <c r="H9764" s="19"/>
    </row>
    <row r="9765">
      <c r="A9765" s="9"/>
      <c r="B9765" s="15"/>
      <c r="C9765" s="9"/>
      <c r="D9765" s="15"/>
      <c r="E9765" s="16"/>
      <c r="F9765" s="19"/>
      <c r="G9765" s="20"/>
      <c r="H9765" s="19"/>
    </row>
    <row r="9766">
      <c r="A9766" s="9"/>
      <c r="B9766" s="15"/>
      <c r="C9766" s="9"/>
      <c r="D9766" s="15"/>
      <c r="E9766" s="16"/>
      <c r="F9766" s="19"/>
      <c r="G9766" s="20"/>
      <c r="H9766" s="19"/>
    </row>
    <row r="9767">
      <c r="A9767" s="9"/>
      <c r="B9767" s="15"/>
      <c r="C9767" s="9"/>
      <c r="D9767" s="15"/>
      <c r="E9767" s="16"/>
      <c r="F9767" s="19"/>
      <c r="G9767" s="20"/>
      <c r="H9767" s="19"/>
    </row>
    <row r="9768">
      <c r="A9768" s="9"/>
      <c r="B9768" s="15"/>
      <c r="C9768" s="9"/>
      <c r="D9768" s="15"/>
      <c r="E9768" s="16"/>
      <c r="F9768" s="19"/>
      <c r="G9768" s="20"/>
      <c r="H9768" s="19"/>
    </row>
    <row r="9769">
      <c r="A9769" s="9"/>
      <c r="B9769" s="15"/>
      <c r="C9769" s="9"/>
      <c r="D9769" s="15"/>
      <c r="E9769" s="16"/>
      <c r="F9769" s="19"/>
      <c r="G9769" s="20"/>
      <c r="H9769" s="19"/>
    </row>
    <row r="9770">
      <c r="A9770" s="9"/>
      <c r="B9770" s="15"/>
      <c r="C9770" s="9"/>
      <c r="D9770" s="15"/>
      <c r="E9770" s="16"/>
      <c r="F9770" s="19"/>
      <c r="G9770" s="20"/>
      <c r="H9770" s="19"/>
    </row>
    <row r="9771">
      <c r="A9771" s="9"/>
      <c r="B9771" s="15"/>
      <c r="C9771" s="9"/>
      <c r="D9771" s="15"/>
      <c r="E9771" s="16"/>
      <c r="F9771" s="19"/>
      <c r="G9771" s="20"/>
      <c r="H9771" s="19"/>
    </row>
    <row r="9772">
      <c r="A9772" s="9"/>
      <c r="B9772" s="15"/>
      <c r="C9772" s="9"/>
      <c r="D9772" s="15"/>
      <c r="E9772" s="16"/>
      <c r="F9772" s="19"/>
      <c r="G9772" s="20"/>
      <c r="H9772" s="19"/>
    </row>
    <row r="9773">
      <c r="A9773" s="9"/>
      <c r="B9773" s="15"/>
      <c r="C9773" s="9"/>
      <c r="D9773" s="15"/>
      <c r="E9773" s="16"/>
      <c r="F9773" s="19"/>
      <c r="G9773" s="20"/>
      <c r="H9773" s="19"/>
    </row>
    <row r="9774">
      <c r="A9774" s="9"/>
      <c r="B9774" s="15"/>
      <c r="C9774" s="9"/>
      <c r="D9774" s="15"/>
      <c r="E9774" s="16"/>
      <c r="F9774" s="19"/>
      <c r="G9774" s="20"/>
      <c r="H9774" s="19"/>
    </row>
    <row r="9775">
      <c r="A9775" s="9"/>
      <c r="B9775" s="15"/>
      <c r="C9775" s="9"/>
      <c r="D9775" s="15"/>
      <c r="E9775" s="16"/>
      <c r="F9775" s="19"/>
      <c r="G9775" s="20"/>
      <c r="H9775" s="19"/>
    </row>
    <row r="9776">
      <c r="A9776" s="9"/>
      <c r="B9776" s="15"/>
      <c r="C9776" s="9"/>
      <c r="D9776" s="15"/>
      <c r="E9776" s="16"/>
      <c r="F9776" s="19"/>
      <c r="G9776" s="20"/>
      <c r="H9776" s="19"/>
    </row>
    <row r="9777">
      <c r="A9777" s="9"/>
      <c r="B9777" s="15"/>
      <c r="C9777" s="9"/>
      <c r="D9777" s="15"/>
      <c r="E9777" s="16"/>
      <c r="F9777" s="19"/>
      <c r="G9777" s="20"/>
      <c r="H9777" s="19"/>
    </row>
    <row r="9778">
      <c r="A9778" s="9"/>
      <c r="B9778" s="15"/>
      <c r="C9778" s="9"/>
      <c r="D9778" s="15"/>
      <c r="E9778" s="16"/>
      <c r="F9778" s="19"/>
      <c r="G9778" s="20"/>
      <c r="H9778" s="19"/>
    </row>
    <row r="9779">
      <c r="A9779" s="9"/>
      <c r="B9779" s="15"/>
      <c r="C9779" s="9"/>
      <c r="D9779" s="15"/>
      <c r="E9779" s="16"/>
      <c r="F9779" s="19"/>
      <c r="G9779" s="20"/>
      <c r="H9779" s="19"/>
    </row>
    <row r="9780">
      <c r="A9780" s="9"/>
      <c r="B9780" s="15"/>
      <c r="C9780" s="9"/>
      <c r="D9780" s="15"/>
      <c r="E9780" s="16"/>
      <c r="F9780" s="19"/>
      <c r="G9780" s="20"/>
      <c r="H9780" s="19"/>
    </row>
    <row r="9781">
      <c r="A9781" s="9"/>
      <c r="B9781" s="15"/>
      <c r="C9781" s="9"/>
      <c r="D9781" s="15"/>
      <c r="E9781" s="16"/>
      <c r="F9781" s="19"/>
      <c r="G9781" s="20"/>
      <c r="H9781" s="19"/>
    </row>
    <row r="9782">
      <c r="A9782" s="9"/>
      <c r="B9782" s="15"/>
      <c r="C9782" s="9"/>
      <c r="D9782" s="15"/>
      <c r="E9782" s="16"/>
      <c r="F9782" s="19"/>
      <c r="G9782" s="20"/>
      <c r="H9782" s="19"/>
    </row>
    <row r="9783">
      <c r="A9783" s="9"/>
      <c r="B9783" s="15"/>
      <c r="C9783" s="9"/>
      <c r="D9783" s="15"/>
      <c r="E9783" s="16"/>
      <c r="F9783" s="19"/>
      <c r="G9783" s="20"/>
      <c r="H9783" s="19"/>
    </row>
    <row r="9784">
      <c r="A9784" s="9"/>
      <c r="B9784" s="15"/>
      <c r="C9784" s="9"/>
      <c r="D9784" s="15"/>
      <c r="E9784" s="16"/>
      <c r="F9784" s="19"/>
      <c r="G9784" s="20"/>
      <c r="H9784" s="19"/>
    </row>
    <row r="9785">
      <c r="A9785" s="9"/>
      <c r="B9785" s="15"/>
      <c r="C9785" s="9"/>
      <c r="D9785" s="15"/>
      <c r="E9785" s="16"/>
      <c r="F9785" s="19"/>
      <c r="G9785" s="20"/>
      <c r="H9785" s="19"/>
    </row>
    <row r="9786">
      <c r="A9786" s="9"/>
      <c r="B9786" s="15"/>
      <c r="C9786" s="9"/>
      <c r="D9786" s="15"/>
      <c r="E9786" s="16"/>
      <c r="F9786" s="19"/>
      <c r="G9786" s="20"/>
      <c r="H9786" s="19"/>
    </row>
    <row r="9787">
      <c r="A9787" s="9"/>
      <c r="B9787" s="15"/>
      <c r="C9787" s="9"/>
      <c r="D9787" s="15"/>
      <c r="E9787" s="16"/>
      <c r="F9787" s="19"/>
      <c r="G9787" s="20"/>
      <c r="H9787" s="19"/>
    </row>
    <row r="9788">
      <c r="A9788" s="9"/>
      <c r="B9788" s="15"/>
      <c r="C9788" s="9"/>
      <c r="D9788" s="15"/>
      <c r="E9788" s="16"/>
      <c r="F9788" s="19"/>
      <c r="G9788" s="20"/>
      <c r="H9788" s="19"/>
    </row>
    <row r="9789">
      <c r="A9789" s="9"/>
      <c r="B9789" s="15"/>
      <c r="C9789" s="9"/>
      <c r="D9789" s="15"/>
      <c r="E9789" s="16"/>
      <c r="F9789" s="19"/>
      <c r="G9789" s="20"/>
      <c r="H9789" s="19"/>
    </row>
    <row r="9790">
      <c r="A9790" s="9"/>
      <c r="B9790" s="15"/>
      <c r="C9790" s="9"/>
      <c r="D9790" s="15"/>
      <c r="E9790" s="16"/>
      <c r="F9790" s="19"/>
      <c r="G9790" s="20"/>
      <c r="H9790" s="19"/>
    </row>
    <row r="9791">
      <c r="A9791" s="9"/>
      <c r="B9791" s="15"/>
      <c r="C9791" s="9"/>
      <c r="D9791" s="15"/>
      <c r="E9791" s="16"/>
      <c r="F9791" s="19"/>
      <c r="G9791" s="20"/>
      <c r="H9791" s="19"/>
    </row>
    <row r="9792">
      <c r="A9792" s="9"/>
      <c r="B9792" s="15"/>
      <c r="C9792" s="9"/>
      <c r="D9792" s="15"/>
      <c r="E9792" s="16"/>
      <c r="F9792" s="19"/>
      <c r="G9792" s="20"/>
      <c r="H9792" s="19"/>
    </row>
    <row r="9793">
      <c r="A9793" s="9"/>
      <c r="B9793" s="15"/>
      <c r="C9793" s="9"/>
      <c r="D9793" s="15"/>
      <c r="E9793" s="16"/>
      <c r="F9793" s="19"/>
      <c r="G9793" s="20"/>
      <c r="H9793" s="19"/>
    </row>
    <row r="9794">
      <c r="A9794" s="9"/>
      <c r="B9794" s="15"/>
      <c r="C9794" s="9"/>
      <c r="D9794" s="15"/>
      <c r="E9794" s="16"/>
      <c r="F9794" s="19"/>
      <c r="G9794" s="20"/>
      <c r="H9794" s="19"/>
    </row>
    <row r="9795">
      <c r="A9795" s="9"/>
      <c r="B9795" s="15"/>
      <c r="C9795" s="9"/>
      <c r="D9795" s="15"/>
      <c r="E9795" s="16"/>
      <c r="F9795" s="19"/>
      <c r="G9795" s="20"/>
      <c r="H9795" s="19"/>
    </row>
    <row r="9796">
      <c r="A9796" s="9"/>
      <c r="B9796" s="15"/>
      <c r="C9796" s="9"/>
      <c r="D9796" s="15"/>
      <c r="E9796" s="16"/>
      <c r="F9796" s="19"/>
      <c r="G9796" s="20"/>
      <c r="H9796" s="19"/>
    </row>
    <row r="9797">
      <c r="A9797" s="9"/>
      <c r="B9797" s="15"/>
      <c r="C9797" s="9"/>
      <c r="D9797" s="15"/>
      <c r="E9797" s="16"/>
      <c r="F9797" s="19"/>
      <c r="G9797" s="20"/>
      <c r="H9797" s="19"/>
    </row>
    <row r="9798">
      <c r="A9798" s="9"/>
      <c r="B9798" s="15"/>
      <c r="C9798" s="9"/>
      <c r="D9798" s="15"/>
      <c r="E9798" s="16"/>
      <c r="F9798" s="19"/>
      <c r="G9798" s="20"/>
      <c r="H9798" s="19"/>
    </row>
    <row r="9799">
      <c r="A9799" s="9"/>
      <c r="B9799" s="15"/>
      <c r="C9799" s="9"/>
      <c r="D9799" s="15"/>
      <c r="E9799" s="16"/>
      <c r="F9799" s="19"/>
      <c r="G9799" s="20"/>
      <c r="H9799" s="19"/>
    </row>
    <row r="9800">
      <c r="A9800" s="9"/>
      <c r="B9800" s="15"/>
      <c r="C9800" s="9"/>
      <c r="D9800" s="15"/>
      <c r="E9800" s="16"/>
      <c r="F9800" s="19"/>
      <c r="G9800" s="20"/>
      <c r="H9800" s="19"/>
    </row>
    <row r="9801">
      <c r="A9801" s="9"/>
      <c r="B9801" s="15"/>
      <c r="C9801" s="9"/>
      <c r="D9801" s="15"/>
      <c r="E9801" s="16"/>
      <c r="F9801" s="19"/>
      <c r="G9801" s="20"/>
      <c r="H9801" s="19"/>
    </row>
    <row r="9802">
      <c r="A9802" s="9"/>
      <c r="B9802" s="15"/>
      <c r="C9802" s="9"/>
      <c r="D9802" s="15"/>
      <c r="E9802" s="16"/>
      <c r="F9802" s="19"/>
      <c r="G9802" s="20"/>
      <c r="H9802" s="19"/>
    </row>
    <row r="9803">
      <c r="A9803" s="9"/>
      <c r="B9803" s="15"/>
      <c r="C9803" s="9"/>
      <c r="D9803" s="15"/>
      <c r="E9803" s="16"/>
      <c r="F9803" s="19"/>
      <c r="G9803" s="20"/>
      <c r="H9803" s="19"/>
    </row>
    <row r="9804">
      <c r="A9804" s="9"/>
      <c r="B9804" s="15"/>
      <c r="C9804" s="9"/>
      <c r="D9804" s="15"/>
      <c r="E9804" s="16"/>
      <c r="F9804" s="19"/>
      <c r="G9804" s="20"/>
      <c r="H9804" s="19"/>
    </row>
    <row r="9805">
      <c r="A9805" s="9"/>
      <c r="B9805" s="15"/>
      <c r="C9805" s="9"/>
      <c r="D9805" s="15"/>
      <c r="E9805" s="16"/>
      <c r="F9805" s="19"/>
      <c r="G9805" s="20"/>
      <c r="H9805" s="19"/>
    </row>
    <row r="9806">
      <c r="A9806" s="9"/>
      <c r="B9806" s="15"/>
      <c r="C9806" s="9"/>
      <c r="D9806" s="15"/>
      <c r="E9806" s="16"/>
      <c r="F9806" s="19"/>
      <c r="G9806" s="20"/>
      <c r="H9806" s="19"/>
    </row>
    <row r="9807">
      <c r="A9807" s="9"/>
      <c r="B9807" s="15"/>
      <c r="C9807" s="9"/>
      <c r="D9807" s="15"/>
      <c r="E9807" s="16"/>
      <c r="F9807" s="19"/>
      <c r="G9807" s="20"/>
      <c r="H9807" s="19"/>
    </row>
    <row r="9808">
      <c r="A9808" s="9"/>
      <c r="B9808" s="15"/>
      <c r="C9808" s="9"/>
      <c r="D9808" s="15"/>
      <c r="E9808" s="16"/>
      <c r="F9808" s="19"/>
      <c r="G9808" s="20"/>
      <c r="H9808" s="19"/>
    </row>
    <row r="9809">
      <c r="A9809" s="9"/>
      <c r="B9809" s="15"/>
      <c r="C9809" s="9"/>
      <c r="D9809" s="15"/>
      <c r="E9809" s="16"/>
      <c r="F9809" s="19"/>
      <c r="G9809" s="20"/>
      <c r="H9809" s="19"/>
    </row>
    <row r="9810">
      <c r="A9810" s="9"/>
      <c r="B9810" s="15"/>
      <c r="C9810" s="9"/>
      <c r="D9810" s="15"/>
      <c r="E9810" s="16"/>
      <c r="F9810" s="19"/>
      <c r="G9810" s="20"/>
      <c r="H9810" s="19"/>
    </row>
    <row r="9811">
      <c r="A9811" s="9"/>
      <c r="B9811" s="15"/>
      <c r="C9811" s="9"/>
      <c r="D9811" s="15"/>
      <c r="E9811" s="16"/>
      <c r="F9811" s="19"/>
      <c r="G9811" s="20"/>
      <c r="H9811" s="19"/>
    </row>
    <row r="9812">
      <c r="A9812" s="9"/>
      <c r="B9812" s="15"/>
      <c r="C9812" s="9"/>
      <c r="D9812" s="15"/>
      <c r="E9812" s="16"/>
      <c r="F9812" s="19"/>
      <c r="G9812" s="20"/>
      <c r="H9812" s="19"/>
    </row>
    <row r="9813">
      <c r="A9813" s="9"/>
      <c r="B9813" s="15"/>
      <c r="C9813" s="9"/>
      <c r="D9813" s="15"/>
      <c r="E9813" s="16"/>
      <c r="F9813" s="19"/>
      <c r="G9813" s="20"/>
      <c r="H9813" s="19"/>
    </row>
    <row r="9814">
      <c r="A9814" s="9"/>
      <c r="B9814" s="15"/>
      <c r="C9814" s="9"/>
      <c r="D9814" s="15"/>
      <c r="E9814" s="16"/>
      <c r="F9814" s="19"/>
      <c r="G9814" s="20"/>
      <c r="H9814" s="19"/>
    </row>
    <row r="9815">
      <c r="A9815" s="9"/>
      <c r="B9815" s="15"/>
      <c r="C9815" s="9"/>
      <c r="D9815" s="15"/>
      <c r="E9815" s="16"/>
      <c r="F9815" s="19"/>
      <c r="G9815" s="20"/>
      <c r="H9815" s="19"/>
    </row>
    <row r="9816">
      <c r="A9816" s="9"/>
      <c r="B9816" s="15"/>
      <c r="C9816" s="9"/>
      <c r="D9816" s="15"/>
      <c r="E9816" s="16"/>
      <c r="F9816" s="19"/>
      <c r="G9816" s="20"/>
      <c r="H9816" s="19"/>
    </row>
    <row r="9817">
      <c r="A9817" s="9"/>
      <c r="B9817" s="15"/>
      <c r="C9817" s="9"/>
      <c r="D9817" s="15"/>
      <c r="E9817" s="16"/>
      <c r="F9817" s="19"/>
      <c r="G9817" s="20"/>
      <c r="H9817" s="19"/>
    </row>
    <row r="9818">
      <c r="A9818" s="9"/>
      <c r="B9818" s="15"/>
      <c r="C9818" s="9"/>
      <c r="D9818" s="15"/>
      <c r="E9818" s="16"/>
      <c r="F9818" s="19"/>
      <c r="G9818" s="20"/>
      <c r="H9818" s="19"/>
    </row>
    <row r="9819">
      <c r="A9819" s="9"/>
      <c r="B9819" s="15"/>
      <c r="C9819" s="9"/>
      <c r="D9819" s="15"/>
      <c r="E9819" s="16"/>
      <c r="F9819" s="19"/>
      <c r="G9819" s="20"/>
      <c r="H9819" s="19"/>
    </row>
    <row r="9820">
      <c r="A9820" s="9"/>
      <c r="B9820" s="15"/>
      <c r="C9820" s="9"/>
      <c r="D9820" s="15"/>
      <c r="E9820" s="16"/>
      <c r="F9820" s="19"/>
      <c r="G9820" s="20"/>
      <c r="H9820" s="19"/>
    </row>
    <row r="9821">
      <c r="A9821" s="9"/>
      <c r="B9821" s="15"/>
      <c r="C9821" s="9"/>
      <c r="D9821" s="15"/>
      <c r="E9821" s="16"/>
      <c r="F9821" s="19"/>
      <c r="G9821" s="20"/>
      <c r="H9821" s="19"/>
    </row>
    <row r="9822">
      <c r="A9822" s="9"/>
      <c r="B9822" s="15"/>
      <c r="C9822" s="9"/>
      <c r="D9822" s="15"/>
      <c r="E9822" s="16"/>
      <c r="F9822" s="19"/>
      <c r="G9822" s="20"/>
      <c r="H9822" s="19"/>
    </row>
    <row r="9823">
      <c r="A9823" s="9"/>
      <c r="B9823" s="15"/>
      <c r="C9823" s="9"/>
      <c r="D9823" s="15"/>
      <c r="E9823" s="16"/>
      <c r="F9823" s="19"/>
      <c r="G9823" s="20"/>
      <c r="H9823" s="19"/>
    </row>
    <row r="9824">
      <c r="A9824" s="9"/>
      <c r="B9824" s="15"/>
      <c r="C9824" s="9"/>
      <c r="D9824" s="15"/>
      <c r="E9824" s="16"/>
      <c r="F9824" s="19"/>
      <c r="G9824" s="20"/>
      <c r="H9824" s="19"/>
    </row>
    <row r="9825">
      <c r="A9825" s="9"/>
      <c r="B9825" s="15"/>
      <c r="C9825" s="9"/>
      <c r="D9825" s="15"/>
      <c r="E9825" s="16"/>
      <c r="F9825" s="19"/>
      <c r="G9825" s="20"/>
      <c r="H9825" s="19"/>
    </row>
    <row r="9826">
      <c r="A9826" s="9"/>
      <c r="B9826" s="15"/>
      <c r="C9826" s="9"/>
      <c r="D9826" s="15"/>
      <c r="E9826" s="16"/>
      <c r="F9826" s="19"/>
      <c r="G9826" s="20"/>
      <c r="H9826" s="19"/>
    </row>
    <row r="9827">
      <c r="A9827" s="9"/>
      <c r="B9827" s="15"/>
      <c r="C9827" s="9"/>
      <c r="D9827" s="15"/>
      <c r="E9827" s="16"/>
      <c r="F9827" s="19"/>
      <c r="G9827" s="20"/>
      <c r="H9827" s="19"/>
    </row>
    <row r="9828">
      <c r="A9828" s="9"/>
      <c r="B9828" s="15"/>
      <c r="C9828" s="9"/>
      <c r="D9828" s="15"/>
      <c r="E9828" s="16"/>
      <c r="F9828" s="19"/>
      <c r="G9828" s="20"/>
      <c r="H9828" s="19"/>
    </row>
    <row r="9829">
      <c r="A9829" s="9"/>
      <c r="B9829" s="15"/>
      <c r="C9829" s="9"/>
      <c r="D9829" s="15"/>
      <c r="E9829" s="16"/>
      <c r="F9829" s="19"/>
      <c r="G9829" s="20"/>
      <c r="H9829" s="19"/>
    </row>
    <row r="9830">
      <c r="A9830" s="9"/>
      <c r="B9830" s="15"/>
      <c r="C9830" s="9"/>
      <c r="D9830" s="15"/>
      <c r="E9830" s="16"/>
      <c r="F9830" s="19"/>
      <c r="G9830" s="20"/>
      <c r="H9830" s="19"/>
    </row>
    <row r="9831">
      <c r="A9831" s="9"/>
      <c r="B9831" s="15"/>
      <c r="C9831" s="9"/>
      <c r="D9831" s="15"/>
      <c r="E9831" s="16"/>
      <c r="F9831" s="19"/>
      <c r="G9831" s="20"/>
      <c r="H9831" s="19"/>
    </row>
    <row r="9832">
      <c r="A9832" s="9"/>
      <c r="B9832" s="15"/>
      <c r="C9832" s="9"/>
      <c r="D9832" s="15"/>
      <c r="E9832" s="16"/>
      <c r="F9832" s="19"/>
      <c r="G9832" s="20"/>
      <c r="H9832" s="19"/>
    </row>
    <row r="9833">
      <c r="A9833" s="9"/>
      <c r="B9833" s="15"/>
      <c r="C9833" s="9"/>
      <c r="D9833" s="15"/>
      <c r="E9833" s="16"/>
      <c r="F9833" s="19"/>
      <c r="G9833" s="20"/>
      <c r="H9833" s="19"/>
    </row>
    <row r="9834">
      <c r="A9834" s="9"/>
      <c r="B9834" s="15"/>
      <c r="C9834" s="9"/>
      <c r="D9834" s="15"/>
      <c r="E9834" s="16"/>
      <c r="F9834" s="19"/>
      <c r="G9834" s="20"/>
      <c r="H9834" s="19"/>
    </row>
    <row r="9835">
      <c r="A9835" s="9"/>
      <c r="B9835" s="15"/>
      <c r="C9835" s="9"/>
      <c r="D9835" s="15"/>
      <c r="E9835" s="16"/>
      <c r="F9835" s="19"/>
      <c r="G9835" s="20"/>
      <c r="H9835" s="19"/>
    </row>
    <row r="9836">
      <c r="A9836" s="9"/>
      <c r="B9836" s="15"/>
      <c r="C9836" s="9"/>
      <c r="D9836" s="15"/>
      <c r="E9836" s="16"/>
      <c r="F9836" s="19"/>
      <c r="G9836" s="20"/>
      <c r="H9836" s="19"/>
    </row>
    <row r="9837">
      <c r="A9837" s="9"/>
      <c r="B9837" s="15"/>
      <c r="C9837" s="9"/>
      <c r="D9837" s="15"/>
      <c r="E9837" s="16"/>
      <c r="F9837" s="19"/>
      <c r="G9837" s="20"/>
      <c r="H9837" s="19"/>
    </row>
    <row r="9838">
      <c r="A9838" s="9"/>
      <c r="B9838" s="15"/>
      <c r="C9838" s="9"/>
      <c r="D9838" s="15"/>
      <c r="E9838" s="16"/>
      <c r="F9838" s="19"/>
      <c r="G9838" s="20"/>
      <c r="H9838" s="19"/>
    </row>
    <row r="9839">
      <c r="A9839" s="9"/>
      <c r="B9839" s="15"/>
      <c r="C9839" s="9"/>
      <c r="D9839" s="15"/>
      <c r="E9839" s="16"/>
      <c r="F9839" s="19"/>
      <c r="G9839" s="20"/>
      <c r="H9839" s="19"/>
    </row>
    <row r="9840">
      <c r="A9840" s="9"/>
      <c r="B9840" s="15"/>
      <c r="C9840" s="9"/>
      <c r="D9840" s="15"/>
      <c r="E9840" s="16"/>
      <c r="F9840" s="19"/>
      <c r="G9840" s="20"/>
      <c r="H9840" s="19"/>
    </row>
    <row r="9841">
      <c r="A9841" s="9"/>
      <c r="B9841" s="15"/>
      <c r="C9841" s="9"/>
      <c r="D9841" s="15"/>
      <c r="E9841" s="16"/>
      <c r="F9841" s="19"/>
      <c r="G9841" s="20"/>
      <c r="H9841" s="19"/>
    </row>
    <row r="9842">
      <c r="A9842" s="9"/>
      <c r="B9842" s="15"/>
      <c r="C9842" s="9"/>
      <c r="D9842" s="15"/>
      <c r="E9842" s="16"/>
      <c r="F9842" s="19"/>
      <c r="G9842" s="20"/>
      <c r="H9842" s="19"/>
    </row>
    <row r="9843">
      <c r="A9843" s="9"/>
      <c r="B9843" s="15"/>
      <c r="C9843" s="9"/>
      <c r="D9843" s="15"/>
      <c r="E9843" s="16"/>
      <c r="F9843" s="19"/>
      <c r="G9843" s="20"/>
      <c r="H9843" s="19"/>
    </row>
    <row r="9844">
      <c r="A9844" s="9"/>
      <c r="B9844" s="15"/>
      <c r="C9844" s="9"/>
      <c r="D9844" s="15"/>
      <c r="E9844" s="16"/>
      <c r="F9844" s="19"/>
      <c r="G9844" s="20"/>
      <c r="H9844" s="19"/>
    </row>
    <row r="9845">
      <c r="A9845" s="9"/>
      <c r="B9845" s="15"/>
      <c r="C9845" s="9"/>
      <c r="D9845" s="15"/>
      <c r="E9845" s="16"/>
      <c r="F9845" s="19"/>
      <c r="G9845" s="20"/>
      <c r="H9845" s="19"/>
    </row>
    <row r="9846">
      <c r="A9846" s="9"/>
      <c r="B9846" s="15"/>
      <c r="C9846" s="9"/>
      <c r="D9846" s="15"/>
      <c r="E9846" s="16"/>
      <c r="F9846" s="19"/>
      <c r="G9846" s="20"/>
      <c r="H9846" s="19"/>
    </row>
    <row r="9847">
      <c r="A9847" s="9"/>
      <c r="B9847" s="15"/>
      <c r="C9847" s="9"/>
      <c r="D9847" s="15"/>
      <c r="E9847" s="16"/>
      <c r="F9847" s="19"/>
      <c r="G9847" s="20"/>
      <c r="H9847" s="19"/>
    </row>
    <row r="9848">
      <c r="A9848" s="9"/>
      <c r="B9848" s="15"/>
      <c r="C9848" s="9"/>
      <c r="D9848" s="15"/>
      <c r="E9848" s="16"/>
      <c r="F9848" s="19"/>
      <c r="G9848" s="20"/>
      <c r="H9848" s="19"/>
    </row>
    <row r="9849">
      <c r="A9849" s="9"/>
      <c r="B9849" s="15"/>
      <c r="C9849" s="9"/>
      <c r="D9849" s="15"/>
      <c r="E9849" s="16"/>
      <c r="F9849" s="19"/>
      <c r="G9849" s="20"/>
      <c r="H9849" s="19"/>
    </row>
    <row r="9850">
      <c r="A9850" s="9"/>
      <c r="B9850" s="15"/>
      <c r="C9850" s="9"/>
      <c r="D9850" s="15"/>
      <c r="E9850" s="16"/>
      <c r="F9850" s="19"/>
      <c r="G9850" s="20"/>
      <c r="H9850" s="19"/>
    </row>
    <row r="9851">
      <c r="A9851" s="9"/>
      <c r="B9851" s="15"/>
      <c r="C9851" s="9"/>
      <c r="D9851" s="15"/>
      <c r="E9851" s="16"/>
      <c r="F9851" s="19"/>
      <c r="G9851" s="20"/>
      <c r="H9851" s="19"/>
    </row>
    <row r="9852">
      <c r="A9852" s="9"/>
      <c r="B9852" s="15"/>
      <c r="C9852" s="9"/>
      <c r="D9852" s="15"/>
      <c r="E9852" s="16"/>
      <c r="F9852" s="19"/>
      <c r="G9852" s="20"/>
      <c r="H9852" s="19"/>
    </row>
    <row r="9853">
      <c r="A9853" s="9"/>
      <c r="B9853" s="15"/>
      <c r="C9853" s="9"/>
      <c r="D9853" s="15"/>
      <c r="E9853" s="16"/>
      <c r="F9853" s="19"/>
      <c r="G9853" s="20"/>
      <c r="H9853" s="19"/>
    </row>
    <row r="9854">
      <c r="A9854" s="9"/>
      <c r="B9854" s="15"/>
      <c r="C9854" s="9"/>
      <c r="D9854" s="15"/>
      <c r="E9854" s="16"/>
      <c r="F9854" s="19"/>
      <c r="G9854" s="20"/>
      <c r="H9854" s="19"/>
    </row>
    <row r="9855">
      <c r="A9855" s="9"/>
      <c r="B9855" s="15"/>
      <c r="C9855" s="9"/>
      <c r="D9855" s="15"/>
      <c r="E9855" s="16"/>
      <c r="F9855" s="19"/>
      <c r="G9855" s="20"/>
      <c r="H9855" s="19"/>
    </row>
    <row r="9856">
      <c r="A9856" s="9"/>
      <c r="B9856" s="15"/>
      <c r="C9856" s="9"/>
      <c r="D9856" s="15"/>
      <c r="E9856" s="16"/>
      <c r="F9856" s="19"/>
      <c r="G9856" s="20"/>
      <c r="H9856" s="19"/>
    </row>
    <row r="9857">
      <c r="A9857" s="9"/>
      <c r="B9857" s="15"/>
      <c r="C9857" s="9"/>
      <c r="D9857" s="15"/>
      <c r="E9857" s="16"/>
      <c r="F9857" s="19"/>
      <c r="G9857" s="20"/>
      <c r="H9857" s="19"/>
    </row>
    <row r="9858">
      <c r="A9858" s="9"/>
      <c r="B9858" s="15"/>
      <c r="C9858" s="9"/>
      <c r="D9858" s="15"/>
      <c r="E9858" s="16"/>
      <c r="F9858" s="19"/>
      <c r="G9858" s="20"/>
      <c r="H9858" s="19"/>
    </row>
    <row r="9859">
      <c r="A9859" s="9"/>
      <c r="B9859" s="15"/>
      <c r="C9859" s="9"/>
      <c r="D9859" s="15"/>
      <c r="E9859" s="16"/>
      <c r="F9859" s="19"/>
      <c r="G9859" s="20"/>
      <c r="H9859" s="19"/>
    </row>
    <row r="9860">
      <c r="A9860" s="9"/>
      <c r="B9860" s="15"/>
      <c r="C9860" s="9"/>
      <c r="D9860" s="15"/>
      <c r="E9860" s="16"/>
      <c r="F9860" s="19"/>
      <c r="G9860" s="20"/>
      <c r="H9860" s="19"/>
    </row>
    <row r="9861">
      <c r="A9861" s="9"/>
      <c r="B9861" s="15"/>
      <c r="C9861" s="9"/>
      <c r="D9861" s="15"/>
      <c r="E9861" s="16"/>
      <c r="F9861" s="19"/>
      <c r="G9861" s="20"/>
      <c r="H9861" s="19"/>
    </row>
    <row r="9862">
      <c r="A9862" s="9"/>
      <c r="B9862" s="15"/>
      <c r="C9862" s="9"/>
      <c r="D9862" s="15"/>
      <c r="E9862" s="16"/>
      <c r="F9862" s="19"/>
      <c r="G9862" s="20"/>
      <c r="H9862" s="19"/>
    </row>
    <row r="9863">
      <c r="A9863" s="9"/>
      <c r="B9863" s="15"/>
      <c r="C9863" s="9"/>
      <c r="D9863" s="15"/>
      <c r="E9863" s="16"/>
      <c r="F9863" s="19"/>
      <c r="G9863" s="20"/>
      <c r="H9863" s="19"/>
    </row>
    <row r="9864">
      <c r="A9864" s="9"/>
      <c r="B9864" s="15"/>
      <c r="C9864" s="9"/>
      <c r="D9864" s="15"/>
      <c r="E9864" s="16"/>
      <c r="F9864" s="19"/>
      <c r="G9864" s="20"/>
      <c r="H9864" s="19"/>
    </row>
    <row r="9865">
      <c r="A9865" s="9"/>
      <c r="B9865" s="15"/>
      <c r="C9865" s="9"/>
      <c r="D9865" s="15"/>
      <c r="E9865" s="16"/>
      <c r="F9865" s="19"/>
      <c r="G9865" s="20"/>
      <c r="H9865" s="19"/>
    </row>
    <row r="9866">
      <c r="A9866" s="9"/>
      <c r="B9866" s="15"/>
      <c r="C9866" s="9"/>
      <c r="D9866" s="15"/>
      <c r="E9866" s="16"/>
      <c r="F9866" s="19"/>
      <c r="G9866" s="20"/>
      <c r="H9866" s="19"/>
    </row>
    <row r="9867">
      <c r="A9867" s="9"/>
      <c r="B9867" s="15"/>
      <c r="C9867" s="9"/>
      <c r="D9867" s="15"/>
      <c r="E9867" s="16"/>
      <c r="F9867" s="19"/>
      <c r="G9867" s="20"/>
      <c r="H9867" s="19"/>
    </row>
    <row r="9868">
      <c r="A9868" s="9"/>
      <c r="B9868" s="15"/>
      <c r="C9868" s="9"/>
      <c r="D9868" s="15"/>
      <c r="E9868" s="16"/>
      <c r="F9868" s="19"/>
      <c r="G9868" s="20"/>
      <c r="H9868" s="19"/>
    </row>
    <row r="9869">
      <c r="A9869" s="9"/>
      <c r="B9869" s="15"/>
      <c r="C9869" s="9"/>
      <c r="D9869" s="15"/>
      <c r="E9869" s="16"/>
      <c r="F9869" s="19"/>
      <c r="G9869" s="20"/>
      <c r="H9869" s="19"/>
    </row>
    <row r="9870">
      <c r="A9870" s="9"/>
      <c r="B9870" s="15"/>
      <c r="C9870" s="9"/>
      <c r="D9870" s="15"/>
      <c r="E9870" s="16"/>
      <c r="F9870" s="19"/>
      <c r="G9870" s="20"/>
      <c r="H9870" s="19"/>
    </row>
    <row r="9871">
      <c r="A9871" s="9"/>
      <c r="B9871" s="15"/>
      <c r="C9871" s="9"/>
      <c r="D9871" s="15"/>
      <c r="E9871" s="16"/>
      <c r="F9871" s="19"/>
      <c r="G9871" s="20"/>
      <c r="H9871" s="19"/>
    </row>
    <row r="9872">
      <c r="A9872" s="9"/>
      <c r="B9872" s="15"/>
      <c r="C9872" s="9"/>
      <c r="D9872" s="15"/>
      <c r="E9872" s="16"/>
      <c r="F9872" s="19"/>
      <c r="G9872" s="20"/>
      <c r="H9872" s="19"/>
    </row>
    <row r="9873">
      <c r="A9873" s="9"/>
      <c r="B9873" s="15"/>
      <c r="C9873" s="9"/>
      <c r="D9873" s="15"/>
      <c r="E9873" s="16"/>
      <c r="F9873" s="19"/>
      <c r="G9873" s="20"/>
      <c r="H9873" s="19"/>
    </row>
    <row r="9874">
      <c r="A9874" s="9"/>
      <c r="B9874" s="15"/>
      <c r="C9874" s="9"/>
      <c r="D9874" s="15"/>
      <c r="E9874" s="16"/>
      <c r="F9874" s="19"/>
      <c r="G9874" s="20"/>
      <c r="H9874" s="19"/>
    </row>
    <row r="9875">
      <c r="A9875" s="9"/>
      <c r="B9875" s="15"/>
      <c r="C9875" s="9"/>
      <c r="D9875" s="15"/>
      <c r="E9875" s="16"/>
      <c r="F9875" s="19"/>
      <c r="G9875" s="20"/>
      <c r="H9875" s="19"/>
    </row>
    <row r="9876">
      <c r="A9876" s="9"/>
      <c r="B9876" s="15"/>
      <c r="C9876" s="9"/>
      <c r="D9876" s="15"/>
      <c r="E9876" s="16"/>
      <c r="F9876" s="19"/>
      <c r="G9876" s="20"/>
      <c r="H9876" s="19"/>
    </row>
    <row r="9877">
      <c r="A9877" s="9"/>
      <c r="B9877" s="15"/>
      <c r="C9877" s="9"/>
      <c r="D9877" s="15"/>
      <c r="E9877" s="16"/>
      <c r="F9877" s="19"/>
      <c r="G9877" s="20"/>
      <c r="H9877" s="19"/>
    </row>
    <row r="9878">
      <c r="A9878" s="9"/>
      <c r="B9878" s="15"/>
      <c r="C9878" s="9"/>
      <c r="D9878" s="15"/>
      <c r="E9878" s="16"/>
      <c r="F9878" s="19"/>
      <c r="G9878" s="20"/>
      <c r="H9878" s="19"/>
    </row>
    <row r="9879">
      <c r="A9879" s="9"/>
      <c r="B9879" s="15"/>
      <c r="C9879" s="9"/>
      <c r="D9879" s="15"/>
      <c r="E9879" s="16"/>
      <c r="F9879" s="19"/>
      <c r="G9879" s="20"/>
      <c r="H9879" s="19"/>
    </row>
    <row r="9880">
      <c r="A9880" s="9"/>
      <c r="B9880" s="15"/>
      <c r="C9880" s="9"/>
      <c r="D9880" s="15"/>
      <c r="E9880" s="16"/>
      <c r="F9880" s="19"/>
      <c r="G9880" s="20"/>
      <c r="H9880" s="19"/>
    </row>
    <row r="9881">
      <c r="A9881" s="9"/>
      <c r="B9881" s="15"/>
      <c r="C9881" s="9"/>
      <c r="D9881" s="15"/>
      <c r="E9881" s="16"/>
      <c r="F9881" s="19"/>
      <c r="G9881" s="20"/>
      <c r="H9881" s="19"/>
    </row>
    <row r="9882">
      <c r="A9882" s="9"/>
      <c r="B9882" s="15"/>
      <c r="C9882" s="9"/>
      <c r="D9882" s="15"/>
      <c r="E9882" s="16"/>
      <c r="F9882" s="19"/>
      <c r="G9882" s="20"/>
      <c r="H9882" s="19"/>
    </row>
    <row r="9883">
      <c r="A9883" s="9"/>
      <c r="B9883" s="15"/>
      <c r="C9883" s="9"/>
      <c r="D9883" s="15"/>
      <c r="E9883" s="16"/>
      <c r="F9883" s="19"/>
      <c r="G9883" s="20"/>
      <c r="H9883" s="19"/>
    </row>
    <row r="9884">
      <c r="A9884" s="9"/>
      <c r="B9884" s="15"/>
      <c r="C9884" s="9"/>
      <c r="D9884" s="15"/>
      <c r="E9884" s="16"/>
      <c r="F9884" s="19"/>
      <c r="G9884" s="20"/>
      <c r="H9884" s="19"/>
    </row>
    <row r="9885">
      <c r="A9885" s="9"/>
      <c r="B9885" s="15"/>
      <c r="C9885" s="9"/>
      <c r="D9885" s="15"/>
      <c r="E9885" s="16"/>
      <c r="F9885" s="19"/>
      <c r="G9885" s="20"/>
      <c r="H9885" s="19"/>
    </row>
    <row r="9886">
      <c r="A9886" s="9"/>
      <c r="B9886" s="15"/>
      <c r="C9886" s="9"/>
      <c r="D9886" s="15"/>
      <c r="E9886" s="16"/>
      <c r="F9886" s="19"/>
      <c r="G9886" s="20"/>
      <c r="H9886" s="19"/>
    </row>
    <row r="9887">
      <c r="A9887" s="9"/>
      <c r="B9887" s="15"/>
      <c r="C9887" s="9"/>
      <c r="D9887" s="15"/>
      <c r="E9887" s="16"/>
      <c r="F9887" s="19"/>
      <c r="G9887" s="20"/>
      <c r="H9887" s="19"/>
    </row>
    <row r="9888">
      <c r="A9888" s="9"/>
      <c r="B9888" s="15"/>
      <c r="C9888" s="9"/>
      <c r="D9888" s="15"/>
      <c r="E9888" s="16"/>
      <c r="F9888" s="19"/>
      <c r="G9888" s="20"/>
      <c r="H9888" s="19"/>
    </row>
    <row r="9889">
      <c r="A9889" s="9"/>
      <c r="B9889" s="15"/>
      <c r="C9889" s="9"/>
      <c r="D9889" s="15"/>
      <c r="E9889" s="16"/>
      <c r="F9889" s="19"/>
      <c r="G9889" s="20"/>
      <c r="H9889" s="19"/>
    </row>
    <row r="9890">
      <c r="A9890" s="9"/>
      <c r="B9890" s="15"/>
      <c r="C9890" s="9"/>
      <c r="D9890" s="15"/>
      <c r="E9890" s="16"/>
      <c r="F9890" s="19"/>
      <c r="G9890" s="20"/>
      <c r="H9890" s="19"/>
    </row>
    <row r="9891">
      <c r="A9891" s="9"/>
      <c r="B9891" s="15"/>
      <c r="C9891" s="9"/>
      <c r="D9891" s="15"/>
      <c r="E9891" s="16"/>
      <c r="F9891" s="19"/>
      <c r="G9891" s="20"/>
      <c r="H9891" s="19"/>
    </row>
    <row r="9892">
      <c r="A9892" s="9"/>
      <c r="B9892" s="15"/>
      <c r="C9892" s="9"/>
      <c r="D9892" s="15"/>
      <c r="E9892" s="16"/>
      <c r="F9892" s="19"/>
      <c r="G9892" s="20"/>
      <c r="H9892" s="19"/>
    </row>
    <row r="9893">
      <c r="A9893" s="9"/>
      <c r="B9893" s="15"/>
      <c r="C9893" s="9"/>
      <c r="D9893" s="15"/>
      <c r="E9893" s="16"/>
      <c r="F9893" s="19"/>
      <c r="G9893" s="20"/>
      <c r="H9893" s="19"/>
    </row>
    <row r="9894">
      <c r="A9894" s="9"/>
      <c r="B9894" s="15"/>
      <c r="C9894" s="9"/>
      <c r="D9894" s="15"/>
      <c r="E9894" s="16"/>
      <c r="F9894" s="19"/>
      <c r="G9894" s="20"/>
      <c r="H9894" s="19"/>
    </row>
    <row r="9895">
      <c r="A9895" s="9"/>
      <c r="B9895" s="15"/>
      <c r="C9895" s="9"/>
      <c r="D9895" s="15"/>
      <c r="E9895" s="16"/>
      <c r="F9895" s="19"/>
      <c r="G9895" s="20"/>
      <c r="H9895" s="19"/>
    </row>
    <row r="9896">
      <c r="A9896" s="9"/>
      <c r="B9896" s="15"/>
      <c r="C9896" s="9"/>
      <c r="D9896" s="15"/>
      <c r="E9896" s="16"/>
      <c r="F9896" s="19"/>
      <c r="G9896" s="20"/>
      <c r="H9896" s="19"/>
    </row>
    <row r="9897">
      <c r="A9897" s="9"/>
      <c r="B9897" s="15"/>
      <c r="C9897" s="9"/>
      <c r="D9897" s="15"/>
      <c r="E9897" s="16"/>
      <c r="F9897" s="19"/>
      <c r="G9897" s="20"/>
      <c r="H9897" s="19"/>
    </row>
    <row r="9898">
      <c r="A9898" s="9"/>
      <c r="B9898" s="15"/>
      <c r="C9898" s="9"/>
      <c r="D9898" s="15"/>
      <c r="E9898" s="16"/>
      <c r="F9898" s="19"/>
      <c r="G9898" s="20"/>
      <c r="H9898" s="19"/>
    </row>
    <row r="9899">
      <c r="A9899" s="9"/>
      <c r="B9899" s="15"/>
      <c r="C9899" s="9"/>
      <c r="D9899" s="15"/>
      <c r="E9899" s="16"/>
      <c r="F9899" s="19"/>
      <c r="G9899" s="20"/>
      <c r="H9899" s="19"/>
    </row>
    <row r="9900">
      <c r="A9900" s="9"/>
      <c r="B9900" s="15"/>
      <c r="C9900" s="9"/>
      <c r="D9900" s="15"/>
      <c r="E9900" s="16"/>
      <c r="F9900" s="19"/>
      <c r="G9900" s="20"/>
      <c r="H9900" s="19"/>
    </row>
    <row r="9901">
      <c r="A9901" s="9"/>
      <c r="B9901" s="15"/>
      <c r="C9901" s="9"/>
      <c r="D9901" s="15"/>
      <c r="E9901" s="16"/>
      <c r="F9901" s="19"/>
      <c r="G9901" s="20"/>
      <c r="H9901" s="19"/>
    </row>
    <row r="9902">
      <c r="A9902" s="9"/>
      <c r="B9902" s="15"/>
      <c r="C9902" s="9"/>
      <c r="D9902" s="15"/>
      <c r="E9902" s="16"/>
      <c r="F9902" s="19"/>
      <c r="G9902" s="20"/>
      <c r="H9902" s="19"/>
    </row>
    <row r="9903">
      <c r="A9903" s="9"/>
      <c r="B9903" s="15"/>
      <c r="C9903" s="9"/>
      <c r="D9903" s="15"/>
      <c r="E9903" s="16"/>
      <c r="F9903" s="19"/>
      <c r="G9903" s="20"/>
      <c r="H9903" s="19"/>
    </row>
    <row r="9904">
      <c r="A9904" s="9"/>
      <c r="B9904" s="15"/>
      <c r="C9904" s="9"/>
      <c r="D9904" s="15"/>
      <c r="E9904" s="16"/>
      <c r="F9904" s="19"/>
      <c r="G9904" s="20"/>
      <c r="H9904" s="19"/>
    </row>
    <row r="9905">
      <c r="A9905" s="9"/>
      <c r="B9905" s="15"/>
      <c r="C9905" s="9"/>
      <c r="D9905" s="15"/>
      <c r="E9905" s="16"/>
      <c r="F9905" s="19"/>
      <c r="G9905" s="20"/>
      <c r="H9905" s="19"/>
    </row>
    <row r="9906">
      <c r="A9906" s="9"/>
      <c r="B9906" s="15"/>
      <c r="C9906" s="9"/>
      <c r="D9906" s="15"/>
      <c r="E9906" s="16"/>
      <c r="F9906" s="19"/>
      <c r="G9906" s="20"/>
      <c r="H9906" s="19"/>
    </row>
    <row r="9907">
      <c r="A9907" s="9"/>
      <c r="B9907" s="15"/>
      <c r="C9907" s="9"/>
      <c r="D9907" s="15"/>
      <c r="E9907" s="16"/>
      <c r="F9907" s="19"/>
      <c r="G9907" s="20"/>
      <c r="H9907" s="19"/>
    </row>
    <row r="9908">
      <c r="A9908" s="9"/>
      <c r="B9908" s="15"/>
      <c r="C9908" s="9"/>
      <c r="D9908" s="15"/>
      <c r="E9908" s="16"/>
      <c r="F9908" s="19"/>
      <c r="G9908" s="20"/>
      <c r="H9908" s="19"/>
    </row>
    <row r="9909">
      <c r="A9909" s="9"/>
      <c r="B9909" s="15"/>
      <c r="C9909" s="9"/>
      <c r="D9909" s="15"/>
      <c r="E9909" s="16"/>
      <c r="F9909" s="19"/>
      <c r="G9909" s="20"/>
      <c r="H9909" s="19"/>
    </row>
    <row r="9910">
      <c r="A9910" s="9"/>
      <c r="B9910" s="15"/>
      <c r="C9910" s="9"/>
      <c r="D9910" s="15"/>
      <c r="E9910" s="16"/>
      <c r="F9910" s="19"/>
      <c r="G9910" s="20"/>
      <c r="H9910" s="19"/>
    </row>
    <row r="9911">
      <c r="A9911" s="9"/>
      <c r="B9911" s="15"/>
      <c r="C9911" s="9"/>
      <c r="D9911" s="15"/>
      <c r="E9911" s="16"/>
      <c r="F9911" s="19"/>
      <c r="G9911" s="20"/>
      <c r="H9911" s="19"/>
    </row>
    <row r="9912">
      <c r="A9912" s="9"/>
      <c r="B9912" s="15"/>
      <c r="C9912" s="9"/>
      <c r="D9912" s="15"/>
      <c r="E9912" s="16"/>
      <c r="F9912" s="19"/>
      <c r="G9912" s="20"/>
      <c r="H9912" s="19"/>
    </row>
    <row r="9913">
      <c r="A9913" s="9"/>
      <c r="B9913" s="15"/>
      <c r="C9913" s="9"/>
      <c r="D9913" s="15"/>
      <c r="E9913" s="16"/>
      <c r="F9913" s="19"/>
      <c r="G9913" s="20"/>
      <c r="H9913" s="19"/>
    </row>
    <row r="9914">
      <c r="A9914" s="9"/>
      <c r="B9914" s="15"/>
      <c r="C9914" s="9"/>
      <c r="D9914" s="15"/>
      <c r="E9914" s="16"/>
      <c r="F9914" s="19"/>
      <c r="G9914" s="20"/>
      <c r="H9914" s="19"/>
    </row>
    <row r="9915">
      <c r="A9915" s="9"/>
      <c r="B9915" s="15"/>
      <c r="C9915" s="9"/>
      <c r="D9915" s="15"/>
      <c r="E9915" s="16"/>
      <c r="F9915" s="19"/>
      <c r="G9915" s="20"/>
      <c r="H9915" s="19"/>
    </row>
    <row r="9916">
      <c r="A9916" s="9"/>
      <c r="B9916" s="15"/>
      <c r="C9916" s="9"/>
      <c r="D9916" s="15"/>
      <c r="E9916" s="16"/>
      <c r="F9916" s="19"/>
      <c r="G9916" s="20"/>
      <c r="H9916" s="19"/>
    </row>
    <row r="9917">
      <c r="A9917" s="9"/>
      <c r="B9917" s="15"/>
      <c r="C9917" s="9"/>
      <c r="D9917" s="15"/>
      <c r="E9917" s="16"/>
      <c r="F9917" s="19"/>
      <c r="G9917" s="20"/>
      <c r="H9917" s="19"/>
    </row>
    <row r="9918">
      <c r="A9918" s="9"/>
      <c r="B9918" s="15"/>
      <c r="C9918" s="9"/>
      <c r="D9918" s="15"/>
      <c r="E9918" s="16"/>
      <c r="F9918" s="19"/>
      <c r="G9918" s="20"/>
      <c r="H9918" s="19"/>
    </row>
    <row r="9919">
      <c r="A9919" s="9"/>
      <c r="B9919" s="15"/>
      <c r="C9919" s="9"/>
      <c r="D9919" s="15"/>
      <c r="E9919" s="16"/>
      <c r="F9919" s="19"/>
      <c r="G9919" s="20"/>
      <c r="H9919" s="19"/>
    </row>
    <row r="9920">
      <c r="A9920" s="9"/>
      <c r="B9920" s="15"/>
      <c r="C9920" s="9"/>
      <c r="D9920" s="15"/>
      <c r="E9920" s="16"/>
      <c r="F9920" s="19"/>
      <c r="G9920" s="20"/>
      <c r="H9920" s="19"/>
    </row>
    <row r="9921">
      <c r="A9921" s="9"/>
      <c r="B9921" s="15"/>
      <c r="C9921" s="9"/>
      <c r="D9921" s="15"/>
      <c r="E9921" s="16"/>
      <c r="F9921" s="19"/>
      <c r="G9921" s="20"/>
      <c r="H9921" s="19"/>
    </row>
    <row r="9922">
      <c r="A9922" s="9"/>
      <c r="B9922" s="15"/>
      <c r="C9922" s="9"/>
      <c r="D9922" s="15"/>
      <c r="E9922" s="16"/>
      <c r="F9922" s="19"/>
      <c r="G9922" s="20"/>
      <c r="H9922" s="19"/>
    </row>
    <row r="9923">
      <c r="A9923" s="9"/>
      <c r="B9923" s="15"/>
      <c r="C9923" s="9"/>
      <c r="D9923" s="15"/>
      <c r="E9923" s="16"/>
      <c r="F9923" s="19"/>
      <c r="G9923" s="20"/>
      <c r="H9923" s="19"/>
    </row>
    <row r="9924">
      <c r="A9924" s="9"/>
      <c r="B9924" s="15"/>
      <c r="C9924" s="9"/>
      <c r="D9924" s="15"/>
      <c r="E9924" s="16"/>
      <c r="F9924" s="19"/>
      <c r="G9924" s="20"/>
      <c r="H9924" s="19"/>
    </row>
    <row r="9925">
      <c r="A9925" s="9"/>
      <c r="B9925" s="15"/>
      <c r="C9925" s="9"/>
      <c r="D9925" s="15"/>
      <c r="E9925" s="16"/>
      <c r="F9925" s="19"/>
      <c r="G9925" s="20"/>
      <c r="H9925" s="19"/>
    </row>
    <row r="9926">
      <c r="A9926" s="9"/>
      <c r="B9926" s="15"/>
      <c r="C9926" s="9"/>
      <c r="D9926" s="15"/>
      <c r="E9926" s="16"/>
      <c r="F9926" s="19"/>
      <c r="G9926" s="20"/>
      <c r="H9926" s="19"/>
    </row>
    <row r="9927">
      <c r="A9927" s="9"/>
      <c r="B9927" s="15"/>
      <c r="C9927" s="9"/>
      <c r="D9927" s="15"/>
      <c r="E9927" s="16"/>
      <c r="F9927" s="19"/>
      <c r="G9927" s="20"/>
      <c r="H9927" s="19"/>
    </row>
    <row r="9928">
      <c r="A9928" s="9"/>
      <c r="B9928" s="15"/>
      <c r="C9928" s="9"/>
      <c r="D9928" s="15"/>
      <c r="E9928" s="16"/>
      <c r="F9928" s="19"/>
      <c r="G9928" s="20"/>
      <c r="H9928" s="19"/>
    </row>
    <row r="9929">
      <c r="A9929" s="9"/>
      <c r="B9929" s="15"/>
      <c r="C9929" s="9"/>
      <c r="D9929" s="15"/>
      <c r="E9929" s="16"/>
      <c r="F9929" s="19"/>
      <c r="G9929" s="20"/>
      <c r="H9929" s="19"/>
    </row>
    <row r="9930">
      <c r="A9930" s="9"/>
      <c r="B9930" s="15"/>
      <c r="C9930" s="9"/>
      <c r="D9930" s="15"/>
      <c r="E9930" s="16"/>
      <c r="F9930" s="19"/>
      <c r="G9930" s="20"/>
      <c r="H9930" s="19"/>
    </row>
    <row r="9931">
      <c r="A9931" s="9"/>
      <c r="B9931" s="15"/>
      <c r="C9931" s="9"/>
      <c r="D9931" s="15"/>
      <c r="E9931" s="16"/>
      <c r="F9931" s="19"/>
      <c r="G9931" s="20"/>
      <c r="H9931" s="19"/>
    </row>
    <row r="9932">
      <c r="A9932" s="9"/>
      <c r="B9932" s="15"/>
      <c r="C9932" s="9"/>
      <c r="D9932" s="15"/>
      <c r="E9932" s="16"/>
      <c r="F9932" s="19"/>
      <c r="G9932" s="20"/>
      <c r="H9932" s="19"/>
    </row>
    <row r="9933">
      <c r="A9933" s="9"/>
      <c r="B9933" s="15"/>
      <c r="C9933" s="9"/>
      <c r="D9933" s="15"/>
      <c r="E9933" s="16"/>
      <c r="F9933" s="19"/>
      <c r="G9933" s="20"/>
      <c r="H9933" s="19"/>
    </row>
    <row r="9934">
      <c r="A9934" s="9"/>
      <c r="B9934" s="15"/>
      <c r="C9934" s="9"/>
      <c r="D9934" s="15"/>
      <c r="E9934" s="16"/>
      <c r="F9934" s="19"/>
      <c r="G9934" s="20"/>
      <c r="H9934" s="19"/>
    </row>
    <row r="9935">
      <c r="A9935" s="9"/>
      <c r="B9935" s="15"/>
      <c r="C9935" s="9"/>
      <c r="D9935" s="15"/>
      <c r="E9935" s="16"/>
      <c r="F9935" s="19"/>
      <c r="G9935" s="20"/>
      <c r="H9935" s="19"/>
    </row>
    <row r="9936">
      <c r="A9936" s="9"/>
      <c r="B9936" s="15"/>
      <c r="C9936" s="9"/>
      <c r="D9936" s="15"/>
      <c r="E9936" s="16"/>
      <c r="F9936" s="19"/>
      <c r="G9936" s="20"/>
      <c r="H9936" s="19"/>
    </row>
    <row r="9937">
      <c r="A9937" s="9"/>
      <c r="B9937" s="15"/>
      <c r="C9937" s="9"/>
      <c r="D9937" s="15"/>
      <c r="E9937" s="16"/>
      <c r="F9937" s="19"/>
      <c r="G9937" s="20"/>
      <c r="H9937" s="19"/>
    </row>
    <row r="9938">
      <c r="A9938" s="9"/>
      <c r="B9938" s="15"/>
      <c r="C9938" s="9"/>
      <c r="D9938" s="15"/>
      <c r="E9938" s="16"/>
      <c r="F9938" s="19"/>
      <c r="G9938" s="20"/>
      <c r="H9938" s="19"/>
    </row>
    <row r="9939">
      <c r="A9939" s="9"/>
      <c r="B9939" s="15"/>
      <c r="C9939" s="9"/>
      <c r="D9939" s="15"/>
      <c r="E9939" s="16"/>
      <c r="F9939" s="19"/>
      <c r="G9939" s="20"/>
      <c r="H9939" s="19"/>
    </row>
    <row r="9940">
      <c r="A9940" s="9"/>
      <c r="B9940" s="15"/>
      <c r="C9940" s="9"/>
      <c r="D9940" s="15"/>
      <c r="E9940" s="16"/>
      <c r="F9940" s="19"/>
      <c r="G9940" s="20"/>
      <c r="H9940" s="19"/>
    </row>
    <row r="9941">
      <c r="A9941" s="9"/>
      <c r="B9941" s="15"/>
      <c r="C9941" s="9"/>
      <c r="D9941" s="15"/>
      <c r="E9941" s="16"/>
      <c r="F9941" s="19"/>
      <c r="G9941" s="20"/>
      <c r="H9941" s="19"/>
    </row>
    <row r="9942">
      <c r="A9942" s="9"/>
      <c r="B9942" s="15"/>
      <c r="C9942" s="9"/>
      <c r="D9942" s="15"/>
      <c r="E9942" s="16"/>
      <c r="F9942" s="19"/>
      <c r="G9942" s="20"/>
      <c r="H9942" s="19"/>
    </row>
    <row r="9943">
      <c r="A9943" s="9"/>
      <c r="B9943" s="15"/>
      <c r="C9943" s="9"/>
      <c r="D9943" s="15"/>
      <c r="E9943" s="16"/>
      <c r="F9943" s="19"/>
      <c r="G9943" s="20"/>
      <c r="H9943" s="19"/>
    </row>
    <row r="9944">
      <c r="A9944" s="9"/>
      <c r="B9944" s="15"/>
      <c r="C9944" s="9"/>
      <c r="D9944" s="15"/>
      <c r="E9944" s="16"/>
      <c r="F9944" s="19"/>
      <c r="G9944" s="20"/>
      <c r="H9944" s="19"/>
    </row>
    <row r="9945">
      <c r="A9945" s="9"/>
      <c r="B9945" s="15"/>
      <c r="C9945" s="9"/>
      <c r="D9945" s="15"/>
      <c r="E9945" s="16"/>
      <c r="F9945" s="19"/>
      <c r="G9945" s="20"/>
      <c r="H9945" s="19"/>
    </row>
    <row r="9946">
      <c r="A9946" s="9"/>
      <c r="B9946" s="15"/>
      <c r="C9946" s="9"/>
      <c r="D9946" s="15"/>
      <c r="E9946" s="16"/>
      <c r="F9946" s="19"/>
      <c r="G9946" s="20"/>
      <c r="H9946" s="19"/>
    </row>
    <row r="9947">
      <c r="A9947" s="9"/>
      <c r="B9947" s="15"/>
      <c r="C9947" s="9"/>
      <c r="D9947" s="15"/>
      <c r="E9947" s="16"/>
      <c r="F9947" s="19"/>
      <c r="G9947" s="20"/>
      <c r="H9947" s="19"/>
    </row>
    <row r="9948">
      <c r="A9948" s="9"/>
      <c r="B9948" s="15"/>
      <c r="C9948" s="9"/>
      <c r="D9948" s="15"/>
      <c r="E9948" s="16"/>
      <c r="F9948" s="19"/>
      <c r="G9948" s="20"/>
      <c r="H9948" s="19"/>
    </row>
    <row r="9949">
      <c r="A9949" s="9"/>
      <c r="B9949" s="15"/>
      <c r="C9949" s="9"/>
      <c r="D9949" s="15"/>
      <c r="E9949" s="16"/>
      <c r="F9949" s="19"/>
      <c r="G9949" s="20"/>
      <c r="H9949" s="19"/>
    </row>
    <row r="9950">
      <c r="A9950" s="9"/>
      <c r="B9950" s="15"/>
      <c r="C9950" s="9"/>
      <c r="D9950" s="15"/>
      <c r="E9950" s="16"/>
      <c r="F9950" s="19"/>
      <c r="G9950" s="20"/>
      <c r="H9950" s="19"/>
    </row>
    <row r="9951">
      <c r="A9951" s="9"/>
      <c r="B9951" s="15"/>
      <c r="C9951" s="9"/>
      <c r="D9951" s="15"/>
      <c r="E9951" s="16"/>
      <c r="F9951" s="19"/>
      <c r="G9951" s="20"/>
      <c r="H9951" s="19"/>
    </row>
    <row r="9952">
      <c r="A9952" s="9"/>
      <c r="B9952" s="15"/>
      <c r="C9952" s="9"/>
      <c r="D9952" s="15"/>
      <c r="E9952" s="16"/>
      <c r="F9952" s="19"/>
      <c r="G9952" s="20"/>
      <c r="H9952" s="19"/>
    </row>
    <row r="9953">
      <c r="A9953" s="9"/>
      <c r="B9953" s="15"/>
      <c r="C9953" s="9"/>
      <c r="D9953" s="15"/>
      <c r="E9953" s="16"/>
      <c r="F9953" s="19"/>
      <c r="G9953" s="20"/>
      <c r="H9953" s="19"/>
    </row>
    <row r="9954">
      <c r="A9954" s="9"/>
      <c r="B9954" s="15"/>
      <c r="C9954" s="9"/>
      <c r="D9954" s="15"/>
      <c r="E9954" s="16"/>
      <c r="F9954" s="19"/>
      <c r="G9954" s="20"/>
      <c r="H9954" s="19"/>
    </row>
    <row r="9955">
      <c r="A9955" s="9"/>
      <c r="B9955" s="15"/>
      <c r="C9955" s="9"/>
      <c r="D9955" s="15"/>
      <c r="E9955" s="16"/>
      <c r="F9955" s="19"/>
      <c r="G9955" s="20"/>
      <c r="H9955" s="19"/>
    </row>
    <row r="9956">
      <c r="A9956" s="9"/>
      <c r="B9956" s="15"/>
      <c r="C9956" s="9"/>
      <c r="D9956" s="15"/>
      <c r="E9956" s="16"/>
      <c r="F9956" s="19"/>
      <c r="G9956" s="20"/>
      <c r="H9956" s="19"/>
    </row>
    <row r="9957">
      <c r="A9957" s="9"/>
      <c r="B9957" s="15"/>
      <c r="C9957" s="9"/>
      <c r="D9957" s="15"/>
      <c r="E9957" s="16"/>
      <c r="F9957" s="19"/>
      <c r="G9957" s="20"/>
      <c r="H9957" s="19"/>
    </row>
    <row r="9958">
      <c r="A9958" s="9"/>
      <c r="B9958" s="15"/>
      <c r="C9958" s="9"/>
      <c r="D9958" s="15"/>
      <c r="E9958" s="16"/>
      <c r="F9958" s="19"/>
      <c r="G9958" s="20"/>
      <c r="H9958" s="19"/>
    </row>
    <row r="9959">
      <c r="A9959" s="9"/>
      <c r="B9959" s="15"/>
      <c r="C9959" s="9"/>
      <c r="D9959" s="15"/>
      <c r="E9959" s="16"/>
      <c r="F9959" s="19"/>
      <c r="G9959" s="20"/>
      <c r="H9959" s="19"/>
    </row>
    <row r="9960">
      <c r="A9960" s="9"/>
      <c r="B9960" s="15"/>
      <c r="C9960" s="9"/>
      <c r="D9960" s="15"/>
      <c r="E9960" s="16"/>
      <c r="F9960" s="19"/>
      <c r="G9960" s="20"/>
      <c r="H9960" s="19"/>
    </row>
    <row r="9961">
      <c r="A9961" s="9"/>
      <c r="B9961" s="15"/>
      <c r="C9961" s="9"/>
      <c r="D9961" s="15"/>
      <c r="E9961" s="16"/>
      <c r="F9961" s="19"/>
      <c r="G9961" s="20"/>
      <c r="H9961" s="19"/>
    </row>
    <row r="9962">
      <c r="A9962" s="9"/>
      <c r="B9962" s="15"/>
      <c r="C9962" s="9"/>
      <c r="D9962" s="15"/>
      <c r="E9962" s="16"/>
      <c r="F9962" s="19"/>
      <c r="G9962" s="20"/>
      <c r="H9962" s="19"/>
    </row>
    <row r="9963">
      <c r="A9963" s="9"/>
      <c r="B9963" s="15"/>
      <c r="C9963" s="9"/>
      <c r="D9963" s="15"/>
      <c r="E9963" s="16"/>
      <c r="F9963" s="19"/>
      <c r="G9963" s="20"/>
      <c r="H9963" s="19"/>
    </row>
    <row r="9964">
      <c r="A9964" s="9"/>
      <c r="B9964" s="15"/>
      <c r="C9964" s="9"/>
      <c r="D9964" s="15"/>
      <c r="E9964" s="16"/>
      <c r="F9964" s="19"/>
      <c r="G9964" s="20"/>
      <c r="H9964" s="19"/>
    </row>
    <row r="9965">
      <c r="A9965" s="9"/>
      <c r="B9965" s="15"/>
      <c r="C9965" s="9"/>
      <c r="D9965" s="15"/>
      <c r="E9965" s="16"/>
      <c r="F9965" s="19"/>
      <c r="G9965" s="20"/>
      <c r="H9965" s="19"/>
    </row>
    <row r="9966">
      <c r="A9966" s="9"/>
      <c r="B9966" s="15"/>
      <c r="C9966" s="9"/>
      <c r="D9966" s="15"/>
      <c r="E9966" s="16"/>
      <c r="F9966" s="19"/>
      <c r="G9966" s="20"/>
      <c r="H9966" s="19"/>
    </row>
    <row r="9967">
      <c r="A9967" s="9"/>
      <c r="B9967" s="15"/>
      <c r="C9967" s="9"/>
      <c r="D9967" s="15"/>
      <c r="E9967" s="16"/>
      <c r="F9967" s="19"/>
      <c r="G9967" s="20"/>
      <c r="H9967" s="19"/>
    </row>
    <row r="9968">
      <c r="A9968" s="9"/>
      <c r="B9968" s="15"/>
      <c r="C9968" s="9"/>
      <c r="D9968" s="15"/>
      <c r="E9968" s="16"/>
      <c r="F9968" s="19"/>
      <c r="G9968" s="20"/>
      <c r="H9968" s="19"/>
    </row>
    <row r="9969">
      <c r="A9969" s="9"/>
      <c r="B9969" s="15"/>
      <c r="C9969" s="9"/>
      <c r="D9969" s="15"/>
      <c r="E9969" s="16"/>
      <c r="F9969" s="19"/>
      <c r="G9969" s="20"/>
      <c r="H9969" s="19"/>
    </row>
    <row r="9970">
      <c r="A9970" s="9"/>
      <c r="B9970" s="15"/>
      <c r="C9970" s="9"/>
      <c r="D9970" s="15"/>
      <c r="E9970" s="16"/>
      <c r="F9970" s="19"/>
      <c r="G9970" s="20"/>
      <c r="H9970" s="19"/>
    </row>
    <row r="9971">
      <c r="A9971" s="9"/>
      <c r="B9971" s="15"/>
      <c r="C9971" s="9"/>
      <c r="D9971" s="15"/>
      <c r="E9971" s="16"/>
      <c r="F9971" s="19"/>
      <c r="G9971" s="20"/>
      <c r="H9971" s="19"/>
    </row>
    <row r="9972">
      <c r="A9972" s="9"/>
      <c r="B9972" s="15"/>
      <c r="C9972" s="9"/>
      <c r="D9972" s="15"/>
      <c r="E9972" s="16"/>
      <c r="F9972" s="19"/>
      <c r="G9972" s="20"/>
      <c r="H9972" s="19"/>
    </row>
    <row r="9973">
      <c r="A9973" s="9"/>
      <c r="B9973" s="15"/>
      <c r="C9973" s="9"/>
      <c r="D9973" s="15"/>
      <c r="E9973" s="16"/>
      <c r="F9973" s="19"/>
      <c r="G9973" s="20"/>
      <c r="H9973" s="19"/>
    </row>
    <row r="9974">
      <c r="A9974" s="9"/>
      <c r="B9974" s="15"/>
      <c r="C9974" s="9"/>
      <c r="D9974" s="15"/>
      <c r="E9974" s="16"/>
      <c r="F9974" s="19"/>
      <c r="G9974" s="20"/>
      <c r="H9974" s="19"/>
    </row>
    <row r="9975">
      <c r="A9975" s="9"/>
      <c r="B9975" s="15"/>
      <c r="C9975" s="9"/>
      <c r="D9975" s="15"/>
      <c r="E9975" s="16"/>
      <c r="F9975" s="19"/>
      <c r="G9975" s="20"/>
      <c r="H9975" s="19"/>
    </row>
    <row r="9976">
      <c r="A9976" s="9"/>
      <c r="B9976" s="15"/>
      <c r="C9976" s="9"/>
      <c r="D9976" s="15"/>
      <c r="E9976" s="16"/>
      <c r="F9976" s="19"/>
      <c r="G9976" s="20"/>
      <c r="H9976" s="19"/>
    </row>
    <row r="9977">
      <c r="A9977" s="9"/>
      <c r="B9977" s="15"/>
      <c r="C9977" s="9"/>
      <c r="D9977" s="15"/>
      <c r="E9977" s="16"/>
      <c r="F9977" s="19"/>
      <c r="G9977" s="20"/>
      <c r="H9977" s="19"/>
    </row>
    <row r="9978">
      <c r="A9978" s="9"/>
      <c r="B9978" s="15"/>
      <c r="C9978" s="9"/>
      <c r="D9978" s="15"/>
      <c r="E9978" s="16"/>
      <c r="F9978" s="19"/>
      <c r="G9978" s="20"/>
      <c r="H9978" s="19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A22">
      <formula1>"Standard Method ABV:,Alternate Method ABV:,UK HMRC Method ABV:,Wine Method ABV:"</formula1>
    </dataValidation>
    <dataValidation type="list" allowBlank="1" sqref="B4">
      <formula1>"all,last 3 days,last 2 days,last 1 day,last .5 days"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B14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46" t="s">
        <v>19</v>
      </c>
      <c r="B1" s="47" t="s">
        <v>20</v>
      </c>
      <c r="C1" s="48" t="s">
        <v>8</v>
      </c>
      <c r="D1" s="48" t="s">
        <v>21</v>
      </c>
      <c r="E1" s="48" t="s">
        <v>22</v>
      </c>
      <c r="F1" s="48" t="s">
        <v>23</v>
      </c>
      <c r="G1" s="48" t="s">
        <v>24</v>
      </c>
    </row>
    <row r="2">
      <c r="A2" s="49">
        <v>44512.69115733796</v>
      </c>
      <c r="B2" s="50">
        <v>44512.8160347685</v>
      </c>
      <c r="C2" s="51">
        <v>1.109</v>
      </c>
      <c r="D2" s="51">
        <v>70.0</v>
      </c>
      <c r="E2" s="52" t="s">
        <v>25</v>
      </c>
      <c r="F2" s="52" t="s">
        <v>26</v>
      </c>
      <c r="G2" s="53"/>
    </row>
    <row r="3">
      <c r="A3" s="49">
        <v>44512.69237251158</v>
      </c>
      <c r="B3" s="50">
        <v>44512.8173495949</v>
      </c>
      <c r="C3" s="51">
        <v>1.109</v>
      </c>
      <c r="D3" s="51">
        <v>70.0</v>
      </c>
      <c r="E3" s="52" t="s">
        <v>25</v>
      </c>
      <c r="F3" s="52" t="s">
        <v>26</v>
      </c>
      <c r="G3" s="53"/>
    </row>
    <row r="4">
      <c r="A4" s="49">
        <v>44512.7028015625</v>
      </c>
      <c r="B4" s="50">
        <v>44512.8277721064</v>
      </c>
      <c r="C4" s="51">
        <v>1.109</v>
      </c>
      <c r="D4" s="51">
        <v>69.0</v>
      </c>
      <c r="E4" s="52" t="s">
        <v>25</v>
      </c>
      <c r="F4" s="52" t="s">
        <v>26</v>
      </c>
      <c r="G4" s="53"/>
    </row>
    <row r="5">
      <c r="A5" s="49">
        <v>44512.71321378472</v>
      </c>
      <c r="B5" s="50">
        <v>44512.8381933333</v>
      </c>
      <c r="C5" s="51">
        <v>1.109</v>
      </c>
      <c r="D5" s="51">
        <v>68.0</v>
      </c>
      <c r="E5" s="52" t="s">
        <v>25</v>
      </c>
      <c r="F5" s="52" t="s">
        <v>26</v>
      </c>
      <c r="G5" s="53"/>
    </row>
    <row r="6">
      <c r="A6" s="49">
        <v>44512.72365262732</v>
      </c>
      <c r="B6" s="50">
        <v>44512.8486271759</v>
      </c>
      <c r="C6" s="51">
        <v>1.109</v>
      </c>
      <c r="D6" s="51">
        <v>66.0</v>
      </c>
      <c r="E6" s="52" t="s">
        <v>25</v>
      </c>
      <c r="F6" s="52" t="s">
        <v>26</v>
      </c>
      <c r="G6" s="53"/>
    </row>
    <row r="7">
      <c r="A7" s="49">
        <v>44512.73407427083</v>
      </c>
      <c r="B7" s="50">
        <v>44512.8590475</v>
      </c>
      <c r="C7" s="51">
        <v>1.109</v>
      </c>
      <c r="D7" s="51">
        <v>65.0</v>
      </c>
      <c r="E7" s="52" t="s">
        <v>25</v>
      </c>
      <c r="F7" s="52" t="s">
        <v>26</v>
      </c>
      <c r="G7" s="53"/>
    </row>
    <row r="8">
      <c r="A8" s="49">
        <v>44512.74449340277</v>
      </c>
      <c r="B8" s="50">
        <v>44512.8694688194</v>
      </c>
      <c r="C8" s="51">
        <v>1.109</v>
      </c>
      <c r="D8" s="51">
        <v>64.0</v>
      </c>
      <c r="E8" s="52" t="s">
        <v>25</v>
      </c>
      <c r="F8" s="52" t="s">
        <v>26</v>
      </c>
      <c r="G8" s="53"/>
    </row>
    <row r="9">
      <c r="A9" s="49">
        <v>44512.75490857639</v>
      </c>
      <c r="B9" s="50">
        <v>44512.8798893286</v>
      </c>
      <c r="C9" s="51">
        <v>1.109</v>
      </c>
      <c r="D9" s="51">
        <v>64.0</v>
      </c>
      <c r="E9" s="52" t="s">
        <v>25</v>
      </c>
      <c r="F9" s="52" t="s">
        <v>26</v>
      </c>
      <c r="G9" s="53"/>
    </row>
    <row r="10">
      <c r="A10" s="49">
        <v>44512.765349340276</v>
      </c>
      <c r="B10" s="50">
        <v>44512.890323449</v>
      </c>
      <c r="C10" s="51">
        <v>1.109</v>
      </c>
      <c r="D10" s="51">
        <v>65.0</v>
      </c>
      <c r="E10" s="52" t="s">
        <v>25</v>
      </c>
      <c r="F10" s="52" t="s">
        <v>26</v>
      </c>
      <c r="G10" s="53"/>
    </row>
    <row r="11">
      <c r="A11" s="49">
        <v>44512.77577238426</v>
      </c>
      <c r="B11" s="50">
        <v>44512.9007447337</v>
      </c>
      <c r="C11" s="51">
        <v>1.109</v>
      </c>
      <c r="D11" s="51">
        <v>65.0</v>
      </c>
      <c r="E11" s="52" t="s">
        <v>25</v>
      </c>
      <c r="F11" s="52" t="s">
        <v>26</v>
      </c>
      <c r="G11" s="53"/>
    </row>
    <row r="12">
      <c r="A12" s="49">
        <v>44512.78619864583</v>
      </c>
      <c r="B12" s="50">
        <v>44512.9111762037</v>
      </c>
      <c r="C12" s="51">
        <v>1.109</v>
      </c>
      <c r="D12" s="51">
        <v>65.0</v>
      </c>
      <c r="E12" s="52" t="s">
        <v>25</v>
      </c>
      <c r="F12" s="52" t="s">
        <v>26</v>
      </c>
      <c r="G12" s="53"/>
    </row>
    <row r="13">
      <c r="A13" s="49">
        <v>44512.79662601852</v>
      </c>
      <c r="B13" s="50">
        <v>44512.9215969097</v>
      </c>
      <c r="C13" s="51">
        <v>1.109</v>
      </c>
      <c r="D13" s="51">
        <v>65.0</v>
      </c>
      <c r="E13" s="52" t="s">
        <v>25</v>
      </c>
      <c r="F13" s="52" t="s">
        <v>26</v>
      </c>
      <c r="G13" s="53"/>
    </row>
    <row r="14">
      <c r="A14" s="49">
        <v>44512.807061377316</v>
      </c>
      <c r="B14" s="50">
        <v>44512.9320296527</v>
      </c>
      <c r="C14" s="51">
        <v>1.109</v>
      </c>
      <c r="D14" s="51">
        <v>65.0</v>
      </c>
      <c r="E14" s="52" t="s">
        <v>25</v>
      </c>
      <c r="F14" s="52" t="s">
        <v>26</v>
      </c>
      <c r="G14" s="53"/>
    </row>
    <row r="15">
      <c r="A15" s="49">
        <v>44512.81747729167</v>
      </c>
      <c r="B15" s="50">
        <v>44512.9424606828</v>
      </c>
      <c r="C15" s="51">
        <v>1.109</v>
      </c>
      <c r="D15" s="51">
        <v>65.0</v>
      </c>
      <c r="E15" s="52" t="s">
        <v>25</v>
      </c>
      <c r="F15" s="52" t="s">
        <v>26</v>
      </c>
      <c r="G15" s="53"/>
    </row>
    <row r="16">
      <c r="A16" s="49">
        <v>44512.827904363425</v>
      </c>
      <c r="B16" s="50">
        <v>44512.9528804976</v>
      </c>
      <c r="C16" s="51">
        <v>1.109</v>
      </c>
      <c r="D16" s="51">
        <v>65.0</v>
      </c>
      <c r="E16" s="52" t="s">
        <v>25</v>
      </c>
      <c r="F16" s="52" t="s">
        <v>26</v>
      </c>
      <c r="G16" s="53"/>
    </row>
    <row r="17">
      <c r="A17" s="49">
        <v>44512.83839123843</v>
      </c>
      <c r="B17" s="50">
        <v>44512.9633724884</v>
      </c>
      <c r="C17" s="51">
        <v>1.109</v>
      </c>
      <c r="D17" s="51">
        <v>65.0</v>
      </c>
      <c r="E17" s="52" t="s">
        <v>25</v>
      </c>
      <c r="F17" s="52" t="s">
        <v>26</v>
      </c>
      <c r="G17" s="53"/>
    </row>
    <row r="18">
      <c r="A18" s="49">
        <v>44512.84882824074</v>
      </c>
      <c r="B18" s="50">
        <v>44512.9738048842</v>
      </c>
      <c r="C18" s="51">
        <v>1.109</v>
      </c>
      <c r="D18" s="51">
        <v>65.0</v>
      </c>
      <c r="E18" s="52" t="s">
        <v>25</v>
      </c>
      <c r="F18" s="52" t="s">
        <v>26</v>
      </c>
      <c r="G18" s="53"/>
    </row>
    <row r="19">
      <c r="A19" s="49">
        <v>44512.85924659722</v>
      </c>
      <c r="B19" s="50">
        <v>44512.98422478</v>
      </c>
      <c r="C19" s="51">
        <v>1.109</v>
      </c>
      <c r="D19" s="51">
        <v>65.0</v>
      </c>
      <c r="E19" s="52" t="s">
        <v>25</v>
      </c>
      <c r="F19" s="52" t="s">
        <v>26</v>
      </c>
      <c r="G19" s="53"/>
    </row>
    <row r="20">
      <c r="A20" s="49">
        <v>44512.86968369213</v>
      </c>
      <c r="B20" s="50">
        <v>44512.9946578935</v>
      </c>
      <c r="C20" s="51">
        <v>1.109</v>
      </c>
      <c r="D20" s="51">
        <v>65.0</v>
      </c>
      <c r="E20" s="52" t="s">
        <v>25</v>
      </c>
      <c r="F20" s="52" t="s">
        <v>26</v>
      </c>
      <c r="G20" s="53"/>
    </row>
    <row r="21">
      <c r="A21" s="49">
        <v>44512.880110451384</v>
      </c>
      <c r="B21" s="50">
        <v>44513.0050906828</v>
      </c>
      <c r="C21" s="51">
        <v>1.109</v>
      </c>
      <c r="D21" s="51">
        <v>65.0</v>
      </c>
      <c r="E21" s="52" t="s">
        <v>25</v>
      </c>
      <c r="F21" s="52" t="s">
        <v>26</v>
      </c>
      <c r="G21" s="53"/>
    </row>
    <row r="22">
      <c r="A22" s="49">
        <v>44512.890540625</v>
      </c>
      <c r="B22" s="50">
        <v>44513.01551125</v>
      </c>
      <c r="C22" s="51">
        <v>1.109</v>
      </c>
      <c r="D22" s="51">
        <v>64.0</v>
      </c>
      <c r="E22" s="52" t="s">
        <v>25</v>
      </c>
      <c r="F22" s="52" t="s">
        <v>26</v>
      </c>
      <c r="G22" s="53"/>
    </row>
    <row r="23">
      <c r="A23" s="49">
        <v>44512.901075138885</v>
      </c>
      <c r="B23" s="50">
        <v>44513.0260485995</v>
      </c>
      <c r="C23" s="51">
        <v>1.109</v>
      </c>
      <c r="D23" s="51">
        <v>64.0</v>
      </c>
      <c r="E23" s="52" t="s">
        <v>25</v>
      </c>
      <c r="F23" s="52" t="s">
        <v>26</v>
      </c>
      <c r="G23" s="53"/>
    </row>
    <row r="24">
      <c r="A24" s="49">
        <v>44512.91148746527</v>
      </c>
      <c r="B24" s="50">
        <v>44513.0364692129</v>
      </c>
      <c r="C24" s="51">
        <v>1.109</v>
      </c>
      <c r="D24" s="51">
        <v>64.0</v>
      </c>
      <c r="E24" s="52" t="s">
        <v>25</v>
      </c>
      <c r="F24" s="52" t="s">
        <v>26</v>
      </c>
      <c r="G24" s="53"/>
    </row>
    <row r="25">
      <c r="A25" s="49">
        <v>44512.92192736111</v>
      </c>
      <c r="B25" s="50">
        <v>44513.046902743</v>
      </c>
      <c r="C25" s="51">
        <v>1.109</v>
      </c>
      <c r="D25" s="51">
        <v>65.0</v>
      </c>
      <c r="E25" s="52" t="s">
        <v>25</v>
      </c>
      <c r="F25" s="52" t="s">
        <v>26</v>
      </c>
      <c r="G25" s="53"/>
    </row>
    <row r="26">
      <c r="A26" s="49">
        <v>44512.93237519676</v>
      </c>
      <c r="B26" s="50">
        <v>44513.0573477199</v>
      </c>
      <c r="C26" s="51">
        <v>1.109</v>
      </c>
      <c r="D26" s="51">
        <v>64.0</v>
      </c>
      <c r="E26" s="52" t="s">
        <v>25</v>
      </c>
      <c r="F26" s="52" t="s">
        <v>26</v>
      </c>
      <c r="G26" s="53"/>
    </row>
    <row r="27">
      <c r="A27" s="49">
        <v>44512.94284024306</v>
      </c>
      <c r="B27" s="50">
        <v>44513.0678145254</v>
      </c>
      <c r="C27" s="51">
        <v>1.109</v>
      </c>
      <c r="D27" s="51">
        <v>64.0</v>
      </c>
      <c r="E27" s="52" t="s">
        <v>25</v>
      </c>
      <c r="F27" s="52" t="s">
        <v>26</v>
      </c>
      <c r="G27" s="53"/>
    </row>
    <row r="28">
      <c r="A28" s="49">
        <v>44512.953254872686</v>
      </c>
      <c r="B28" s="50">
        <v>44513.0782345949</v>
      </c>
      <c r="C28" s="51">
        <v>1.109</v>
      </c>
      <c r="D28" s="51">
        <v>64.0</v>
      </c>
      <c r="E28" s="52" t="s">
        <v>25</v>
      </c>
      <c r="F28" s="52" t="s">
        <v>26</v>
      </c>
      <c r="G28" s="53"/>
    </row>
    <row r="29">
      <c r="A29" s="49">
        <v>44512.96368476852</v>
      </c>
      <c r="B29" s="50">
        <v>44513.0886672106</v>
      </c>
      <c r="C29" s="51">
        <v>1.11</v>
      </c>
      <c r="D29" s="51">
        <v>64.0</v>
      </c>
      <c r="E29" s="52" t="s">
        <v>25</v>
      </c>
      <c r="F29" s="52" t="s">
        <v>26</v>
      </c>
      <c r="G29" s="53"/>
    </row>
    <row r="30">
      <c r="A30" s="49">
        <v>44512.97413188657</v>
      </c>
      <c r="B30" s="50">
        <v>44513.099101331</v>
      </c>
      <c r="C30" s="51">
        <v>1.11</v>
      </c>
      <c r="D30" s="51">
        <v>64.0</v>
      </c>
      <c r="E30" s="52" t="s">
        <v>25</v>
      </c>
      <c r="F30" s="52" t="s">
        <v>26</v>
      </c>
      <c r="G30" s="53"/>
    </row>
    <row r="31">
      <c r="A31" s="49">
        <v>44512.984547037035</v>
      </c>
      <c r="B31" s="50">
        <v>44513.109522037</v>
      </c>
      <c r="C31" s="51">
        <v>1.11</v>
      </c>
      <c r="D31" s="51">
        <v>64.0</v>
      </c>
      <c r="E31" s="52" t="s">
        <v>25</v>
      </c>
      <c r="F31" s="52" t="s">
        <v>26</v>
      </c>
      <c r="G31" s="53"/>
    </row>
    <row r="32">
      <c r="A32" s="49">
        <v>44512.99500001158</v>
      </c>
      <c r="B32" s="50">
        <v>44513.1199782986</v>
      </c>
      <c r="C32" s="51">
        <v>1.11</v>
      </c>
      <c r="D32" s="51">
        <v>64.0</v>
      </c>
      <c r="E32" s="52" t="s">
        <v>25</v>
      </c>
      <c r="F32" s="52" t="s">
        <v>26</v>
      </c>
      <c r="G32" s="53"/>
    </row>
    <row r="33">
      <c r="A33" s="49">
        <v>44513.00544180555</v>
      </c>
      <c r="B33" s="50">
        <v>44513.1304232523</v>
      </c>
      <c r="C33" s="51">
        <v>1.11</v>
      </c>
      <c r="D33" s="51">
        <v>64.0</v>
      </c>
      <c r="E33" s="52" t="s">
        <v>25</v>
      </c>
      <c r="F33" s="52" t="s">
        <v>26</v>
      </c>
      <c r="G33" s="53"/>
    </row>
    <row r="34">
      <c r="A34" s="49">
        <v>44513.01588457176</v>
      </c>
      <c r="B34" s="50">
        <v>44513.1408567245</v>
      </c>
      <c r="C34" s="51">
        <v>1.11</v>
      </c>
      <c r="D34" s="51">
        <v>64.0</v>
      </c>
      <c r="E34" s="52" t="s">
        <v>25</v>
      </c>
      <c r="F34" s="52" t="s">
        <v>26</v>
      </c>
      <c r="G34" s="53"/>
    </row>
    <row r="35">
      <c r="A35" s="49">
        <v>44513.02631800926</v>
      </c>
      <c r="B35" s="50">
        <v>44513.1512905902</v>
      </c>
      <c r="C35" s="51">
        <v>1.11</v>
      </c>
      <c r="D35" s="51">
        <v>64.0</v>
      </c>
      <c r="E35" s="52" t="s">
        <v>25</v>
      </c>
      <c r="F35" s="52" t="s">
        <v>26</v>
      </c>
      <c r="G35" s="53"/>
    </row>
    <row r="36">
      <c r="A36" s="49">
        <v>44513.03677711806</v>
      </c>
      <c r="B36" s="50">
        <v>44513.1617469791</v>
      </c>
      <c r="C36" s="51">
        <v>1.109</v>
      </c>
      <c r="D36" s="51">
        <v>64.0</v>
      </c>
      <c r="E36" s="52" t="s">
        <v>25</v>
      </c>
      <c r="F36" s="52" t="s">
        <v>26</v>
      </c>
      <c r="G36" s="53"/>
    </row>
    <row r="37">
      <c r="A37" s="49">
        <v>44513.047197395834</v>
      </c>
      <c r="B37" s="50">
        <v>44513.1721800462</v>
      </c>
      <c r="C37" s="51">
        <v>1.11</v>
      </c>
      <c r="D37" s="51">
        <v>64.0</v>
      </c>
      <c r="E37" s="52" t="s">
        <v>25</v>
      </c>
      <c r="F37" s="52" t="s">
        <v>26</v>
      </c>
      <c r="G37" s="53"/>
    </row>
    <row r="38">
      <c r="A38" s="49">
        <v>44513.05761844908</v>
      </c>
      <c r="B38" s="50">
        <v>44513.18260125</v>
      </c>
      <c r="C38" s="51">
        <v>1.11</v>
      </c>
      <c r="D38" s="51">
        <v>64.0</v>
      </c>
      <c r="E38" s="52" t="s">
        <v>25</v>
      </c>
      <c r="F38" s="52" t="s">
        <v>26</v>
      </c>
      <c r="G38" s="53"/>
    </row>
    <row r="39">
      <c r="A39" s="49">
        <v>44513.068050208334</v>
      </c>
      <c r="B39" s="50">
        <v>44513.1930226504</v>
      </c>
      <c r="C39" s="51">
        <v>1.11</v>
      </c>
      <c r="D39" s="51">
        <v>64.0</v>
      </c>
      <c r="E39" s="52" t="s">
        <v>25</v>
      </c>
      <c r="F39" s="52" t="s">
        <v>26</v>
      </c>
      <c r="G39" s="53"/>
    </row>
    <row r="40">
      <c r="A40" s="49">
        <v>44513.07847228009</v>
      </c>
      <c r="B40" s="50">
        <v>44513.2034434722</v>
      </c>
      <c r="C40" s="51">
        <v>1.11</v>
      </c>
      <c r="D40" s="51">
        <v>64.0</v>
      </c>
      <c r="E40" s="52" t="s">
        <v>25</v>
      </c>
      <c r="F40" s="52" t="s">
        <v>26</v>
      </c>
      <c r="G40" s="53"/>
    </row>
    <row r="41">
      <c r="A41" s="49">
        <v>44513.08888892361</v>
      </c>
      <c r="B41" s="50">
        <v>44513.2138645486</v>
      </c>
      <c r="C41" s="51">
        <v>1.11</v>
      </c>
      <c r="D41" s="51">
        <v>64.0</v>
      </c>
      <c r="E41" s="52" t="s">
        <v>25</v>
      </c>
      <c r="F41" s="52" t="s">
        <v>26</v>
      </c>
      <c r="G41" s="53"/>
    </row>
    <row r="42">
      <c r="A42" s="49">
        <v>44513.09931041667</v>
      </c>
      <c r="B42" s="50">
        <v>44513.2242849537</v>
      </c>
      <c r="C42" s="51">
        <v>1.11</v>
      </c>
      <c r="D42" s="51">
        <v>64.0</v>
      </c>
      <c r="E42" s="52" t="s">
        <v>25</v>
      </c>
      <c r="F42" s="52" t="s">
        <v>26</v>
      </c>
      <c r="G42" s="53"/>
    </row>
    <row r="43">
      <c r="A43" s="49">
        <v>44513.109741527776</v>
      </c>
      <c r="B43" s="50">
        <v>44513.2347164814</v>
      </c>
      <c r="C43" s="51">
        <v>1.11</v>
      </c>
      <c r="D43" s="51">
        <v>64.0</v>
      </c>
      <c r="E43" s="52" t="s">
        <v>25</v>
      </c>
      <c r="F43" s="52" t="s">
        <v>26</v>
      </c>
      <c r="G43" s="53"/>
    </row>
    <row r="44">
      <c r="A44" s="49">
        <v>44513.12017966435</v>
      </c>
      <c r="B44" s="50">
        <v>44513.2451506944</v>
      </c>
      <c r="C44" s="51">
        <v>1.11</v>
      </c>
      <c r="D44" s="51">
        <v>64.0</v>
      </c>
      <c r="E44" s="52" t="s">
        <v>25</v>
      </c>
      <c r="F44" s="52" t="s">
        <v>26</v>
      </c>
      <c r="G44" s="53"/>
    </row>
    <row r="45">
      <c r="A45" s="49">
        <v>44513.130637766204</v>
      </c>
      <c r="B45" s="50">
        <v>44513.2556061226</v>
      </c>
      <c r="C45" s="51">
        <v>1.11</v>
      </c>
      <c r="D45" s="51">
        <v>64.0</v>
      </c>
      <c r="E45" s="52" t="s">
        <v>25</v>
      </c>
      <c r="F45" s="52" t="s">
        <v>26</v>
      </c>
      <c r="G45" s="53"/>
    </row>
    <row r="46">
      <c r="A46" s="49">
        <v>44513.141106180556</v>
      </c>
      <c r="B46" s="50">
        <v>44513.2660830092</v>
      </c>
      <c r="C46" s="51">
        <v>1.11</v>
      </c>
      <c r="D46" s="51">
        <v>64.0</v>
      </c>
      <c r="E46" s="52" t="s">
        <v>25</v>
      </c>
      <c r="F46" s="52" t="s">
        <v>26</v>
      </c>
      <c r="G46" s="53"/>
    </row>
    <row r="47">
      <c r="A47" s="49">
        <v>44513.15157179398</v>
      </c>
      <c r="B47" s="50">
        <v>44513.2765522222</v>
      </c>
      <c r="C47" s="51">
        <v>1.11</v>
      </c>
      <c r="D47" s="51">
        <v>64.0</v>
      </c>
      <c r="E47" s="52" t="s">
        <v>25</v>
      </c>
      <c r="F47" s="52" t="s">
        <v>26</v>
      </c>
      <c r="G47" s="53"/>
    </row>
    <row r="48">
      <c r="A48" s="49">
        <v>44513.162002997684</v>
      </c>
      <c r="B48" s="50">
        <v>44513.2869863888</v>
      </c>
      <c r="C48" s="51">
        <v>1.11</v>
      </c>
      <c r="D48" s="51">
        <v>64.0</v>
      </c>
      <c r="E48" s="52" t="s">
        <v>25</v>
      </c>
      <c r="F48" s="52" t="s">
        <v>26</v>
      </c>
      <c r="G48" s="53"/>
    </row>
    <row r="49">
      <c r="A49" s="49">
        <v>44513.172453067134</v>
      </c>
      <c r="B49" s="50">
        <v>44513.2974190856</v>
      </c>
      <c r="C49" s="51">
        <v>1.11</v>
      </c>
      <c r="D49" s="51">
        <v>64.0</v>
      </c>
      <c r="E49" s="52" t="s">
        <v>25</v>
      </c>
      <c r="F49" s="52" t="s">
        <v>26</v>
      </c>
      <c r="G49" s="53"/>
    </row>
    <row r="50">
      <c r="A50" s="49">
        <v>44513.18290613426</v>
      </c>
      <c r="B50" s="50">
        <v>44513.3078774537</v>
      </c>
      <c r="C50" s="51">
        <v>1.11</v>
      </c>
      <c r="D50" s="51">
        <v>64.0</v>
      </c>
      <c r="E50" s="52" t="s">
        <v>25</v>
      </c>
      <c r="F50" s="52" t="s">
        <v>26</v>
      </c>
      <c r="G50" s="53"/>
    </row>
    <row r="51">
      <c r="A51" s="49">
        <v>44513.19332503472</v>
      </c>
      <c r="B51" s="50">
        <v>44513.3182986921</v>
      </c>
      <c r="C51" s="51">
        <v>1.11</v>
      </c>
      <c r="D51" s="51">
        <v>64.0</v>
      </c>
      <c r="E51" s="52" t="s">
        <v>25</v>
      </c>
      <c r="F51" s="52" t="s">
        <v>26</v>
      </c>
      <c r="G51" s="53"/>
    </row>
    <row r="52">
      <c r="A52" s="49">
        <v>44513.20375021991</v>
      </c>
      <c r="B52" s="50">
        <v>44513.3287206597</v>
      </c>
      <c r="C52" s="51">
        <v>1.11</v>
      </c>
      <c r="D52" s="51">
        <v>64.0</v>
      </c>
      <c r="E52" s="52" t="s">
        <v>25</v>
      </c>
      <c r="F52" s="52" t="s">
        <v>26</v>
      </c>
      <c r="G52" s="53"/>
    </row>
    <row r="53">
      <c r="A53" s="49">
        <v>44513.214181724536</v>
      </c>
      <c r="B53" s="50">
        <v>44513.3391532175</v>
      </c>
      <c r="C53" s="51">
        <v>1.11</v>
      </c>
      <c r="D53" s="51">
        <v>64.0</v>
      </c>
      <c r="E53" s="52" t="s">
        <v>25</v>
      </c>
      <c r="F53" s="52" t="s">
        <v>26</v>
      </c>
      <c r="G53" s="53"/>
    </row>
    <row r="54">
      <c r="A54" s="49">
        <v>44513.224600243055</v>
      </c>
      <c r="B54" s="50">
        <v>44513.3495767013</v>
      </c>
      <c r="C54" s="51">
        <v>1.11</v>
      </c>
      <c r="D54" s="51">
        <v>64.0</v>
      </c>
      <c r="E54" s="52" t="s">
        <v>25</v>
      </c>
      <c r="F54" s="52" t="s">
        <v>26</v>
      </c>
      <c r="G54" s="53"/>
    </row>
    <row r="55">
      <c r="A55" s="49">
        <v>44513.23503609953</v>
      </c>
      <c r="B55" s="50">
        <v>44513.360009537</v>
      </c>
      <c r="C55" s="51">
        <v>1.11</v>
      </c>
      <c r="D55" s="51">
        <v>64.0</v>
      </c>
      <c r="E55" s="52" t="s">
        <v>25</v>
      </c>
      <c r="F55" s="52" t="s">
        <v>26</v>
      </c>
      <c r="G55" s="53"/>
    </row>
    <row r="56">
      <c r="A56" s="49">
        <v>44513.24545858796</v>
      </c>
      <c r="B56" s="50">
        <v>44513.3704320254</v>
      </c>
      <c r="C56" s="51">
        <v>1.11</v>
      </c>
      <c r="D56" s="51">
        <v>64.0</v>
      </c>
      <c r="E56" s="52" t="s">
        <v>25</v>
      </c>
      <c r="F56" s="52" t="s">
        <v>26</v>
      </c>
      <c r="G56" s="53"/>
    </row>
    <row r="57">
      <c r="A57" s="49">
        <v>44513.25588438657</v>
      </c>
      <c r="B57" s="50">
        <v>44513.3808541898</v>
      </c>
      <c r="C57" s="51">
        <v>1.11</v>
      </c>
      <c r="D57" s="51">
        <v>64.0</v>
      </c>
      <c r="E57" s="52" t="s">
        <v>25</v>
      </c>
      <c r="F57" s="52" t="s">
        <v>26</v>
      </c>
      <c r="G57" s="53"/>
    </row>
    <row r="58">
      <c r="A58" s="49">
        <v>44513.2663000926</v>
      </c>
      <c r="B58" s="50">
        <v>44513.3912748495</v>
      </c>
      <c r="C58" s="51">
        <v>1.11</v>
      </c>
      <c r="D58" s="51">
        <v>64.0</v>
      </c>
      <c r="E58" s="52" t="s">
        <v>25</v>
      </c>
      <c r="F58" s="52" t="s">
        <v>26</v>
      </c>
      <c r="G58" s="53"/>
    </row>
    <row r="59">
      <c r="A59" s="49">
        <v>44513.27675488426</v>
      </c>
      <c r="B59" s="50">
        <v>44513.4017206597</v>
      </c>
      <c r="C59" s="51">
        <v>1.11</v>
      </c>
      <c r="D59" s="51">
        <v>64.0</v>
      </c>
      <c r="E59" s="52" t="s">
        <v>25</v>
      </c>
      <c r="F59" s="52" t="s">
        <v>26</v>
      </c>
      <c r="G59" s="53"/>
    </row>
    <row r="60">
      <c r="A60" s="49">
        <v>44513.287174502315</v>
      </c>
      <c r="B60" s="50">
        <v>44513.4121408101</v>
      </c>
      <c r="C60" s="51">
        <v>1.109</v>
      </c>
      <c r="D60" s="51">
        <v>64.0</v>
      </c>
      <c r="E60" s="52" t="s">
        <v>25</v>
      </c>
      <c r="F60" s="52" t="s">
        <v>26</v>
      </c>
      <c r="G60" s="53"/>
    </row>
    <row r="61">
      <c r="A61" s="49">
        <v>44513.29759135417</v>
      </c>
      <c r="B61" s="50">
        <v>44513.4225620138</v>
      </c>
      <c r="C61" s="51">
        <v>1.11</v>
      </c>
      <c r="D61" s="51">
        <v>64.0</v>
      </c>
      <c r="E61" s="52" t="s">
        <v>25</v>
      </c>
      <c r="F61" s="52" t="s">
        <v>26</v>
      </c>
      <c r="G61" s="53"/>
    </row>
    <row r="62">
      <c r="A62" s="49">
        <v>44513.30801371528</v>
      </c>
      <c r="B62" s="50">
        <v>44513.4329819675</v>
      </c>
      <c r="C62" s="51">
        <v>1.11</v>
      </c>
      <c r="D62" s="51">
        <v>64.0</v>
      </c>
      <c r="E62" s="52" t="s">
        <v>25</v>
      </c>
      <c r="F62" s="52" t="s">
        <v>26</v>
      </c>
      <c r="G62" s="53"/>
    </row>
    <row r="63">
      <c r="A63" s="49">
        <v>44513.318431782405</v>
      </c>
      <c r="B63" s="50">
        <v>44513.4434012268</v>
      </c>
      <c r="C63" s="51">
        <v>1.11</v>
      </c>
      <c r="D63" s="51">
        <v>64.0</v>
      </c>
      <c r="E63" s="52" t="s">
        <v>25</v>
      </c>
      <c r="F63" s="52" t="s">
        <v>26</v>
      </c>
      <c r="G63" s="53"/>
    </row>
    <row r="64">
      <c r="A64" s="49">
        <v>44513.32885789352</v>
      </c>
      <c r="B64" s="50">
        <v>44513.4538240624</v>
      </c>
      <c r="C64" s="51">
        <v>1.109</v>
      </c>
      <c r="D64" s="51">
        <v>64.0</v>
      </c>
      <c r="E64" s="52" t="s">
        <v>25</v>
      </c>
      <c r="F64" s="52" t="s">
        <v>26</v>
      </c>
      <c r="G64" s="53"/>
    </row>
    <row r="65">
      <c r="A65" s="49">
        <v>44513.33927140046</v>
      </c>
      <c r="B65" s="50">
        <v>44513.4642458796</v>
      </c>
      <c r="C65" s="51">
        <v>1.109</v>
      </c>
      <c r="D65" s="51">
        <v>64.0</v>
      </c>
      <c r="E65" s="52" t="s">
        <v>25</v>
      </c>
      <c r="F65" s="52" t="s">
        <v>26</v>
      </c>
      <c r="G65" s="53"/>
    </row>
    <row r="66">
      <c r="A66" s="49">
        <v>44513.349698136575</v>
      </c>
      <c r="B66" s="50">
        <v>44513.4746663194</v>
      </c>
      <c r="C66" s="51">
        <v>1.11</v>
      </c>
      <c r="D66" s="51">
        <v>64.0</v>
      </c>
      <c r="E66" s="52" t="s">
        <v>25</v>
      </c>
      <c r="F66" s="52" t="s">
        <v>26</v>
      </c>
      <c r="G66" s="53"/>
    </row>
    <row r="67">
      <c r="A67" s="49">
        <v>44513.36011789352</v>
      </c>
      <c r="B67" s="50">
        <v>44513.4850861342</v>
      </c>
      <c r="C67" s="51">
        <v>1.109</v>
      </c>
      <c r="D67" s="51">
        <v>64.0</v>
      </c>
      <c r="E67" s="52" t="s">
        <v>25</v>
      </c>
      <c r="F67" s="52" t="s">
        <v>26</v>
      </c>
      <c r="G67" s="53"/>
    </row>
    <row r="68">
      <c r="A68" s="49">
        <v>44513.37053064815</v>
      </c>
      <c r="B68" s="50">
        <v>44513.495507118</v>
      </c>
      <c r="C68" s="51">
        <v>1.11</v>
      </c>
      <c r="D68" s="51">
        <v>64.0</v>
      </c>
      <c r="E68" s="52" t="s">
        <v>25</v>
      </c>
      <c r="F68" s="52" t="s">
        <v>26</v>
      </c>
      <c r="G68" s="53"/>
    </row>
    <row r="69">
      <c r="A69" s="49">
        <v>44513.38096631944</v>
      </c>
      <c r="B69" s="50">
        <v>44513.5059391087</v>
      </c>
      <c r="C69" s="51">
        <v>1.109</v>
      </c>
      <c r="D69" s="51">
        <v>64.0</v>
      </c>
      <c r="E69" s="52" t="s">
        <v>25</v>
      </c>
      <c r="F69" s="52" t="s">
        <v>26</v>
      </c>
      <c r="G69" s="53"/>
    </row>
    <row r="70">
      <c r="A70" s="49">
        <v>44513.391393784725</v>
      </c>
      <c r="B70" s="50">
        <v>44513.5163706944</v>
      </c>
      <c r="C70" s="51">
        <v>1.109</v>
      </c>
      <c r="D70" s="51">
        <v>64.0</v>
      </c>
      <c r="E70" s="52" t="s">
        <v>25</v>
      </c>
      <c r="F70" s="52" t="s">
        <v>26</v>
      </c>
      <c r="G70" s="53"/>
    </row>
    <row r="71">
      <c r="A71" s="49">
        <v>44513.40181185185</v>
      </c>
      <c r="B71" s="50">
        <v>44513.5267928472</v>
      </c>
      <c r="C71" s="51">
        <v>1.109</v>
      </c>
      <c r="D71" s="51">
        <v>64.0</v>
      </c>
      <c r="E71" s="52" t="s">
        <v>25</v>
      </c>
      <c r="F71" s="52" t="s">
        <v>26</v>
      </c>
      <c r="G71" s="53"/>
    </row>
    <row r="72">
      <c r="A72" s="49">
        <v>44513.4122700463</v>
      </c>
      <c r="B72" s="50">
        <v>44513.5372372222</v>
      </c>
      <c r="C72" s="51">
        <v>1.109</v>
      </c>
      <c r="D72" s="51">
        <v>64.0</v>
      </c>
      <c r="E72" s="52" t="s">
        <v>25</v>
      </c>
      <c r="F72" s="52" t="s">
        <v>26</v>
      </c>
      <c r="G72" s="53"/>
    </row>
    <row r="73">
      <c r="A73" s="49">
        <v>44513.42269721065</v>
      </c>
      <c r="B73" s="50">
        <v>44513.5476719675</v>
      </c>
      <c r="C73" s="51">
        <v>1.109</v>
      </c>
      <c r="D73" s="51">
        <v>64.0</v>
      </c>
      <c r="E73" s="52" t="s">
        <v>25</v>
      </c>
      <c r="F73" s="52" t="s">
        <v>26</v>
      </c>
      <c r="G73" s="53"/>
    </row>
    <row r="74">
      <c r="A74" s="49">
        <v>44513.43312339121</v>
      </c>
      <c r="B74" s="50">
        <v>44513.558105081</v>
      </c>
      <c r="C74" s="51">
        <v>1.109</v>
      </c>
      <c r="D74" s="51">
        <v>64.0</v>
      </c>
      <c r="E74" s="52" t="s">
        <v>25</v>
      </c>
      <c r="F74" s="52" t="s">
        <v>26</v>
      </c>
      <c r="G74" s="53"/>
    </row>
    <row r="75">
      <c r="A75" s="49">
        <v>44513.44356277778</v>
      </c>
      <c r="B75" s="50">
        <v>44513.568538125</v>
      </c>
      <c r="C75" s="51">
        <v>1.109</v>
      </c>
      <c r="D75" s="51">
        <v>64.0</v>
      </c>
      <c r="E75" s="52" t="s">
        <v>25</v>
      </c>
      <c r="F75" s="52" t="s">
        <v>26</v>
      </c>
      <c r="G75" s="53"/>
    </row>
    <row r="76">
      <c r="A76" s="49">
        <v>44513.453988113426</v>
      </c>
      <c r="B76" s="50">
        <v>44513.5789684837</v>
      </c>
      <c r="C76" s="51">
        <v>1.109</v>
      </c>
      <c r="D76" s="51">
        <v>64.0</v>
      </c>
      <c r="E76" s="52" t="s">
        <v>25</v>
      </c>
      <c r="F76" s="52" t="s">
        <v>26</v>
      </c>
      <c r="G76" s="53"/>
    </row>
    <row r="77">
      <c r="A77" s="49">
        <v>44513.464412835645</v>
      </c>
      <c r="B77" s="50">
        <v>44513.5893911689</v>
      </c>
      <c r="C77" s="51">
        <v>1.109</v>
      </c>
      <c r="D77" s="51">
        <v>64.0</v>
      </c>
      <c r="E77" s="52" t="s">
        <v>25</v>
      </c>
      <c r="F77" s="52" t="s">
        <v>26</v>
      </c>
      <c r="G77" s="53"/>
    </row>
    <row r="78">
      <c r="A78" s="49">
        <v>44513.47483898148</v>
      </c>
      <c r="B78" s="50">
        <v>44513.5998132523</v>
      </c>
      <c r="C78" s="51">
        <v>1.109</v>
      </c>
      <c r="D78" s="51">
        <v>64.0</v>
      </c>
      <c r="E78" s="52" t="s">
        <v>25</v>
      </c>
      <c r="F78" s="52" t="s">
        <v>26</v>
      </c>
      <c r="G78" s="53"/>
    </row>
    <row r="79">
      <c r="A79" s="49">
        <v>44513.48525416666</v>
      </c>
      <c r="B79" s="50">
        <v>44513.6102345486</v>
      </c>
      <c r="C79" s="51">
        <v>1.109</v>
      </c>
      <c r="D79" s="51">
        <v>64.0</v>
      </c>
      <c r="E79" s="52" t="s">
        <v>25</v>
      </c>
      <c r="F79" s="52" t="s">
        <v>26</v>
      </c>
      <c r="G79" s="53"/>
    </row>
    <row r="80">
      <c r="A80" s="49">
        <v>44513.49569268519</v>
      </c>
      <c r="B80" s="50">
        <v>44513.620666331</v>
      </c>
      <c r="C80" s="51">
        <v>1.109</v>
      </c>
      <c r="D80" s="51">
        <v>64.0</v>
      </c>
      <c r="E80" s="52" t="s">
        <v>25</v>
      </c>
      <c r="F80" s="52" t="s">
        <v>26</v>
      </c>
      <c r="G80" s="53"/>
    </row>
    <row r="81">
      <c r="A81" s="49">
        <v>44513.50611125</v>
      </c>
      <c r="B81" s="50">
        <v>44513.6310863078</v>
      </c>
      <c r="C81" s="51">
        <v>1.109</v>
      </c>
      <c r="D81" s="51">
        <v>64.0</v>
      </c>
      <c r="E81" s="52" t="s">
        <v>25</v>
      </c>
      <c r="F81" s="52" t="s">
        <v>26</v>
      </c>
      <c r="G81" s="53"/>
    </row>
    <row r="82">
      <c r="A82" s="49">
        <v>44513.51652936343</v>
      </c>
      <c r="B82" s="50">
        <v>44513.6415056134</v>
      </c>
      <c r="C82" s="51">
        <v>1.109</v>
      </c>
      <c r="D82" s="51">
        <v>64.0</v>
      </c>
      <c r="E82" s="52" t="s">
        <v>25</v>
      </c>
      <c r="F82" s="52" t="s">
        <v>26</v>
      </c>
      <c r="G82" s="53"/>
    </row>
    <row r="83">
      <c r="A83" s="49">
        <v>44513.52695626157</v>
      </c>
      <c r="B83" s="50">
        <v>44513.6519285532</v>
      </c>
      <c r="C83" s="51">
        <v>1.109</v>
      </c>
      <c r="D83" s="51">
        <v>64.0</v>
      </c>
      <c r="E83" s="52" t="s">
        <v>25</v>
      </c>
      <c r="F83" s="52" t="s">
        <v>26</v>
      </c>
      <c r="G83" s="53"/>
    </row>
    <row r="84">
      <c r="A84" s="49">
        <v>44513.53738871528</v>
      </c>
      <c r="B84" s="50">
        <v>44513.6623595717</v>
      </c>
      <c r="C84" s="51">
        <v>1.109</v>
      </c>
      <c r="D84" s="51">
        <v>64.0</v>
      </c>
      <c r="E84" s="52" t="s">
        <v>25</v>
      </c>
      <c r="F84" s="52" t="s">
        <v>26</v>
      </c>
      <c r="G84" s="53"/>
    </row>
    <row r="85">
      <c r="A85" s="49">
        <v>44513.5478075</v>
      </c>
      <c r="B85" s="50">
        <v>44513.6727809143</v>
      </c>
      <c r="C85" s="51">
        <v>1.109</v>
      </c>
      <c r="D85" s="51">
        <v>64.0</v>
      </c>
      <c r="E85" s="52" t="s">
        <v>25</v>
      </c>
      <c r="F85" s="52" t="s">
        <v>26</v>
      </c>
      <c r="G85" s="53"/>
    </row>
    <row r="86">
      <c r="A86" s="49">
        <v>44513.55823731481</v>
      </c>
      <c r="B86" s="50">
        <v>44513.6832142129</v>
      </c>
      <c r="C86" s="51">
        <v>1.109</v>
      </c>
      <c r="D86" s="51">
        <v>64.0</v>
      </c>
      <c r="E86" s="52" t="s">
        <v>25</v>
      </c>
      <c r="F86" s="52" t="s">
        <v>26</v>
      </c>
      <c r="G86" s="53"/>
    </row>
    <row r="87">
      <c r="A87" s="49">
        <v>44513.56865847222</v>
      </c>
      <c r="B87" s="50">
        <v>44513.6936353587</v>
      </c>
      <c r="C87" s="51">
        <v>1.109</v>
      </c>
      <c r="D87" s="51">
        <v>64.0</v>
      </c>
      <c r="E87" s="52" t="s">
        <v>25</v>
      </c>
      <c r="F87" s="52" t="s">
        <v>26</v>
      </c>
      <c r="G87" s="53"/>
    </row>
    <row r="88">
      <c r="A88" s="49">
        <v>44513.57909969907</v>
      </c>
      <c r="B88" s="50">
        <v>44513.7040796643</v>
      </c>
      <c r="C88" s="51">
        <v>1.109</v>
      </c>
      <c r="D88" s="51">
        <v>64.0</v>
      </c>
      <c r="E88" s="52" t="s">
        <v>25</v>
      </c>
      <c r="F88" s="52" t="s">
        <v>26</v>
      </c>
      <c r="G88" s="53"/>
    </row>
    <row r="89">
      <c r="A89" s="49">
        <v>44513.58952949074</v>
      </c>
      <c r="B89" s="50">
        <v>44513.7145003125</v>
      </c>
      <c r="C89" s="51">
        <v>1.109</v>
      </c>
      <c r="D89" s="51">
        <v>64.0</v>
      </c>
      <c r="E89" s="52" t="s">
        <v>25</v>
      </c>
      <c r="F89" s="52" t="s">
        <v>26</v>
      </c>
      <c r="G89" s="53"/>
    </row>
    <row r="90">
      <c r="A90" s="49">
        <v>44513.59994236111</v>
      </c>
      <c r="B90" s="50">
        <v>44513.7249230208</v>
      </c>
      <c r="C90" s="51">
        <v>1.109</v>
      </c>
      <c r="D90" s="51">
        <v>64.0</v>
      </c>
      <c r="E90" s="52" t="s">
        <v>25</v>
      </c>
      <c r="F90" s="52" t="s">
        <v>26</v>
      </c>
      <c r="G90" s="53"/>
    </row>
    <row r="91">
      <c r="A91" s="49">
        <v>44513.610373194446</v>
      </c>
      <c r="B91" s="50">
        <v>44513.7353448842</v>
      </c>
      <c r="C91" s="51">
        <v>1.109</v>
      </c>
      <c r="D91" s="51">
        <v>64.0</v>
      </c>
      <c r="E91" s="52" t="s">
        <v>25</v>
      </c>
      <c r="F91" s="52" t="s">
        <v>26</v>
      </c>
      <c r="G91" s="53"/>
    </row>
    <row r="92">
      <c r="A92" s="49">
        <v>44513.620786342595</v>
      </c>
      <c r="B92" s="50">
        <v>44513.74576603</v>
      </c>
      <c r="C92" s="51">
        <v>1.109</v>
      </c>
      <c r="D92" s="51">
        <v>64.0</v>
      </c>
      <c r="E92" s="52" t="s">
        <v>25</v>
      </c>
      <c r="F92" s="52" t="s">
        <v>26</v>
      </c>
      <c r="G92" s="53"/>
    </row>
    <row r="93">
      <c r="A93" s="49">
        <v>44513.63121391204</v>
      </c>
      <c r="B93" s="50">
        <v>44513.7561880787</v>
      </c>
      <c r="C93" s="51">
        <v>1.109</v>
      </c>
      <c r="D93" s="51">
        <v>64.0</v>
      </c>
      <c r="E93" s="52" t="s">
        <v>25</v>
      </c>
      <c r="F93" s="52" t="s">
        <v>26</v>
      </c>
      <c r="G93" s="53"/>
    </row>
    <row r="94">
      <c r="A94" s="49">
        <v>44513.641670173616</v>
      </c>
      <c r="B94" s="50">
        <v>44513.7666100115</v>
      </c>
      <c r="C94" s="51">
        <v>1.109</v>
      </c>
      <c r="D94" s="51">
        <v>64.0</v>
      </c>
      <c r="E94" s="52" t="s">
        <v>25</v>
      </c>
      <c r="F94" s="52" t="s">
        <v>26</v>
      </c>
      <c r="G94" s="53"/>
    </row>
    <row r="95">
      <c r="A95" s="49">
        <v>44513.65206630787</v>
      </c>
      <c r="B95" s="50">
        <v>44513.7770413657</v>
      </c>
      <c r="C95" s="51">
        <v>1.109</v>
      </c>
      <c r="D95" s="51">
        <v>64.0</v>
      </c>
      <c r="E95" s="52" t="s">
        <v>25</v>
      </c>
      <c r="F95" s="52" t="s">
        <v>26</v>
      </c>
      <c r="G95" s="53"/>
    </row>
    <row r="96">
      <c r="A96" s="49">
        <v>44513.66248078704</v>
      </c>
      <c r="B96" s="50">
        <v>44513.7874615277</v>
      </c>
      <c r="C96" s="51">
        <v>1.109</v>
      </c>
      <c r="D96" s="51">
        <v>64.0</v>
      </c>
      <c r="E96" s="52" t="s">
        <v>25</v>
      </c>
      <c r="F96" s="52" t="s">
        <v>26</v>
      </c>
      <c r="G96" s="53"/>
    </row>
    <row r="97">
      <c r="A97" s="49">
        <v>44513.67290866898</v>
      </c>
      <c r="B97" s="50">
        <v>44513.7978813888</v>
      </c>
      <c r="C97" s="51">
        <v>1.109</v>
      </c>
      <c r="D97" s="51">
        <v>64.0</v>
      </c>
      <c r="E97" s="52" t="s">
        <v>25</v>
      </c>
      <c r="F97" s="52" t="s">
        <v>26</v>
      </c>
      <c r="G97" s="53"/>
    </row>
    <row r="98">
      <c r="A98" s="49">
        <v>44513.68332333333</v>
      </c>
      <c r="B98" s="50">
        <v>44513.8083030671</v>
      </c>
      <c r="C98" s="51">
        <v>1.11</v>
      </c>
      <c r="D98" s="51">
        <v>64.0</v>
      </c>
      <c r="E98" s="52" t="s">
        <v>25</v>
      </c>
      <c r="F98" s="52" t="s">
        <v>26</v>
      </c>
      <c r="G98" s="53"/>
    </row>
    <row r="99">
      <c r="A99" s="49">
        <v>44513.693750810184</v>
      </c>
      <c r="B99" s="50">
        <v>44513.8187244097</v>
      </c>
      <c r="C99" s="51">
        <v>1.111</v>
      </c>
      <c r="D99" s="51">
        <v>64.0</v>
      </c>
      <c r="E99" s="52" t="s">
        <v>25</v>
      </c>
      <c r="F99" s="52" t="s">
        <v>26</v>
      </c>
      <c r="G99" s="53"/>
    </row>
    <row r="100">
      <c r="A100" s="49">
        <v>44513.70417568287</v>
      </c>
      <c r="B100" s="50">
        <v>44513.8291465509</v>
      </c>
      <c r="C100" s="51">
        <v>1.112</v>
      </c>
      <c r="D100" s="51">
        <v>64.0</v>
      </c>
      <c r="E100" s="52" t="s">
        <v>25</v>
      </c>
      <c r="F100" s="52" t="s">
        <v>26</v>
      </c>
      <c r="G100" s="53"/>
    </row>
    <row r="101">
      <c r="A101" s="49">
        <v>44513.71465886574</v>
      </c>
      <c r="B101" s="50">
        <v>44513.8396356713</v>
      </c>
      <c r="C101" s="51">
        <v>1.112</v>
      </c>
      <c r="D101" s="51">
        <v>64.0</v>
      </c>
      <c r="E101" s="52" t="s">
        <v>25</v>
      </c>
      <c r="F101" s="52" t="s">
        <v>26</v>
      </c>
      <c r="G101" s="53"/>
    </row>
    <row r="102">
      <c r="A102" s="49">
        <v>44513.72508256944</v>
      </c>
      <c r="B102" s="50">
        <v>44513.8500568634</v>
      </c>
      <c r="C102" s="51">
        <v>1.113</v>
      </c>
      <c r="D102" s="51">
        <v>64.0</v>
      </c>
      <c r="E102" s="52" t="s">
        <v>25</v>
      </c>
      <c r="F102" s="52" t="s">
        <v>26</v>
      </c>
      <c r="G102" s="53"/>
    </row>
    <row r="103">
      <c r="A103" s="49">
        <v>44513.735504675926</v>
      </c>
      <c r="B103" s="50">
        <v>44513.8604782986</v>
      </c>
      <c r="C103" s="51">
        <v>1.114</v>
      </c>
      <c r="D103" s="51">
        <v>64.0</v>
      </c>
      <c r="E103" s="52" t="s">
        <v>25</v>
      </c>
      <c r="F103" s="52" t="s">
        <v>26</v>
      </c>
      <c r="G103" s="53"/>
    </row>
    <row r="104">
      <c r="A104" s="49">
        <v>44513.74592248842</v>
      </c>
      <c r="B104" s="50">
        <v>44513.8708990509</v>
      </c>
      <c r="C104" s="51">
        <v>1.114</v>
      </c>
      <c r="D104" s="51">
        <v>64.0</v>
      </c>
      <c r="E104" s="52" t="s">
        <v>25</v>
      </c>
      <c r="F104" s="52" t="s">
        <v>26</v>
      </c>
      <c r="G104" s="53"/>
    </row>
    <row r="105">
      <c r="A105" s="49">
        <v>44513.7563621875</v>
      </c>
      <c r="B105" s="50">
        <v>44513.881334537</v>
      </c>
      <c r="C105" s="51">
        <v>1.112</v>
      </c>
      <c r="D105" s="51">
        <v>64.0</v>
      </c>
      <c r="E105" s="52" t="s">
        <v>25</v>
      </c>
      <c r="F105" s="52" t="s">
        <v>26</v>
      </c>
      <c r="G105" s="53"/>
    </row>
    <row r="106">
      <c r="A106" s="49">
        <v>44513.7667705787</v>
      </c>
      <c r="B106" s="50">
        <v>44513.8917535532</v>
      </c>
      <c r="C106" s="51">
        <v>1.112</v>
      </c>
      <c r="D106" s="51">
        <v>64.0</v>
      </c>
      <c r="E106" s="52" t="s">
        <v>25</v>
      </c>
      <c r="F106" s="52" t="s">
        <v>26</v>
      </c>
      <c r="G106" s="53"/>
    </row>
    <row r="107">
      <c r="A107" s="49">
        <v>44513.77722065972</v>
      </c>
      <c r="B107" s="50">
        <v>44513.902197824</v>
      </c>
      <c r="C107" s="51">
        <v>1.111</v>
      </c>
      <c r="D107" s="51">
        <v>64.0</v>
      </c>
      <c r="E107" s="52" t="s">
        <v>25</v>
      </c>
      <c r="F107" s="52" t="s">
        <v>26</v>
      </c>
      <c r="G107" s="53"/>
    </row>
    <row r="108">
      <c r="A108" s="49">
        <v>44513.78764539352</v>
      </c>
      <c r="B108" s="50">
        <v>44513.9126198032</v>
      </c>
      <c r="C108" s="51">
        <v>1.111</v>
      </c>
      <c r="D108" s="51">
        <v>65.0</v>
      </c>
      <c r="E108" s="52" t="s">
        <v>25</v>
      </c>
      <c r="F108" s="52" t="s">
        <v>26</v>
      </c>
      <c r="G108" s="53"/>
    </row>
    <row r="109">
      <c r="A109" s="49">
        <v>44513.79805596065</v>
      </c>
      <c r="B109" s="50">
        <v>44513.9230403587</v>
      </c>
      <c r="C109" s="51">
        <v>1.111</v>
      </c>
      <c r="D109" s="51">
        <v>65.0</v>
      </c>
      <c r="E109" s="52" t="s">
        <v>25</v>
      </c>
      <c r="F109" s="52" t="s">
        <v>26</v>
      </c>
      <c r="G109" s="53"/>
    </row>
    <row r="110">
      <c r="A110" s="49">
        <v>44513.80848412037</v>
      </c>
      <c r="B110" s="50">
        <v>44513.9334628935</v>
      </c>
      <c r="C110" s="51">
        <v>1.111</v>
      </c>
      <c r="D110" s="51">
        <v>65.0</v>
      </c>
      <c r="E110" s="52" t="s">
        <v>25</v>
      </c>
      <c r="F110" s="52" t="s">
        <v>26</v>
      </c>
      <c r="G110" s="53"/>
    </row>
    <row r="111">
      <c r="A111" s="49">
        <v>44513.81890302083</v>
      </c>
      <c r="B111" s="50">
        <v>44513.9438846064</v>
      </c>
      <c r="C111" s="51">
        <v>1.111</v>
      </c>
      <c r="D111" s="51">
        <v>65.0</v>
      </c>
      <c r="E111" s="52" t="s">
        <v>25</v>
      </c>
      <c r="F111" s="52" t="s">
        <v>26</v>
      </c>
      <c r="G111" s="53"/>
    </row>
    <row r="112">
      <c r="A112" s="49">
        <v>44513.829338298616</v>
      </c>
      <c r="B112" s="50">
        <v>44513.9543153125</v>
      </c>
      <c r="C112" s="51">
        <v>1.11</v>
      </c>
      <c r="D112" s="51">
        <v>65.0</v>
      </c>
      <c r="E112" s="52" t="s">
        <v>25</v>
      </c>
      <c r="F112" s="52" t="s">
        <v>26</v>
      </c>
      <c r="G112" s="53"/>
    </row>
    <row r="113">
      <c r="A113" s="49">
        <v>44513.83976256945</v>
      </c>
      <c r="B113" s="50">
        <v>44513.964736574</v>
      </c>
      <c r="C113" s="51">
        <v>1.109</v>
      </c>
      <c r="D113" s="51">
        <v>65.0</v>
      </c>
      <c r="E113" s="52" t="s">
        <v>25</v>
      </c>
      <c r="F113" s="52" t="s">
        <v>26</v>
      </c>
      <c r="G113" s="53"/>
    </row>
    <row r="114">
      <c r="A114" s="49">
        <v>44513.850182685186</v>
      </c>
      <c r="B114" s="50">
        <v>44513.9751580324</v>
      </c>
      <c r="C114" s="51">
        <v>1.109</v>
      </c>
      <c r="D114" s="51">
        <v>65.0</v>
      </c>
      <c r="E114" s="52" t="s">
        <v>25</v>
      </c>
      <c r="F114" s="52" t="s">
        <v>26</v>
      </c>
      <c r="G114" s="53"/>
    </row>
    <row r="115">
      <c r="A115" s="49">
        <v>44513.86062630787</v>
      </c>
      <c r="B115" s="50">
        <v>44513.9856018518</v>
      </c>
      <c r="C115" s="51">
        <v>1.108</v>
      </c>
      <c r="D115" s="51">
        <v>65.0</v>
      </c>
      <c r="E115" s="52" t="s">
        <v>25</v>
      </c>
      <c r="F115" s="52" t="s">
        <v>26</v>
      </c>
      <c r="G115" s="53"/>
    </row>
    <row r="116">
      <c r="A116" s="49">
        <v>44513.87104673611</v>
      </c>
      <c r="B116" s="50">
        <v>44513.9960223958</v>
      </c>
      <c r="C116" s="51">
        <v>1.108</v>
      </c>
      <c r="D116" s="51">
        <v>65.0</v>
      </c>
      <c r="E116" s="52" t="s">
        <v>25</v>
      </c>
      <c r="F116" s="52" t="s">
        <v>26</v>
      </c>
      <c r="G116" s="53"/>
    </row>
    <row r="117">
      <c r="A117" s="49">
        <v>44513.8814664699</v>
      </c>
      <c r="B117" s="50">
        <v>44514.0064435763</v>
      </c>
      <c r="C117" s="51">
        <v>1.108</v>
      </c>
      <c r="D117" s="51">
        <v>65.0</v>
      </c>
      <c r="E117" s="52" t="s">
        <v>25</v>
      </c>
      <c r="F117" s="52" t="s">
        <v>26</v>
      </c>
      <c r="G117" s="53"/>
    </row>
    <row r="118">
      <c r="A118" s="49">
        <v>44513.89189431713</v>
      </c>
      <c r="B118" s="50">
        <v>44514.0168770138</v>
      </c>
      <c r="C118" s="51">
        <v>1.108</v>
      </c>
      <c r="D118" s="51">
        <v>65.0</v>
      </c>
      <c r="E118" s="52" t="s">
        <v>25</v>
      </c>
      <c r="F118" s="52" t="s">
        <v>26</v>
      </c>
      <c r="G118" s="53"/>
    </row>
    <row r="119">
      <c r="A119" s="49">
        <v>44513.90233537037</v>
      </c>
      <c r="B119" s="50">
        <v>44514.0273088425</v>
      </c>
      <c r="C119" s="51">
        <v>1.108</v>
      </c>
      <c r="D119" s="51">
        <v>65.0</v>
      </c>
      <c r="E119" s="52" t="s">
        <v>25</v>
      </c>
      <c r="F119" s="52" t="s">
        <v>26</v>
      </c>
      <c r="G119" s="53"/>
    </row>
    <row r="120">
      <c r="A120" s="49">
        <v>44513.912762175925</v>
      </c>
      <c r="B120" s="50">
        <v>44514.0377428009</v>
      </c>
      <c r="C120" s="51">
        <v>1.108</v>
      </c>
      <c r="D120" s="51">
        <v>65.0</v>
      </c>
      <c r="E120" s="52" t="s">
        <v>25</v>
      </c>
      <c r="F120" s="52" t="s">
        <v>26</v>
      </c>
      <c r="G120" s="53"/>
    </row>
    <row r="121">
      <c r="A121" s="49">
        <v>44513.923188009256</v>
      </c>
      <c r="B121" s="50">
        <v>44514.0481661805</v>
      </c>
      <c r="C121" s="51">
        <v>1.107</v>
      </c>
      <c r="D121" s="51">
        <v>65.0</v>
      </c>
      <c r="E121" s="52" t="s">
        <v>25</v>
      </c>
      <c r="F121" s="52" t="s">
        <v>26</v>
      </c>
      <c r="G121" s="53"/>
    </row>
    <row r="122">
      <c r="A122" s="49">
        <v>44513.933639421295</v>
      </c>
      <c r="B122" s="50">
        <v>44514.0586210995</v>
      </c>
      <c r="C122" s="51">
        <v>1.107</v>
      </c>
      <c r="D122" s="51">
        <v>65.0</v>
      </c>
      <c r="E122" s="52" t="s">
        <v>25</v>
      </c>
      <c r="F122" s="52" t="s">
        <v>26</v>
      </c>
      <c r="G122" s="53"/>
    </row>
    <row r="123">
      <c r="A123" s="49">
        <v>44513.94408077546</v>
      </c>
      <c r="B123" s="50">
        <v>44514.0690521064</v>
      </c>
      <c r="C123" s="51">
        <v>1.107</v>
      </c>
      <c r="D123" s="51">
        <v>65.0</v>
      </c>
      <c r="E123" s="52" t="s">
        <v>25</v>
      </c>
      <c r="F123" s="52" t="s">
        <v>26</v>
      </c>
      <c r="G123" s="53"/>
    </row>
    <row r="124">
      <c r="A124" s="49">
        <v>44513.95450108797</v>
      </c>
      <c r="B124" s="50">
        <v>44514.0794739814</v>
      </c>
      <c r="C124" s="51">
        <v>1.107</v>
      </c>
      <c r="D124" s="51">
        <v>65.0</v>
      </c>
      <c r="E124" s="52" t="s">
        <v>25</v>
      </c>
      <c r="F124" s="52" t="s">
        <v>26</v>
      </c>
      <c r="G124" s="53"/>
    </row>
    <row r="125">
      <c r="A125" s="49">
        <v>44513.964915081015</v>
      </c>
      <c r="B125" s="50">
        <v>44514.0898956828</v>
      </c>
      <c r="C125" s="51">
        <v>1.107</v>
      </c>
      <c r="D125" s="51">
        <v>65.0</v>
      </c>
      <c r="E125" s="52" t="s">
        <v>25</v>
      </c>
      <c r="F125" s="52" t="s">
        <v>26</v>
      </c>
      <c r="G125" s="53"/>
    </row>
    <row r="126">
      <c r="A126" s="49">
        <v>44513.97534265046</v>
      </c>
      <c r="B126" s="50">
        <v>44514.1003183796</v>
      </c>
      <c r="C126" s="51">
        <v>1.106</v>
      </c>
      <c r="D126" s="51">
        <v>65.0</v>
      </c>
      <c r="E126" s="52" t="s">
        <v>25</v>
      </c>
      <c r="F126" s="52" t="s">
        <v>26</v>
      </c>
      <c r="G126" s="53"/>
    </row>
    <row r="127">
      <c r="A127" s="49">
        <v>44513.98577142361</v>
      </c>
      <c r="B127" s="50">
        <v>44514.1107515277</v>
      </c>
      <c r="C127" s="51">
        <v>1.106</v>
      </c>
      <c r="D127" s="51">
        <v>65.0</v>
      </c>
      <c r="E127" s="52" t="s">
        <v>25</v>
      </c>
      <c r="F127" s="52" t="s">
        <v>26</v>
      </c>
      <c r="G127" s="53"/>
    </row>
    <row r="128">
      <c r="A128" s="49">
        <v>44513.99619564815</v>
      </c>
      <c r="B128" s="50">
        <v>44514.1211733217</v>
      </c>
      <c r="C128" s="51">
        <v>1.106</v>
      </c>
      <c r="D128" s="51">
        <v>65.0</v>
      </c>
      <c r="E128" s="52" t="s">
        <v>25</v>
      </c>
      <c r="F128" s="52" t="s">
        <v>26</v>
      </c>
      <c r="G128" s="53"/>
    </row>
    <row r="129">
      <c r="A129" s="49">
        <v>44514.006617175924</v>
      </c>
      <c r="B129" s="50">
        <v>44514.1315938773</v>
      </c>
      <c r="C129" s="51">
        <v>1.106</v>
      </c>
      <c r="D129" s="51">
        <v>65.0</v>
      </c>
      <c r="E129" s="52" t="s">
        <v>25</v>
      </c>
      <c r="F129" s="52" t="s">
        <v>26</v>
      </c>
      <c r="G129" s="53"/>
    </row>
    <row r="130">
      <c r="A130" s="49">
        <v>44514.017035983794</v>
      </c>
      <c r="B130" s="50">
        <v>44514.1420148726</v>
      </c>
      <c r="C130" s="51">
        <v>1.106</v>
      </c>
      <c r="D130" s="51">
        <v>65.0</v>
      </c>
      <c r="E130" s="52" t="s">
        <v>25</v>
      </c>
      <c r="F130" s="52" t="s">
        <v>26</v>
      </c>
      <c r="G130" s="53"/>
    </row>
    <row r="131">
      <c r="A131" s="49">
        <v>44514.02745188658</v>
      </c>
      <c r="B131" s="50">
        <v>44514.1524358796</v>
      </c>
      <c r="C131" s="51">
        <v>1.106</v>
      </c>
      <c r="D131" s="51">
        <v>65.0</v>
      </c>
      <c r="E131" s="52" t="s">
        <v>25</v>
      </c>
      <c r="F131" s="52" t="s">
        <v>26</v>
      </c>
      <c r="G131" s="53"/>
    </row>
    <row r="132">
      <c r="A132" s="49">
        <v>44514.03788355324</v>
      </c>
      <c r="B132" s="50">
        <v>44514.1628569444</v>
      </c>
      <c r="C132" s="51">
        <v>1.106</v>
      </c>
      <c r="D132" s="51">
        <v>65.0</v>
      </c>
      <c r="E132" s="52" t="s">
        <v>25</v>
      </c>
      <c r="F132" s="52" t="s">
        <v>26</v>
      </c>
      <c r="G132" s="53"/>
    </row>
    <row r="133">
      <c r="A133" s="49">
        <v>44514.04830869213</v>
      </c>
      <c r="B133" s="50">
        <v>44514.1732900694</v>
      </c>
      <c r="C133" s="51">
        <v>1.106</v>
      </c>
      <c r="D133" s="51">
        <v>65.0</v>
      </c>
      <c r="E133" s="52" t="s">
        <v>25</v>
      </c>
      <c r="F133" s="52" t="s">
        <v>26</v>
      </c>
      <c r="G133" s="53"/>
    </row>
    <row r="134">
      <c r="A134" s="49">
        <v>44514.05878143519</v>
      </c>
      <c r="B134" s="50">
        <v>44514.18375853</v>
      </c>
      <c r="C134" s="51">
        <v>1.106</v>
      </c>
      <c r="D134" s="51">
        <v>65.0</v>
      </c>
      <c r="E134" s="52" t="s">
        <v>25</v>
      </c>
      <c r="F134" s="52" t="s">
        <v>26</v>
      </c>
      <c r="G134" s="53"/>
    </row>
    <row r="135">
      <c r="A135" s="49">
        <v>44514.06934560185</v>
      </c>
      <c r="B135" s="50">
        <v>44514.1943189814</v>
      </c>
      <c r="C135" s="51">
        <v>1.106</v>
      </c>
      <c r="D135" s="51">
        <v>65.0</v>
      </c>
      <c r="E135" s="52" t="s">
        <v>25</v>
      </c>
      <c r="F135" s="52" t="s">
        <v>26</v>
      </c>
      <c r="G135" s="53"/>
    </row>
    <row r="136">
      <c r="A136" s="49">
        <v>44514.07976231481</v>
      </c>
      <c r="B136" s="50">
        <v>44514.2047403819</v>
      </c>
      <c r="C136" s="51">
        <v>1.106</v>
      </c>
      <c r="D136" s="51">
        <v>65.0</v>
      </c>
      <c r="E136" s="52" t="s">
        <v>25</v>
      </c>
      <c r="F136" s="52" t="s">
        <v>26</v>
      </c>
      <c r="G136" s="53"/>
    </row>
    <row r="137">
      <c r="A137" s="49">
        <v>44514.09018355324</v>
      </c>
      <c r="B137" s="50">
        <v>44514.2151610763</v>
      </c>
      <c r="C137" s="51">
        <v>1.106</v>
      </c>
      <c r="D137" s="51">
        <v>65.0</v>
      </c>
      <c r="E137" s="52" t="s">
        <v>25</v>
      </c>
      <c r="F137" s="52" t="s">
        <v>26</v>
      </c>
      <c r="G137" s="53"/>
    </row>
    <row r="138">
      <c r="A138" s="49">
        <v>44514.100622928236</v>
      </c>
      <c r="B138" s="50">
        <v>44514.2256042939</v>
      </c>
      <c r="C138" s="51">
        <v>1.105</v>
      </c>
      <c r="D138" s="51">
        <v>65.0</v>
      </c>
      <c r="E138" s="52" t="s">
        <v>25</v>
      </c>
      <c r="F138" s="52" t="s">
        <v>26</v>
      </c>
      <c r="G138" s="53"/>
    </row>
    <row r="139">
      <c r="A139" s="49">
        <v>44514.11104959491</v>
      </c>
      <c r="B139" s="50">
        <v>44514.2360259374</v>
      </c>
      <c r="C139" s="51">
        <v>1.105</v>
      </c>
      <c r="D139" s="51">
        <v>65.0</v>
      </c>
      <c r="E139" s="52" t="s">
        <v>25</v>
      </c>
      <c r="F139" s="52" t="s">
        <v>26</v>
      </c>
      <c r="G139" s="53"/>
    </row>
    <row r="140">
      <c r="A140" s="49">
        <v>44514.12146466435</v>
      </c>
      <c r="B140" s="50">
        <v>44514.2464462152</v>
      </c>
      <c r="C140" s="51">
        <v>1.105</v>
      </c>
      <c r="D140" s="51">
        <v>66.0</v>
      </c>
      <c r="E140" s="52" t="s">
        <v>25</v>
      </c>
      <c r="F140" s="52" t="s">
        <v>26</v>
      </c>
      <c r="G140" s="53"/>
    </row>
    <row r="141">
      <c r="A141" s="49">
        <v>44514.1318953125</v>
      </c>
      <c r="B141" s="50">
        <v>44514.2568677199</v>
      </c>
      <c r="C141" s="51">
        <v>1.105</v>
      </c>
      <c r="D141" s="51">
        <v>65.0</v>
      </c>
      <c r="E141" s="52" t="s">
        <v>25</v>
      </c>
      <c r="F141" s="52" t="s">
        <v>26</v>
      </c>
      <c r="G141" s="53"/>
    </row>
    <row r="142">
      <c r="A142" s="49">
        <v>44514.14234219908</v>
      </c>
      <c r="B142" s="50">
        <v>44514.2673223726</v>
      </c>
      <c r="C142" s="51">
        <v>1.105</v>
      </c>
      <c r="D142" s="51">
        <v>66.0</v>
      </c>
      <c r="E142" s="52" t="s">
        <v>25</v>
      </c>
      <c r="F142" s="52" t="s">
        <v>26</v>
      </c>
      <c r="G142" s="53"/>
    </row>
    <row r="143">
      <c r="A143" s="49">
        <v>44514.15277075232</v>
      </c>
      <c r="B143" s="50">
        <v>44514.2777453935</v>
      </c>
      <c r="C143" s="51">
        <v>1.105</v>
      </c>
      <c r="D143" s="51">
        <v>66.0</v>
      </c>
      <c r="E143" s="52" t="s">
        <v>25</v>
      </c>
      <c r="F143" s="52" t="s">
        <v>26</v>
      </c>
      <c r="G143" s="53"/>
    </row>
    <row r="144">
      <c r="A144" s="49">
        <v>44514.1632024537</v>
      </c>
      <c r="B144" s="50">
        <v>44514.2881780324</v>
      </c>
      <c r="C144" s="51">
        <v>1.104</v>
      </c>
      <c r="D144" s="51">
        <v>66.0</v>
      </c>
      <c r="E144" s="52" t="s">
        <v>25</v>
      </c>
      <c r="F144" s="52" t="s">
        <v>26</v>
      </c>
      <c r="G144" s="53"/>
    </row>
    <row r="145">
      <c r="A145" s="49">
        <v>44514.173620925925</v>
      </c>
      <c r="B145" s="50">
        <v>44514.298599537</v>
      </c>
      <c r="C145" s="51">
        <v>1.105</v>
      </c>
      <c r="D145" s="51">
        <v>66.0</v>
      </c>
      <c r="E145" s="52" t="s">
        <v>25</v>
      </c>
      <c r="F145" s="52" t="s">
        <v>26</v>
      </c>
      <c r="G145" s="53"/>
    </row>
    <row r="146">
      <c r="A146" s="49">
        <v>44514.18404950231</v>
      </c>
      <c r="B146" s="50">
        <v>44514.3090210416</v>
      </c>
      <c r="C146" s="51">
        <v>1.105</v>
      </c>
      <c r="D146" s="51">
        <v>66.0</v>
      </c>
      <c r="E146" s="52" t="s">
        <v>25</v>
      </c>
      <c r="F146" s="52" t="s">
        <v>26</v>
      </c>
      <c r="G146" s="53"/>
    </row>
    <row r="147">
      <c r="A147" s="49">
        <v>44514.194462071755</v>
      </c>
      <c r="B147" s="50">
        <v>44514.319443206</v>
      </c>
      <c r="C147" s="51">
        <v>1.104</v>
      </c>
      <c r="D147" s="51">
        <v>66.0</v>
      </c>
      <c r="E147" s="52" t="s">
        <v>25</v>
      </c>
      <c r="F147" s="52" t="s">
        <v>26</v>
      </c>
      <c r="G147" s="53"/>
    </row>
    <row r="148">
      <c r="A148" s="49">
        <v>44514.20490056713</v>
      </c>
      <c r="B148" s="50">
        <v>44514.3298628587</v>
      </c>
      <c r="C148" s="51">
        <v>1.105</v>
      </c>
      <c r="D148" s="51">
        <v>66.0</v>
      </c>
      <c r="E148" s="52" t="s">
        <v>25</v>
      </c>
      <c r="F148" s="52" t="s">
        <v>26</v>
      </c>
      <c r="G148" s="53"/>
    </row>
    <row r="149">
      <c r="A149" s="49">
        <v>44514.2153028125</v>
      </c>
      <c r="B149" s="50">
        <v>44514.3402834953</v>
      </c>
      <c r="C149" s="51">
        <v>1.105</v>
      </c>
      <c r="D149" s="51">
        <v>66.0</v>
      </c>
      <c r="E149" s="52" t="s">
        <v>25</v>
      </c>
      <c r="F149" s="52" t="s">
        <v>26</v>
      </c>
      <c r="G149" s="53"/>
    </row>
    <row r="150">
      <c r="A150" s="49">
        <v>44514.22572643519</v>
      </c>
      <c r="B150" s="50">
        <v>44514.350703912</v>
      </c>
      <c r="C150" s="51">
        <v>1.105</v>
      </c>
      <c r="D150" s="51">
        <v>66.0</v>
      </c>
      <c r="E150" s="52" t="s">
        <v>25</v>
      </c>
      <c r="F150" s="52" t="s">
        <v>26</v>
      </c>
      <c r="G150" s="53"/>
    </row>
    <row r="151">
      <c r="A151" s="49">
        <v>44514.23614559028</v>
      </c>
      <c r="B151" s="50">
        <v>44514.3611244907</v>
      </c>
      <c r="C151" s="51">
        <v>1.106</v>
      </c>
      <c r="D151" s="51">
        <v>66.0</v>
      </c>
      <c r="E151" s="52" t="s">
        <v>25</v>
      </c>
      <c r="F151" s="52" t="s">
        <v>26</v>
      </c>
      <c r="G151" s="53"/>
    </row>
    <row r="152">
      <c r="A152" s="49">
        <v>44514.24656385416</v>
      </c>
      <c r="B152" s="50">
        <v>44514.3715445023</v>
      </c>
      <c r="C152" s="51">
        <v>1.105</v>
      </c>
      <c r="D152" s="51">
        <v>66.0</v>
      </c>
      <c r="E152" s="52" t="s">
        <v>25</v>
      </c>
      <c r="F152" s="52" t="s">
        <v>26</v>
      </c>
      <c r="G152" s="53"/>
    </row>
    <row r="153">
      <c r="A153" s="49">
        <v>44514.25698961805</v>
      </c>
      <c r="B153" s="50">
        <v>44514.3819665972</v>
      </c>
      <c r="C153" s="51">
        <v>1.105</v>
      </c>
      <c r="D153" s="51">
        <v>66.0</v>
      </c>
      <c r="E153" s="52" t="s">
        <v>25</v>
      </c>
      <c r="F153" s="52" t="s">
        <v>26</v>
      </c>
      <c r="G153" s="53"/>
    </row>
    <row r="154">
      <c r="A154" s="49">
        <v>44514.26741107639</v>
      </c>
      <c r="B154" s="50">
        <v>44514.3923873726</v>
      </c>
      <c r="C154" s="51">
        <v>1.105</v>
      </c>
      <c r="D154" s="51">
        <v>66.0</v>
      </c>
      <c r="E154" s="52" t="s">
        <v>25</v>
      </c>
      <c r="F154" s="52" t="s">
        <v>26</v>
      </c>
      <c r="G154" s="53"/>
    </row>
    <row r="155">
      <c r="A155" s="49">
        <v>44514.2778478125</v>
      </c>
      <c r="B155" s="50">
        <v>44514.4028095833</v>
      </c>
      <c r="C155" s="51">
        <v>1.105</v>
      </c>
      <c r="D155" s="51">
        <v>66.0</v>
      </c>
      <c r="E155" s="52" t="s">
        <v>25</v>
      </c>
      <c r="F155" s="52" t="s">
        <v>26</v>
      </c>
      <c r="G155" s="53"/>
    </row>
    <row r="156">
      <c r="A156" s="49">
        <v>44514.28825528936</v>
      </c>
      <c r="B156" s="50">
        <v>44514.4132301967</v>
      </c>
      <c r="C156" s="51">
        <v>1.104</v>
      </c>
      <c r="D156" s="51">
        <v>66.0</v>
      </c>
      <c r="E156" s="52" t="s">
        <v>25</v>
      </c>
      <c r="F156" s="52" t="s">
        <v>26</v>
      </c>
      <c r="G156" s="53"/>
    </row>
    <row r="157">
      <c r="A157" s="49">
        <v>44514.29868695602</v>
      </c>
      <c r="B157" s="50">
        <v>44514.4236614236</v>
      </c>
      <c r="C157" s="51">
        <v>1.105</v>
      </c>
      <c r="D157" s="51">
        <v>66.0</v>
      </c>
      <c r="E157" s="52" t="s">
        <v>25</v>
      </c>
      <c r="F157" s="52" t="s">
        <v>26</v>
      </c>
      <c r="G157" s="53"/>
    </row>
    <row r="158">
      <c r="A158" s="49">
        <v>44514.309100949074</v>
      </c>
      <c r="B158" s="50">
        <v>44514.434082662</v>
      </c>
      <c r="C158" s="51">
        <v>1.105</v>
      </c>
      <c r="D158" s="51">
        <v>66.0</v>
      </c>
      <c r="E158" s="52" t="s">
        <v>25</v>
      </c>
      <c r="F158" s="52" t="s">
        <v>26</v>
      </c>
      <c r="G158" s="53"/>
    </row>
    <row r="159">
      <c r="A159" s="49">
        <v>44514.319534780094</v>
      </c>
      <c r="B159" s="50">
        <v>44514.4445047337</v>
      </c>
      <c r="C159" s="51">
        <v>1.104</v>
      </c>
      <c r="D159" s="51">
        <v>66.0</v>
      </c>
      <c r="E159" s="52" t="s">
        <v>25</v>
      </c>
      <c r="F159" s="52" t="s">
        <v>26</v>
      </c>
      <c r="G159" s="53"/>
    </row>
    <row r="160">
      <c r="A160" s="49">
        <v>44514.32996644676</v>
      </c>
      <c r="B160" s="50">
        <v>44514.4549383564</v>
      </c>
      <c r="C160" s="51">
        <v>1.105</v>
      </c>
      <c r="D160" s="51">
        <v>66.0</v>
      </c>
      <c r="E160" s="52" t="s">
        <v>25</v>
      </c>
      <c r="F160" s="52" t="s">
        <v>26</v>
      </c>
      <c r="G160" s="53"/>
    </row>
    <row r="161">
      <c r="A161" s="49">
        <v>44514.34037822917</v>
      </c>
      <c r="B161" s="50">
        <v>44514.4653594097</v>
      </c>
      <c r="C161" s="51">
        <v>1.105</v>
      </c>
      <c r="D161" s="51">
        <v>66.0</v>
      </c>
      <c r="E161" s="52" t="s">
        <v>25</v>
      </c>
      <c r="F161" s="52" t="s">
        <v>26</v>
      </c>
      <c r="G161" s="53"/>
    </row>
    <row r="162">
      <c r="A162" s="49">
        <v>44514.35080363426</v>
      </c>
      <c r="B162" s="50">
        <v>44514.47578</v>
      </c>
      <c r="C162" s="51">
        <v>1.105</v>
      </c>
      <c r="D162" s="51">
        <v>66.0</v>
      </c>
      <c r="E162" s="52" t="s">
        <v>25</v>
      </c>
      <c r="F162" s="52" t="s">
        <v>26</v>
      </c>
      <c r="G162" s="53"/>
    </row>
    <row r="163">
      <c r="A163" s="49">
        <v>44514.361226967594</v>
      </c>
      <c r="B163" s="50">
        <v>44514.4862013657</v>
      </c>
      <c r="C163" s="51">
        <v>1.104</v>
      </c>
      <c r="D163" s="51">
        <v>67.0</v>
      </c>
      <c r="E163" s="52" t="s">
        <v>25</v>
      </c>
      <c r="F163" s="52" t="s">
        <v>26</v>
      </c>
      <c r="G163" s="53"/>
    </row>
    <row r="164">
      <c r="A164" s="49">
        <v>44514.37165212963</v>
      </c>
      <c r="B164" s="50">
        <v>44514.4966221875</v>
      </c>
      <c r="C164" s="51">
        <v>1.104</v>
      </c>
      <c r="D164" s="51">
        <v>67.0</v>
      </c>
      <c r="E164" s="52" t="s">
        <v>25</v>
      </c>
      <c r="F164" s="52" t="s">
        <v>26</v>
      </c>
      <c r="G164" s="53"/>
    </row>
    <row r="165">
      <c r="A165" s="49">
        <v>44514.38207380787</v>
      </c>
      <c r="B165" s="50">
        <v>44514.5070436458</v>
      </c>
      <c r="C165" s="51">
        <v>1.104</v>
      </c>
      <c r="D165" s="51">
        <v>67.0</v>
      </c>
      <c r="E165" s="52" t="s">
        <v>25</v>
      </c>
      <c r="F165" s="52" t="s">
        <v>26</v>
      </c>
      <c r="G165" s="53"/>
    </row>
    <row r="166">
      <c r="A166" s="49">
        <v>44514.392488680554</v>
      </c>
      <c r="B166" s="50">
        <v>44514.517465081</v>
      </c>
      <c r="C166" s="51">
        <v>1.103</v>
      </c>
      <c r="D166" s="51">
        <v>67.0</v>
      </c>
      <c r="E166" s="52" t="s">
        <v>25</v>
      </c>
      <c r="F166" s="52" t="s">
        <v>26</v>
      </c>
      <c r="G166" s="53"/>
    </row>
    <row r="167">
      <c r="A167" s="49">
        <v>44514.402906365736</v>
      </c>
      <c r="B167" s="50">
        <v>44514.5278871412</v>
      </c>
      <c r="C167" s="51">
        <v>1.103</v>
      </c>
      <c r="D167" s="51">
        <v>67.0</v>
      </c>
      <c r="E167" s="52" t="s">
        <v>25</v>
      </c>
      <c r="F167" s="52" t="s">
        <v>26</v>
      </c>
      <c r="G167" s="53"/>
    </row>
    <row r="168">
      <c r="A168" s="49">
        <v>44514.413355219905</v>
      </c>
      <c r="B168" s="50">
        <v>44514.5383326504</v>
      </c>
      <c r="C168" s="51">
        <v>1.103</v>
      </c>
      <c r="D168" s="51">
        <v>67.0</v>
      </c>
      <c r="E168" s="52" t="s">
        <v>25</v>
      </c>
      <c r="F168" s="52" t="s">
        <v>26</v>
      </c>
      <c r="G168" s="53"/>
    </row>
    <row r="169">
      <c r="A169" s="49">
        <v>44514.42378881945</v>
      </c>
      <c r="B169" s="50">
        <v>44514.5487660879</v>
      </c>
      <c r="C169" s="51">
        <v>1.102</v>
      </c>
      <c r="D169" s="51">
        <v>67.0</v>
      </c>
      <c r="E169" s="52" t="s">
        <v>25</v>
      </c>
      <c r="F169" s="52" t="s">
        <v>26</v>
      </c>
      <c r="G169" s="53"/>
    </row>
    <row r="170">
      <c r="A170" s="49">
        <v>44514.434208182865</v>
      </c>
      <c r="B170" s="50">
        <v>44514.5591870023</v>
      </c>
      <c r="C170" s="51">
        <v>1.103</v>
      </c>
      <c r="D170" s="51">
        <v>67.0</v>
      </c>
      <c r="E170" s="52" t="s">
        <v>25</v>
      </c>
      <c r="F170" s="52" t="s">
        <v>26</v>
      </c>
      <c r="G170" s="53"/>
    </row>
    <row r="171">
      <c r="A171" s="49">
        <v>44514.444632858795</v>
      </c>
      <c r="B171" s="50">
        <v>44514.5696086921</v>
      </c>
      <c r="C171" s="51">
        <v>1.103</v>
      </c>
      <c r="D171" s="51">
        <v>67.0</v>
      </c>
      <c r="E171" s="52" t="s">
        <v>25</v>
      </c>
      <c r="F171" s="52" t="s">
        <v>26</v>
      </c>
      <c r="G171" s="53"/>
    </row>
    <row r="172">
      <c r="A172" s="49">
        <v>44514.45505883102</v>
      </c>
      <c r="B172" s="50">
        <v>44514.5800308449</v>
      </c>
      <c r="C172" s="51">
        <v>1.103</v>
      </c>
      <c r="D172" s="51">
        <v>67.0</v>
      </c>
      <c r="E172" s="52" t="s">
        <v>25</v>
      </c>
      <c r="F172" s="52" t="s">
        <v>26</v>
      </c>
      <c r="G172" s="53"/>
    </row>
    <row r="173">
      <c r="A173" s="49">
        <v>44514.46547112269</v>
      </c>
      <c r="B173" s="50">
        <v>44514.5904523032</v>
      </c>
      <c r="C173" s="51">
        <v>1.103</v>
      </c>
      <c r="D173" s="51">
        <v>67.0</v>
      </c>
      <c r="E173" s="52" t="s">
        <v>25</v>
      </c>
      <c r="F173" s="52" t="s">
        <v>26</v>
      </c>
      <c r="G173" s="53"/>
    </row>
    <row r="174">
      <c r="A174" s="49">
        <v>44514.47590207176</v>
      </c>
      <c r="B174" s="50">
        <v>44514.6008729745</v>
      </c>
      <c r="C174" s="51">
        <v>1.103</v>
      </c>
      <c r="D174" s="51">
        <v>67.0</v>
      </c>
      <c r="E174" s="52" t="s">
        <v>25</v>
      </c>
      <c r="F174" s="52" t="s">
        <v>26</v>
      </c>
      <c r="G174" s="53"/>
    </row>
    <row r="175">
      <c r="A175" s="49">
        <v>44514.48632030093</v>
      </c>
      <c r="B175" s="50">
        <v>44514.6112942245</v>
      </c>
      <c r="C175" s="51">
        <v>1.102</v>
      </c>
      <c r="D175" s="51">
        <v>67.0</v>
      </c>
      <c r="E175" s="52" t="s">
        <v>25</v>
      </c>
      <c r="F175" s="52" t="s">
        <v>26</v>
      </c>
      <c r="G175" s="53"/>
    </row>
    <row r="176">
      <c r="A176" s="49">
        <v>44514.496737696754</v>
      </c>
      <c r="B176" s="50">
        <v>44514.6217155439</v>
      </c>
      <c r="C176" s="51">
        <v>1.102</v>
      </c>
      <c r="D176" s="51">
        <v>67.0</v>
      </c>
      <c r="E176" s="52" t="s">
        <v>25</v>
      </c>
      <c r="F176" s="52" t="s">
        <v>26</v>
      </c>
      <c r="G176" s="53"/>
    </row>
    <row r="177">
      <c r="A177" s="49">
        <v>44514.507175798615</v>
      </c>
      <c r="B177" s="50">
        <v>44514.6321483333</v>
      </c>
      <c r="C177" s="51">
        <v>1.102</v>
      </c>
      <c r="D177" s="51">
        <v>67.0</v>
      </c>
      <c r="E177" s="52" t="s">
        <v>25</v>
      </c>
      <c r="F177" s="52" t="s">
        <v>26</v>
      </c>
      <c r="G177" s="53"/>
    </row>
    <row r="178">
      <c r="A178" s="49">
        <v>44514.517592743054</v>
      </c>
      <c r="B178" s="50">
        <v>44514.6425688194</v>
      </c>
      <c r="C178" s="51">
        <v>1.102</v>
      </c>
      <c r="D178" s="51">
        <v>67.0</v>
      </c>
      <c r="E178" s="52" t="s">
        <v>25</v>
      </c>
      <c r="F178" s="52" t="s">
        <v>26</v>
      </c>
      <c r="G178" s="53"/>
    </row>
    <row r="179">
      <c r="A179" s="49">
        <v>44514.52801887732</v>
      </c>
      <c r="B179" s="50">
        <v>44514.6529906365</v>
      </c>
      <c r="C179" s="51">
        <v>1.102</v>
      </c>
      <c r="D179" s="51">
        <v>67.0</v>
      </c>
      <c r="E179" s="52" t="s">
        <v>25</v>
      </c>
      <c r="F179" s="52" t="s">
        <v>26</v>
      </c>
      <c r="G179" s="53"/>
    </row>
    <row r="180">
      <c r="A180" s="49">
        <v>44514.53844959491</v>
      </c>
      <c r="B180" s="50">
        <v>44514.6634235185</v>
      </c>
      <c r="C180" s="51">
        <v>1.101</v>
      </c>
      <c r="D180" s="51">
        <v>67.0</v>
      </c>
      <c r="E180" s="52" t="s">
        <v>25</v>
      </c>
      <c r="F180" s="52" t="s">
        <v>26</v>
      </c>
      <c r="G180" s="53"/>
    </row>
    <row r="181">
      <c r="A181" s="49">
        <v>44514.5488740162</v>
      </c>
      <c r="B181" s="50">
        <v>44514.6738557291</v>
      </c>
      <c r="C181" s="51">
        <v>1.101</v>
      </c>
      <c r="D181" s="51">
        <v>67.0</v>
      </c>
      <c r="E181" s="52" t="s">
        <v>25</v>
      </c>
      <c r="F181" s="52" t="s">
        <v>26</v>
      </c>
      <c r="G181" s="53"/>
    </row>
    <row r="182">
      <c r="A182" s="49">
        <v>44514.559295949075</v>
      </c>
      <c r="B182" s="50">
        <v>44514.6842750694</v>
      </c>
      <c r="C182" s="51">
        <v>1.102</v>
      </c>
      <c r="D182" s="51">
        <v>67.0</v>
      </c>
      <c r="E182" s="52" t="s">
        <v>25</v>
      </c>
      <c r="F182" s="52" t="s">
        <v>26</v>
      </c>
      <c r="G182" s="53"/>
    </row>
    <row r="183">
      <c r="A183" s="49">
        <v>44514.569722245375</v>
      </c>
      <c r="B183" s="50">
        <v>44514.6946968287</v>
      </c>
      <c r="C183" s="51">
        <v>1.101</v>
      </c>
      <c r="D183" s="51">
        <v>68.0</v>
      </c>
      <c r="E183" s="52" t="s">
        <v>25</v>
      </c>
      <c r="F183" s="52" t="s">
        <v>26</v>
      </c>
      <c r="G183" s="53"/>
    </row>
    <row r="184">
      <c r="A184" s="49">
        <v>44514.580143495376</v>
      </c>
      <c r="B184" s="50">
        <v>44514.7051166666</v>
      </c>
      <c r="C184" s="51">
        <v>1.101</v>
      </c>
      <c r="D184" s="51">
        <v>68.0</v>
      </c>
      <c r="E184" s="52" t="s">
        <v>25</v>
      </c>
      <c r="F184" s="52" t="s">
        <v>26</v>
      </c>
      <c r="G184" s="53"/>
    </row>
    <row r="185">
      <c r="A185" s="49">
        <v>44514.59055641203</v>
      </c>
      <c r="B185" s="50">
        <v>44514.7155364236</v>
      </c>
      <c r="C185" s="51">
        <v>1.101</v>
      </c>
      <c r="D185" s="51">
        <v>68.0</v>
      </c>
      <c r="E185" s="52" t="s">
        <v>25</v>
      </c>
      <c r="F185" s="52" t="s">
        <v>26</v>
      </c>
      <c r="G185" s="53"/>
    </row>
    <row r="186">
      <c r="A186" s="49">
        <v>44514.60099422454</v>
      </c>
      <c r="B186" s="50">
        <v>44514.7259680092</v>
      </c>
      <c r="C186" s="51">
        <v>1.101</v>
      </c>
      <c r="D186" s="51">
        <v>68.0</v>
      </c>
      <c r="E186" s="52" t="s">
        <v>25</v>
      </c>
      <c r="F186" s="52" t="s">
        <v>26</v>
      </c>
      <c r="G186" s="53"/>
    </row>
    <row r="187">
      <c r="A187" s="49">
        <v>44514.61141006944</v>
      </c>
      <c r="B187" s="50">
        <v>44514.7363904745</v>
      </c>
      <c r="C187" s="51">
        <v>1.1</v>
      </c>
      <c r="D187" s="51">
        <v>68.0</v>
      </c>
      <c r="E187" s="52" t="s">
        <v>25</v>
      </c>
      <c r="F187" s="52" t="s">
        <v>26</v>
      </c>
      <c r="G187" s="53"/>
    </row>
    <row r="188">
      <c r="A188" s="49">
        <v>44514.62188899306</v>
      </c>
      <c r="B188" s="50">
        <v>44514.7468115162</v>
      </c>
      <c r="C188" s="51">
        <v>1.101</v>
      </c>
      <c r="D188" s="51">
        <v>68.0</v>
      </c>
      <c r="E188" s="52" t="s">
        <v>25</v>
      </c>
      <c r="F188" s="52" t="s">
        <v>26</v>
      </c>
      <c r="G188" s="53"/>
    </row>
    <row r="189">
      <c r="A189" s="49">
        <v>44514.63226193287</v>
      </c>
      <c r="B189" s="50">
        <v>44514.7572332523</v>
      </c>
      <c r="C189" s="51">
        <v>1.101</v>
      </c>
      <c r="D189" s="51">
        <v>68.0</v>
      </c>
      <c r="E189" s="52" t="s">
        <v>25</v>
      </c>
      <c r="F189" s="52" t="s">
        <v>26</v>
      </c>
      <c r="G189" s="53"/>
    </row>
    <row r="190">
      <c r="A190" s="49">
        <v>44514.64267306713</v>
      </c>
      <c r="B190" s="50">
        <v>44514.7676536226</v>
      </c>
      <c r="C190" s="51">
        <v>1.101</v>
      </c>
      <c r="D190" s="51">
        <v>68.0</v>
      </c>
      <c r="E190" s="52" t="s">
        <v>25</v>
      </c>
      <c r="F190" s="52" t="s">
        <v>26</v>
      </c>
      <c r="G190" s="53"/>
    </row>
    <row r="191">
      <c r="A191" s="49">
        <v>44514.65309934028</v>
      </c>
      <c r="B191" s="50">
        <v>44514.778075</v>
      </c>
      <c r="C191" s="51">
        <v>1.101</v>
      </c>
      <c r="D191" s="51">
        <v>68.0</v>
      </c>
      <c r="E191" s="52" t="s">
        <v>25</v>
      </c>
      <c r="F191" s="52" t="s">
        <v>26</v>
      </c>
      <c r="G191" s="53"/>
    </row>
    <row r="192">
      <c r="A192" s="49">
        <v>44514.663542256945</v>
      </c>
      <c r="B192" s="50">
        <v>44514.7885094675</v>
      </c>
      <c r="C192" s="51">
        <v>1.101</v>
      </c>
      <c r="D192" s="51">
        <v>68.0</v>
      </c>
      <c r="E192" s="52" t="s">
        <v>25</v>
      </c>
      <c r="F192" s="52" t="s">
        <v>26</v>
      </c>
      <c r="G192" s="53"/>
    </row>
    <row r="193">
      <c r="A193" s="49">
        <v>44514.67397631945</v>
      </c>
      <c r="B193" s="50">
        <v>44514.7989446527</v>
      </c>
      <c r="C193" s="51">
        <v>1.1</v>
      </c>
      <c r="D193" s="51">
        <v>68.0</v>
      </c>
      <c r="E193" s="52" t="s">
        <v>25</v>
      </c>
      <c r="F193" s="52" t="s">
        <v>26</v>
      </c>
      <c r="G193" s="53"/>
    </row>
    <row r="194">
      <c r="A194" s="49">
        <v>44514.68438651621</v>
      </c>
      <c r="B194" s="50">
        <v>44514.8093673842</v>
      </c>
      <c r="C194" s="51">
        <v>1.101</v>
      </c>
      <c r="D194" s="51">
        <v>68.0</v>
      </c>
      <c r="E194" s="52" t="s">
        <v>25</v>
      </c>
      <c r="F194" s="52" t="s">
        <v>26</v>
      </c>
      <c r="G194" s="53"/>
    </row>
    <row r="195">
      <c r="A195" s="49">
        <v>44514.69480597222</v>
      </c>
      <c r="B195" s="50">
        <v>44514.8197872453</v>
      </c>
      <c r="C195" s="51">
        <v>1.101</v>
      </c>
      <c r="D195" s="51">
        <v>68.0</v>
      </c>
      <c r="E195" s="52" t="s">
        <v>25</v>
      </c>
      <c r="F195" s="52" t="s">
        <v>26</v>
      </c>
      <c r="G195" s="53"/>
    </row>
    <row r="196">
      <c r="A196" s="49">
        <v>44514.705259814815</v>
      </c>
      <c r="B196" s="50">
        <v>44514.8302325115</v>
      </c>
      <c r="C196" s="51">
        <v>1.1</v>
      </c>
      <c r="D196" s="51">
        <v>68.0</v>
      </c>
      <c r="E196" s="52" t="s">
        <v>25</v>
      </c>
      <c r="F196" s="52" t="s">
        <v>26</v>
      </c>
      <c r="G196" s="53"/>
    </row>
    <row r="197">
      <c r="A197" s="49">
        <v>44514.71567528935</v>
      </c>
      <c r="B197" s="50">
        <v>44514.8406526041</v>
      </c>
      <c r="C197" s="51">
        <v>1.1</v>
      </c>
      <c r="D197" s="51">
        <v>68.0</v>
      </c>
      <c r="E197" s="52" t="s">
        <v>25</v>
      </c>
      <c r="F197" s="52" t="s">
        <v>26</v>
      </c>
      <c r="G197" s="53"/>
    </row>
    <row r="198">
      <c r="A198" s="49">
        <v>44514.7261244213</v>
      </c>
      <c r="B198" s="50">
        <v>44514.8510980324</v>
      </c>
      <c r="C198" s="51">
        <v>1.1</v>
      </c>
      <c r="D198" s="51">
        <v>68.0</v>
      </c>
      <c r="E198" s="52" t="s">
        <v>25</v>
      </c>
      <c r="F198" s="52" t="s">
        <v>26</v>
      </c>
      <c r="G198" s="53"/>
    </row>
    <row r="199">
      <c r="A199" s="49">
        <v>44514.736537777775</v>
      </c>
      <c r="B199" s="50">
        <v>44514.8615203587</v>
      </c>
      <c r="C199" s="51">
        <v>1.101</v>
      </c>
      <c r="D199" s="51">
        <v>68.0</v>
      </c>
      <c r="E199" s="52" t="s">
        <v>25</v>
      </c>
      <c r="F199" s="52" t="s">
        <v>26</v>
      </c>
      <c r="G199" s="53"/>
    </row>
    <row r="200">
      <c r="A200" s="49">
        <v>44514.74698391204</v>
      </c>
      <c r="B200" s="50">
        <v>44514.8719525</v>
      </c>
      <c r="C200" s="51">
        <v>1.101</v>
      </c>
      <c r="D200" s="51">
        <v>68.0</v>
      </c>
      <c r="E200" s="52" t="s">
        <v>25</v>
      </c>
      <c r="F200" s="52" t="s">
        <v>26</v>
      </c>
      <c r="G200" s="53"/>
    </row>
    <row r="201">
      <c r="A201" s="49">
        <v>44514.75742299769</v>
      </c>
      <c r="B201" s="50">
        <v>44514.8823851851</v>
      </c>
      <c r="C201" s="51">
        <v>1.1</v>
      </c>
      <c r="D201" s="51">
        <v>68.0</v>
      </c>
      <c r="E201" s="52" t="s">
        <v>25</v>
      </c>
      <c r="F201" s="52" t="s">
        <v>26</v>
      </c>
      <c r="G201" s="53"/>
    </row>
    <row r="202">
      <c r="A202" s="49">
        <v>44514.767828738426</v>
      </c>
      <c r="B202" s="50">
        <v>44514.8928036805</v>
      </c>
      <c r="C202" s="51">
        <v>1.1</v>
      </c>
      <c r="D202" s="51">
        <v>68.0</v>
      </c>
      <c r="E202" s="52" t="s">
        <v>25</v>
      </c>
      <c r="F202" s="52" t="s">
        <v>26</v>
      </c>
      <c r="G202" s="53"/>
    </row>
    <row r="203">
      <c r="A203" s="49">
        <v>44514.778255868056</v>
      </c>
      <c r="B203" s="50">
        <v>44514.903225162</v>
      </c>
      <c r="C203" s="51">
        <v>1.1</v>
      </c>
      <c r="D203" s="51">
        <v>68.0</v>
      </c>
      <c r="E203" s="52" t="s">
        <v>25</v>
      </c>
      <c r="F203" s="52" t="s">
        <v>26</v>
      </c>
      <c r="G203" s="53"/>
    </row>
    <row r="204">
      <c r="A204" s="49">
        <v>44514.788665810185</v>
      </c>
      <c r="B204" s="50">
        <v>44514.9136467592</v>
      </c>
      <c r="C204" s="51">
        <v>1.1</v>
      </c>
      <c r="D204" s="51">
        <v>68.0</v>
      </c>
      <c r="E204" s="52" t="s">
        <v>25</v>
      </c>
      <c r="F204" s="52" t="s">
        <v>26</v>
      </c>
      <c r="G204" s="53"/>
    </row>
    <row r="205">
      <c r="A205" s="49">
        <v>44514.7991037037</v>
      </c>
      <c r="B205" s="50">
        <v>44514.9240796527</v>
      </c>
      <c r="C205" s="51">
        <v>1.099</v>
      </c>
      <c r="D205" s="51">
        <v>68.0</v>
      </c>
      <c r="E205" s="52" t="s">
        <v>25</v>
      </c>
      <c r="F205" s="52" t="s">
        <v>26</v>
      </c>
      <c r="G205" s="53"/>
    </row>
    <row r="206">
      <c r="A206" s="49">
        <v>44514.80953009259</v>
      </c>
      <c r="B206" s="50">
        <v>44514.9345012037</v>
      </c>
      <c r="C206" s="51">
        <v>1.1</v>
      </c>
      <c r="D206" s="51">
        <v>68.0</v>
      </c>
      <c r="E206" s="52" t="s">
        <v>25</v>
      </c>
      <c r="F206" s="52" t="s">
        <v>26</v>
      </c>
      <c r="G206" s="53"/>
    </row>
    <row r="207">
      <c r="A207" s="49">
        <v>44514.81997005787</v>
      </c>
      <c r="B207" s="50">
        <v>44514.9449461574</v>
      </c>
      <c r="C207" s="51">
        <v>1.099</v>
      </c>
      <c r="D207" s="51">
        <v>68.0</v>
      </c>
      <c r="E207" s="52" t="s">
        <v>25</v>
      </c>
      <c r="F207" s="52" t="s">
        <v>26</v>
      </c>
      <c r="G207" s="53"/>
    </row>
    <row r="208">
      <c r="A208" s="49">
        <v>44514.83038783565</v>
      </c>
      <c r="B208" s="50">
        <v>44514.9553658796</v>
      </c>
      <c r="C208" s="51">
        <v>1.1</v>
      </c>
      <c r="D208" s="51">
        <v>68.0</v>
      </c>
      <c r="E208" s="52" t="s">
        <v>25</v>
      </c>
      <c r="F208" s="52" t="s">
        <v>26</v>
      </c>
      <c r="G208" s="53"/>
    </row>
    <row r="209">
      <c r="A209" s="49">
        <v>44514.840816435186</v>
      </c>
      <c r="B209" s="50">
        <v>44514.9657860185</v>
      </c>
      <c r="C209" s="51">
        <v>1.099</v>
      </c>
      <c r="D209" s="51">
        <v>69.0</v>
      </c>
      <c r="E209" s="52" t="s">
        <v>25</v>
      </c>
      <c r="F209" s="52" t="s">
        <v>26</v>
      </c>
      <c r="G209" s="53"/>
    </row>
    <row r="210">
      <c r="A210" s="49">
        <v>44514.85122681713</v>
      </c>
      <c r="B210" s="50">
        <v>44514.9762048958</v>
      </c>
      <c r="C210" s="51">
        <v>1.099</v>
      </c>
      <c r="D210" s="51">
        <v>69.0</v>
      </c>
      <c r="E210" s="52" t="s">
        <v>25</v>
      </c>
      <c r="F210" s="52" t="s">
        <v>26</v>
      </c>
      <c r="G210" s="53"/>
    </row>
    <row r="211">
      <c r="A211" s="49">
        <v>44514.86166700232</v>
      </c>
      <c r="B211" s="50">
        <v>44514.9866386574</v>
      </c>
      <c r="C211" s="51">
        <v>1.099</v>
      </c>
      <c r="D211" s="51">
        <v>69.0</v>
      </c>
      <c r="E211" s="52" t="s">
        <v>25</v>
      </c>
      <c r="F211" s="52" t="s">
        <v>26</v>
      </c>
      <c r="G211" s="53"/>
    </row>
    <row r="212">
      <c r="A212" s="49">
        <v>44514.87209725694</v>
      </c>
      <c r="B212" s="50">
        <v>44514.9970710763</v>
      </c>
      <c r="C212" s="51">
        <v>1.099</v>
      </c>
      <c r="D212" s="51">
        <v>69.0</v>
      </c>
      <c r="E212" s="52" t="s">
        <v>25</v>
      </c>
      <c r="F212" s="52" t="s">
        <v>26</v>
      </c>
      <c r="G212" s="53"/>
    </row>
    <row r="213">
      <c r="A213" s="49">
        <v>44514.88251899305</v>
      </c>
      <c r="B213" s="50">
        <v>44515.0074908449</v>
      </c>
      <c r="C213" s="51">
        <v>1.099</v>
      </c>
      <c r="D213" s="51">
        <v>69.0</v>
      </c>
      <c r="E213" s="52" t="s">
        <v>25</v>
      </c>
      <c r="F213" s="52" t="s">
        <v>26</v>
      </c>
      <c r="G213" s="53"/>
    </row>
    <row r="214">
      <c r="A214" s="49">
        <v>44514.89293509259</v>
      </c>
      <c r="B214" s="50">
        <v>44515.0179125</v>
      </c>
      <c r="C214" s="51">
        <v>1.098</v>
      </c>
      <c r="D214" s="51">
        <v>69.0</v>
      </c>
      <c r="E214" s="52" t="s">
        <v>25</v>
      </c>
      <c r="F214" s="52" t="s">
        <v>26</v>
      </c>
      <c r="G214" s="53"/>
    </row>
    <row r="215">
      <c r="A215" s="49">
        <v>44514.90336689814</v>
      </c>
      <c r="B215" s="50">
        <v>44515.0283435185</v>
      </c>
      <c r="C215" s="51">
        <v>1.098</v>
      </c>
      <c r="D215" s="51">
        <v>69.0</v>
      </c>
      <c r="E215" s="52" t="s">
        <v>25</v>
      </c>
      <c r="F215" s="52" t="s">
        <v>26</v>
      </c>
      <c r="G215" s="53"/>
    </row>
    <row r="216">
      <c r="A216" s="49">
        <v>44514.91379320602</v>
      </c>
      <c r="B216" s="50">
        <v>44515.0387643171</v>
      </c>
      <c r="C216" s="51">
        <v>1.098</v>
      </c>
      <c r="D216" s="51">
        <v>69.0</v>
      </c>
      <c r="E216" s="52" t="s">
        <v>25</v>
      </c>
      <c r="F216" s="52" t="s">
        <v>26</v>
      </c>
      <c r="G216" s="53"/>
    </row>
    <row r="217">
      <c r="A217" s="49">
        <v>44514.92422418982</v>
      </c>
      <c r="B217" s="50">
        <v>44515.0491966087</v>
      </c>
      <c r="C217" s="51">
        <v>1.097</v>
      </c>
      <c r="D217" s="51">
        <v>69.0</v>
      </c>
      <c r="E217" s="52" t="s">
        <v>25</v>
      </c>
      <c r="F217" s="52" t="s">
        <v>26</v>
      </c>
      <c r="G217" s="53"/>
    </row>
    <row r="218">
      <c r="A218" s="49">
        <v>44514.93465097222</v>
      </c>
      <c r="B218" s="50">
        <v>44515.0596301157</v>
      </c>
      <c r="C218" s="51">
        <v>1.097</v>
      </c>
      <c r="D218" s="51">
        <v>69.0</v>
      </c>
      <c r="E218" s="52" t="s">
        <v>25</v>
      </c>
      <c r="F218" s="52" t="s">
        <v>26</v>
      </c>
      <c r="G218" s="53"/>
    </row>
    <row r="219">
      <c r="A219" s="49">
        <v>44514.94507223379</v>
      </c>
      <c r="B219" s="50">
        <v>44515.0700506134</v>
      </c>
      <c r="C219" s="51">
        <v>1.097</v>
      </c>
      <c r="D219" s="51">
        <v>69.0</v>
      </c>
      <c r="E219" s="52" t="s">
        <v>25</v>
      </c>
      <c r="F219" s="52" t="s">
        <v>26</v>
      </c>
      <c r="G219" s="53"/>
    </row>
    <row r="220">
      <c r="A220" s="49">
        <v>44514.95550144676</v>
      </c>
      <c r="B220" s="50">
        <v>44515.0804713888</v>
      </c>
      <c r="C220" s="51">
        <v>1.097</v>
      </c>
      <c r="D220" s="51">
        <v>69.0</v>
      </c>
      <c r="E220" s="52" t="s">
        <v>25</v>
      </c>
      <c r="F220" s="52" t="s">
        <v>26</v>
      </c>
      <c r="G220" s="53"/>
    </row>
    <row r="221">
      <c r="A221" s="49">
        <v>44514.96593081018</v>
      </c>
      <c r="B221" s="50">
        <v>44515.0909067245</v>
      </c>
      <c r="C221" s="51">
        <v>1.097</v>
      </c>
      <c r="D221" s="51">
        <v>69.0</v>
      </c>
      <c r="E221" s="52" t="s">
        <v>25</v>
      </c>
      <c r="F221" s="52" t="s">
        <v>26</v>
      </c>
      <c r="G221" s="53"/>
    </row>
    <row r="222">
      <c r="A222" s="49">
        <v>44514.976346446754</v>
      </c>
      <c r="B222" s="50">
        <v>44515.101326875</v>
      </c>
      <c r="C222" s="51">
        <v>1.097</v>
      </c>
      <c r="D222" s="51">
        <v>69.0</v>
      </c>
      <c r="E222" s="52" t="s">
        <v>25</v>
      </c>
      <c r="F222" s="52" t="s">
        <v>26</v>
      </c>
      <c r="G222" s="53"/>
    </row>
    <row r="223">
      <c r="A223" s="49">
        <v>44514.98677762732</v>
      </c>
      <c r="B223" s="50">
        <v>44515.1117472916</v>
      </c>
      <c r="C223" s="51">
        <v>1.096</v>
      </c>
      <c r="D223" s="51">
        <v>69.0</v>
      </c>
      <c r="E223" s="52" t="s">
        <v>25</v>
      </c>
      <c r="F223" s="52" t="s">
        <v>26</v>
      </c>
      <c r="G223" s="53"/>
    </row>
    <row r="224">
      <c r="A224" s="49">
        <v>44514.9972203588</v>
      </c>
      <c r="B224" s="50">
        <v>44515.1222021643</v>
      </c>
      <c r="C224" s="51">
        <v>1.097</v>
      </c>
      <c r="D224" s="51">
        <v>69.0</v>
      </c>
      <c r="E224" s="52" t="s">
        <v>25</v>
      </c>
      <c r="F224" s="52" t="s">
        <v>26</v>
      </c>
      <c r="G224" s="53"/>
    </row>
    <row r="225">
      <c r="A225" s="49">
        <v>44515.00764972222</v>
      </c>
      <c r="B225" s="50">
        <v>44515.1326229629</v>
      </c>
      <c r="C225" s="51">
        <v>1.097</v>
      </c>
      <c r="D225" s="51">
        <v>69.0</v>
      </c>
      <c r="E225" s="52" t="s">
        <v>25</v>
      </c>
      <c r="F225" s="52" t="s">
        <v>26</v>
      </c>
      <c r="G225" s="53"/>
    </row>
    <row r="226">
      <c r="A226" s="49">
        <v>44515.018063958334</v>
      </c>
      <c r="B226" s="50">
        <v>44515.1430453356</v>
      </c>
      <c r="C226" s="51">
        <v>1.097</v>
      </c>
      <c r="D226" s="51">
        <v>69.0</v>
      </c>
      <c r="E226" s="52" t="s">
        <v>25</v>
      </c>
      <c r="F226" s="52" t="s">
        <v>26</v>
      </c>
      <c r="G226" s="53"/>
    </row>
    <row r="227">
      <c r="A227" s="49">
        <v>44515.02849067129</v>
      </c>
      <c r="B227" s="50">
        <v>44515.1534666087</v>
      </c>
      <c r="C227" s="51">
        <v>1.096</v>
      </c>
      <c r="D227" s="51">
        <v>69.0</v>
      </c>
      <c r="E227" s="52" t="s">
        <v>25</v>
      </c>
      <c r="F227" s="52" t="s">
        <v>26</v>
      </c>
      <c r="G227" s="53"/>
    </row>
    <row r="228">
      <c r="A228" s="49">
        <v>44515.03891971065</v>
      </c>
      <c r="B228" s="50">
        <v>44515.1638880439</v>
      </c>
      <c r="C228" s="51">
        <v>1.097</v>
      </c>
      <c r="D228" s="51">
        <v>69.0</v>
      </c>
      <c r="E228" s="52" t="s">
        <v>25</v>
      </c>
      <c r="F228" s="52" t="s">
        <v>26</v>
      </c>
      <c r="G228" s="53"/>
    </row>
    <row r="229">
      <c r="A229" s="49">
        <v>44515.04933195602</v>
      </c>
      <c r="B229" s="50">
        <v>44515.1743090046</v>
      </c>
      <c r="C229" s="51">
        <v>1.096</v>
      </c>
      <c r="D229" s="51">
        <v>69.0</v>
      </c>
      <c r="E229" s="52" t="s">
        <v>25</v>
      </c>
      <c r="F229" s="52" t="s">
        <v>26</v>
      </c>
      <c r="G229" s="53"/>
    </row>
    <row r="230">
      <c r="A230" s="49">
        <v>44515.05977011574</v>
      </c>
      <c r="B230" s="50">
        <v>44515.184742199</v>
      </c>
      <c r="C230" s="51">
        <v>1.096</v>
      </c>
      <c r="D230" s="51">
        <v>69.0</v>
      </c>
      <c r="E230" s="52" t="s">
        <v>25</v>
      </c>
      <c r="F230" s="52" t="s">
        <v>26</v>
      </c>
      <c r="G230" s="53"/>
    </row>
    <row r="231">
      <c r="A231" s="49">
        <v>44515.07021075231</v>
      </c>
      <c r="B231" s="50">
        <v>44515.1951858912</v>
      </c>
      <c r="C231" s="51">
        <v>1.096</v>
      </c>
      <c r="D231" s="51">
        <v>69.0</v>
      </c>
      <c r="E231" s="52" t="s">
        <v>25</v>
      </c>
      <c r="F231" s="52" t="s">
        <v>26</v>
      </c>
      <c r="G231" s="53"/>
    </row>
    <row r="232">
      <c r="A232" s="49">
        <v>44515.08065068287</v>
      </c>
      <c r="B232" s="50">
        <v>44515.205630787</v>
      </c>
      <c r="C232" s="51">
        <v>1.096</v>
      </c>
      <c r="D232" s="51">
        <v>69.0</v>
      </c>
      <c r="E232" s="52" t="s">
        <v>25</v>
      </c>
      <c r="F232" s="52" t="s">
        <v>26</v>
      </c>
      <c r="G232" s="53"/>
    </row>
    <row r="233">
      <c r="A233" s="49">
        <v>44515.09109928241</v>
      </c>
      <c r="B233" s="50">
        <v>44515.2160632175</v>
      </c>
      <c r="C233" s="51">
        <v>1.096</v>
      </c>
      <c r="D233" s="51">
        <v>69.0</v>
      </c>
      <c r="E233" s="52" t="s">
        <v>25</v>
      </c>
      <c r="F233" s="52" t="s">
        <v>26</v>
      </c>
      <c r="G233" s="53"/>
    </row>
    <row r="234">
      <c r="A234" s="49">
        <v>44515.10150777778</v>
      </c>
      <c r="B234" s="50">
        <v>44515.2264854166</v>
      </c>
      <c r="C234" s="51">
        <v>1.096</v>
      </c>
      <c r="D234" s="51">
        <v>69.0</v>
      </c>
      <c r="E234" s="52" t="s">
        <v>25</v>
      </c>
      <c r="F234" s="52" t="s">
        <v>26</v>
      </c>
      <c r="G234" s="53"/>
    </row>
    <row r="235">
      <c r="A235" s="49">
        <v>44515.111936597226</v>
      </c>
      <c r="B235" s="50">
        <v>44515.2369178009</v>
      </c>
      <c r="C235" s="51">
        <v>1.096</v>
      </c>
      <c r="D235" s="51">
        <v>69.0</v>
      </c>
      <c r="E235" s="52" t="s">
        <v>25</v>
      </c>
      <c r="F235" s="52" t="s">
        <v>26</v>
      </c>
      <c r="G235" s="53"/>
    </row>
    <row r="236">
      <c r="A236" s="49">
        <v>44515.12238717593</v>
      </c>
      <c r="B236" s="50">
        <v>44515.2473519212</v>
      </c>
      <c r="C236" s="51">
        <v>1.095</v>
      </c>
      <c r="D236" s="51">
        <v>69.0</v>
      </c>
      <c r="E236" s="52" t="s">
        <v>25</v>
      </c>
      <c r="F236" s="52" t="s">
        <v>26</v>
      </c>
      <c r="G236" s="53"/>
    </row>
    <row r="237">
      <c r="A237" s="49">
        <v>44515.1327933912</v>
      </c>
      <c r="B237" s="50">
        <v>44515.2577736342</v>
      </c>
      <c r="C237" s="51">
        <v>1.096</v>
      </c>
      <c r="D237" s="51">
        <v>69.0</v>
      </c>
      <c r="E237" s="52" t="s">
        <v>25</v>
      </c>
      <c r="F237" s="52" t="s">
        <v>26</v>
      </c>
      <c r="G237" s="53"/>
    </row>
    <row r="238">
      <c r="A238" s="49">
        <v>44515.14323428241</v>
      </c>
      <c r="B238" s="50">
        <v>44515.2682055092</v>
      </c>
      <c r="C238" s="51">
        <v>1.095</v>
      </c>
      <c r="D238" s="51">
        <v>69.0</v>
      </c>
      <c r="E238" s="52" t="s">
        <v>25</v>
      </c>
      <c r="F238" s="52" t="s">
        <v>26</v>
      </c>
      <c r="G238" s="53"/>
    </row>
    <row r="239">
      <c r="A239" s="49">
        <v>44515.15364517361</v>
      </c>
      <c r="B239" s="50">
        <v>44515.2786251967</v>
      </c>
      <c r="C239" s="51">
        <v>1.095</v>
      </c>
      <c r="D239" s="51">
        <v>69.0</v>
      </c>
      <c r="E239" s="52" t="s">
        <v>25</v>
      </c>
      <c r="F239" s="52" t="s">
        <v>26</v>
      </c>
      <c r="G239" s="53"/>
    </row>
    <row r="240">
      <c r="A240" s="49">
        <v>44515.16407060185</v>
      </c>
      <c r="B240" s="50">
        <v>44515.2890479166</v>
      </c>
      <c r="C240" s="51">
        <v>1.095</v>
      </c>
      <c r="D240" s="51">
        <v>70.0</v>
      </c>
      <c r="E240" s="52" t="s">
        <v>25</v>
      </c>
      <c r="F240" s="52" t="s">
        <v>26</v>
      </c>
      <c r="G240" s="53"/>
    </row>
    <row r="241">
      <c r="A241" s="49">
        <v>44515.17449892361</v>
      </c>
      <c r="B241" s="50">
        <v>44515.2994682638</v>
      </c>
      <c r="C241" s="51">
        <v>1.096</v>
      </c>
      <c r="D241" s="51">
        <v>70.0</v>
      </c>
      <c r="E241" s="52" t="s">
        <v>25</v>
      </c>
      <c r="F241" s="52" t="s">
        <v>26</v>
      </c>
      <c r="G241" s="53"/>
    </row>
    <row r="242">
      <c r="A242" s="49">
        <v>44515.18491865741</v>
      </c>
      <c r="B242" s="50">
        <v>44515.3098893287</v>
      </c>
      <c r="C242" s="51">
        <v>1.095</v>
      </c>
      <c r="D242" s="51">
        <v>69.0</v>
      </c>
      <c r="E242" s="52" t="s">
        <v>25</v>
      </c>
      <c r="F242" s="52" t="s">
        <v>26</v>
      </c>
      <c r="G242" s="53"/>
    </row>
    <row r="243">
      <c r="A243" s="49">
        <v>44515.19533960648</v>
      </c>
      <c r="B243" s="50">
        <v>44515.320310081</v>
      </c>
      <c r="C243" s="51">
        <v>1.096</v>
      </c>
      <c r="D243" s="51">
        <v>68.0</v>
      </c>
      <c r="E243" s="52" t="s">
        <v>25</v>
      </c>
      <c r="F243" s="52" t="s">
        <v>26</v>
      </c>
      <c r="G243" s="53"/>
    </row>
    <row r="244">
      <c r="A244" s="49">
        <v>44515.20577422454</v>
      </c>
      <c r="B244" s="50">
        <v>44515.3307422453</v>
      </c>
      <c r="C244" s="51">
        <v>1.095</v>
      </c>
      <c r="D244" s="51">
        <v>66.0</v>
      </c>
      <c r="E244" s="52" t="s">
        <v>25</v>
      </c>
      <c r="F244" s="52" t="s">
        <v>26</v>
      </c>
      <c r="G244" s="53"/>
    </row>
    <row r="245">
      <c r="A245" s="49">
        <v>44515.21621407407</v>
      </c>
      <c r="B245" s="50">
        <v>44515.3411624305</v>
      </c>
      <c r="C245" s="51">
        <v>1.096</v>
      </c>
      <c r="D245" s="51">
        <v>64.0</v>
      </c>
      <c r="E245" s="52" t="s">
        <v>25</v>
      </c>
      <c r="F245" s="52" t="s">
        <v>26</v>
      </c>
      <c r="G245" s="53"/>
    </row>
    <row r="246">
      <c r="A246" s="49">
        <v>44515.22662934028</v>
      </c>
      <c r="B246" s="50">
        <v>44515.3516054282</v>
      </c>
      <c r="C246" s="51">
        <v>1.096</v>
      </c>
      <c r="D246" s="51">
        <v>64.0</v>
      </c>
      <c r="E246" s="52" t="s">
        <v>25</v>
      </c>
      <c r="F246" s="52" t="s">
        <v>26</v>
      </c>
      <c r="G246" s="53"/>
    </row>
    <row r="247">
      <c r="A247" s="49">
        <v>44515.23706185185</v>
      </c>
      <c r="B247" s="50">
        <v>44515.3620366435</v>
      </c>
      <c r="C247" s="51">
        <v>1.096</v>
      </c>
      <c r="D247" s="51">
        <v>65.0</v>
      </c>
      <c r="E247" s="52" t="s">
        <v>25</v>
      </c>
      <c r="F247" s="52" t="s">
        <v>26</v>
      </c>
      <c r="G247" s="53"/>
    </row>
    <row r="248">
      <c r="A248" s="49">
        <v>44515.24749292824</v>
      </c>
      <c r="B248" s="50">
        <v>44515.372469456</v>
      </c>
      <c r="C248" s="51">
        <v>1.095</v>
      </c>
      <c r="D248" s="51">
        <v>65.0</v>
      </c>
      <c r="E248" s="52" t="s">
        <v>25</v>
      </c>
      <c r="F248" s="52" t="s">
        <v>26</v>
      </c>
      <c r="G248" s="53"/>
    </row>
    <row r="249">
      <c r="A249" s="49">
        <v>44515.257914201386</v>
      </c>
      <c r="B249" s="50">
        <v>44515.382891875</v>
      </c>
      <c r="C249" s="51">
        <v>1.096</v>
      </c>
      <c r="D249" s="51">
        <v>65.0</v>
      </c>
      <c r="E249" s="52" t="s">
        <v>25</v>
      </c>
      <c r="F249" s="52" t="s">
        <v>26</v>
      </c>
      <c r="G249" s="53"/>
    </row>
    <row r="250">
      <c r="A250" s="49">
        <v>44515.26834725695</v>
      </c>
      <c r="B250" s="50">
        <v>44515.3933119791</v>
      </c>
      <c r="C250" s="51">
        <v>1.095</v>
      </c>
      <c r="D250" s="51">
        <v>65.0</v>
      </c>
      <c r="E250" s="52" t="s">
        <v>25</v>
      </c>
      <c r="F250" s="52" t="s">
        <v>26</v>
      </c>
      <c r="G250" s="53"/>
    </row>
    <row r="251">
      <c r="A251" s="49">
        <v>44515.27877394676</v>
      </c>
      <c r="B251" s="50">
        <v>44515.4037329166</v>
      </c>
      <c r="C251" s="51">
        <v>1.096</v>
      </c>
      <c r="D251" s="51">
        <v>65.0</v>
      </c>
      <c r="E251" s="52" t="s">
        <v>25</v>
      </c>
      <c r="F251" s="52" t="s">
        <v>26</v>
      </c>
      <c r="G251" s="53"/>
    </row>
    <row r="252">
      <c r="A252" s="49">
        <v>44515.289204733795</v>
      </c>
      <c r="B252" s="50">
        <v>44515.4141544097</v>
      </c>
      <c r="C252" s="51">
        <v>1.095</v>
      </c>
      <c r="D252" s="51">
        <v>65.0</v>
      </c>
      <c r="E252" s="52" t="s">
        <v>25</v>
      </c>
      <c r="F252" s="52" t="s">
        <v>26</v>
      </c>
      <c r="G252" s="53"/>
    </row>
    <row r="253">
      <c r="A253" s="49">
        <v>44515.299664502316</v>
      </c>
      <c r="B253" s="50">
        <v>44515.4245756828</v>
      </c>
      <c r="C253" s="51">
        <v>1.095</v>
      </c>
      <c r="D253" s="51">
        <v>65.0</v>
      </c>
      <c r="E253" s="52" t="s">
        <v>25</v>
      </c>
      <c r="F253" s="52" t="s">
        <v>26</v>
      </c>
      <c r="G253" s="53"/>
    </row>
    <row r="254">
      <c r="A254" s="49">
        <v>44515.31002289352</v>
      </c>
      <c r="B254" s="50">
        <v>44515.4349983101</v>
      </c>
      <c r="C254" s="51">
        <v>1.095</v>
      </c>
      <c r="D254" s="51">
        <v>65.0</v>
      </c>
      <c r="E254" s="52" t="s">
        <v>25</v>
      </c>
      <c r="F254" s="52" t="s">
        <v>26</v>
      </c>
      <c r="G254" s="53"/>
    </row>
    <row r="255">
      <c r="A255" s="49">
        <v>44515.32044256944</v>
      </c>
      <c r="B255" s="50">
        <v>44515.4454175578</v>
      </c>
      <c r="C255" s="51">
        <v>1.095</v>
      </c>
      <c r="D255" s="51">
        <v>65.0</v>
      </c>
      <c r="E255" s="52" t="s">
        <v>25</v>
      </c>
      <c r="F255" s="52" t="s">
        <v>26</v>
      </c>
      <c r="G255" s="53"/>
    </row>
    <row r="256">
      <c r="A256" s="49">
        <v>44515.330868391204</v>
      </c>
      <c r="B256" s="50">
        <v>44515.4558391898</v>
      </c>
      <c r="C256" s="51">
        <v>1.095</v>
      </c>
      <c r="D256" s="51">
        <v>65.0</v>
      </c>
      <c r="E256" s="52" t="s">
        <v>25</v>
      </c>
      <c r="F256" s="52" t="s">
        <v>26</v>
      </c>
      <c r="G256" s="53"/>
    </row>
    <row r="257">
      <c r="A257" s="49">
        <v>44515.34129015046</v>
      </c>
      <c r="B257" s="50">
        <v>44515.4662605787</v>
      </c>
      <c r="C257" s="51">
        <v>1.095</v>
      </c>
      <c r="D257" s="51">
        <v>65.0</v>
      </c>
      <c r="E257" s="52" t="s">
        <v>25</v>
      </c>
      <c r="F257" s="52" t="s">
        <v>26</v>
      </c>
      <c r="G257" s="53"/>
    </row>
    <row r="258">
      <c r="A258" s="49">
        <v>44515.351721666666</v>
      </c>
      <c r="B258" s="50">
        <v>44515.4766942592</v>
      </c>
      <c r="C258" s="51">
        <v>1.095</v>
      </c>
      <c r="D258" s="51">
        <v>65.0</v>
      </c>
      <c r="E258" s="52" t="s">
        <v>25</v>
      </c>
      <c r="F258" s="52" t="s">
        <v>26</v>
      </c>
      <c r="G258" s="53"/>
    </row>
    <row r="259">
      <c r="A259" s="49">
        <v>44515.36213818287</v>
      </c>
      <c r="B259" s="50">
        <v>44515.4871153009</v>
      </c>
      <c r="C259" s="51">
        <v>1.094</v>
      </c>
      <c r="D259" s="51">
        <v>65.0</v>
      </c>
      <c r="E259" s="52" t="s">
        <v>25</v>
      </c>
      <c r="F259" s="52" t="s">
        <v>26</v>
      </c>
      <c r="G259" s="53"/>
    </row>
    <row r="260">
      <c r="A260" s="49">
        <v>44515.37256484954</v>
      </c>
      <c r="B260" s="50">
        <v>44515.4975376736</v>
      </c>
      <c r="C260" s="51">
        <v>1.095</v>
      </c>
      <c r="D260" s="51">
        <v>65.0</v>
      </c>
      <c r="E260" s="52" t="s">
        <v>25</v>
      </c>
      <c r="F260" s="52" t="s">
        <v>26</v>
      </c>
      <c r="G260" s="53"/>
    </row>
    <row r="261">
      <c r="A261" s="49">
        <v>44515.38299023148</v>
      </c>
      <c r="B261" s="50">
        <v>44515.5079578703</v>
      </c>
      <c r="C261" s="51">
        <v>1.095</v>
      </c>
      <c r="D261" s="51">
        <v>65.0</v>
      </c>
      <c r="E261" s="52" t="s">
        <v>25</v>
      </c>
      <c r="F261" s="52" t="s">
        <v>26</v>
      </c>
      <c r="G261" s="53"/>
    </row>
    <row r="262">
      <c r="A262" s="49">
        <v>44515.39340403935</v>
      </c>
      <c r="B262" s="50">
        <v>44515.5183785416</v>
      </c>
      <c r="C262" s="51">
        <v>1.094</v>
      </c>
      <c r="D262" s="51">
        <v>65.0</v>
      </c>
      <c r="E262" s="52" t="s">
        <v>25</v>
      </c>
      <c r="F262" s="52" t="s">
        <v>26</v>
      </c>
      <c r="G262" s="53"/>
    </row>
    <row r="263">
      <c r="A263" s="49">
        <v>44515.403836805555</v>
      </c>
      <c r="B263" s="50">
        <v>44515.5288121064</v>
      </c>
      <c r="C263" s="51">
        <v>1.094</v>
      </c>
      <c r="D263" s="51">
        <v>65.0</v>
      </c>
      <c r="E263" s="52" t="s">
        <v>25</v>
      </c>
      <c r="F263" s="52" t="s">
        <v>26</v>
      </c>
      <c r="G263" s="53"/>
    </row>
    <row r="264">
      <c r="A264" s="49">
        <v>44515.41426980324</v>
      </c>
      <c r="B264" s="50">
        <v>44515.5392441435</v>
      </c>
      <c r="C264" s="51">
        <v>1.094</v>
      </c>
      <c r="D264" s="51">
        <v>65.0</v>
      </c>
      <c r="E264" s="52" t="s">
        <v>25</v>
      </c>
      <c r="F264" s="52" t="s">
        <v>26</v>
      </c>
      <c r="G264" s="53"/>
    </row>
    <row r="265">
      <c r="A265" s="49">
        <v>44515.42470355324</v>
      </c>
      <c r="B265" s="50">
        <v>44515.5496658101</v>
      </c>
      <c r="C265" s="51">
        <v>1.094</v>
      </c>
      <c r="D265" s="51">
        <v>65.0</v>
      </c>
      <c r="E265" s="52" t="s">
        <v>25</v>
      </c>
      <c r="F265" s="52" t="s">
        <v>26</v>
      </c>
      <c r="G265" s="53"/>
    </row>
    <row r="266">
      <c r="A266" s="49">
        <v>44515.43511310185</v>
      </c>
      <c r="B266" s="50">
        <v>44515.5600876736</v>
      </c>
      <c r="C266" s="51">
        <v>1.094</v>
      </c>
      <c r="D266" s="51">
        <v>65.0</v>
      </c>
      <c r="E266" s="52" t="s">
        <v>25</v>
      </c>
      <c r="F266" s="52" t="s">
        <v>26</v>
      </c>
      <c r="G266" s="53"/>
    </row>
    <row r="267">
      <c r="A267" s="49">
        <v>44515.44555134259</v>
      </c>
      <c r="B267" s="50">
        <v>44515.5705213888</v>
      </c>
      <c r="C267" s="51">
        <v>1.094</v>
      </c>
      <c r="D267" s="51">
        <v>65.0</v>
      </c>
      <c r="E267" s="52" t="s">
        <v>25</v>
      </c>
      <c r="F267" s="52" t="s">
        <v>26</v>
      </c>
      <c r="G267" s="53"/>
    </row>
    <row r="268">
      <c r="A268" s="49">
        <v>44515.455993194446</v>
      </c>
      <c r="B268" s="50">
        <v>44515.5809546296</v>
      </c>
      <c r="C268" s="51">
        <v>1.094</v>
      </c>
      <c r="D268" s="51">
        <v>66.0</v>
      </c>
      <c r="E268" s="52" t="s">
        <v>25</v>
      </c>
      <c r="F268" s="52" t="s">
        <v>26</v>
      </c>
      <c r="G268" s="53"/>
    </row>
    <row r="269">
      <c r="A269" s="49">
        <v>44515.46640715278</v>
      </c>
      <c r="B269" s="50">
        <v>44515.591377037</v>
      </c>
      <c r="C269" s="51">
        <v>1.094</v>
      </c>
      <c r="D269" s="51">
        <v>66.0</v>
      </c>
      <c r="E269" s="52" t="s">
        <v>25</v>
      </c>
      <c r="F269" s="52" t="s">
        <v>26</v>
      </c>
      <c r="G269" s="53"/>
    </row>
    <row r="270">
      <c r="A270" s="49">
        <v>44515.476869606486</v>
      </c>
      <c r="B270" s="50">
        <v>44515.60184603</v>
      </c>
      <c r="C270" s="51">
        <v>1.094</v>
      </c>
      <c r="D270" s="51">
        <v>66.0</v>
      </c>
      <c r="E270" s="52" t="s">
        <v>25</v>
      </c>
      <c r="F270" s="52" t="s">
        <v>26</v>
      </c>
      <c r="G270" s="53"/>
    </row>
    <row r="271">
      <c r="A271" s="49">
        <v>44515.487321423614</v>
      </c>
      <c r="B271" s="50">
        <v>44515.6122674884</v>
      </c>
      <c r="C271" s="51">
        <v>1.093</v>
      </c>
      <c r="D271" s="51">
        <v>66.0</v>
      </c>
      <c r="E271" s="52" t="s">
        <v>25</v>
      </c>
      <c r="F271" s="52" t="s">
        <v>26</v>
      </c>
      <c r="G271" s="53"/>
    </row>
    <row r="272">
      <c r="A272" s="49">
        <v>44515.49771336805</v>
      </c>
      <c r="B272" s="50">
        <v>44515.6226866319</v>
      </c>
      <c r="C272" s="51">
        <v>1.094</v>
      </c>
      <c r="D272" s="51">
        <v>66.0</v>
      </c>
      <c r="E272" s="52" t="s">
        <v>25</v>
      </c>
      <c r="F272" s="52" t="s">
        <v>26</v>
      </c>
      <c r="G272" s="53"/>
    </row>
    <row r="273">
      <c r="A273" s="49">
        <v>44515.50812997685</v>
      </c>
      <c r="B273" s="50">
        <v>44515.633108993</v>
      </c>
      <c r="C273" s="51">
        <v>1.094</v>
      </c>
      <c r="D273" s="51">
        <v>66.0</v>
      </c>
      <c r="E273" s="52" t="s">
        <v>25</v>
      </c>
      <c r="F273" s="52" t="s">
        <v>26</v>
      </c>
      <c r="G273" s="53"/>
    </row>
    <row r="274">
      <c r="A274" s="49">
        <v>44515.51857689815</v>
      </c>
      <c r="B274" s="50">
        <v>44515.6435523148</v>
      </c>
      <c r="C274" s="51">
        <v>1.093</v>
      </c>
      <c r="D274" s="51">
        <v>66.0</v>
      </c>
      <c r="E274" s="52" t="s">
        <v>25</v>
      </c>
      <c r="F274" s="52" t="s">
        <v>26</v>
      </c>
      <c r="G274" s="53"/>
    </row>
    <row r="275">
      <c r="A275" s="49">
        <v>44515.529002986106</v>
      </c>
      <c r="B275" s="50">
        <v>44515.6539736574</v>
      </c>
      <c r="C275" s="51">
        <v>1.094</v>
      </c>
      <c r="D275" s="51">
        <v>66.0</v>
      </c>
      <c r="E275" s="52" t="s">
        <v>25</v>
      </c>
      <c r="F275" s="52" t="s">
        <v>26</v>
      </c>
      <c r="G275" s="53"/>
    </row>
    <row r="276">
      <c r="A276" s="49">
        <v>44515.53941946759</v>
      </c>
      <c r="B276" s="50">
        <v>44515.6643957523</v>
      </c>
      <c r="C276" s="51">
        <v>1.093</v>
      </c>
      <c r="D276" s="51">
        <v>66.0</v>
      </c>
      <c r="E276" s="52" t="s">
        <v>25</v>
      </c>
      <c r="F276" s="52" t="s">
        <v>26</v>
      </c>
      <c r="G276" s="53"/>
    </row>
    <row r="277">
      <c r="A277" s="49">
        <v>44515.54984553241</v>
      </c>
      <c r="B277" s="50">
        <v>44515.6748159837</v>
      </c>
      <c r="C277" s="51">
        <v>1.093</v>
      </c>
      <c r="D277" s="51">
        <v>66.0</v>
      </c>
      <c r="E277" s="52" t="s">
        <v>25</v>
      </c>
      <c r="F277" s="52" t="s">
        <v>26</v>
      </c>
      <c r="G277" s="53"/>
    </row>
    <row r="278">
      <c r="A278" s="49">
        <v>44515.56026313658</v>
      </c>
      <c r="B278" s="50">
        <v>44515.6852369444</v>
      </c>
      <c r="C278" s="51">
        <v>1.093</v>
      </c>
      <c r="D278" s="51">
        <v>66.0</v>
      </c>
      <c r="E278" s="52" t="s">
        <v>25</v>
      </c>
      <c r="F278" s="52" t="s">
        <v>26</v>
      </c>
      <c r="G278" s="53"/>
    </row>
    <row r="279">
      <c r="A279" s="49">
        <v>44515.57068449074</v>
      </c>
      <c r="B279" s="50">
        <v>44515.6956588194</v>
      </c>
      <c r="C279" s="51">
        <v>1.094</v>
      </c>
      <c r="D279" s="51">
        <v>66.0</v>
      </c>
      <c r="E279" s="52" t="s">
        <v>25</v>
      </c>
      <c r="F279" s="52" t="s">
        <v>26</v>
      </c>
      <c r="G279" s="53"/>
    </row>
    <row r="280">
      <c r="A280" s="49">
        <v>44515.581105613426</v>
      </c>
      <c r="B280" s="50">
        <v>44515.7060789467</v>
      </c>
      <c r="C280" s="51">
        <v>1.094</v>
      </c>
      <c r="D280" s="51">
        <v>66.0</v>
      </c>
      <c r="E280" s="52" t="s">
        <v>25</v>
      </c>
      <c r="F280" s="52" t="s">
        <v>26</v>
      </c>
      <c r="G280" s="53"/>
    </row>
    <row r="281">
      <c r="A281" s="49">
        <v>44515.5915294213</v>
      </c>
      <c r="B281" s="50">
        <v>44515.7164987384</v>
      </c>
      <c r="C281" s="51">
        <v>1.093</v>
      </c>
      <c r="D281" s="51">
        <v>66.0</v>
      </c>
      <c r="E281" s="52" t="s">
        <v>25</v>
      </c>
      <c r="F281" s="52" t="s">
        <v>26</v>
      </c>
      <c r="G281" s="53"/>
    </row>
    <row r="282">
      <c r="A282" s="49">
        <v>44515.60194920139</v>
      </c>
      <c r="B282" s="50">
        <v>44515.7269317824</v>
      </c>
      <c r="C282" s="51">
        <v>1.093</v>
      </c>
      <c r="D282" s="51">
        <v>66.0</v>
      </c>
      <c r="E282" s="52" t="s">
        <v>25</v>
      </c>
      <c r="F282" s="52" t="s">
        <v>26</v>
      </c>
      <c r="G282" s="53"/>
    </row>
    <row r="283">
      <c r="A283" s="49">
        <v>44515.612383078704</v>
      </c>
      <c r="B283" s="50">
        <v>44515.7373643865</v>
      </c>
      <c r="C283" s="51">
        <v>1.093</v>
      </c>
      <c r="D283" s="51">
        <v>66.0</v>
      </c>
      <c r="E283" s="52" t="s">
        <v>25</v>
      </c>
      <c r="F283" s="52" t="s">
        <v>26</v>
      </c>
      <c r="G283" s="53"/>
    </row>
    <row r="284">
      <c r="A284" s="49">
        <v>44515.62282586806</v>
      </c>
      <c r="B284" s="50">
        <v>44515.7477974768</v>
      </c>
      <c r="C284" s="51">
        <v>1.094</v>
      </c>
      <c r="D284" s="51">
        <v>66.0</v>
      </c>
      <c r="E284" s="52" t="s">
        <v>25</v>
      </c>
      <c r="F284" s="52" t="s">
        <v>26</v>
      </c>
      <c r="G284" s="53"/>
    </row>
    <row r="285">
      <c r="A285" s="49">
        <v>44515.63324037037</v>
      </c>
      <c r="B285" s="50">
        <v>44515.758217905</v>
      </c>
      <c r="C285" s="51">
        <v>1.093</v>
      </c>
      <c r="D285" s="51">
        <v>66.0</v>
      </c>
      <c r="E285" s="52" t="s">
        <v>25</v>
      </c>
      <c r="F285" s="52" t="s">
        <v>26</v>
      </c>
      <c r="G285" s="53"/>
    </row>
    <row r="286">
      <c r="A286" s="49">
        <v>44515.64366043982</v>
      </c>
      <c r="B286" s="50">
        <v>44515.7686385648</v>
      </c>
      <c r="C286" s="51">
        <v>1.093</v>
      </c>
      <c r="D286" s="51">
        <v>66.0</v>
      </c>
      <c r="E286" s="52" t="s">
        <v>25</v>
      </c>
      <c r="F286" s="52" t="s">
        <v>26</v>
      </c>
      <c r="G286" s="53"/>
    </row>
    <row r="287">
      <c r="A287" s="49">
        <v>44515.65408709491</v>
      </c>
      <c r="B287" s="50">
        <v>44515.7790597916</v>
      </c>
      <c r="C287" s="51">
        <v>1.093</v>
      </c>
      <c r="D287" s="51">
        <v>66.0</v>
      </c>
      <c r="E287" s="52" t="s">
        <v>25</v>
      </c>
      <c r="F287" s="52" t="s">
        <v>26</v>
      </c>
      <c r="G287" s="53"/>
    </row>
    <row r="288">
      <c r="A288" s="49">
        <v>44515.6645078588</v>
      </c>
      <c r="B288" s="50">
        <v>44515.7894817708</v>
      </c>
      <c r="C288" s="51">
        <v>1.093</v>
      </c>
      <c r="D288" s="51">
        <v>66.0</v>
      </c>
      <c r="E288" s="52" t="s">
        <v>25</v>
      </c>
      <c r="F288" s="52" t="s">
        <v>26</v>
      </c>
      <c r="G288" s="53"/>
    </row>
    <row r="289">
      <c r="A289" s="49">
        <v>44515.67492625</v>
      </c>
      <c r="B289" s="50">
        <v>44515.7999030208</v>
      </c>
      <c r="C289" s="51">
        <v>1.093</v>
      </c>
      <c r="D289" s="51">
        <v>66.0</v>
      </c>
      <c r="E289" s="52" t="s">
        <v>25</v>
      </c>
      <c r="F289" s="52" t="s">
        <v>26</v>
      </c>
      <c r="G289" s="53"/>
    </row>
    <row r="290">
      <c r="A290" s="49">
        <v>44515.685364432866</v>
      </c>
      <c r="B290" s="50">
        <v>44515.8103223842</v>
      </c>
      <c r="C290" s="51">
        <v>1.093</v>
      </c>
      <c r="D290" s="51">
        <v>66.0</v>
      </c>
      <c r="E290" s="52" t="s">
        <v>25</v>
      </c>
      <c r="F290" s="52" t="s">
        <v>26</v>
      </c>
      <c r="G290" s="53"/>
    </row>
    <row r="291">
      <c r="A291" s="49">
        <v>44515.69576959491</v>
      </c>
      <c r="B291" s="50">
        <v>44515.8207443981</v>
      </c>
      <c r="C291" s="51">
        <v>1.093</v>
      </c>
      <c r="D291" s="51">
        <v>66.0</v>
      </c>
      <c r="E291" s="52" t="s">
        <v>25</v>
      </c>
      <c r="F291" s="52" t="s">
        <v>26</v>
      </c>
      <c r="G291" s="53"/>
    </row>
    <row r="292">
      <c r="A292" s="49">
        <v>44515.706187118056</v>
      </c>
      <c r="B292" s="50">
        <v>44515.8311649884</v>
      </c>
      <c r="C292" s="51">
        <v>1.093</v>
      </c>
      <c r="D292" s="51">
        <v>66.0</v>
      </c>
      <c r="E292" s="52" t="s">
        <v>25</v>
      </c>
      <c r="F292" s="52" t="s">
        <v>26</v>
      </c>
      <c r="G292" s="53"/>
    </row>
    <row r="293">
      <c r="A293" s="49">
        <v>44515.71662388889</v>
      </c>
      <c r="B293" s="50">
        <v>44515.8415880671</v>
      </c>
      <c r="C293" s="51">
        <v>1.092</v>
      </c>
      <c r="D293" s="51">
        <v>66.0</v>
      </c>
      <c r="E293" s="52" t="s">
        <v>25</v>
      </c>
      <c r="F293" s="52" t="s">
        <v>26</v>
      </c>
      <c r="G293" s="53"/>
    </row>
    <row r="294">
      <c r="A294" s="49">
        <v>44515.727060219906</v>
      </c>
      <c r="B294" s="50">
        <v>44515.8520329861</v>
      </c>
      <c r="C294" s="51">
        <v>1.092</v>
      </c>
      <c r="D294" s="51">
        <v>66.0</v>
      </c>
      <c r="E294" s="52" t="s">
        <v>25</v>
      </c>
      <c r="F294" s="52" t="s">
        <v>26</v>
      </c>
      <c r="G294" s="53"/>
    </row>
    <row r="295">
      <c r="A295" s="49">
        <v>44515.73747241899</v>
      </c>
      <c r="B295" s="50">
        <v>44515.8624541666</v>
      </c>
      <c r="C295" s="51">
        <v>1.092</v>
      </c>
      <c r="D295" s="51">
        <v>66.0</v>
      </c>
      <c r="E295" s="52" t="s">
        <v>25</v>
      </c>
      <c r="F295" s="52" t="s">
        <v>26</v>
      </c>
      <c r="G295" s="53"/>
    </row>
    <row r="296">
      <c r="A296" s="49">
        <v>44515.747901574076</v>
      </c>
      <c r="B296" s="50">
        <v>44515.8728747569</v>
      </c>
      <c r="C296" s="51">
        <v>1.093</v>
      </c>
      <c r="D296" s="51">
        <v>66.0</v>
      </c>
      <c r="E296" s="52" t="s">
        <v>25</v>
      </c>
      <c r="F296" s="52" t="s">
        <v>26</v>
      </c>
      <c r="G296" s="53"/>
    </row>
    <row r="297">
      <c r="A297" s="49">
        <v>44515.75831799769</v>
      </c>
      <c r="B297" s="50">
        <v>44515.8832965856</v>
      </c>
      <c r="C297" s="51">
        <v>1.092</v>
      </c>
      <c r="D297" s="51">
        <v>66.0</v>
      </c>
      <c r="E297" s="52" t="s">
        <v>25</v>
      </c>
      <c r="F297" s="52" t="s">
        <v>26</v>
      </c>
      <c r="G297" s="53"/>
    </row>
    <row r="298">
      <c r="A298" s="49">
        <v>44515.76874847223</v>
      </c>
      <c r="B298" s="50">
        <v>44515.8937298726</v>
      </c>
      <c r="C298" s="51">
        <v>1.092</v>
      </c>
      <c r="D298" s="51">
        <v>66.0</v>
      </c>
      <c r="E298" s="52" t="s">
        <v>25</v>
      </c>
      <c r="F298" s="52" t="s">
        <v>26</v>
      </c>
      <c r="G298" s="53"/>
    </row>
    <row r="299">
      <c r="A299" s="49">
        <v>44515.77917327546</v>
      </c>
      <c r="B299" s="50">
        <v>44515.9041506134</v>
      </c>
      <c r="C299" s="51">
        <v>1.092</v>
      </c>
      <c r="D299" s="51">
        <v>66.0</v>
      </c>
      <c r="E299" s="52" t="s">
        <v>25</v>
      </c>
      <c r="F299" s="52" t="s">
        <v>26</v>
      </c>
      <c r="G299" s="53"/>
    </row>
    <row r="300">
      <c r="A300" s="49">
        <v>44515.78959381944</v>
      </c>
      <c r="B300" s="50">
        <v>44515.9145703124</v>
      </c>
      <c r="C300" s="51">
        <v>1.092</v>
      </c>
      <c r="D300" s="51">
        <v>66.0</v>
      </c>
      <c r="E300" s="52" t="s">
        <v>25</v>
      </c>
      <c r="F300" s="52" t="s">
        <v>26</v>
      </c>
      <c r="G300" s="53"/>
    </row>
    <row r="301">
      <c r="A301" s="49">
        <v>44515.80001612268</v>
      </c>
      <c r="B301" s="50">
        <v>44515.9249907986</v>
      </c>
      <c r="C301" s="51">
        <v>1.092</v>
      </c>
      <c r="D301" s="51">
        <v>66.0</v>
      </c>
      <c r="E301" s="52" t="s">
        <v>25</v>
      </c>
      <c r="F301" s="52" t="s">
        <v>26</v>
      </c>
      <c r="G301" s="53"/>
    </row>
    <row r="302">
      <c r="A302" s="49">
        <v>44515.810446504634</v>
      </c>
      <c r="B302" s="50">
        <v>44515.9354233564</v>
      </c>
      <c r="C302" s="51">
        <v>1.092</v>
      </c>
      <c r="D302" s="51">
        <v>66.0</v>
      </c>
      <c r="E302" s="52" t="s">
        <v>25</v>
      </c>
      <c r="F302" s="52" t="s">
        <v>26</v>
      </c>
      <c r="G302" s="53"/>
    </row>
    <row r="303">
      <c r="A303" s="49">
        <v>44515.82089574074</v>
      </c>
      <c r="B303" s="50">
        <v>44515.945866655</v>
      </c>
      <c r="C303" s="51">
        <v>1.092</v>
      </c>
      <c r="D303" s="51">
        <v>66.0</v>
      </c>
      <c r="E303" s="52" t="s">
        <v>25</v>
      </c>
      <c r="F303" s="52" t="s">
        <v>26</v>
      </c>
      <c r="G303" s="53"/>
    </row>
    <row r="304">
      <c r="A304" s="49">
        <v>44515.831313993054</v>
      </c>
      <c r="B304" s="50">
        <v>44515.9562899074</v>
      </c>
      <c r="C304" s="51">
        <v>1.092</v>
      </c>
      <c r="D304" s="51">
        <v>66.0</v>
      </c>
      <c r="E304" s="52" t="s">
        <v>25</v>
      </c>
      <c r="F304" s="52" t="s">
        <v>26</v>
      </c>
      <c r="G304" s="53"/>
    </row>
    <row r="305">
      <c r="A305" s="49">
        <v>44515.84173940972</v>
      </c>
      <c r="B305" s="50">
        <v>44515.9667124537</v>
      </c>
      <c r="C305" s="51">
        <v>1.092</v>
      </c>
      <c r="D305" s="51">
        <v>66.0</v>
      </c>
      <c r="E305" s="52" t="s">
        <v>25</v>
      </c>
      <c r="F305" s="52" t="s">
        <v>26</v>
      </c>
      <c r="G305" s="53"/>
    </row>
    <row r="306">
      <c r="A306" s="49">
        <v>44515.85215234954</v>
      </c>
      <c r="B306" s="50">
        <v>44515.977132662</v>
      </c>
      <c r="C306" s="51">
        <v>1.092</v>
      </c>
      <c r="D306" s="51">
        <v>66.0</v>
      </c>
      <c r="E306" s="52" t="s">
        <v>25</v>
      </c>
      <c r="F306" s="52" t="s">
        <v>26</v>
      </c>
      <c r="G306" s="53"/>
    </row>
    <row r="307">
      <c r="A307" s="49">
        <v>44515.862578009255</v>
      </c>
      <c r="B307" s="50">
        <v>44515.9875530902</v>
      </c>
      <c r="C307" s="51">
        <v>1.092</v>
      </c>
      <c r="D307" s="51">
        <v>66.0</v>
      </c>
      <c r="E307" s="52" t="s">
        <v>25</v>
      </c>
      <c r="F307" s="52" t="s">
        <v>26</v>
      </c>
      <c r="G307" s="53"/>
    </row>
    <row r="308">
      <c r="A308" s="49">
        <v>44515.872996805556</v>
      </c>
      <c r="B308" s="50">
        <v>44515.9979746643</v>
      </c>
      <c r="C308" s="51">
        <v>1.092</v>
      </c>
      <c r="D308" s="51">
        <v>67.0</v>
      </c>
      <c r="E308" s="52" t="s">
        <v>25</v>
      </c>
      <c r="F308" s="52" t="s">
        <v>26</v>
      </c>
      <c r="G308" s="53"/>
    </row>
    <row r="309">
      <c r="A309" s="49">
        <v>44515.88341646991</v>
      </c>
      <c r="B309" s="50">
        <v>44516.0083951504</v>
      </c>
      <c r="C309" s="51">
        <v>1.092</v>
      </c>
      <c r="D309" s="51">
        <v>67.0</v>
      </c>
      <c r="E309" s="52" t="s">
        <v>25</v>
      </c>
      <c r="F309" s="52" t="s">
        <v>26</v>
      </c>
      <c r="G309" s="53"/>
    </row>
    <row r="310">
      <c r="A310" s="49">
        <v>44515.89384651621</v>
      </c>
      <c r="B310" s="50">
        <v>44516.0188167824</v>
      </c>
      <c r="C310" s="51">
        <v>1.091</v>
      </c>
      <c r="D310" s="51">
        <v>67.0</v>
      </c>
      <c r="E310" s="52" t="s">
        <v>25</v>
      </c>
      <c r="F310" s="52" t="s">
        <v>26</v>
      </c>
      <c r="G310" s="53"/>
    </row>
    <row r="311">
      <c r="A311" s="49">
        <v>44515.90427083333</v>
      </c>
      <c r="B311" s="50">
        <v>44516.0292509838</v>
      </c>
      <c r="C311" s="51">
        <v>1.091</v>
      </c>
      <c r="D311" s="51">
        <v>67.0</v>
      </c>
      <c r="E311" s="52" t="s">
        <v>25</v>
      </c>
      <c r="F311" s="52" t="s">
        <v>26</v>
      </c>
      <c r="G311" s="53"/>
    </row>
    <row r="312">
      <c r="A312" s="49">
        <v>44515.91469023148</v>
      </c>
      <c r="B312" s="50">
        <v>44516.0396742708</v>
      </c>
      <c r="C312" s="51">
        <v>1.091</v>
      </c>
      <c r="D312" s="51">
        <v>67.0</v>
      </c>
      <c r="E312" s="52" t="s">
        <v>25</v>
      </c>
      <c r="F312" s="52" t="s">
        <v>26</v>
      </c>
      <c r="G312" s="53"/>
    </row>
    <row r="313">
      <c r="A313" s="49">
        <v>44515.92512701389</v>
      </c>
      <c r="B313" s="50">
        <v>44516.050095324</v>
      </c>
      <c r="C313" s="51">
        <v>1.092</v>
      </c>
      <c r="D313" s="51">
        <v>67.0</v>
      </c>
      <c r="E313" s="52" t="s">
        <v>25</v>
      </c>
      <c r="F313" s="52" t="s">
        <v>26</v>
      </c>
      <c r="G313" s="53"/>
    </row>
    <row r="314">
      <c r="A314" s="49">
        <v>44515.93553567129</v>
      </c>
      <c r="B314" s="50">
        <v>44516.0605159837</v>
      </c>
      <c r="C314" s="51">
        <v>1.091</v>
      </c>
      <c r="D314" s="51">
        <v>67.0</v>
      </c>
      <c r="E314" s="52" t="s">
        <v>25</v>
      </c>
      <c r="F314" s="52" t="s">
        <v>26</v>
      </c>
      <c r="G314" s="53"/>
    </row>
    <row r="315">
      <c r="A315" s="49">
        <v>44515.94596373843</v>
      </c>
      <c r="B315" s="50">
        <v>44516.0709369791</v>
      </c>
      <c r="C315" s="51">
        <v>1.091</v>
      </c>
      <c r="D315" s="51">
        <v>67.0</v>
      </c>
      <c r="E315" s="52" t="s">
        <v>25</v>
      </c>
      <c r="F315" s="52" t="s">
        <v>26</v>
      </c>
      <c r="G315" s="53"/>
    </row>
    <row r="316">
      <c r="A316" s="49">
        <v>44515.956410115745</v>
      </c>
      <c r="B316" s="50">
        <v>44516.0813938078</v>
      </c>
      <c r="C316" s="51">
        <v>1.091</v>
      </c>
      <c r="D316" s="51">
        <v>67.0</v>
      </c>
      <c r="E316" s="52" t="s">
        <v>25</v>
      </c>
      <c r="F316" s="52" t="s">
        <v>26</v>
      </c>
      <c r="G316" s="53"/>
    </row>
    <row r="317">
      <c r="A317" s="49">
        <v>44515.96683859953</v>
      </c>
      <c r="B317" s="50">
        <v>44516.091815</v>
      </c>
      <c r="C317" s="51">
        <v>1.091</v>
      </c>
      <c r="D317" s="51">
        <v>67.0</v>
      </c>
      <c r="E317" s="52" t="s">
        <v>25</v>
      </c>
      <c r="F317" s="52" t="s">
        <v>26</v>
      </c>
      <c r="G317" s="53"/>
    </row>
    <row r="318">
      <c r="A318" s="49">
        <v>44515.97725387731</v>
      </c>
      <c r="B318" s="50">
        <v>44516.1022375578</v>
      </c>
      <c r="C318" s="51">
        <v>1.091</v>
      </c>
      <c r="D318" s="51">
        <v>67.0</v>
      </c>
      <c r="E318" s="52" t="s">
        <v>25</v>
      </c>
      <c r="F318" s="52" t="s">
        <v>26</v>
      </c>
      <c r="G318" s="53"/>
    </row>
    <row r="319">
      <c r="A319" s="49">
        <v>44515.987715173615</v>
      </c>
      <c r="B319" s="50">
        <v>44516.1126934027</v>
      </c>
      <c r="C319" s="51">
        <v>1.091</v>
      </c>
      <c r="D319" s="51">
        <v>67.0</v>
      </c>
      <c r="E319" s="52" t="s">
        <v>25</v>
      </c>
      <c r="F319" s="52" t="s">
        <v>26</v>
      </c>
      <c r="G319" s="53"/>
    </row>
    <row r="320">
      <c r="A320" s="49">
        <v>44515.99816726852</v>
      </c>
      <c r="B320" s="50">
        <v>44516.1231381944</v>
      </c>
      <c r="C320" s="51">
        <v>1.091</v>
      </c>
      <c r="D320" s="51">
        <v>67.0</v>
      </c>
      <c r="E320" s="52" t="s">
        <v>25</v>
      </c>
      <c r="F320" s="52" t="s">
        <v>26</v>
      </c>
      <c r="G320" s="53"/>
    </row>
    <row r="321">
      <c r="A321" s="49">
        <v>44516.008593506944</v>
      </c>
      <c r="B321" s="50">
        <v>44516.1335719097</v>
      </c>
      <c r="C321" s="51">
        <v>1.091</v>
      </c>
      <c r="D321" s="51">
        <v>67.0</v>
      </c>
      <c r="E321" s="52" t="s">
        <v>25</v>
      </c>
      <c r="F321" s="52" t="s">
        <v>26</v>
      </c>
      <c r="G321" s="53"/>
    </row>
    <row r="322">
      <c r="A322" s="49">
        <v>44516.01900935185</v>
      </c>
      <c r="B322" s="50">
        <v>44516.1439923726</v>
      </c>
      <c r="C322" s="51">
        <v>1.091</v>
      </c>
      <c r="D322" s="51">
        <v>67.0</v>
      </c>
      <c r="E322" s="52" t="s">
        <v>25</v>
      </c>
      <c r="F322" s="52" t="s">
        <v>26</v>
      </c>
      <c r="G322" s="53"/>
    </row>
    <row r="323">
      <c r="A323" s="49">
        <v>44516.02943993056</v>
      </c>
      <c r="B323" s="50">
        <v>44516.1544138657</v>
      </c>
      <c r="C323" s="51">
        <v>1.091</v>
      </c>
      <c r="D323" s="51">
        <v>67.0</v>
      </c>
      <c r="E323" s="52" t="s">
        <v>25</v>
      </c>
      <c r="F323" s="52" t="s">
        <v>26</v>
      </c>
      <c r="G323" s="53"/>
    </row>
    <row r="324">
      <c r="A324" s="49">
        <v>44516.039860590274</v>
      </c>
      <c r="B324" s="50">
        <v>44516.1648357986</v>
      </c>
      <c r="C324" s="51">
        <v>1.091</v>
      </c>
      <c r="D324" s="51">
        <v>67.0</v>
      </c>
      <c r="E324" s="52" t="s">
        <v>25</v>
      </c>
      <c r="F324" s="52" t="s">
        <v>26</v>
      </c>
      <c r="G324" s="53"/>
    </row>
    <row r="325">
      <c r="A325" s="49">
        <v>44516.05027585648</v>
      </c>
      <c r="B325" s="50">
        <v>44516.175255706</v>
      </c>
      <c r="C325" s="51">
        <v>1.091</v>
      </c>
      <c r="D325" s="51">
        <v>67.0</v>
      </c>
      <c r="E325" s="52" t="s">
        <v>25</v>
      </c>
      <c r="F325" s="52" t="s">
        <v>26</v>
      </c>
      <c r="G325" s="53"/>
    </row>
    <row r="326">
      <c r="A326" s="49">
        <v>44516.0607145949</v>
      </c>
      <c r="B326" s="50">
        <v>44516.1856894907</v>
      </c>
      <c r="C326" s="51">
        <v>1.091</v>
      </c>
      <c r="D326" s="51">
        <v>67.0</v>
      </c>
      <c r="E326" s="52" t="s">
        <v>25</v>
      </c>
      <c r="F326" s="52" t="s">
        <v>26</v>
      </c>
      <c r="G326" s="53"/>
    </row>
    <row r="327">
      <c r="A327" s="49">
        <v>44516.07113302083</v>
      </c>
      <c r="B327" s="50">
        <v>44516.1961110069</v>
      </c>
      <c r="C327" s="51">
        <v>1.09</v>
      </c>
      <c r="D327" s="51">
        <v>67.0</v>
      </c>
      <c r="E327" s="52" t="s">
        <v>25</v>
      </c>
      <c r="F327" s="52" t="s">
        <v>26</v>
      </c>
      <c r="G327" s="53"/>
    </row>
    <row r="328">
      <c r="A328" s="49">
        <v>44516.081565347224</v>
      </c>
      <c r="B328" s="50">
        <v>44516.2065418518</v>
      </c>
      <c r="C328" s="51">
        <v>1.091</v>
      </c>
      <c r="D328" s="51">
        <v>67.0</v>
      </c>
      <c r="E328" s="52" t="s">
        <v>25</v>
      </c>
      <c r="F328" s="52" t="s">
        <v>26</v>
      </c>
      <c r="G328" s="53"/>
    </row>
    <row r="329">
      <c r="A329" s="49">
        <v>44516.09199918981</v>
      </c>
      <c r="B329" s="50">
        <v>44516.2169652314</v>
      </c>
      <c r="C329" s="51">
        <v>1.09</v>
      </c>
      <c r="D329" s="51">
        <v>67.0</v>
      </c>
      <c r="E329" s="52" t="s">
        <v>25</v>
      </c>
      <c r="F329" s="52" t="s">
        <v>26</v>
      </c>
      <c r="G329" s="53"/>
    </row>
    <row r="330">
      <c r="A330" s="49">
        <v>44516.102411099535</v>
      </c>
      <c r="B330" s="50">
        <v>44516.2273868865</v>
      </c>
      <c r="C330" s="51">
        <v>1.09</v>
      </c>
      <c r="D330" s="51">
        <v>67.0</v>
      </c>
      <c r="E330" s="52" t="s">
        <v>25</v>
      </c>
      <c r="F330" s="52" t="s">
        <v>26</v>
      </c>
      <c r="G330" s="53"/>
    </row>
    <row r="331">
      <c r="A331" s="49">
        <v>44516.11283288195</v>
      </c>
      <c r="B331" s="50">
        <v>44516.2378094907</v>
      </c>
      <c r="C331" s="51">
        <v>1.09</v>
      </c>
      <c r="D331" s="51">
        <v>67.0</v>
      </c>
      <c r="E331" s="52" t="s">
        <v>25</v>
      </c>
      <c r="F331" s="52" t="s">
        <v>26</v>
      </c>
      <c r="G331" s="53"/>
    </row>
    <row r="332">
      <c r="A332" s="49">
        <v>44516.12327024306</v>
      </c>
      <c r="B332" s="50">
        <v>44516.2482309838</v>
      </c>
      <c r="C332" s="51">
        <v>1.09</v>
      </c>
      <c r="D332" s="51">
        <v>67.0</v>
      </c>
      <c r="E332" s="52" t="s">
        <v>25</v>
      </c>
      <c r="F332" s="52" t="s">
        <v>26</v>
      </c>
      <c r="G332" s="53"/>
    </row>
    <row r="333">
      <c r="A333" s="49">
        <v>44516.13369138889</v>
      </c>
      <c r="B333" s="50">
        <v>44516.258665868</v>
      </c>
      <c r="C333" s="51">
        <v>1.09</v>
      </c>
      <c r="D333" s="51">
        <v>67.0</v>
      </c>
      <c r="E333" s="52" t="s">
        <v>25</v>
      </c>
      <c r="F333" s="52" t="s">
        <v>26</v>
      </c>
      <c r="G333" s="53"/>
    </row>
    <row r="334">
      <c r="A334" s="49">
        <v>44516.144102453705</v>
      </c>
      <c r="B334" s="50">
        <v>44516.2690880092</v>
      </c>
      <c r="C334" s="51">
        <v>1.09</v>
      </c>
      <c r="D334" s="51">
        <v>67.0</v>
      </c>
      <c r="E334" s="52" t="s">
        <v>25</v>
      </c>
      <c r="F334" s="52" t="s">
        <v>26</v>
      </c>
      <c r="G334" s="53"/>
    </row>
    <row r="335">
      <c r="A335" s="49">
        <v>44516.154532500004</v>
      </c>
      <c r="B335" s="50">
        <v>44516.2795090393</v>
      </c>
      <c r="C335" s="51">
        <v>1.09</v>
      </c>
      <c r="D335" s="51">
        <v>67.0</v>
      </c>
      <c r="E335" s="52" t="s">
        <v>25</v>
      </c>
      <c r="F335" s="52" t="s">
        <v>26</v>
      </c>
      <c r="G335" s="53"/>
    </row>
    <row r="336">
      <c r="A336" s="49">
        <v>44516.16494361111</v>
      </c>
      <c r="B336" s="50">
        <v>44516.2899296412</v>
      </c>
      <c r="C336" s="51">
        <v>1.09</v>
      </c>
      <c r="D336" s="51">
        <v>67.0</v>
      </c>
      <c r="E336" s="52" t="s">
        <v>25</v>
      </c>
      <c r="F336" s="52" t="s">
        <v>26</v>
      </c>
      <c r="G336" s="53"/>
    </row>
    <row r="337">
      <c r="A337" s="49">
        <v>44516.175377164356</v>
      </c>
      <c r="B337" s="50">
        <v>44516.3003524305</v>
      </c>
      <c r="C337" s="51">
        <v>1.09</v>
      </c>
      <c r="D337" s="51">
        <v>67.0</v>
      </c>
      <c r="E337" s="52" t="s">
        <v>25</v>
      </c>
      <c r="F337" s="52" t="s">
        <v>26</v>
      </c>
      <c r="G337" s="53"/>
    </row>
    <row r="338">
      <c r="A338" s="49">
        <v>44516.18579928241</v>
      </c>
      <c r="B338" s="50">
        <v>44516.3107742708</v>
      </c>
      <c r="C338" s="51">
        <v>1.09</v>
      </c>
      <c r="D338" s="51">
        <v>67.0</v>
      </c>
      <c r="E338" s="52" t="s">
        <v>25</v>
      </c>
      <c r="F338" s="52" t="s">
        <v>26</v>
      </c>
      <c r="G338" s="53"/>
    </row>
    <row r="339">
      <c r="A339" s="49">
        <v>44516.196218032404</v>
      </c>
      <c r="B339" s="50">
        <v>44516.3211948726</v>
      </c>
      <c r="C339" s="51">
        <v>1.09</v>
      </c>
      <c r="D339" s="51">
        <v>67.0</v>
      </c>
      <c r="E339" s="52" t="s">
        <v>25</v>
      </c>
      <c r="F339" s="52" t="s">
        <v>26</v>
      </c>
      <c r="G339" s="53"/>
    </row>
    <row r="340">
      <c r="A340" s="49">
        <v>44516.20664178241</v>
      </c>
      <c r="B340" s="50">
        <v>44516.3316163888</v>
      </c>
      <c r="C340" s="51">
        <v>1.089</v>
      </c>
      <c r="D340" s="51">
        <v>67.0</v>
      </c>
      <c r="E340" s="52" t="s">
        <v>25</v>
      </c>
      <c r="F340" s="52" t="s">
        <v>26</v>
      </c>
      <c r="G340" s="53"/>
    </row>
    <row r="341">
      <c r="A341" s="49">
        <v>44516.217061793985</v>
      </c>
      <c r="B341" s="50">
        <v>44516.3420352314</v>
      </c>
      <c r="C341" s="51">
        <v>1.09</v>
      </c>
      <c r="D341" s="51">
        <v>67.0</v>
      </c>
      <c r="E341" s="52" t="s">
        <v>25</v>
      </c>
      <c r="F341" s="52" t="s">
        <v>26</v>
      </c>
      <c r="G341" s="53"/>
    </row>
    <row r="342">
      <c r="A342" s="49">
        <v>44516.22747534722</v>
      </c>
      <c r="B342" s="50">
        <v>44516.3524551388</v>
      </c>
      <c r="C342" s="51">
        <v>1.089</v>
      </c>
      <c r="D342" s="51">
        <v>67.0</v>
      </c>
      <c r="E342" s="52" t="s">
        <v>25</v>
      </c>
      <c r="F342" s="52" t="s">
        <v>26</v>
      </c>
      <c r="G342" s="53"/>
    </row>
    <row r="343">
      <c r="A343" s="49">
        <v>44516.237900810185</v>
      </c>
      <c r="B343" s="50">
        <v>44516.3628759374</v>
      </c>
      <c r="C343" s="51">
        <v>1.09</v>
      </c>
      <c r="D343" s="51">
        <v>67.0</v>
      </c>
      <c r="E343" s="52" t="s">
        <v>25</v>
      </c>
      <c r="F343" s="52" t="s">
        <v>26</v>
      </c>
      <c r="G343" s="53"/>
    </row>
    <row r="344">
      <c r="A344" s="49">
        <v>44516.248312800926</v>
      </c>
      <c r="B344" s="50">
        <v>44516.3732972338</v>
      </c>
      <c r="C344" s="51">
        <v>1.089</v>
      </c>
      <c r="D344" s="51">
        <v>67.0</v>
      </c>
      <c r="E344" s="52" t="s">
        <v>25</v>
      </c>
      <c r="F344" s="52" t="s">
        <v>26</v>
      </c>
      <c r="G344" s="53"/>
    </row>
    <row r="345">
      <c r="A345" s="49">
        <v>44516.258754560185</v>
      </c>
      <c r="B345" s="50">
        <v>44516.3837294212</v>
      </c>
      <c r="C345" s="51">
        <v>1.089</v>
      </c>
      <c r="D345" s="51">
        <v>67.0</v>
      </c>
      <c r="E345" s="52" t="s">
        <v>25</v>
      </c>
      <c r="F345" s="52" t="s">
        <v>26</v>
      </c>
      <c r="G345" s="53"/>
    </row>
    <row r="346">
      <c r="A346" s="49">
        <v>44516.2693099537</v>
      </c>
      <c r="B346" s="50">
        <v>44516.3941518981</v>
      </c>
      <c r="C346" s="51">
        <v>1.089</v>
      </c>
      <c r="D346" s="51">
        <v>67.0</v>
      </c>
      <c r="E346" s="52" t="s">
        <v>25</v>
      </c>
      <c r="F346" s="52" t="s">
        <v>26</v>
      </c>
      <c r="G346" s="53"/>
    </row>
    <row r="347">
      <c r="A347" s="49">
        <v>44516.27960708333</v>
      </c>
      <c r="B347" s="50">
        <v>44516.4045727893</v>
      </c>
      <c r="C347" s="51">
        <v>1.089</v>
      </c>
      <c r="D347" s="51">
        <v>67.0</v>
      </c>
      <c r="E347" s="52" t="s">
        <v>25</v>
      </c>
      <c r="F347" s="52" t="s">
        <v>26</v>
      </c>
      <c r="G347" s="53"/>
    </row>
    <row r="348">
      <c r="A348" s="49">
        <v>44516.29001418981</v>
      </c>
      <c r="B348" s="50">
        <v>44516.4149940972</v>
      </c>
      <c r="C348" s="51">
        <v>1.089</v>
      </c>
      <c r="D348" s="51">
        <v>67.0</v>
      </c>
      <c r="E348" s="52" t="s">
        <v>25</v>
      </c>
      <c r="F348" s="52" t="s">
        <v>26</v>
      </c>
      <c r="G348" s="53"/>
    </row>
    <row r="349">
      <c r="A349" s="49">
        <v>44516.30044082176</v>
      </c>
      <c r="B349" s="50">
        <v>44516.425415</v>
      </c>
      <c r="C349" s="51">
        <v>1.089</v>
      </c>
      <c r="D349" s="51">
        <v>67.0</v>
      </c>
      <c r="E349" s="52" t="s">
        <v>25</v>
      </c>
      <c r="F349" s="52" t="s">
        <v>26</v>
      </c>
      <c r="G349" s="53"/>
    </row>
    <row r="350">
      <c r="A350" s="49">
        <v>44516.31087282408</v>
      </c>
      <c r="B350" s="50">
        <v>44516.4358577083</v>
      </c>
      <c r="C350" s="51">
        <v>1.089</v>
      </c>
      <c r="D350" s="51">
        <v>67.0</v>
      </c>
      <c r="E350" s="52" t="s">
        <v>25</v>
      </c>
      <c r="F350" s="52" t="s">
        <v>26</v>
      </c>
      <c r="G350" s="53"/>
    </row>
    <row r="351">
      <c r="A351" s="49">
        <v>44516.32131550926</v>
      </c>
      <c r="B351" s="50">
        <v>44516.4462781597</v>
      </c>
      <c r="C351" s="51">
        <v>1.089</v>
      </c>
      <c r="D351" s="51">
        <v>67.0</v>
      </c>
      <c r="E351" s="52" t="s">
        <v>25</v>
      </c>
      <c r="F351" s="52" t="s">
        <v>26</v>
      </c>
      <c r="G351" s="53"/>
    </row>
    <row r="352">
      <c r="A352" s="49">
        <v>44516.3317175463</v>
      </c>
      <c r="B352" s="50">
        <v>44516.456698449</v>
      </c>
      <c r="C352" s="51">
        <v>1.089</v>
      </c>
      <c r="D352" s="51">
        <v>67.0</v>
      </c>
      <c r="E352" s="52" t="s">
        <v>25</v>
      </c>
      <c r="F352" s="52" t="s">
        <v>26</v>
      </c>
      <c r="G352" s="53"/>
    </row>
    <row r="353">
      <c r="A353" s="49">
        <v>44516.342147407406</v>
      </c>
      <c r="B353" s="50">
        <v>44516.4671201967</v>
      </c>
      <c r="C353" s="51">
        <v>1.089</v>
      </c>
      <c r="D353" s="51">
        <v>67.0</v>
      </c>
      <c r="E353" s="52" t="s">
        <v>25</v>
      </c>
      <c r="F353" s="52" t="s">
        <v>26</v>
      </c>
      <c r="G353" s="53"/>
    </row>
    <row r="354">
      <c r="A354" s="49">
        <v>44516.35256408565</v>
      </c>
      <c r="B354" s="50">
        <v>44516.4775401388</v>
      </c>
      <c r="C354" s="51">
        <v>1.089</v>
      </c>
      <c r="D354" s="51">
        <v>67.0</v>
      </c>
      <c r="E354" s="52" t="s">
        <v>25</v>
      </c>
      <c r="F354" s="52" t="s">
        <v>26</v>
      </c>
      <c r="G354" s="53"/>
    </row>
    <row r="355">
      <c r="A355" s="49">
        <v>44516.3630103125</v>
      </c>
      <c r="B355" s="50">
        <v>44516.4879841898</v>
      </c>
      <c r="C355" s="51">
        <v>1.088</v>
      </c>
      <c r="D355" s="51">
        <v>67.0</v>
      </c>
      <c r="E355" s="52" t="s">
        <v>25</v>
      </c>
      <c r="F355" s="52" t="s">
        <v>26</v>
      </c>
      <c r="G355" s="53"/>
    </row>
    <row r="356">
      <c r="A356" s="49">
        <v>44516.37345289352</v>
      </c>
      <c r="B356" s="50">
        <v>44516.4984290624</v>
      </c>
      <c r="C356" s="51">
        <v>1.089</v>
      </c>
      <c r="D356" s="51">
        <v>67.0</v>
      </c>
      <c r="E356" s="52" t="s">
        <v>25</v>
      </c>
      <c r="F356" s="52" t="s">
        <v>26</v>
      </c>
      <c r="G356" s="53"/>
    </row>
    <row r="357">
      <c r="A357" s="49">
        <v>44516.383874618055</v>
      </c>
      <c r="B357" s="50">
        <v>44516.5088501736</v>
      </c>
      <c r="C357" s="51">
        <v>1.089</v>
      </c>
      <c r="D357" s="51">
        <v>67.0</v>
      </c>
      <c r="E357" s="52" t="s">
        <v>25</v>
      </c>
      <c r="F357" s="52" t="s">
        <v>26</v>
      </c>
      <c r="G357" s="53"/>
    </row>
    <row r="358">
      <c r="A358" s="49">
        <v>44516.39429398148</v>
      </c>
      <c r="B358" s="50">
        <v>44516.5192717013</v>
      </c>
      <c r="C358" s="51">
        <v>1.089</v>
      </c>
      <c r="D358" s="51">
        <v>67.0</v>
      </c>
      <c r="E358" s="52" t="s">
        <v>25</v>
      </c>
      <c r="F358" s="52" t="s">
        <v>26</v>
      </c>
      <c r="G358" s="53"/>
    </row>
    <row r="359">
      <c r="A359" s="49">
        <v>44516.4047303125</v>
      </c>
      <c r="B359" s="50">
        <v>44516.5297058333</v>
      </c>
      <c r="C359" s="51">
        <v>1.089</v>
      </c>
      <c r="D359" s="51">
        <v>67.0</v>
      </c>
      <c r="E359" s="52" t="s">
        <v>25</v>
      </c>
      <c r="F359" s="52" t="s">
        <v>26</v>
      </c>
      <c r="G359" s="53"/>
    </row>
    <row r="360">
      <c r="A360" s="49">
        <v>44516.41516509259</v>
      </c>
      <c r="B360" s="50">
        <v>44516.5401381481</v>
      </c>
      <c r="C360" s="51">
        <v>1.088</v>
      </c>
      <c r="D360" s="51">
        <v>67.0</v>
      </c>
      <c r="E360" s="52" t="s">
        <v>25</v>
      </c>
      <c r="F360" s="52" t="s">
        <v>26</v>
      </c>
      <c r="G360" s="53"/>
    </row>
    <row r="361">
      <c r="A361" s="49">
        <v>44516.42558517361</v>
      </c>
      <c r="B361" s="50">
        <v>44516.5505608217</v>
      </c>
      <c r="C361" s="51">
        <v>1.088</v>
      </c>
      <c r="D361" s="51">
        <v>67.0</v>
      </c>
      <c r="E361" s="52" t="s">
        <v>25</v>
      </c>
      <c r="F361" s="52" t="s">
        <v>26</v>
      </c>
      <c r="G361" s="53"/>
    </row>
    <row r="362">
      <c r="A362" s="49">
        <v>44516.43599982639</v>
      </c>
      <c r="B362" s="50">
        <v>44516.5609816435</v>
      </c>
      <c r="C362" s="51">
        <v>1.088</v>
      </c>
      <c r="D362" s="51">
        <v>67.0</v>
      </c>
      <c r="E362" s="52" t="s">
        <v>25</v>
      </c>
      <c r="F362" s="52" t="s">
        <v>26</v>
      </c>
      <c r="G362" s="53"/>
    </row>
    <row r="363">
      <c r="A363" s="49">
        <v>44516.44642975694</v>
      </c>
      <c r="B363" s="50">
        <v>44516.5714025231</v>
      </c>
      <c r="C363" s="51">
        <v>1.088</v>
      </c>
      <c r="D363" s="51">
        <v>67.0</v>
      </c>
      <c r="E363" s="52" t="s">
        <v>25</v>
      </c>
      <c r="F363" s="52" t="s">
        <v>26</v>
      </c>
      <c r="G363" s="53"/>
    </row>
    <row r="364">
      <c r="A364" s="49">
        <v>44516.456842025465</v>
      </c>
      <c r="B364" s="50">
        <v>44516.5818241782</v>
      </c>
      <c r="C364" s="51">
        <v>1.088</v>
      </c>
      <c r="D364" s="51">
        <v>67.0</v>
      </c>
      <c r="E364" s="52" t="s">
        <v>25</v>
      </c>
      <c r="F364" s="52" t="s">
        <v>26</v>
      </c>
      <c r="G364" s="53"/>
    </row>
    <row r="365">
      <c r="A365" s="49">
        <v>44516.46727450231</v>
      </c>
      <c r="B365" s="50">
        <v>44516.5922462963</v>
      </c>
      <c r="C365" s="51">
        <v>1.088</v>
      </c>
      <c r="D365" s="51">
        <v>67.0</v>
      </c>
      <c r="E365" s="52" t="s">
        <v>25</v>
      </c>
      <c r="F365" s="52" t="s">
        <v>26</v>
      </c>
      <c r="G365" s="53"/>
    </row>
    <row r="366">
      <c r="A366" s="49">
        <v>44516.477681759265</v>
      </c>
      <c r="B366" s="50">
        <v>44516.6026682407</v>
      </c>
      <c r="C366" s="51">
        <v>1.088</v>
      </c>
      <c r="D366" s="51">
        <v>67.0</v>
      </c>
      <c r="E366" s="52" t="s">
        <v>25</v>
      </c>
      <c r="F366" s="52" t="s">
        <v>26</v>
      </c>
      <c r="G366" s="53"/>
    </row>
    <row r="367">
      <c r="A367" s="49">
        <v>44516.48813784722</v>
      </c>
      <c r="B367" s="50">
        <v>44516.6131142592</v>
      </c>
      <c r="C367" s="51">
        <v>1.088</v>
      </c>
      <c r="D367" s="51">
        <v>67.0</v>
      </c>
      <c r="E367" s="52" t="s">
        <v>25</v>
      </c>
      <c r="F367" s="52" t="s">
        <v>26</v>
      </c>
      <c r="G367" s="53"/>
    </row>
    <row r="368">
      <c r="A368" s="49">
        <v>44516.49856112269</v>
      </c>
      <c r="B368" s="50">
        <v>44516.6235378356</v>
      </c>
      <c r="C368" s="51">
        <v>1.088</v>
      </c>
      <c r="D368" s="51">
        <v>67.0</v>
      </c>
      <c r="E368" s="52" t="s">
        <v>25</v>
      </c>
      <c r="F368" s="52" t="s">
        <v>26</v>
      </c>
      <c r="G368" s="53"/>
    </row>
    <row r="369">
      <c r="A369" s="49">
        <v>44516.508982175925</v>
      </c>
      <c r="B369" s="50">
        <v>44516.6339587268</v>
      </c>
      <c r="C369" s="51">
        <v>1.088</v>
      </c>
      <c r="D369" s="51">
        <v>68.0</v>
      </c>
      <c r="E369" s="52" t="s">
        <v>25</v>
      </c>
      <c r="F369" s="52" t="s">
        <v>26</v>
      </c>
      <c r="G369" s="53"/>
    </row>
    <row r="370">
      <c r="A370" s="49">
        <v>44516.51961793982</v>
      </c>
      <c r="B370" s="50">
        <v>44516.6443799884</v>
      </c>
      <c r="C370" s="51">
        <v>1.088</v>
      </c>
      <c r="D370" s="51">
        <v>68.0</v>
      </c>
      <c r="E370" s="52" t="s">
        <v>25</v>
      </c>
      <c r="F370" s="52" t="s">
        <v>26</v>
      </c>
      <c r="G370" s="53"/>
    </row>
    <row r="371">
      <c r="A371" s="49">
        <v>44516.52982505787</v>
      </c>
      <c r="B371" s="50">
        <v>44516.6548002083</v>
      </c>
      <c r="C371" s="51">
        <v>1.088</v>
      </c>
      <c r="D371" s="51">
        <v>68.0</v>
      </c>
      <c r="E371" s="52" t="s">
        <v>25</v>
      </c>
      <c r="F371" s="52" t="s">
        <v>26</v>
      </c>
      <c r="G371" s="53"/>
    </row>
    <row r="372">
      <c r="A372" s="49">
        <v>44516.54024365741</v>
      </c>
      <c r="B372" s="50">
        <v>44516.6652223263</v>
      </c>
      <c r="C372" s="51">
        <v>1.087</v>
      </c>
      <c r="D372" s="51">
        <v>68.0</v>
      </c>
      <c r="E372" s="52" t="s">
        <v>25</v>
      </c>
      <c r="F372" s="52" t="s">
        <v>26</v>
      </c>
      <c r="G372" s="53"/>
    </row>
    <row r="373">
      <c r="A373" s="49">
        <v>44516.55067210648</v>
      </c>
      <c r="B373" s="50">
        <v>44516.6756441087</v>
      </c>
      <c r="C373" s="51">
        <v>1.088</v>
      </c>
      <c r="D373" s="51">
        <v>68.0</v>
      </c>
      <c r="E373" s="52" t="s">
        <v>25</v>
      </c>
      <c r="F373" s="52" t="s">
        <v>26</v>
      </c>
      <c r="G373" s="53"/>
    </row>
    <row r="374">
      <c r="A374" s="49">
        <v>44516.561082280095</v>
      </c>
      <c r="B374" s="50">
        <v>44516.6860656828</v>
      </c>
      <c r="C374" s="51">
        <v>1.088</v>
      </c>
      <c r="D374" s="51">
        <v>68.0</v>
      </c>
      <c r="E374" s="52" t="s">
        <v>25</v>
      </c>
      <c r="F374" s="52" t="s">
        <v>26</v>
      </c>
      <c r="G374" s="53"/>
    </row>
    <row r="375">
      <c r="A375" s="49">
        <v>44516.5715094676</v>
      </c>
      <c r="B375" s="50">
        <v>44516.6964872685</v>
      </c>
      <c r="C375" s="51">
        <v>1.088</v>
      </c>
      <c r="D375" s="51">
        <v>68.0</v>
      </c>
      <c r="E375" s="52" t="s">
        <v>25</v>
      </c>
      <c r="F375" s="52" t="s">
        <v>26</v>
      </c>
      <c r="G375" s="53"/>
    </row>
    <row r="376">
      <c r="A376" s="49">
        <v>44516.58192814815</v>
      </c>
      <c r="B376" s="50">
        <v>44516.706908912</v>
      </c>
      <c r="C376" s="51">
        <v>1.087</v>
      </c>
      <c r="D376" s="51">
        <v>68.0</v>
      </c>
      <c r="E376" s="52" t="s">
        <v>25</v>
      </c>
      <c r="F376" s="52" t="s">
        <v>26</v>
      </c>
      <c r="G376" s="53"/>
    </row>
    <row r="377">
      <c r="A377" s="49">
        <v>44516.59236171296</v>
      </c>
      <c r="B377" s="50">
        <v>44516.7173400347</v>
      </c>
      <c r="C377" s="51">
        <v>1.087</v>
      </c>
      <c r="D377" s="51">
        <v>68.0</v>
      </c>
      <c r="E377" s="52" t="s">
        <v>25</v>
      </c>
      <c r="F377" s="52" t="s">
        <v>26</v>
      </c>
      <c r="G377" s="53"/>
    </row>
    <row r="378">
      <c r="A378" s="49">
        <v>44516.60278159722</v>
      </c>
      <c r="B378" s="50">
        <v>44516.7277613194</v>
      </c>
      <c r="C378" s="51">
        <v>1.087</v>
      </c>
      <c r="D378" s="51">
        <v>68.0</v>
      </c>
      <c r="E378" s="52" t="s">
        <v>25</v>
      </c>
      <c r="F378" s="52" t="s">
        <v>26</v>
      </c>
      <c r="G378" s="53"/>
    </row>
    <row r="379">
      <c r="A379" s="49">
        <v>44516.61320738426</v>
      </c>
      <c r="B379" s="50">
        <v>44516.73818103</v>
      </c>
      <c r="C379" s="51">
        <v>1.087</v>
      </c>
      <c r="D379" s="51">
        <v>68.0</v>
      </c>
      <c r="E379" s="52" t="s">
        <v>25</v>
      </c>
      <c r="F379" s="52" t="s">
        <v>26</v>
      </c>
      <c r="G379" s="53"/>
    </row>
    <row r="380">
      <c r="A380" s="49">
        <v>44516.623618425925</v>
      </c>
      <c r="B380" s="50">
        <v>44516.7486023958</v>
      </c>
      <c r="C380" s="51">
        <v>1.087</v>
      </c>
      <c r="D380" s="51">
        <v>68.0</v>
      </c>
      <c r="E380" s="52" t="s">
        <v>25</v>
      </c>
      <c r="F380" s="52" t="s">
        <v>26</v>
      </c>
      <c r="G380" s="53"/>
    </row>
    <row r="381">
      <c r="A381" s="49">
        <v>44516.63404612269</v>
      </c>
      <c r="B381" s="50">
        <v>44516.7590247569</v>
      </c>
      <c r="C381" s="51">
        <v>1.087</v>
      </c>
      <c r="D381" s="51">
        <v>68.0</v>
      </c>
      <c r="E381" s="52" t="s">
        <v>25</v>
      </c>
      <c r="F381" s="52" t="s">
        <v>26</v>
      </c>
      <c r="G381" s="53"/>
    </row>
    <row r="382">
      <c r="A382" s="49">
        <v>44516.64446822916</v>
      </c>
      <c r="B382" s="50">
        <v>44516.7694455902</v>
      </c>
      <c r="C382" s="51">
        <v>1.087</v>
      </c>
      <c r="D382" s="51">
        <v>68.0</v>
      </c>
      <c r="E382" s="52" t="s">
        <v>25</v>
      </c>
      <c r="F382" s="52" t="s">
        <v>26</v>
      </c>
      <c r="G382" s="53"/>
    </row>
    <row r="383">
      <c r="A383" s="49">
        <v>44516.65489049768</v>
      </c>
      <c r="B383" s="50">
        <v>44516.7798664814</v>
      </c>
      <c r="C383" s="51">
        <v>1.087</v>
      </c>
      <c r="D383" s="51">
        <v>68.0</v>
      </c>
      <c r="E383" s="52" t="s">
        <v>25</v>
      </c>
      <c r="F383" s="52" t="s">
        <v>26</v>
      </c>
      <c r="G383" s="53"/>
    </row>
    <row r="384">
      <c r="A384" s="49">
        <v>44516.6653162963</v>
      </c>
      <c r="B384" s="50">
        <v>44516.7902998958</v>
      </c>
      <c r="C384" s="51">
        <v>1.086</v>
      </c>
      <c r="D384" s="51">
        <v>68.0</v>
      </c>
      <c r="E384" s="52" t="s">
        <v>25</v>
      </c>
      <c r="F384" s="52" t="s">
        <v>26</v>
      </c>
      <c r="G384" s="53"/>
    </row>
    <row r="385">
      <c r="A385" s="49">
        <v>44516.67574344907</v>
      </c>
      <c r="B385" s="50">
        <v>44516.8007229976</v>
      </c>
      <c r="C385" s="51">
        <v>1.087</v>
      </c>
      <c r="D385" s="51">
        <v>68.0</v>
      </c>
      <c r="E385" s="52" t="s">
        <v>25</v>
      </c>
      <c r="F385" s="52" t="s">
        <v>26</v>
      </c>
      <c r="G385" s="53"/>
    </row>
    <row r="386">
      <c r="A386" s="49">
        <v>44516.68617008102</v>
      </c>
      <c r="B386" s="50">
        <v>44516.8111467592</v>
      </c>
      <c r="C386" s="51">
        <v>1.086</v>
      </c>
      <c r="D386" s="51">
        <v>68.0</v>
      </c>
      <c r="E386" s="52" t="s">
        <v>25</v>
      </c>
      <c r="F386" s="52" t="s">
        <v>26</v>
      </c>
      <c r="G386" s="53"/>
    </row>
    <row r="387">
      <c r="A387" s="49">
        <v>44516.696616863424</v>
      </c>
      <c r="B387" s="50">
        <v>44516.8215921296</v>
      </c>
      <c r="C387" s="51">
        <v>1.086</v>
      </c>
      <c r="D387" s="51">
        <v>68.0</v>
      </c>
      <c r="E387" s="52" t="s">
        <v>25</v>
      </c>
      <c r="F387" s="52" t="s">
        <v>26</v>
      </c>
      <c r="G387" s="53"/>
    </row>
    <row r="388">
      <c r="A388" s="49">
        <v>44516.70703365741</v>
      </c>
      <c r="B388" s="50">
        <v>44516.8320133449</v>
      </c>
      <c r="C388" s="51">
        <v>1.086</v>
      </c>
      <c r="D388" s="51">
        <v>68.0</v>
      </c>
      <c r="E388" s="52" t="s">
        <v>25</v>
      </c>
      <c r="F388" s="52" t="s">
        <v>26</v>
      </c>
      <c r="G388" s="53"/>
    </row>
    <row r="389">
      <c r="A389" s="49">
        <v>44516.717477638886</v>
      </c>
      <c r="B389" s="50">
        <v>44516.8424463541</v>
      </c>
      <c r="C389" s="51">
        <v>1.086</v>
      </c>
      <c r="D389" s="51">
        <v>68.0</v>
      </c>
      <c r="E389" s="52" t="s">
        <v>25</v>
      </c>
      <c r="F389" s="52" t="s">
        <v>26</v>
      </c>
      <c r="G389" s="53"/>
    </row>
    <row r="390">
      <c r="A390" s="49">
        <v>44516.72788877315</v>
      </c>
      <c r="B390" s="50">
        <v>44516.8528665046</v>
      </c>
      <c r="C390" s="51">
        <v>1.086</v>
      </c>
      <c r="D390" s="51">
        <v>68.0</v>
      </c>
      <c r="E390" s="52" t="s">
        <v>25</v>
      </c>
      <c r="F390" s="52" t="s">
        <v>26</v>
      </c>
      <c r="G390" s="53"/>
    </row>
    <row r="391">
      <c r="A391" s="49">
        <v>44516.73831335648</v>
      </c>
      <c r="B391" s="50">
        <v>44516.8632892013</v>
      </c>
      <c r="C391" s="51">
        <v>1.086</v>
      </c>
      <c r="D391" s="51">
        <v>68.0</v>
      </c>
      <c r="E391" s="52" t="s">
        <v>25</v>
      </c>
      <c r="F391" s="52" t="s">
        <v>26</v>
      </c>
      <c r="G391" s="53"/>
    </row>
    <row r="392">
      <c r="A392" s="49">
        <v>44516.74873229167</v>
      </c>
      <c r="B392" s="50">
        <v>44516.8737105787</v>
      </c>
      <c r="C392" s="51">
        <v>1.086</v>
      </c>
      <c r="D392" s="51">
        <v>68.0</v>
      </c>
      <c r="E392" s="52" t="s">
        <v>25</v>
      </c>
      <c r="F392" s="52" t="s">
        <v>26</v>
      </c>
      <c r="G392" s="53"/>
    </row>
    <row r="393">
      <c r="A393" s="49">
        <v>44516.759154583335</v>
      </c>
      <c r="B393" s="50">
        <v>44516.8841328935</v>
      </c>
      <c r="C393" s="51">
        <v>1.086</v>
      </c>
      <c r="D393" s="51">
        <v>68.0</v>
      </c>
      <c r="E393" s="52" t="s">
        <v>25</v>
      </c>
      <c r="F393" s="52" t="s">
        <v>26</v>
      </c>
      <c r="G393" s="53"/>
    </row>
    <row r="394">
      <c r="A394" s="49">
        <v>44516.76957796296</v>
      </c>
      <c r="B394" s="50">
        <v>44516.8945552314</v>
      </c>
      <c r="C394" s="51">
        <v>1.086</v>
      </c>
      <c r="D394" s="51">
        <v>68.0</v>
      </c>
      <c r="E394" s="52" t="s">
        <v>25</v>
      </c>
      <c r="F394" s="52" t="s">
        <v>26</v>
      </c>
      <c r="G394" s="53"/>
    </row>
    <row r="395">
      <c r="A395" s="49">
        <v>44516.78000182871</v>
      </c>
      <c r="B395" s="50">
        <v>44516.9049774305</v>
      </c>
      <c r="C395" s="51">
        <v>1.086</v>
      </c>
      <c r="D395" s="51">
        <v>68.0</v>
      </c>
      <c r="E395" s="52" t="s">
        <v>25</v>
      </c>
      <c r="F395" s="52" t="s">
        <v>26</v>
      </c>
      <c r="G395" s="53"/>
    </row>
    <row r="396">
      <c r="A396" s="49">
        <v>44516.79049368056</v>
      </c>
      <c r="B396" s="50">
        <v>44516.9153992129</v>
      </c>
      <c r="C396" s="51">
        <v>1.086</v>
      </c>
      <c r="D396" s="51">
        <v>68.0</v>
      </c>
      <c r="E396" s="52" t="s">
        <v>25</v>
      </c>
      <c r="F396" s="52" t="s">
        <v>26</v>
      </c>
      <c r="G396" s="53"/>
    </row>
    <row r="397">
      <c r="A397" s="49">
        <v>44516.800841840275</v>
      </c>
      <c r="B397" s="50">
        <v>44516.9258207754</v>
      </c>
      <c r="C397" s="51">
        <v>1.086</v>
      </c>
      <c r="D397" s="51">
        <v>68.0</v>
      </c>
      <c r="E397" s="52" t="s">
        <v>25</v>
      </c>
      <c r="F397" s="52" t="s">
        <v>26</v>
      </c>
      <c r="G397" s="53"/>
    </row>
    <row r="398">
      <c r="A398" s="49">
        <v>44516.81126770833</v>
      </c>
      <c r="B398" s="50">
        <v>44516.9362405324</v>
      </c>
      <c r="C398" s="51">
        <v>1.086</v>
      </c>
      <c r="D398" s="51">
        <v>68.0</v>
      </c>
      <c r="E398" s="52" t="s">
        <v>25</v>
      </c>
      <c r="F398" s="52" t="s">
        <v>26</v>
      </c>
      <c r="G398" s="53"/>
    </row>
    <row r="399">
      <c r="A399" s="49">
        <v>44516.82167899306</v>
      </c>
      <c r="B399" s="50">
        <v>44516.9466610416</v>
      </c>
      <c r="C399" s="51">
        <v>1.086</v>
      </c>
      <c r="D399" s="51">
        <v>68.0</v>
      </c>
      <c r="E399" s="52" t="s">
        <v>25</v>
      </c>
      <c r="F399" s="52" t="s">
        <v>26</v>
      </c>
      <c r="G399" s="53"/>
    </row>
    <row r="400">
      <c r="A400" s="49">
        <v>44516.83210287037</v>
      </c>
      <c r="B400" s="50">
        <v>44516.9570818402</v>
      </c>
      <c r="C400" s="51">
        <v>1.085</v>
      </c>
      <c r="D400" s="51">
        <v>68.0</v>
      </c>
      <c r="E400" s="52" t="s">
        <v>25</v>
      </c>
      <c r="F400" s="52" t="s">
        <v>26</v>
      </c>
      <c r="G400" s="53"/>
    </row>
    <row r="401">
      <c r="A401" s="49">
        <v>44516.842554675924</v>
      </c>
      <c r="B401" s="50">
        <v>44516.9675276388</v>
      </c>
      <c r="C401" s="51">
        <v>1.085</v>
      </c>
      <c r="D401" s="51">
        <v>68.0</v>
      </c>
      <c r="E401" s="52" t="s">
        <v>25</v>
      </c>
      <c r="F401" s="52" t="s">
        <v>26</v>
      </c>
      <c r="G401" s="53"/>
    </row>
    <row r="402">
      <c r="A402" s="49">
        <v>44516.852975856484</v>
      </c>
      <c r="B402" s="50">
        <v>44516.9779495254</v>
      </c>
      <c r="C402" s="51">
        <v>1.085</v>
      </c>
      <c r="D402" s="51">
        <v>68.0</v>
      </c>
      <c r="E402" s="52" t="s">
        <v>25</v>
      </c>
      <c r="F402" s="52" t="s">
        <v>26</v>
      </c>
      <c r="G402" s="53"/>
    </row>
    <row r="403">
      <c r="A403" s="49">
        <v>44516.8633941088</v>
      </c>
      <c r="B403" s="50">
        <v>44516.9883717245</v>
      </c>
      <c r="C403" s="51">
        <v>1.085</v>
      </c>
      <c r="D403" s="51">
        <v>68.0</v>
      </c>
      <c r="E403" s="52" t="s">
        <v>25</v>
      </c>
      <c r="F403" s="52" t="s">
        <v>26</v>
      </c>
      <c r="G403" s="53"/>
    </row>
    <row r="404">
      <c r="A404" s="49">
        <v>44516.873818252316</v>
      </c>
      <c r="B404" s="50">
        <v>44516.998793449</v>
      </c>
      <c r="C404" s="51">
        <v>1.085</v>
      </c>
      <c r="D404" s="51">
        <v>68.0</v>
      </c>
      <c r="E404" s="52" t="s">
        <v>25</v>
      </c>
      <c r="F404" s="52" t="s">
        <v>26</v>
      </c>
      <c r="G404" s="53"/>
    </row>
    <row r="405">
      <c r="A405" s="49">
        <v>44516.88423788194</v>
      </c>
      <c r="B405" s="50">
        <v>44517.0092139699</v>
      </c>
      <c r="C405" s="51">
        <v>1.085</v>
      </c>
      <c r="D405" s="51">
        <v>68.0</v>
      </c>
      <c r="E405" s="52" t="s">
        <v>25</v>
      </c>
      <c r="F405" s="52" t="s">
        <v>26</v>
      </c>
      <c r="G405" s="53"/>
    </row>
    <row r="406">
      <c r="A406" s="49">
        <v>44516.894657453704</v>
      </c>
      <c r="B406" s="50">
        <v>44517.0196351273</v>
      </c>
      <c r="C406" s="51">
        <v>1.085</v>
      </c>
      <c r="D406" s="51">
        <v>68.0</v>
      </c>
      <c r="E406" s="52" t="s">
        <v>25</v>
      </c>
      <c r="F406" s="52" t="s">
        <v>26</v>
      </c>
      <c r="G406" s="53"/>
    </row>
    <row r="407">
      <c r="A407" s="49">
        <v>44516.90508353009</v>
      </c>
      <c r="B407" s="50">
        <v>44517.0300556249</v>
      </c>
      <c r="C407" s="51">
        <v>1.085</v>
      </c>
      <c r="D407" s="51">
        <v>68.0</v>
      </c>
      <c r="E407" s="52" t="s">
        <v>25</v>
      </c>
      <c r="F407" s="52" t="s">
        <v>26</v>
      </c>
      <c r="G407" s="53"/>
    </row>
    <row r="408">
      <c r="A408" s="49">
        <v>44516.91553677083</v>
      </c>
      <c r="B408" s="50">
        <v>44517.040512118</v>
      </c>
      <c r="C408" s="51">
        <v>1.085</v>
      </c>
      <c r="D408" s="51">
        <v>68.0</v>
      </c>
      <c r="E408" s="52" t="s">
        <v>25</v>
      </c>
      <c r="F408" s="52" t="s">
        <v>26</v>
      </c>
      <c r="G408" s="53"/>
    </row>
    <row r="409">
      <c r="A409" s="49">
        <v>44516.92596674769</v>
      </c>
      <c r="B409" s="50">
        <v>44517.0509337615</v>
      </c>
      <c r="C409" s="51">
        <v>1.085</v>
      </c>
      <c r="D409" s="51">
        <v>68.0</v>
      </c>
      <c r="E409" s="52" t="s">
        <v>25</v>
      </c>
      <c r="F409" s="52" t="s">
        <v>26</v>
      </c>
      <c r="G409" s="53"/>
    </row>
    <row r="410">
      <c r="A410" s="49">
        <v>44516.936376134254</v>
      </c>
      <c r="B410" s="50">
        <v>44517.0613562384</v>
      </c>
      <c r="C410" s="51">
        <v>1.085</v>
      </c>
      <c r="D410" s="51">
        <v>68.0</v>
      </c>
      <c r="E410" s="52" t="s">
        <v>25</v>
      </c>
      <c r="F410" s="52" t="s">
        <v>26</v>
      </c>
      <c r="G410" s="53"/>
    </row>
    <row r="411">
      <c r="A411" s="49">
        <v>44516.94679445602</v>
      </c>
      <c r="B411" s="50">
        <v>44517.0717776504</v>
      </c>
      <c r="C411" s="51">
        <v>1.085</v>
      </c>
      <c r="D411" s="51">
        <v>68.0</v>
      </c>
      <c r="E411" s="52" t="s">
        <v>25</v>
      </c>
      <c r="F411" s="52" t="s">
        <v>26</v>
      </c>
      <c r="G411" s="53"/>
    </row>
    <row r="412">
      <c r="A412" s="49">
        <v>44516.957219131946</v>
      </c>
      <c r="B412" s="50">
        <v>44517.0821995023</v>
      </c>
      <c r="C412" s="51">
        <v>1.085</v>
      </c>
      <c r="D412" s="51">
        <v>68.0</v>
      </c>
      <c r="E412" s="52" t="s">
        <v>25</v>
      </c>
      <c r="F412" s="52" t="s">
        <v>26</v>
      </c>
      <c r="G412" s="53"/>
    </row>
    <row r="413">
      <c r="A413" s="49">
        <v>44516.96764787037</v>
      </c>
      <c r="B413" s="50">
        <v>44517.0926203587</v>
      </c>
      <c r="C413" s="51">
        <v>1.085</v>
      </c>
      <c r="D413" s="51">
        <v>68.0</v>
      </c>
      <c r="E413" s="52" t="s">
        <v>25</v>
      </c>
      <c r="F413" s="52" t="s">
        <v>26</v>
      </c>
      <c r="G413" s="53"/>
    </row>
    <row r="414">
      <c r="A414" s="49">
        <v>44516.97807660879</v>
      </c>
      <c r="B414" s="50">
        <v>44517.1030536921</v>
      </c>
      <c r="C414" s="51">
        <v>1.084</v>
      </c>
      <c r="D414" s="51">
        <v>68.0</v>
      </c>
      <c r="E414" s="52" t="s">
        <v>25</v>
      </c>
      <c r="F414" s="52" t="s">
        <v>26</v>
      </c>
      <c r="G414" s="53"/>
    </row>
    <row r="415">
      <c r="A415" s="49">
        <v>44516.98851214121</v>
      </c>
      <c r="B415" s="50">
        <v>44517.1134859374</v>
      </c>
      <c r="C415" s="51">
        <v>1.084</v>
      </c>
      <c r="D415" s="51">
        <v>68.0</v>
      </c>
      <c r="E415" s="52" t="s">
        <v>25</v>
      </c>
      <c r="F415" s="52" t="s">
        <v>26</v>
      </c>
      <c r="G415" s="53"/>
    </row>
    <row r="416">
      <c r="A416" s="49">
        <v>44516.998931967595</v>
      </c>
      <c r="B416" s="50">
        <v>44517.1239068634</v>
      </c>
      <c r="C416" s="51">
        <v>1.084</v>
      </c>
      <c r="D416" s="51">
        <v>68.0</v>
      </c>
      <c r="E416" s="52" t="s">
        <v>25</v>
      </c>
      <c r="F416" s="52" t="s">
        <v>26</v>
      </c>
      <c r="G416" s="53"/>
    </row>
    <row r="417">
      <c r="A417" s="49">
        <v>44517.009349201384</v>
      </c>
      <c r="B417" s="50">
        <v>44517.1343278356</v>
      </c>
      <c r="C417" s="51">
        <v>1.084</v>
      </c>
      <c r="D417" s="51">
        <v>68.0</v>
      </c>
      <c r="E417" s="52" t="s">
        <v>25</v>
      </c>
      <c r="F417" s="52" t="s">
        <v>26</v>
      </c>
      <c r="G417" s="53"/>
    </row>
    <row r="418">
      <c r="A418" s="49">
        <v>44517.01976555555</v>
      </c>
      <c r="B418" s="50">
        <v>44517.1447478935</v>
      </c>
      <c r="C418" s="51">
        <v>1.084</v>
      </c>
      <c r="D418" s="51">
        <v>68.0</v>
      </c>
      <c r="E418" s="52" t="s">
        <v>25</v>
      </c>
      <c r="F418" s="52" t="s">
        <v>26</v>
      </c>
      <c r="G418" s="53"/>
    </row>
    <row r="419">
      <c r="A419" s="49">
        <v>44517.03019160879</v>
      </c>
      <c r="B419" s="50">
        <v>44517.1551692476</v>
      </c>
      <c r="C419" s="51">
        <v>1.084</v>
      </c>
      <c r="D419" s="51">
        <v>68.0</v>
      </c>
      <c r="E419" s="52" t="s">
        <v>25</v>
      </c>
      <c r="F419" s="52" t="s">
        <v>26</v>
      </c>
      <c r="G419" s="53"/>
    </row>
    <row r="420">
      <c r="A420" s="49">
        <v>44517.04061538195</v>
      </c>
      <c r="B420" s="50">
        <v>44517.165591331</v>
      </c>
      <c r="C420" s="51">
        <v>1.084</v>
      </c>
      <c r="D420" s="51">
        <v>68.0</v>
      </c>
      <c r="E420" s="52" t="s">
        <v>25</v>
      </c>
      <c r="F420" s="52" t="s">
        <v>26</v>
      </c>
      <c r="G420" s="53"/>
    </row>
    <row r="421">
      <c r="A421" s="49">
        <v>44517.0510406713</v>
      </c>
      <c r="B421" s="50">
        <v>44517.1760142708</v>
      </c>
      <c r="C421" s="51">
        <v>1.084</v>
      </c>
      <c r="D421" s="51">
        <v>68.0</v>
      </c>
      <c r="E421" s="52" t="s">
        <v>25</v>
      </c>
      <c r="F421" s="52" t="s">
        <v>26</v>
      </c>
      <c r="G421" s="53"/>
    </row>
    <row r="422">
      <c r="A422" s="49">
        <v>44517.06145877315</v>
      </c>
      <c r="B422" s="50">
        <v>44517.186435324</v>
      </c>
      <c r="C422" s="51">
        <v>1.084</v>
      </c>
      <c r="D422" s="51">
        <v>68.0</v>
      </c>
      <c r="E422" s="52" t="s">
        <v>25</v>
      </c>
      <c r="F422" s="52" t="s">
        <v>26</v>
      </c>
      <c r="G422" s="53"/>
    </row>
    <row r="423">
      <c r="A423" s="49">
        <v>44517.071879571755</v>
      </c>
      <c r="B423" s="50">
        <v>44517.1968565277</v>
      </c>
      <c r="C423" s="51">
        <v>1.084</v>
      </c>
      <c r="D423" s="51">
        <v>68.0</v>
      </c>
      <c r="E423" s="52" t="s">
        <v>25</v>
      </c>
      <c r="F423" s="52" t="s">
        <v>26</v>
      </c>
      <c r="G423" s="53"/>
    </row>
    <row r="424">
      <c r="A424" s="49">
        <v>44517.08231351852</v>
      </c>
      <c r="B424" s="50">
        <v>44517.2072896296</v>
      </c>
      <c r="C424" s="51">
        <v>1.084</v>
      </c>
      <c r="D424" s="51">
        <v>68.0</v>
      </c>
      <c r="E424" s="52" t="s">
        <v>25</v>
      </c>
      <c r="F424" s="52" t="s">
        <v>26</v>
      </c>
      <c r="G424" s="53"/>
    </row>
    <row r="425">
      <c r="A425" s="49">
        <v>44517.09273884259</v>
      </c>
      <c r="B425" s="50">
        <v>44517.2177105787</v>
      </c>
      <c r="C425" s="51">
        <v>1.084</v>
      </c>
      <c r="D425" s="51">
        <v>68.0</v>
      </c>
      <c r="E425" s="52" t="s">
        <v>25</v>
      </c>
      <c r="F425" s="52" t="s">
        <v>26</v>
      </c>
      <c r="G425" s="53"/>
    </row>
    <row r="426">
      <c r="A426" s="49">
        <v>44517.103160439816</v>
      </c>
      <c r="B426" s="50">
        <v>44517.2281315856</v>
      </c>
      <c r="C426" s="51">
        <v>1.084</v>
      </c>
      <c r="D426" s="51">
        <v>68.0</v>
      </c>
      <c r="E426" s="52" t="s">
        <v>25</v>
      </c>
      <c r="F426" s="52" t="s">
        <v>26</v>
      </c>
      <c r="G426" s="53"/>
    </row>
    <row r="427">
      <c r="A427" s="49">
        <v>44517.113575868054</v>
      </c>
      <c r="B427" s="50">
        <v>44517.2385530324</v>
      </c>
      <c r="C427" s="51">
        <v>1.084</v>
      </c>
      <c r="D427" s="51">
        <v>68.0</v>
      </c>
      <c r="E427" s="52" t="s">
        <v>25</v>
      </c>
      <c r="F427" s="52" t="s">
        <v>26</v>
      </c>
      <c r="G427" s="53"/>
    </row>
    <row r="428">
      <c r="A428" s="49">
        <v>44517.1239908912</v>
      </c>
      <c r="B428" s="50">
        <v>44517.2489737499</v>
      </c>
      <c r="C428" s="51">
        <v>1.083</v>
      </c>
      <c r="D428" s="51">
        <v>68.0</v>
      </c>
      <c r="E428" s="52" t="s">
        <v>25</v>
      </c>
      <c r="F428" s="52" t="s">
        <v>26</v>
      </c>
      <c r="G428" s="53"/>
    </row>
    <row r="429">
      <c r="A429" s="49">
        <v>44517.13441982639</v>
      </c>
      <c r="B429" s="50">
        <v>44517.2593948842</v>
      </c>
      <c r="C429" s="51">
        <v>1.084</v>
      </c>
      <c r="D429" s="51">
        <v>68.0</v>
      </c>
      <c r="E429" s="52" t="s">
        <v>25</v>
      </c>
      <c r="F429" s="52" t="s">
        <v>26</v>
      </c>
      <c r="G429" s="53"/>
    </row>
    <row r="430">
      <c r="A430" s="49">
        <v>44517.144856053244</v>
      </c>
      <c r="B430" s="50">
        <v>44517.2698277662</v>
      </c>
      <c r="C430" s="51">
        <v>1.083</v>
      </c>
      <c r="D430" s="51">
        <v>68.0</v>
      </c>
      <c r="E430" s="52" t="s">
        <v>25</v>
      </c>
      <c r="F430" s="52" t="s">
        <v>26</v>
      </c>
      <c r="G430" s="53"/>
    </row>
    <row r="431">
      <c r="A431" s="49">
        <v>44517.155270625</v>
      </c>
      <c r="B431" s="50">
        <v>44517.2802477199</v>
      </c>
      <c r="C431" s="51">
        <v>1.084</v>
      </c>
      <c r="D431" s="51">
        <v>68.0</v>
      </c>
      <c r="E431" s="52" t="s">
        <v>25</v>
      </c>
      <c r="F431" s="52" t="s">
        <v>26</v>
      </c>
      <c r="G431" s="53"/>
    </row>
    <row r="432">
      <c r="A432" s="49">
        <v>44517.165696400465</v>
      </c>
      <c r="B432" s="50">
        <v>44517.2906701736</v>
      </c>
      <c r="C432" s="51">
        <v>1.083</v>
      </c>
      <c r="D432" s="51">
        <v>68.0</v>
      </c>
      <c r="E432" s="52" t="s">
        <v>25</v>
      </c>
      <c r="F432" s="52" t="s">
        <v>26</v>
      </c>
      <c r="G432" s="53"/>
    </row>
    <row r="433">
      <c r="A433" s="49">
        <v>44517.176132430555</v>
      </c>
      <c r="B433" s="50">
        <v>44517.3011033912</v>
      </c>
      <c r="C433" s="51">
        <v>1.083</v>
      </c>
      <c r="D433" s="51">
        <v>68.0</v>
      </c>
      <c r="E433" s="52" t="s">
        <v>25</v>
      </c>
      <c r="F433" s="52" t="s">
        <v>26</v>
      </c>
      <c r="G433" s="53"/>
    </row>
    <row r="434">
      <c r="A434" s="49">
        <v>44517.18655195602</v>
      </c>
      <c r="B434" s="50">
        <v>44517.3115247106</v>
      </c>
      <c r="C434" s="51">
        <v>1.083</v>
      </c>
      <c r="D434" s="51">
        <v>68.0</v>
      </c>
      <c r="E434" s="52" t="s">
        <v>25</v>
      </c>
      <c r="F434" s="52" t="s">
        <v>26</v>
      </c>
      <c r="G434" s="53"/>
    </row>
    <row r="435">
      <c r="A435" s="49">
        <v>44517.19698454862</v>
      </c>
      <c r="B435" s="50">
        <v>44517.3219591319</v>
      </c>
      <c r="C435" s="51">
        <v>1.083</v>
      </c>
      <c r="D435" s="51">
        <v>68.0</v>
      </c>
      <c r="E435" s="52" t="s">
        <v>25</v>
      </c>
      <c r="F435" s="52" t="s">
        <v>26</v>
      </c>
      <c r="G435" s="53"/>
    </row>
    <row r="436">
      <c r="A436" s="49">
        <v>44517.207407256945</v>
      </c>
      <c r="B436" s="50">
        <v>44517.3323817013</v>
      </c>
      <c r="C436" s="51">
        <v>1.083</v>
      </c>
      <c r="D436" s="51">
        <v>68.0</v>
      </c>
      <c r="E436" s="52" t="s">
        <v>25</v>
      </c>
      <c r="F436" s="52" t="s">
        <v>26</v>
      </c>
      <c r="G436" s="53"/>
    </row>
    <row r="437">
      <c r="A437" s="49">
        <v>44517.21782959491</v>
      </c>
      <c r="B437" s="50">
        <v>44517.3428043287</v>
      </c>
      <c r="C437" s="51">
        <v>1.083</v>
      </c>
      <c r="D437" s="51">
        <v>68.0</v>
      </c>
      <c r="E437" s="52" t="s">
        <v>25</v>
      </c>
      <c r="F437" s="52" t="s">
        <v>26</v>
      </c>
      <c r="G437" s="53"/>
    </row>
    <row r="438">
      <c r="A438" s="49">
        <v>44517.228251712964</v>
      </c>
      <c r="B438" s="50">
        <v>44517.3532250231</v>
      </c>
      <c r="C438" s="51">
        <v>1.083</v>
      </c>
      <c r="D438" s="51">
        <v>68.0</v>
      </c>
      <c r="E438" s="52" t="s">
        <v>25</v>
      </c>
      <c r="F438" s="52" t="s">
        <v>26</v>
      </c>
      <c r="G438" s="53"/>
    </row>
    <row r="439">
      <c r="A439" s="49">
        <v>44517.2386699537</v>
      </c>
      <c r="B439" s="50">
        <v>44517.3636459837</v>
      </c>
      <c r="C439" s="51">
        <v>1.083</v>
      </c>
      <c r="D439" s="51">
        <v>69.0</v>
      </c>
      <c r="E439" s="52" t="s">
        <v>25</v>
      </c>
      <c r="F439" s="52" t="s">
        <v>26</v>
      </c>
      <c r="G439" s="53"/>
    </row>
    <row r="440">
      <c r="A440" s="49">
        <v>44517.24908952546</v>
      </c>
      <c r="B440" s="50">
        <v>44517.3740703009</v>
      </c>
      <c r="C440" s="51">
        <v>1.083</v>
      </c>
      <c r="D440" s="51">
        <v>68.0</v>
      </c>
      <c r="E440" s="52" t="s">
        <v>25</v>
      </c>
      <c r="F440" s="52" t="s">
        <v>26</v>
      </c>
      <c r="G440" s="53"/>
    </row>
    <row r="441">
      <c r="A441" s="49">
        <v>44517.25951585648</v>
      </c>
      <c r="B441" s="50">
        <v>44517.3844920717</v>
      </c>
      <c r="C441" s="51">
        <v>1.083</v>
      </c>
      <c r="D441" s="51">
        <v>69.0</v>
      </c>
      <c r="E441" s="52" t="s">
        <v>25</v>
      </c>
      <c r="F441" s="52" t="s">
        <v>26</v>
      </c>
      <c r="G441" s="53"/>
    </row>
    <row r="442">
      <c r="A442" s="49">
        <v>44517.26995609954</v>
      </c>
      <c r="B442" s="50">
        <v>44517.3949355671</v>
      </c>
      <c r="C442" s="51">
        <v>1.082</v>
      </c>
      <c r="D442" s="51">
        <v>68.0</v>
      </c>
      <c r="E442" s="52" t="s">
        <v>25</v>
      </c>
      <c r="F442" s="52" t="s">
        <v>26</v>
      </c>
      <c r="G442" s="53"/>
    </row>
    <row r="443">
      <c r="A443" s="49">
        <v>44517.28037664352</v>
      </c>
      <c r="B443" s="50">
        <v>44517.4053571412</v>
      </c>
      <c r="C443" s="51">
        <v>1.082</v>
      </c>
      <c r="D443" s="51">
        <v>69.0</v>
      </c>
      <c r="E443" s="52" t="s">
        <v>25</v>
      </c>
      <c r="F443" s="52" t="s">
        <v>26</v>
      </c>
      <c r="G443" s="53"/>
    </row>
    <row r="444">
      <c r="A444" s="49">
        <v>44517.29081145833</v>
      </c>
      <c r="B444" s="50">
        <v>44517.4157795486</v>
      </c>
      <c r="C444" s="51">
        <v>1.082</v>
      </c>
      <c r="D444" s="51">
        <v>68.0</v>
      </c>
      <c r="E444" s="52" t="s">
        <v>25</v>
      </c>
      <c r="F444" s="52" t="s">
        <v>26</v>
      </c>
      <c r="G444" s="53"/>
    </row>
    <row r="445">
      <c r="A445" s="49">
        <v>44517.30122552083</v>
      </c>
      <c r="B445" s="50">
        <v>44517.4262023958</v>
      </c>
      <c r="C445" s="51">
        <v>1.082</v>
      </c>
      <c r="D445" s="51">
        <v>69.0</v>
      </c>
      <c r="E445" s="52" t="s">
        <v>25</v>
      </c>
      <c r="F445" s="52" t="s">
        <v>26</v>
      </c>
      <c r="G445" s="53"/>
    </row>
    <row r="446">
      <c r="A446" s="49">
        <v>44517.31166664352</v>
      </c>
      <c r="B446" s="50">
        <v>44517.43663603</v>
      </c>
      <c r="C446" s="51">
        <v>1.082</v>
      </c>
      <c r="D446" s="51">
        <v>68.0</v>
      </c>
      <c r="E446" s="52" t="s">
        <v>25</v>
      </c>
      <c r="F446" s="52" t="s">
        <v>26</v>
      </c>
      <c r="G446" s="53"/>
    </row>
    <row r="447">
      <c r="A447" s="49">
        <v>44517.322081307866</v>
      </c>
      <c r="B447" s="50">
        <v>44517.4470580671</v>
      </c>
      <c r="C447" s="51">
        <v>1.082</v>
      </c>
      <c r="D447" s="51">
        <v>69.0</v>
      </c>
      <c r="E447" s="52" t="s">
        <v>25</v>
      </c>
      <c r="F447" s="52" t="s">
        <v>26</v>
      </c>
      <c r="G447" s="53"/>
    </row>
    <row r="448">
      <c r="A448" s="49">
        <v>44517.33251184028</v>
      </c>
      <c r="B448" s="50">
        <v>44517.4574775</v>
      </c>
      <c r="C448" s="51">
        <v>1.082</v>
      </c>
      <c r="D448" s="51">
        <v>69.0</v>
      </c>
      <c r="E448" s="52" t="s">
        <v>25</v>
      </c>
      <c r="F448" s="52" t="s">
        <v>26</v>
      </c>
      <c r="G448" s="53"/>
    </row>
    <row r="449">
      <c r="A449" s="49">
        <v>44517.34292188658</v>
      </c>
      <c r="B449" s="50">
        <v>44517.4678968402</v>
      </c>
      <c r="C449" s="51">
        <v>1.082</v>
      </c>
      <c r="D449" s="51">
        <v>69.0</v>
      </c>
      <c r="E449" s="52" t="s">
        <v>25</v>
      </c>
      <c r="F449" s="52" t="s">
        <v>26</v>
      </c>
      <c r="G449" s="53"/>
    </row>
    <row r="450">
      <c r="A450" s="49">
        <v>44517.35334313658</v>
      </c>
      <c r="B450" s="50">
        <v>44517.4783166203</v>
      </c>
      <c r="C450" s="51">
        <v>1.082</v>
      </c>
      <c r="D450" s="51">
        <v>69.0</v>
      </c>
      <c r="E450" s="52" t="s">
        <v>25</v>
      </c>
      <c r="F450" s="52" t="s">
        <v>26</v>
      </c>
      <c r="G450" s="53"/>
    </row>
    <row r="451">
      <c r="A451" s="49">
        <v>44517.36377082176</v>
      </c>
      <c r="B451" s="50">
        <v>44517.4887384953</v>
      </c>
      <c r="C451" s="51">
        <v>1.082</v>
      </c>
      <c r="D451" s="51">
        <v>69.0</v>
      </c>
      <c r="E451" s="52" t="s">
        <v>25</v>
      </c>
      <c r="F451" s="52" t="s">
        <v>26</v>
      </c>
      <c r="G451" s="53"/>
    </row>
    <row r="452">
      <c r="A452" s="49">
        <v>44517.37419127315</v>
      </c>
      <c r="B452" s="50">
        <v>44517.4991598842</v>
      </c>
      <c r="C452" s="51">
        <v>1.082</v>
      </c>
      <c r="D452" s="51">
        <v>69.0</v>
      </c>
      <c r="E452" s="52" t="s">
        <v>25</v>
      </c>
      <c r="F452" s="52" t="s">
        <v>26</v>
      </c>
      <c r="G452" s="53"/>
    </row>
    <row r="453">
      <c r="A453" s="49">
        <v>44517.38460780092</v>
      </c>
      <c r="B453" s="50">
        <v>44517.5095806828</v>
      </c>
      <c r="C453" s="51">
        <v>1.082</v>
      </c>
      <c r="D453" s="51">
        <v>69.0</v>
      </c>
      <c r="E453" s="52" t="s">
        <v>25</v>
      </c>
      <c r="F453" s="52" t="s">
        <v>26</v>
      </c>
      <c r="G453" s="53"/>
    </row>
    <row r="454">
      <c r="A454" s="49">
        <v>44517.39503262732</v>
      </c>
      <c r="B454" s="50">
        <v>44517.5200040625</v>
      </c>
      <c r="C454" s="51">
        <v>1.082</v>
      </c>
      <c r="D454" s="51">
        <v>69.0</v>
      </c>
      <c r="E454" s="52" t="s">
        <v>25</v>
      </c>
      <c r="F454" s="52" t="s">
        <v>26</v>
      </c>
      <c r="G454" s="53"/>
    </row>
    <row r="455">
      <c r="A455" s="49">
        <v>44517.40545392361</v>
      </c>
      <c r="B455" s="50">
        <v>44517.5304255787</v>
      </c>
      <c r="C455" s="51">
        <v>1.082</v>
      </c>
      <c r="D455" s="51">
        <v>69.0</v>
      </c>
      <c r="E455" s="52" t="s">
        <v>25</v>
      </c>
      <c r="F455" s="52" t="s">
        <v>26</v>
      </c>
      <c r="G455" s="53"/>
    </row>
    <row r="456">
      <c r="A456" s="49">
        <v>44517.41587092592</v>
      </c>
      <c r="B456" s="50">
        <v>44517.5408469791</v>
      </c>
      <c r="C456" s="51">
        <v>1.082</v>
      </c>
      <c r="D456" s="51">
        <v>69.0</v>
      </c>
      <c r="E456" s="52" t="s">
        <v>25</v>
      </c>
      <c r="F456" s="52" t="s">
        <v>26</v>
      </c>
      <c r="G456" s="53"/>
    </row>
    <row r="457">
      <c r="A457" s="49">
        <v>44517.42631780093</v>
      </c>
      <c r="B457" s="50">
        <v>44517.5512810532</v>
      </c>
      <c r="C457" s="51">
        <v>1.082</v>
      </c>
      <c r="D457" s="51">
        <v>69.0</v>
      </c>
      <c r="E457" s="52" t="s">
        <v>25</v>
      </c>
      <c r="F457" s="52" t="s">
        <v>26</v>
      </c>
      <c r="G457" s="53"/>
    </row>
    <row r="458">
      <c r="A458" s="49">
        <v>44517.436726747685</v>
      </c>
      <c r="B458" s="50">
        <v>44517.5617012963</v>
      </c>
      <c r="C458" s="51">
        <v>1.082</v>
      </c>
      <c r="D458" s="51">
        <v>69.0</v>
      </c>
      <c r="E458" s="52" t="s">
        <v>25</v>
      </c>
      <c r="F458" s="52" t="s">
        <v>26</v>
      </c>
      <c r="G458" s="53"/>
    </row>
    <row r="459">
      <c r="A459" s="49">
        <v>44517.447144895836</v>
      </c>
      <c r="B459" s="50">
        <v>44517.5721217939</v>
      </c>
      <c r="C459" s="51">
        <v>1.081</v>
      </c>
      <c r="D459" s="51">
        <v>69.0</v>
      </c>
      <c r="E459" s="52" t="s">
        <v>25</v>
      </c>
      <c r="F459" s="52" t="s">
        <v>26</v>
      </c>
      <c r="G459" s="53"/>
    </row>
    <row r="460">
      <c r="A460" s="49">
        <v>44517.45768423611</v>
      </c>
      <c r="B460" s="50">
        <v>44517.5825435995</v>
      </c>
      <c r="C460" s="51">
        <v>1.082</v>
      </c>
      <c r="D460" s="51">
        <v>69.0</v>
      </c>
      <c r="E460" s="52" t="s">
        <v>25</v>
      </c>
      <c r="F460" s="52" t="s">
        <v>26</v>
      </c>
      <c r="G460" s="53"/>
    </row>
    <row r="461">
      <c r="A461" s="49">
        <v>44517.46798981482</v>
      </c>
      <c r="B461" s="50">
        <v>44517.5929640972</v>
      </c>
      <c r="C461" s="51">
        <v>1.081</v>
      </c>
      <c r="D461" s="51">
        <v>69.0</v>
      </c>
      <c r="E461" s="52" t="s">
        <v>25</v>
      </c>
      <c r="F461" s="52" t="s">
        <v>26</v>
      </c>
      <c r="G461" s="53"/>
    </row>
    <row r="462">
      <c r="A462" s="49">
        <v>44517.47842730324</v>
      </c>
      <c r="B462" s="50">
        <v>44517.6033973263</v>
      </c>
      <c r="C462" s="51">
        <v>1.081</v>
      </c>
      <c r="D462" s="51">
        <v>69.0</v>
      </c>
      <c r="E462" s="52" t="s">
        <v>25</v>
      </c>
      <c r="F462" s="52" t="s">
        <v>26</v>
      </c>
      <c r="G462" s="53"/>
    </row>
    <row r="463">
      <c r="A463" s="49">
        <v>44517.48885871528</v>
      </c>
      <c r="B463" s="50">
        <v>44517.6138291319</v>
      </c>
      <c r="C463" s="51">
        <v>1.081</v>
      </c>
      <c r="D463" s="51">
        <v>69.0</v>
      </c>
      <c r="E463" s="52" t="s">
        <v>25</v>
      </c>
      <c r="F463" s="52" t="s">
        <v>26</v>
      </c>
      <c r="G463" s="53"/>
    </row>
    <row r="464">
      <c r="A464" s="49">
        <v>44517.499278240735</v>
      </c>
      <c r="B464" s="50">
        <v>44517.6242495601</v>
      </c>
      <c r="C464" s="51">
        <v>1.081</v>
      </c>
      <c r="D464" s="51">
        <v>69.0</v>
      </c>
      <c r="E464" s="52" t="s">
        <v>25</v>
      </c>
      <c r="F464" s="52" t="s">
        <v>26</v>
      </c>
      <c r="G464" s="53"/>
    </row>
    <row r="465">
      <c r="A465" s="49">
        <v>44517.50969396991</v>
      </c>
      <c r="B465" s="50">
        <v>44517.6346718287</v>
      </c>
      <c r="C465" s="51">
        <v>1.081</v>
      </c>
      <c r="D465" s="51">
        <v>69.0</v>
      </c>
      <c r="E465" s="52" t="s">
        <v>25</v>
      </c>
      <c r="F465" s="52" t="s">
        <v>26</v>
      </c>
      <c r="G465" s="53"/>
    </row>
    <row r="466">
      <c r="A466" s="49">
        <v>44517.520129375</v>
      </c>
      <c r="B466" s="50">
        <v>44517.6450938773</v>
      </c>
      <c r="C466" s="51">
        <v>1.081</v>
      </c>
      <c r="D466" s="51">
        <v>69.0</v>
      </c>
      <c r="E466" s="52" t="s">
        <v>25</v>
      </c>
      <c r="F466" s="52" t="s">
        <v>26</v>
      </c>
      <c r="G466" s="53"/>
    </row>
    <row r="467">
      <c r="A467" s="49">
        <v>44517.530541747685</v>
      </c>
      <c r="B467" s="50">
        <v>44517.655514456</v>
      </c>
      <c r="C467" s="51">
        <v>1.081</v>
      </c>
      <c r="D467" s="51">
        <v>69.0</v>
      </c>
      <c r="E467" s="52" t="s">
        <v>25</v>
      </c>
      <c r="F467" s="52" t="s">
        <v>26</v>
      </c>
      <c r="G467" s="53"/>
    </row>
    <row r="468">
      <c r="A468" s="49">
        <v>44517.540963692125</v>
      </c>
      <c r="B468" s="50">
        <v>44517.6659365509</v>
      </c>
      <c r="C468" s="51">
        <v>1.081</v>
      </c>
      <c r="D468" s="51">
        <v>69.0</v>
      </c>
      <c r="E468" s="52" t="s">
        <v>25</v>
      </c>
      <c r="F468" s="52" t="s">
        <v>26</v>
      </c>
      <c r="G468" s="53"/>
    </row>
    <row r="469">
      <c r="A469" s="49">
        <v>44517.55137956019</v>
      </c>
      <c r="B469" s="50">
        <v>44517.6763579398</v>
      </c>
      <c r="C469" s="51">
        <v>1.081</v>
      </c>
      <c r="D469" s="51">
        <v>69.0</v>
      </c>
      <c r="E469" s="52" t="s">
        <v>25</v>
      </c>
      <c r="F469" s="52" t="s">
        <v>26</v>
      </c>
      <c r="G469" s="53"/>
    </row>
    <row r="470">
      <c r="A470" s="49">
        <v>44517.56180954861</v>
      </c>
      <c r="B470" s="50">
        <v>44517.6867803125</v>
      </c>
      <c r="C470" s="51">
        <v>1.081</v>
      </c>
      <c r="D470" s="51">
        <v>69.0</v>
      </c>
      <c r="E470" s="52" t="s">
        <v>25</v>
      </c>
      <c r="F470" s="52" t="s">
        <v>26</v>
      </c>
      <c r="G470" s="53"/>
    </row>
    <row r="471">
      <c r="A471" s="49">
        <v>44517.572218368055</v>
      </c>
      <c r="B471" s="50">
        <v>44517.6972020601</v>
      </c>
      <c r="C471" s="51">
        <v>1.081</v>
      </c>
      <c r="D471" s="51">
        <v>69.0</v>
      </c>
      <c r="E471" s="52" t="s">
        <v>25</v>
      </c>
      <c r="F471" s="52" t="s">
        <v>26</v>
      </c>
      <c r="G471" s="53"/>
    </row>
    <row r="472">
      <c r="A472" s="49">
        <v>44517.582646574076</v>
      </c>
      <c r="B472" s="50">
        <v>44517.707622743</v>
      </c>
      <c r="C472" s="51">
        <v>1.081</v>
      </c>
      <c r="D472" s="51">
        <v>69.0</v>
      </c>
      <c r="E472" s="52" t="s">
        <v>25</v>
      </c>
      <c r="F472" s="52" t="s">
        <v>26</v>
      </c>
      <c r="G472" s="53"/>
    </row>
    <row r="473">
      <c r="A473" s="49">
        <v>44517.59306918981</v>
      </c>
      <c r="B473" s="50">
        <v>44517.7180431018</v>
      </c>
      <c r="C473" s="51">
        <v>1.081</v>
      </c>
      <c r="D473" s="51">
        <v>69.0</v>
      </c>
      <c r="E473" s="52" t="s">
        <v>25</v>
      </c>
      <c r="F473" s="52" t="s">
        <v>26</v>
      </c>
      <c r="G473" s="53"/>
    </row>
    <row r="474">
      <c r="A474" s="49">
        <v>44517.6035092824</v>
      </c>
      <c r="B474" s="50">
        <v>44517.7284769907</v>
      </c>
      <c r="C474" s="51">
        <v>1.081</v>
      </c>
      <c r="D474" s="51">
        <v>69.0</v>
      </c>
      <c r="E474" s="52" t="s">
        <v>25</v>
      </c>
      <c r="F474" s="52" t="s">
        <v>26</v>
      </c>
      <c r="G474" s="53"/>
    </row>
    <row r="475">
      <c r="A475" s="49">
        <v>44517.613929375</v>
      </c>
      <c r="B475" s="50">
        <v>44517.7388988194</v>
      </c>
      <c r="C475" s="51">
        <v>1.08</v>
      </c>
      <c r="D475" s="51">
        <v>69.0</v>
      </c>
      <c r="E475" s="52" t="s">
        <v>25</v>
      </c>
      <c r="F475" s="52" t="s">
        <v>26</v>
      </c>
      <c r="G475" s="53"/>
    </row>
    <row r="476">
      <c r="A476" s="49">
        <v>44517.624364814816</v>
      </c>
      <c r="B476" s="50">
        <v>44517.7493307754</v>
      </c>
      <c r="C476" s="51">
        <v>1.081</v>
      </c>
      <c r="D476" s="51">
        <v>69.0</v>
      </c>
      <c r="E476" s="52" t="s">
        <v>25</v>
      </c>
      <c r="F476" s="52" t="s">
        <v>26</v>
      </c>
      <c r="G476" s="53"/>
    </row>
    <row r="477">
      <c r="A477" s="49">
        <v>44517.634782939815</v>
      </c>
      <c r="B477" s="50">
        <v>44517.759753125</v>
      </c>
      <c r="C477" s="51">
        <v>1.081</v>
      </c>
      <c r="D477" s="51">
        <v>69.0</v>
      </c>
      <c r="E477" s="52" t="s">
        <v>25</v>
      </c>
      <c r="F477" s="52" t="s">
        <v>26</v>
      </c>
      <c r="G477" s="53"/>
    </row>
    <row r="478">
      <c r="A478" s="49">
        <v>44517.64521503472</v>
      </c>
      <c r="B478" s="50">
        <v>44517.7701875462</v>
      </c>
      <c r="C478" s="51">
        <v>1.08</v>
      </c>
      <c r="D478" s="51">
        <v>69.0</v>
      </c>
      <c r="E478" s="52" t="s">
        <v>25</v>
      </c>
      <c r="F478" s="52" t="s">
        <v>26</v>
      </c>
      <c r="G478" s="53"/>
    </row>
    <row r="479">
      <c r="A479" s="49">
        <v>44517.65565152778</v>
      </c>
      <c r="B479" s="50">
        <v>44517.7806210763</v>
      </c>
      <c r="C479" s="51">
        <v>1.08</v>
      </c>
      <c r="D479" s="51">
        <v>69.0</v>
      </c>
      <c r="E479" s="52" t="s">
        <v>25</v>
      </c>
      <c r="F479" s="52" t="s">
        <v>26</v>
      </c>
      <c r="G479" s="53"/>
    </row>
    <row r="480">
      <c r="A480" s="49">
        <v>44517.66607665509</v>
      </c>
      <c r="B480" s="50">
        <v>44517.7910529861</v>
      </c>
      <c r="C480" s="51">
        <v>1.08</v>
      </c>
      <c r="D480" s="51">
        <v>69.0</v>
      </c>
      <c r="E480" s="52" t="s">
        <v>25</v>
      </c>
      <c r="F480" s="52" t="s">
        <v>26</v>
      </c>
      <c r="G480" s="53"/>
    </row>
    <row r="481">
      <c r="A481" s="49">
        <v>44517.67649753472</v>
      </c>
      <c r="B481" s="50">
        <v>44517.8014734259</v>
      </c>
      <c r="C481" s="51">
        <v>1.08</v>
      </c>
      <c r="D481" s="51">
        <v>69.0</v>
      </c>
      <c r="E481" s="52" t="s">
        <v>25</v>
      </c>
      <c r="F481" s="52" t="s">
        <v>26</v>
      </c>
      <c r="G481" s="53"/>
    </row>
    <row r="482">
      <c r="A482" s="49">
        <v>44517.68692224537</v>
      </c>
      <c r="B482" s="50">
        <v>44517.8118946643</v>
      </c>
      <c r="C482" s="51">
        <v>1.08</v>
      </c>
      <c r="D482" s="51">
        <v>69.0</v>
      </c>
      <c r="E482" s="52" t="s">
        <v>25</v>
      </c>
      <c r="F482" s="52" t="s">
        <v>26</v>
      </c>
      <c r="G482" s="53"/>
    </row>
    <row r="483">
      <c r="A483" s="49">
        <v>44517.69734752315</v>
      </c>
      <c r="B483" s="50">
        <v>44517.8223147453</v>
      </c>
      <c r="C483" s="51">
        <v>1.08</v>
      </c>
      <c r="D483" s="51">
        <v>69.0</v>
      </c>
      <c r="E483" s="52" t="s">
        <v>25</v>
      </c>
      <c r="F483" s="52" t="s">
        <v>26</v>
      </c>
      <c r="G483" s="53"/>
    </row>
    <row r="484">
      <c r="A484" s="49">
        <v>44517.70776171296</v>
      </c>
      <c r="B484" s="50">
        <v>44517.8327366435</v>
      </c>
      <c r="C484" s="51">
        <v>1.08</v>
      </c>
      <c r="D484" s="51">
        <v>69.0</v>
      </c>
      <c r="E484" s="52" t="s">
        <v>25</v>
      </c>
      <c r="F484" s="52" t="s">
        <v>26</v>
      </c>
      <c r="G484" s="53"/>
    </row>
    <row r="485">
      <c r="A485" s="49">
        <v>44517.718176608796</v>
      </c>
      <c r="B485" s="50">
        <v>44517.8431577199</v>
      </c>
      <c r="C485" s="51">
        <v>1.08</v>
      </c>
      <c r="D485" s="51">
        <v>69.0</v>
      </c>
      <c r="E485" s="52" t="s">
        <v>25</v>
      </c>
      <c r="F485" s="52" t="s">
        <v>26</v>
      </c>
      <c r="G485" s="53"/>
    </row>
    <row r="486">
      <c r="A486" s="49">
        <v>44517.72860444445</v>
      </c>
      <c r="B486" s="50">
        <v>44517.8535777662</v>
      </c>
      <c r="C486" s="51">
        <v>1.08</v>
      </c>
      <c r="D486" s="51">
        <v>69.0</v>
      </c>
      <c r="E486" s="52" t="s">
        <v>25</v>
      </c>
      <c r="F486" s="52" t="s">
        <v>26</v>
      </c>
      <c r="G486" s="53"/>
    </row>
    <row r="487">
      <c r="A487" s="49">
        <v>44517.739018912034</v>
      </c>
      <c r="B487" s="50">
        <v>44517.8639971875</v>
      </c>
      <c r="C487" s="51">
        <v>1.08</v>
      </c>
      <c r="D487" s="51">
        <v>69.0</v>
      </c>
      <c r="E487" s="52" t="s">
        <v>25</v>
      </c>
      <c r="F487" s="52" t="s">
        <v>26</v>
      </c>
      <c r="G487" s="53"/>
    </row>
    <row r="488">
      <c r="A488" s="49">
        <v>44517.74945671296</v>
      </c>
      <c r="B488" s="50">
        <v>44517.8744318287</v>
      </c>
      <c r="C488" s="51">
        <v>1.079</v>
      </c>
      <c r="D488" s="51">
        <v>69.0</v>
      </c>
      <c r="E488" s="52" t="s">
        <v>25</v>
      </c>
      <c r="F488" s="52" t="s">
        <v>26</v>
      </c>
      <c r="G488" s="53"/>
    </row>
    <row r="489">
      <c r="A489" s="49">
        <v>44517.75988734954</v>
      </c>
      <c r="B489" s="50">
        <v>44517.884865868</v>
      </c>
      <c r="C489" s="51">
        <v>1.08</v>
      </c>
      <c r="D489" s="51">
        <v>69.0</v>
      </c>
      <c r="E489" s="52" t="s">
        <v>25</v>
      </c>
      <c r="F489" s="52" t="s">
        <v>26</v>
      </c>
      <c r="G489" s="53"/>
    </row>
    <row r="490">
      <c r="A490" s="49">
        <v>44517.77030844908</v>
      </c>
      <c r="B490" s="50">
        <v>44517.8952876041</v>
      </c>
      <c r="C490" s="51">
        <v>1.079</v>
      </c>
      <c r="D490" s="51">
        <v>69.0</v>
      </c>
      <c r="E490" s="52" t="s">
        <v>25</v>
      </c>
      <c r="F490" s="52" t="s">
        <v>26</v>
      </c>
      <c r="G490" s="53"/>
    </row>
    <row r="491">
      <c r="A491" s="49">
        <v>44517.78072607639</v>
      </c>
      <c r="B491" s="50">
        <v>44517.9057067361</v>
      </c>
      <c r="C491" s="51">
        <v>1.079</v>
      </c>
      <c r="D491" s="51">
        <v>69.0</v>
      </c>
      <c r="E491" s="52" t="s">
        <v>25</v>
      </c>
      <c r="F491" s="52" t="s">
        <v>26</v>
      </c>
      <c r="G491" s="53"/>
    </row>
    <row r="492">
      <c r="A492" s="49">
        <v>44517.791157997686</v>
      </c>
      <c r="B492" s="50">
        <v>44517.916128206</v>
      </c>
      <c r="C492" s="51">
        <v>1.079</v>
      </c>
      <c r="D492" s="51">
        <v>69.0</v>
      </c>
      <c r="E492" s="52" t="s">
        <v>25</v>
      </c>
      <c r="F492" s="52" t="s">
        <v>26</v>
      </c>
      <c r="G492" s="53"/>
    </row>
    <row r="493">
      <c r="A493" s="49">
        <v>44517.80157633102</v>
      </c>
      <c r="B493" s="50">
        <v>44517.9265484027</v>
      </c>
      <c r="C493" s="51">
        <v>1.079</v>
      </c>
      <c r="D493" s="51">
        <v>69.0</v>
      </c>
      <c r="E493" s="52" t="s">
        <v>25</v>
      </c>
      <c r="F493" s="52" t="s">
        <v>26</v>
      </c>
      <c r="G493" s="53"/>
    </row>
    <row r="494">
      <c r="A494" s="49">
        <v>44517.81200377315</v>
      </c>
      <c r="B494" s="50">
        <v>44517.9369783912</v>
      </c>
      <c r="C494" s="51">
        <v>1.08</v>
      </c>
      <c r="D494" s="51">
        <v>69.0</v>
      </c>
      <c r="E494" s="52" t="s">
        <v>25</v>
      </c>
      <c r="F494" s="52" t="s">
        <v>26</v>
      </c>
      <c r="G494" s="53"/>
    </row>
    <row r="495">
      <c r="A495" s="49">
        <v>44517.82243400463</v>
      </c>
      <c r="B495" s="50">
        <v>44517.9473987037</v>
      </c>
      <c r="C495" s="51">
        <v>1.079</v>
      </c>
      <c r="D495" s="51">
        <v>69.0</v>
      </c>
      <c r="E495" s="52" t="s">
        <v>25</v>
      </c>
      <c r="F495" s="52" t="s">
        <v>26</v>
      </c>
      <c r="G495" s="53"/>
    </row>
    <row r="496">
      <c r="A496" s="49">
        <v>44517.83283893518</v>
      </c>
      <c r="B496" s="50">
        <v>44517.9578207638</v>
      </c>
      <c r="C496" s="51">
        <v>1.079</v>
      </c>
      <c r="D496" s="51">
        <v>69.0</v>
      </c>
      <c r="E496" s="52" t="s">
        <v>25</v>
      </c>
      <c r="F496" s="52" t="s">
        <v>26</v>
      </c>
      <c r="G496" s="53"/>
    </row>
    <row r="497">
      <c r="A497" s="49">
        <v>44517.843281354166</v>
      </c>
      <c r="B497" s="50">
        <v>44517.9682535532</v>
      </c>
      <c r="C497" s="51">
        <v>1.079</v>
      </c>
      <c r="D497" s="51">
        <v>69.0</v>
      </c>
      <c r="E497" s="52" t="s">
        <v>25</v>
      </c>
      <c r="F497" s="52" t="s">
        <v>26</v>
      </c>
      <c r="G497" s="53"/>
    </row>
    <row r="498">
      <c r="A498" s="49">
        <v>44517.853712638884</v>
      </c>
      <c r="B498" s="50">
        <v>44517.9786748842</v>
      </c>
      <c r="C498" s="51">
        <v>1.079</v>
      </c>
      <c r="D498" s="51">
        <v>69.0</v>
      </c>
      <c r="E498" s="52" t="s">
        <v>25</v>
      </c>
      <c r="F498" s="52" t="s">
        <v>26</v>
      </c>
      <c r="G498" s="53"/>
    </row>
    <row r="499">
      <c r="A499" s="49">
        <v>44517.86414106481</v>
      </c>
      <c r="B499" s="50">
        <v>44517.9891075578</v>
      </c>
      <c r="C499" s="51">
        <v>1.079</v>
      </c>
      <c r="D499" s="51">
        <v>69.0</v>
      </c>
      <c r="E499" s="52" t="s">
        <v>25</v>
      </c>
      <c r="F499" s="52" t="s">
        <v>26</v>
      </c>
      <c r="G499" s="53"/>
    </row>
    <row r="500">
      <c r="A500" s="49">
        <v>44517.8745546412</v>
      </c>
      <c r="B500" s="50">
        <v>44517.9995277777</v>
      </c>
      <c r="C500" s="51">
        <v>1.079</v>
      </c>
      <c r="D500" s="51">
        <v>69.0</v>
      </c>
      <c r="E500" s="52" t="s">
        <v>25</v>
      </c>
      <c r="F500" s="52" t="s">
        <v>26</v>
      </c>
      <c r="G500" s="53"/>
    </row>
    <row r="501">
      <c r="A501" s="49">
        <v>44517.884985173616</v>
      </c>
      <c r="B501" s="50">
        <v>44518.0099492013</v>
      </c>
      <c r="C501" s="51">
        <v>1.079</v>
      </c>
      <c r="D501" s="51">
        <v>69.0</v>
      </c>
      <c r="E501" s="52" t="s">
        <v>25</v>
      </c>
      <c r="F501" s="52" t="s">
        <v>26</v>
      </c>
      <c r="G501" s="53"/>
    </row>
    <row r="502">
      <c r="A502" s="49">
        <v>44517.89539929398</v>
      </c>
      <c r="B502" s="50">
        <v>44518.020370324</v>
      </c>
      <c r="C502" s="51">
        <v>1.079</v>
      </c>
      <c r="D502" s="51">
        <v>69.0</v>
      </c>
      <c r="E502" s="52" t="s">
        <v>25</v>
      </c>
      <c r="F502" s="52" t="s">
        <v>26</v>
      </c>
      <c r="G502" s="53"/>
    </row>
    <row r="503">
      <c r="A503" s="49">
        <v>44517.90582241898</v>
      </c>
      <c r="B503" s="50">
        <v>44518.0307928472</v>
      </c>
      <c r="C503" s="51">
        <v>1.079</v>
      </c>
      <c r="D503" s="51">
        <v>69.0</v>
      </c>
      <c r="E503" s="52" t="s">
        <v>25</v>
      </c>
      <c r="F503" s="52" t="s">
        <v>26</v>
      </c>
      <c r="G503" s="53"/>
    </row>
    <row r="504">
      <c r="A504" s="49">
        <v>44517.91624875</v>
      </c>
      <c r="B504" s="50">
        <v>44518.041213993</v>
      </c>
      <c r="C504" s="51">
        <v>1.079</v>
      </c>
      <c r="D504" s="51">
        <v>69.0</v>
      </c>
      <c r="E504" s="52" t="s">
        <v>25</v>
      </c>
      <c r="F504" s="52" t="s">
        <v>26</v>
      </c>
      <c r="G504" s="53"/>
    </row>
    <row r="505">
      <c r="A505" s="49">
        <v>44517.92666626157</v>
      </c>
      <c r="B505" s="50">
        <v>44518.0516345254</v>
      </c>
      <c r="C505" s="51">
        <v>1.078</v>
      </c>
      <c r="D505" s="51">
        <v>69.0</v>
      </c>
      <c r="E505" s="52" t="s">
        <v>25</v>
      </c>
      <c r="F505" s="52" t="s">
        <v>26</v>
      </c>
      <c r="G505" s="53"/>
    </row>
    <row r="506">
      <c r="A506" s="49">
        <v>44517.937082627315</v>
      </c>
      <c r="B506" s="50">
        <v>44518.0620554166</v>
      </c>
      <c r="C506" s="51">
        <v>1.078</v>
      </c>
      <c r="D506" s="51">
        <v>69.0</v>
      </c>
      <c r="E506" s="52" t="s">
        <v>25</v>
      </c>
      <c r="F506" s="52" t="s">
        <v>26</v>
      </c>
      <c r="G506" s="53"/>
    </row>
    <row r="507">
      <c r="A507" s="49">
        <v>44517.94750444444</v>
      </c>
      <c r="B507" s="50">
        <v>44518.0724761805</v>
      </c>
      <c r="C507" s="51">
        <v>1.078</v>
      </c>
      <c r="D507" s="51">
        <v>69.0</v>
      </c>
      <c r="E507" s="52" t="s">
        <v>25</v>
      </c>
      <c r="F507" s="52" t="s">
        <v>26</v>
      </c>
      <c r="G507" s="53"/>
    </row>
    <row r="508">
      <c r="A508" s="49">
        <v>44517.95795266204</v>
      </c>
      <c r="B508" s="50">
        <v>44518.08293228</v>
      </c>
      <c r="C508" s="51">
        <v>1.078</v>
      </c>
      <c r="D508" s="51">
        <v>69.0</v>
      </c>
      <c r="E508" s="52" t="s">
        <v>25</v>
      </c>
      <c r="F508" s="52" t="s">
        <v>26</v>
      </c>
      <c r="G508" s="53"/>
    </row>
    <row r="509">
      <c r="A509" s="49">
        <v>44517.96839329861</v>
      </c>
      <c r="B509" s="50">
        <v>44518.093365625</v>
      </c>
      <c r="C509" s="51">
        <v>1.078</v>
      </c>
      <c r="D509" s="51">
        <v>69.0</v>
      </c>
      <c r="E509" s="52" t="s">
        <v>25</v>
      </c>
      <c r="F509" s="52" t="s">
        <v>26</v>
      </c>
      <c r="G509" s="53"/>
    </row>
    <row r="510">
      <c r="A510" s="49">
        <v>44517.97881693287</v>
      </c>
      <c r="B510" s="50">
        <v>44518.1037862731</v>
      </c>
      <c r="C510" s="51">
        <v>1.078</v>
      </c>
      <c r="D510" s="51">
        <v>69.0</v>
      </c>
      <c r="E510" s="52" t="s">
        <v>25</v>
      </c>
      <c r="F510" s="52" t="s">
        <v>26</v>
      </c>
      <c r="G510" s="53"/>
    </row>
    <row r="511">
      <c r="A511" s="49">
        <v>44517.98923831018</v>
      </c>
      <c r="B511" s="50">
        <v>44518.1142072453</v>
      </c>
      <c r="C511" s="51">
        <v>1.078</v>
      </c>
      <c r="D511" s="51">
        <v>69.0</v>
      </c>
      <c r="E511" s="52" t="s">
        <v>25</v>
      </c>
      <c r="F511" s="52" t="s">
        <v>26</v>
      </c>
      <c r="G511" s="53"/>
    </row>
    <row r="512">
      <c r="A512" s="49">
        <v>44517.999663298615</v>
      </c>
      <c r="B512" s="50">
        <v>44518.1246295138</v>
      </c>
      <c r="C512" s="51">
        <v>1.078</v>
      </c>
      <c r="D512" s="51">
        <v>69.0</v>
      </c>
      <c r="E512" s="52" t="s">
        <v>25</v>
      </c>
      <c r="F512" s="52" t="s">
        <v>26</v>
      </c>
      <c r="G512" s="53"/>
    </row>
    <row r="513">
      <c r="A513" s="49">
        <v>44518.01008184028</v>
      </c>
      <c r="B513" s="50">
        <v>44518.13505228</v>
      </c>
      <c r="C513" s="51">
        <v>1.078</v>
      </c>
      <c r="D513" s="51">
        <v>69.0</v>
      </c>
      <c r="E513" s="52" t="s">
        <v>25</v>
      </c>
      <c r="F513" s="52" t="s">
        <v>26</v>
      </c>
      <c r="G513" s="53"/>
    </row>
    <row r="514">
      <c r="A514" s="49">
        <v>44518.02049672454</v>
      </c>
      <c r="B514" s="50">
        <v>44518.1454721527</v>
      </c>
      <c r="C514" s="51">
        <v>1.078</v>
      </c>
      <c r="D514" s="51">
        <v>69.0</v>
      </c>
      <c r="E514" s="52" t="s">
        <v>25</v>
      </c>
      <c r="F514" s="52" t="s">
        <v>26</v>
      </c>
      <c r="G514" s="53"/>
    </row>
    <row r="515">
      <c r="A515" s="49">
        <v>44518.030920300924</v>
      </c>
      <c r="B515" s="50">
        <v>44518.1558933796</v>
      </c>
      <c r="C515" s="51">
        <v>1.078</v>
      </c>
      <c r="D515" s="51">
        <v>69.0</v>
      </c>
      <c r="E515" s="52" t="s">
        <v>25</v>
      </c>
      <c r="F515" s="52" t="s">
        <v>26</v>
      </c>
      <c r="G515" s="53"/>
    </row>
    <row r="516">
      <c r="A516" s="49">
        <v>44518.04135569444</v>
      </c>
      <c r="B516" s="50">
        <v>44518.1663267824</v>
      </c>
      <c r="C516" s="51">
        <v>1.078</v>
      </c>
      <c r="D516" s="51">
        <v>69.0</v>
      </c>
      <c r="E516" s="52" t="s">
        <v>25</v>
      </c>
      <c r="F516" s="52" t="s">
        <v>26</v>
      </c>
      <c r="G516" s="53"/>
    </row>
    <row r="517">
      <c r="A517" s="49">
        <v>44518.051813784725</v>
      </c>
      <c r="B517" s="50">
        <v>44518.1767705555</v>
      </c>
      <c r="C517" s="51">
        <v>1.078</v>
      </c>
      <c r="D517" s="51">
        <v>69.0</v>
      </c>
      <c r="E517" s="52" t="s">
        <v>25</v>
      </c>
      <c r="F517" s="52" t="s">
        <v>26</v>
      </c>
      <c r="G517" s="53"/>
    </row>
    <row r="518">
      <c r="A518" s="49">
        <v>44518.06222086806</v>
      </c>
      <c r="B518" s="50">
        <v>44518.1872018981</v>
      </c>
      <c r="C518" s="51">
        <v>1.077</v>
      </c>
      <c r="D518" s="51">
        <v>69.0</v>
      </c>
      <c r="E518" s="52" t="s">
        <v>25</v>
      </c>
      <c r="F518" s="52" t="s">
        <v>26</v>
      </c>
      <c r="G518" s="53"/>
    </row>
    <row r="519">
      <c r="A519" s="49">
        <v>44518.07264940972</v>
      </c>
      <c r="B519" s="50">
        <v>44518.1976237268</v>
      </c>
      <c r="C519" s="51">
        <v>1.078</v>
      </c>
      <c r="D519" s="51">
        <v>69.0</v>
      </c>
      <c r="E519" s="52" t="s">
        <v>25</v>
      </c>
      <c r="F519" s="52" t="s">
        <v>26</v>
      </c>
      <c r="G519" s="53"/>
    </row>
    <row r="520">
      <c r="A520" s="49">
        <v>44518.083071967594</v>
      </c>
      <c r="B520" s="50">
        <v>44518.208045625</v>
      </c>
      <c r="C520" s="51">
        <v>1.077</v>
      </c>
      <c r="D520" s="51">
        <v>69.0</v>
      </c>
      <c r="E520" s="52" t="s">
        <v>25</v>
      </c>
      <c r="F520" s="52" t="s">
        <v>26</v>
      </c>
      <c r="G520" s="53"/>
    </row>
    <row r="521">
      <c r="A521" s="49">
        <v>44518.093494664354</v>
      </c>
      <c r="B521" s="50">
        <v>44518.218467824</v>
      </c>
      <c r="C521" s="51">
        <v>1.078</v>
      </c>
      <c r="D521" s="51">
        <v>69.0</v>
      </c>
      <c r="E521" s="52" t="s">
        <v>25</v>
      </c>
      <c r="F521" s="52" t="s">
        <v>26</v>
      </c>
      <c r="G521" s="53"/>
    </row>
    <row r="522">
      <c r="A522" s="49">
        <v>44518.10391740741</v>
      </c>
      <c r="B522" s="50">
        <v>44518.2288888888</v>
      </c>
      <c r="C522" s="51">
        <v>1.077</v>
      </c>
      <c r="D522" s="51">
        <v>69.0</v>
      </c>
      <c r="E522" s="52" t="s">
        <v>25</v>
      </c>
      <c r="F522" s="52" t="s">
        <v>26</v>
      </c>
      <c r="G522" s="53"/>
    </row>
    <row r="523">
      <c r="A523" s="49">
        <v>44518.114347442126</v>
      </c>
      <c r="B523" s="50">
        <v>44518.2393115393</v>
      </c>
      <c r="C523" s="51">
        <v>1.077</v>
      </c>
      <c r="D523" s="51">
        <v>69.0</v>
      </c>
      <c r="E523" s="52" t="s">
        <v>25</v>
      </c>
      <c r="F523" s="52" t="s">
        <v>26</v>
      </c>
      <c r="G523" s="53"/>
    </row>
    <row r="524">
      <c r="A524" s="49">
        <v>44518.12476568287</v>
      </c>
      <c r="B524" s="50">
        <v>44518.2497330092</v>
      </c>
      <c r="C524" s="51">
        <v>1.077</v>
      </c>
      <c r="D524" s="51">
        <v>69.0</v>
      </c>
      <c r="E524" s="52" t="s">
        <v>25</v>
      </c>
      <c r="F524" s="52" t="s">
        <v>26</v>
      </c>
      <c r="G524" s="53"/>
    </row>
    <row r="525">
      <c r="A525" s="49">
        <v>44518.13518846065</v>
      </c>
      <c r="B525" s="50">
        <v>44518.2601644097</v>
      </c>
      <c r="C525" s="51">
        <v>1.077</v>
      </c>
      <c r="D525" s="51">
        <v>69.0</v>
      </c>
      <c r="E525" s="52" t="s">
        <v>25</v>
      </c>
      <c r="F525" s="52" t="s">
        <v>26</v>
      </c>
      <c r="G525" s="53"/>
    </row>
    <row r="526">
      <c r="A526" s="49">
        <v>44518.14561018518</v>
      </c>
      <c r="B526" s="50">
        <v>44518.2705838194</v>
      </c>
      <c r="C526" s="51">
        <v>1.077</v>
      </c>
      <c r="D526" s="51">
        <v>69.0</v>
      </c>
      <c r="E526" s="52" t="s">
        <v>25</v>
      </c>
      <c r="F526" s="52" t="s">
        <v>26</v>
      </c>
      <c r="G526" s="53"/>
    </row>
    <row r="527">
      <c r="A527" s="49">
        <v>44518.15604326389</v>
      </c>
      <c r="B527" s="50">
        <v>44518.2810174421</v>
      </c>
      <c r="C527" s="51">
        <v>1.077</v>
      </c>
      <c r="D527" s="51">
        <v>69.0</v>
      </c>
      <c r="E527" s="52" t="s">
        <v>25</v>
      </c>
      <c r="F527" s="52" t="s">
        <v>26</v>
      </c>
      <c r="G527" s="53"/>
    </row>
    <row r="528">
      <c r="A528" s="49">
        <v>44518.16647231481</v>
      </c>
      <c r="B528" s="50">
        <v>44518.2914382638</v>
      </c>
      <c r="C528" s="51">
        <v>1.077</v>
      </c>
      <c r="D528" s="51">
        <v>69.0</v>
      </c>
      <c r="E528" s="52" t="s">
        <v>25</v>
      </c>
      <c r="F528" s="52" t="s">
        <v>26</v>
      </c>
      <c r="G528" s="53"/>
    </row>
    <row r="529">
      <c r="A529" s="49">
        <v>44518.17692967593</v>
      </c>
      <c r="B529" s="50">
        <v>44518.3019063657</v>
      </c>
      <c r="C529" s="51">
        <v>1.077</v>
      </c>
      <c r="D529" s="51">
        <v>69.0</v>
      </c>
      <c r="E529" s="52" t="s">
        <v>25</v>
      </c>
      <c r="F529" s="52" t="s">
        <v>26</v>
      </c>
      <c r="G529" s="53"/>
    </row>
    <row r="530">
      <c r="A530" s="49">
        <v>44518.187346516206</v>
      </c>
      <c r="B530" s="50">
        <v>44518.3123266319</v>
      </c>
      <c r="C530" s="51">
        <v>1.077</v>
      </c>
      <c r="D530" s="51">
        <v>69.0</v>
      </c>
      <c r="E530" s="52" t="s">
        <v>25</v>
      </c>
      <c r="F530" s="52" t="s">
        <v>26</v>
      </c>
      <c r="G530" s="53"/>
    </row>
    <row r="531">
      <c r="A531" s="49">
        <v>44518.197807476856</v>
      </c>
      <c r="B531" s="50">
        <v>44518.3227700925</v>
      </c>
      <c r="C531" s="51">
        <v>1.077</v>
      </c>
      <c r="D531" s="51">
        <v>69.0</v>
      </c>
      <c r="E531" s="52" t="s">
        <v>25</v>
      </c>
      <c r="F531" s="52" t="s">
        <v>26</v>
      </c>
      <c r="G531" s="53"/>
    </row>
    <row r="532">
      <c r="A532" s="49">
        <v>44518.20822697917</v>
      </c>
      <c r="B532" s="50">
        <v>44518.3332021296</v>
      </c>
      <c r="C532" s="51">
        <v>1.077</v>
      </c>
      <c r="D532" s="51">
        <v>69.0</v>
      </c>
      <c r="E532" s="52" t="s">
        <v>25</v>
      </c>
      <c r="F532" s="52" t="s">
        <v>26</v>
      </c>
      <c r="G532" s="53"/>
    </row>
    <row r="533">
      <c r="A533" s="49">
        <v>44518.21865015046</v>
      </c>
      <c r="B533" s="50">
        <v>44518.3436228356</v>
      </c>
      <c r="C533" s="51">
        <v>1.076</v>
      </c>
      <c r="D533" s="51">
        <v>69.0</v>
      </c>
      <c r="E533" s="52" t="s">
        <v>25</v>
      </c>
      <c r="F533" s="52" t="s">
        <v>26</v>
      </c>
      <c r="G533" s="53"/>
    </row>
    <row r="534">
      <c r="A534" s="49">
        <v>44518.229092696754</v>
      </c>
      <c r="B534" s="50">
        <v>44518.3540441203</v>
      </c>
      <c r="C534" s="51">
        <v>1.077</v>
      </c>
      <c r="D534" s="51">
        <v>69.0</v>
      </c>
      <c r="E534" s="52" t="s">
        <v>25</v>
      </c>
      <c r="F534" s="52" t="s">
        <v>26</v>
      </c>
      <c r="G534" s="53"/>
    </row>
    <row r="535">
      <c r="A535" s="49">
        <v>44518.23950700232</v>
      </c>
      <c r="B535" s="50">
        <v>44518.3644761226</v>
      </c>
      <c r="C535" s="51">
        <v>1.076</v>
      </c>
      <c r="D535" s="51">
        <v>69.0</v>
      </c>
      <c r="E535" s="52" t="s">
        <v>25</v>
      </c>
      <c r="F535" s="52" t="s">
        <v>26</v>
      </c>
      <c r="G535" s="53"/>
    </row>
    <row r="536">
      <c r="A536" s="49">
        <v>44518.249948171295</v>
      </c>
      <c r="B536" s="50">
        <v>44518.3749076273</v>
      </c>
      <c r="C536" s="51">
        <v>1.076</v>
      </c>
      <c r="D536" s="51">
        <v>69.0</v>
      </c>
      <c r="E536" s="52" t="s">
        <v>25</v>
      </c>
      <c r="F536" s="52" t="s">
        <v>26</v>
      </c>
      <c r="G536" s="53"/>
    </row>
    <row r="537">
      <c r="A537" s="49">
        <v>44518.26036665509</v>
      </c>
      <c r="B537" s="50">
        <v>44518.3853293055</v>
      </c>
      <c r="C537" s="51">
        <v>1.076</v>
      </c>
      <c r="D537" s="51">
        <v>69.0</v>
      </c>
      <c r="E537" s="52" t="s">
        <v>25</v>
      </c>
      <c r="F537" s="52" t="s">
        <v>26</v>
      </c>
      <c r="G537" s="53"/>
    </row>
    <row r="538">
      <c r="A538" s="49">
        <v>44518.27078047454</v>
      </c>
      <c r="B538" s="50">
        <v>44518.3957498611</v>
      </c>
      <c r="C538" s="51">
        <v>1.076</v>
      </c>
      <c r="D538" s="51">
        <v>69.0</v>
      </c>
      <c r="E538" s="52" t="s">
        <v>25</v>
      </c>
      <c r="F538" s="52" t="s">
        <v>26</v>
      </c>
      <c r="G538" s="53"/>
    </row>
    <row r="539">
      <c r="A539" s="49">
        <v>44518.28140025463</v>
      </c>
      <c r="B539" s="50">
        <v>44518.4061694212</v>
      </c>
      <c r="C539" s="51">
        <v>1.076</v>
      </c>
      <c r="D539" s="51">
        <v>69.0</v>
      </c>
      <c r="E539" s="52" t="s">
        <v>25</v>
      </c>
      <c r="F539" s="52" t="s">
        <v>26</v>
      </c>
      <c r="G539" s="53"/>
    </row>
    <row r="540">
      <c r="A540" s="49">
        <v>44518.29163678241</v>
      </c>
      <c r="B540" s="50">
        <v>44518.4165905671</v>
      </c>
      <c r="C540" s="51">
        <v>1.076</v>
      </c>
      <c r="D540" s="51">
        <v>69.0</v>
      </c>
      <c r="E540" s="52" t="s">
        <v>25</v>
      </c>
      <c r="F540" s="52" t="s">
        <v>26</v>
      </c>
      <c r="G540" s="53"/>
    </row>
    <row r="541">
      <c r="A541" s="49">
        <v>44518.302054837965</v>
      </c>
      <c r="B541" s="50">
        <v>44518.4270141088</v>
      </c>
      <c r="C541" s="51">
        <v>1.076</v>
      </c>
      <c r="D541" s="51">
        <v>69.0</v>
      </c>
      <c r="E541" s="52" t="s">
        <v>25</v>
      </c>
      <c r="F541" s="52" t="s">
        <v>26</v>
      </c>
      <c r="G541" s="53"/>
    </row>
    <row r="542">
      <c r="A542" s="49">
        <v>44518.312481597226</v>
      </c>
      <c r="B542" s="50">
        <v>44518.4374355671</v>
      </c>
      <c r="C542" s="51">
        <v>1.076</v>
      </c>
      <c r="D542" s="51">
        <v>70.0</v>
      </c>
      <c r="E542" s="52" t="s">
        <v>25</v>
      </c>
      <c r="F542" s="52" t="s">
        <v>26</v>
      </c>
      <c r="G542" s="53"/>
    </row>
    <row r="543">
      <c r="A543" s="49">
        <v>44518.32292048611</v>
      </c>
      <c r="B543" s="50">
        <v>44518.4478571759</v>
      </c>
      <c r="C543" s="51">
        <v>1.076</v>
      </c>
      <c r="D543" s="51">
        <v>69.0</v>
      </c>
      <c r="E543" s="52" t="s">
        <v>25</v>
      </c>
      <c r="F543" s="52" t="s">
        <v>26</v>
      </c>
      <c r="G543" s="53"/>
    </row>
    <row r="544">
      <c r="A544" s="49">
        <v>44518.33331913194</v>
      </c>
      <c r="B544" s="50">
        <v>44518.4582768865</v>
      </c>
      <c r="C544" s="51">
        <v>1.076</v>
      </c>
      <c r="D544" s="51">
        <v>69.0</v>
      </c>
      <c r="E544" s="52" t="s">
        <v>25</v>
      </c>
      <c r="F544" s="52" t="s">
        <v>26</v>
      </c>
      <c r="G544" s="53"/>
    </row>
    <row r="545">
      <c r="A545" s="49">
        <v>44518.343786446756</v>
      </c>
      <c r="B545" s="50">
        <v>44518.4686982986</v>
      </c>
      <c r="C545" s="51">
        <v>1.076</v>
      </c>
      <c r="D545" s="51">
        <v>69.0</v>
      </c>
      <c r="E545" s="52" t="s">
        <v>25</v>
      </c>
      <c r="F545" s="52" t="s">
        <v>26</v>
      </c>
      <c r="G545" s="53"/>
    </row>
    <row r="546">
      <c r="A546" s="49">
        <v>44518.35415452546</v>
      </c>
      <c r="B546" s="50">
        <v>44518.4791190277</v>
      </c>
      <c r="C546" s="51">
        <v>1.076</v>
      </c>
      <c r="D546" s="51">
        <v>70.0</v>
      </c>
      <c r="E546" s="52" t="s">
        <v>25</v>
      </c>
      <c r="F546" s="52" t="s">
        <v>26</v>
      </c>
      <c r="G546" s="53"/>
    </row>
    <row r="547">
      <c r="A547" s="49">
        <v>44518.36457452546</v>
      </c>
      <c r="B547" s="50">
        <v>44518.4895393518</v>
      </c>
      <c r="C547" s="51">
        <v>1.076</v>
      </c>
      <c r="D547" s="51">
        <v>70.0</v>
      </c>
      <c r="E547" s="52" t="s">
        <v>25</v>
      </c>
      <c r="F547" s="52" t="s">
        <v>26</v>
      </c>
      <c r="G547" s="53"/>
    </row>
    <row r="548">
      <c r="A548" s="49">
        <v>44518.375000844906</v>
      </c>
      <c r="B548" s="50">
        <v>44518.499959699</v>
      </c>
      <c r="C548" s="51">
        <v>1.075</v>
      </c>
      <c r="D548" s="51">
        <v>70.0</v>
      </c>
      <c r="E548" s="52" t="s">
        <v>25</v>
      </c>
      <c r="F548" s="52" t="s">
        <v>26</v>
      </c>
      <c r="G548" s="53"/>
    </row>
    <row r="549">
      <c r="A549" s="49">
        <v>44518.38541615741</v>
      </c>
      <c r="B549" s="50">
        <v>44518.5103825</v>
      </c>
      <c r="C549" s="51">
        <v>1.075</v>
      </c>
      <c r="D549" s="51">
        <v>70.0</v>
      </c>
      <c r="E549" s="52" t="s">
        <v>25</v>
      </c>
      <c r="F549" s="52" t="s">
        <v>26</v>
      </c>
      <c r="G549" s="53"/>
    </row>
    <row r="550">
      <c r="A550" s="49">
        <v>44518.39584013889</v>
      </c>
      <c r="B550" s="50">
        <v>44518.5208023611</v>
      </c>
      <c r="C550" s="51">
        <v>1.075</v>
      </c>
      <c r="D550" s="51">
        <v>70.0</v>
      </c>
      <c r="E550" s="52" t="s">
        <v>25</v>
      </c>
      <c r="F550" s="52" t="s">
        <v>26</v>
      </c>
      <c r="G550" s="53"/>
    </row>
    <row r="551">
      <c r="A551" s="49">
        <v>44518.40624667824</v>
      </c>
      <c r="B551" s="50">
        <v>44518.5312225115</v>
      </c>
      <c r="C551" s="51">
        <v>1.075</v>
      </c>
      <c r="D551" s="51">
        <v>69.0</v>
      </c>
      <c r="E551" s="52" t="s">
        <v>25</v>
      </c>
      <c r="F551" s="52" t="s">
        <v>26</v>
      </c>
      <c r="G551" s="53"/>
    </row>
    <row r="552">
      <c r="A552" s="49">
        <v>44518.416661875</v>
      </c>
      <c r="B552" s="50">
        <v>44518.541642199</v>
      </c>
      <c r="C552" s="51">
        <v>1.075</v>
      </c>
      <c r="D552" s="51">
        <v>68.0</v>
      </c>
      <c r="E552" s="52" t="s">
        <v>25</v>
      </c>
      <c r="F552" s="52" t="s">
        <v>26</v>
      </c>
      <c r="G552" s="53"/>
    </row>
    <row r="553">
      <c r="A553" s="49">
        <v>44518.42708729167</v>
      </c>
      <c r="B553" s="50">
        <v>44518.5520632754</v>
      </c>
      <c r="C553" s="51">
        <v>1.075</v>
      </c>
      <c r="D553" s="51">
        <v>66.0</v>
      </c>
      <c r="E553" s="52" t="s">
        <v>25</v>
      </c>
      <c r="F553" s="52" t="s">
        <v>26</v>
      </c>
      <c r="G553" s="53"/>
    </row>
    <row r="554">
      <c r="A554" s="49">
        <v>44518.43751092593</v>
      </c>
      <c r="B554" s="50">
        <v>44518.5624851273</v>
      </c>
      <c r="C554" s="51">
        <v>1.075</v>
      </c>
      <c r="D554" s="51">
        <v>65.0</v>
      </c>
      <c r="E554" s="52" t="s">
        <v>25</v>
      </c>
      <c r="F554" s="52" t="s">
        <v>26</v>
      </c>
      <c r="G554" s="53"/>
    </row>
    <row r="555">
      <c r="A555" s="49">
        <v>44518.44793436343</v>
      </c>
      <c r="B555" s="50">
        <v>44518.5729062499</v>
      </c>
      <c r="C555" s="51">
        <v>1.075</v>
      </c>
      <c r="D555" s="51">
        <v>65.0</v>
      </c>
      <c r="E555" s="52" t="s">
        <v>25</v>
      </c>
      <c r="F555" s="52" t="s">
        <v>26</v>
      </c>
      <c r="G555" s="53"/>
    </row>
    <row r="556">
      <c r="A556" s="49">
        <v>44518.45836583333</v>
      </c>
      <c r="B556" s="50">
        <v>44518.5833284722</v>
      </c>
      <c r="C556" s="51">
        <v>1.075</v>
      </c>
      <c r="D556" s="51">
        <v>65.0</v>
      </c>
      <c r="E556" s="52" t="s">
        <v>25</v>
      </c>
      <c r="F556" s="52" t="s">
        <v>26</v>
      </c>
      <c r="G556" s="53"/>
    </row>
    <row r="557">
      <c r="A557" s="49">
        <v>44518.46878418981</v>
      </c>
      <c r="B557" s="50">
        <v>44518.5937505439</v>
      </c>
      <c r="C557" s="51">
        <v>1.075</v>
      </c>
      <c r="D557" s="51">
        <v>65.0</v>
      </c>
      <c r="E557" s="52" t="s">
        <v>25</v>
      </c>
      <c r="F557" s="52" t="s">
        <v>26</v>
      </c>
      <c r="G557" s="53"/>
    </row>
    <row r="558">
      <c r="A558" s="49">
        <v>44518.47919958334</v>
      </c>
      <c r="B558" s="50">
        <v>44518.6041708564</v>
      </c>
      <c r="C558" s="51">
        <v>1.075</v>
      </c>
      <c r="D558" s="51">
        <v>65.0</v>
      </c>
      <c r="E558" s="52" t="s">
        <v>25</v>
      </c>
      <c r="F558" s="52" t="s">
        <v>26</v>
      </c>
      <c r="G558" s="53"/>
    </row>
    <row r="559">
      <c r="A559" s="49">
        <v>44518.48961380787</v>
      </c>
      <c r="B559" s="50">
        <v>44518.6145918865</v>
      </c>
      <c r="C559" s="51">
        <v>1.075</v>
      </c>
      <c r="D559" s="51">
        <v>65.0</v>
      </c>
      <c r="E559" s="52" t="s">
        <v>25</v>
      </c>
      <c r="F559" s="52" t="s">
        <v>26</v>
      </c>
      <c r="G559" s="53"/>
    </row>
    <row r="560">
      <c r="A560" s="49">
        <v>44518.50004289352</v>
      </c>
      <c r="B560" s="50">
        <v>44518.6250124652</v>
      </c>
      <c r="C560" s="51">
        <v>1.075</v>
      </c>
      <c r="D560" s="51">
        <v>65.0</v>
      </c>
      <c r="E560" s="52" t="s">
        <v>25</v>
      </c>
      <c r="F560" s="52" t="s">
        <v>26</v>
      </c>
      <c r="G560" s="53"/>
    </row>
    <row r="561">
      <c r="A561" s="49">
        <v>44518.51046238426</v>
      </c>
      <c r="B561" s="50">
        <v>44518.6354353935</v>
      </c>
      <c r="C561" s="51">
        <v>1.075</v>
      </c>
      <c r="D561" s="51">
        <v>65.0</v>
      </c>
      <c r="E561" s="52" t="s">
        <v>25</v>
      </c>
      <c r="F561" s="52" t="s">
        <v>26</v>
      </c>
      <c r="G561" s="53"/>
    </row>
    <row r="562">
      <c r="A562" s="49">
        <v>44518.52088674769</v>
      </c>
      <c r="B562" s="50">
        <v>44518.645855949</v>
      </c>
      <c r="C562" s="51">
        <v>1.075</v>
      </c>
      <c r="D562" s="51">
        <v>65.0</v>
      </c>
      <c r="E562" s="52" t="s">
        <v>25</v>
      </c>
      <c r="F562" s="52" t="s">
        <v>26</v>
      </c>
      <c r="G562" s="53"/>
    </row>
    <row r="563">
      <c r="A563" s="49">
        <v>44518.531321284725</v>
      </c>
      <c r="B563" s="50">
        <v>44518.6562888657</v>
      </c>
      <c r="C563" s="51">
        <v>1.075</v>
      </c>
      <c r="D563" s="51">
        <v>65.0</v>
      </c>
      <c r="E563" s="52" t="s">
        <v>25</v>
      </c>
      <c r="F563" s="52" t="s">
        <v>26</v>
      </c>
      <c r="G563" s="53"/>
    </row>
    <row r="564">
      <c r="A564" s="49">
        <v>44518.54174944444</v>
      </c>
      <c r="B564" s="50">
        <v>44518.666720405</v>
      </c>
      <c r="C564" s="51">
        <v>1.075</v>
      </c>
      <c r="D564" s="51">
        <v>65.0</v>
      </c>
      <c r="E564" s="52" t="s">
        <v>25</v>
      </c>
      <c r="F564" s="52" t="s">
        <v>26</v>
      </c>
      <c r="G564" s="53"/>
    </row>
    <row r="565">
      <c r="A565" s="49">
        <v>44518.55216944445</v>
      </c>
      <c r="B565" s="50">
        <v>44518.6771422685</v>
      </c>
      <c r="C565" s="51">
        <v>1.075</v>
      </c>
      <c r="D565" s="51">
        <v>65.0</v>
      </c>
      <c r="E565" s="52" t="s">
        <v>25</v>
      </c>
      <c r="F565" s="52" t="s">
        <v>26</v>
      </c>
      <c r="G565" s="53"/>
    </row>
    <row r="566">
      <c r="A566" s="49">
        <v>44518.562580185186</v>
      </c>
      <c r="B566" s="50">
        <v>44518.687563449</v>
      </c>
      <c r="C566" s="51">
        <v>1.075</v>
      </c>
      <c r="D566" s="51">
        <v>65.0</v>
      </c>
      <c r="E566" s="52" t="s">
        <v>25</v>
      </c>
      <c r="F566" s="52" t="s">
        <v>26</v>
      </c>
      <c r="G566" s="53"/>
    </row>
    <row r="567">
      <c r="A567" s="49">
        <v>44518.57304311343</v>
      </c>
      <c r="B567" s="50">
        <v>44518.6980189699</v>
      </c>
      <c r="C567" s="51">
        <v>1.075</v>
      </c>
      <c r="D567" s="51">
        <v>65.0</v>
      </c>
      <c r="E567" s="52" t="s">
        <v>25</v>
      </c>
      <c r="F567" s="52" t="s">
        <v>26</v>
      </c>
      <c r="G567" s="53"/>
    </row>
    <row r="568">
      <c r="A568" s="49">
        <v>44518.583486435185</v>
      </c>
      <c r="B568" s="50">
        <v>44518.7084648032</v>
      </c>
      <c r="C568" s="51">
        <v>1.075</v>
      </c>
      <c r="D568" s="51">
        <v>65.0</v>
      </c>
      <c r="E568" s="52" t="s">
        <v>25</v>
      </c>
      <c r="F568" s="52" t="s">
        <v>26</v>
      </c>
      <c r="G568" s="53"/>
    </row>
    <row r="569">
      <c r="A569" s="49">
        <v>44518.593913993056</v>
      </c>
      <c r="B569" s="50">
        <v>44518.7188867708</v>
      </c>
      <c r="C569" s="51">
        <v>1.075</v>
      </c>
      <c r="D569" s="51">
        <v>65.0</v>
      </c>
      <c r="E569" s="52" t="s">
        <v>25</v>
      </c>
      <c r="F569" s="52" t="s">
        <v>26</v>
      </c>
      <c r="G569" s="53"/>
    </row>
    <row r="570">
      <c r="A570" s="49">
        <v>44518.60433425926</v>
      </c>
      <c r="B570" s="50">
        <v>44518.7293078356</v>
      </c>
      <c r="C570" s="51">
        <v>1.075</v>
      </c>
      <c r="D570" s="51">
        <v>65.0</v>
      </c>
      <c r="E570" s="52" t="s">
        <v>25</v>
      </c>
      <c r="F570" s="52" t="s">
        <v>26</v>
      </c>
      <c r="G570" s="53"/>
    </row>
    <row r="571">
      <c r="A571" s="49">
        <v>44518.61476625</v>
      </c>
      <c r="B571" s="50">
        <v>44518.7397403935</v>
      </c>
      <c r="C571" s="51">
        <v>1.075</v>
      </c>
      <c r="D571" s="51">
        <v>65.0</v>
      </c>
      <c r="E571" s="52" t="s">
        <v>25</v>
      </c>
      <c r="F571" s="52" t="s">
        <v>26</v>
      </c>
      <c r="G571" s="53"/>
    </row>
    <row r="572">
      <c r="A572" s="49">
        <v>44518.62518278935</v>
      </c>
      <c r="B572" s="50">
        <v>44518.7501601967</v>
      </c>
      <c r="C572" s="51">
        <v>1.075</v>
      </c>
      <c r="D572" s="51">
        <v>65.0</v>
      </c>
      <c r="E572" s="52" t="s">
        <v>25</v>
      </c>
      <c r="F572" s="52" t="s">
        <v>26</v>
      </c>
      <c r="G572" s="53"/>
    </row>
    <row r="573">
      <c r="A573" s="49">
        <v>44518.63559936342</v>
      </c>
      <c r="B573" s="50">
        <v>44518.7605809143</v>
      </c>
      <c r="C573" s="51">
        <v>1.075</v>
      </c>
      <c r="D573" s="51">
        <v>65.0</v>
      </c>
      <c r="E573" s="52" t="s">
        <v>25</v>
      </c>
      <c r="F573" s="52" t="s">
        <v>26</v>
      </c>
      <c r="G573" s="53"/>
    </row>
    <row r="574">
      <c r="A574" s="49">
        <v>44518.646026180555</v>
      </c>
      <c r="B574" s="50">
        <v>44518.7710021064</v>
      </c>
      <c r="C574" s="51">
        <v>1.074</v>
      </c>
      <c r="D574" s="51">
        <v>65.0</v>
      </c>
      <c r="E574" s="52" t="s">
        <v>25</v>
      </c>
      <c r="F574" s="52" t="s">
        <v>26</v>
      </c>
      <c r="G574" s="53"/>
    </row>
    <row r="575">
      <c r="A575" s="49">
        <v>44518.65644328704</v>
      </c>
      <c r="B575" s="50">
        <v>44518.7814235069</v>
      </c>
      <c r="C575" s="51">
        <v>1.074</v>
      </c>
      <c r="D575" s="51">
        <v>65.0</v>
      </c>
      <c r="E575" s="52" t="s">
        <v>25</v>
      </c>
      <c r="F575" s="52" t="s">
        <v>26</v>
      </c>
      <c r="G575" s="53"/>
    </row>
    <row r="576">
      <c r="A576" s="49">
        <v>44518.666873553244</v>
      </c>
      <c r="B576" s="50">
        <v>44518.7918443055</v>
      </c>
      <c r="C576" s="51">
        <v>1.074</v>
      </c>
      <c r="D576" s="51">
        <v>65.0</v>
      </c>
      <c r="E576" s="52" t="s">
        <v>25</v>
      </c>
      <c r="F576" s="52" t="s">
        <v>26</v>
      </c>
      <c r="G576" s="53"/>
    </row>
    <row r="577">
      <c r="A577" s="49">
        <v>44518.67730171296</v>
      </c>
      <c r="B577" s="50">
        <v>44518.8022763541</v>
      </c>
      <c r="C577" s="51">
        <v>1.074</v>
      </c>
      <c r="D577" s="51">
        <v>65.0</v>
      </c>
      <c r="E577" s="52" t="s">
        <v>25</v>
      </c>
      <c r="F577" s="52" t="s">
        <v>26</v>
      </c>
      <c r="G577" s="53"/>
    </row>
    <row r="578">
      <c r="A578" s="49">
        <v>44518.687718009256</v>
      </c>
      <c r="B578" s="50">
        <v>44518.8126977893</v>
      </c>
      <c r="C578" s="51">
        <v>1.074</v>
      </c>
      <c r="D578" s="51">
        <v>65.0</v>
      </c>
      <c r="E578" s="52" t="s">
        <v>25</v>
      </c>
      <c r="F578" s="52" t="s">
        <v>26</v>
      </c>
      <c r="G578" s="53"/>
    </row>
    <row r="579">
      <c r="A579" s="49">
        <v>44518.69815011574</v>
      </c>
      <c r="B579" s="50">
        <v>44518.823119456</v>
      </c>
      <c r="C579" s="51">
        <v>1.074</v>
      </c>
      <c r="D579" s="51">
        <v>65.0</v>
      </c>
      <c r="E579" s="52" t="s">
        <v>25</v>
      </c>
      <c r="F579" s="52" t="s">
        <v>26</v>
      </c>
      <c r="G579" s="53"/>
    </row>
    <row r="580">
      <c r="A580" s="49">
        <v>44518.70856179398</v>
      </c>
      <c r="B580" s="50">
        <v>44518.8335396643</v>
      </c>
      <c r="C580" s="51">
        <v>1.074</v>
      </c>
      <c r="D580" s="51">
        <v>65.0</v>
      </c>
      <c r="E580" s="52" t="s">
        <v>25</v>
      </c>
      <c r="F580" s="52" t="s">
        <v>26</v>
      </c>
      <c r="G580" s="53"/>
    </row>
    <row r="581">
      <c r="A581" s="49">
        <v>44518.71898950232</v>
      </c>
      <c r="B581" s="50">
        <v>44518.8439625463</v>
      </c>
      <c r="C581" s="51">
        <v>1.074</v>
      </c>
      <c r="D581" s="51">
        <v>65.0</v>
      </c>
      <c r="E581" s="52" t="s">
        <v>25</v>
      </c>
      <c r="F581" s="52" t="s">
        <v>26</v>
      </c>
      <c r="G581" s="53"/>
    </row>
    <row r="582">
      <c r="A582" s="49">
        <v>44518.7294128588</v>
      </c>
      <c r="B582" s="50">
        <v>44518.8543823148</v>
      </c>
      <c r="C582" s="51">
        <v>1.074</v>
      </c>
      <c r="D582" s="51">
        <v>65.0</v>
      </c>
      <c r="E582" s="52" t="s">
        <v>25</v>
      </c>
      <c r="F582" s="52" t="s">
        <v>26</v>
      </c>
      <c r="G582" s="53"/>
    </row>
    <row r="583">
      <c r="A583" s="49">
        <v>44518.73985238426</v>
      </c>
      <c r="B583" s="50">
        <v>44518.8648279282</v>
      </c>
      <c r="C583" s="51">
        <v>1.074</v>
      </c>
      <c r="D583" s="51">
        <v>65.0</v>
      </c>
      <c r="E583" s="52" t="s">
        <v>25</v>
      </c>
      <c r="F583" s="52" t="s">
        <v>26</v>
      </c>
      <c r="G583" s="53"/>
    </row>
    <row r="584">
      <c r="A584" s="49">
        <v>44518.75028583333</v>
      </c>
      <c r="B584" s="50">
        <v>44518.8752495601</v>
      </c>
      <c r="C584" s="51">
        <v>1.074</v>
      </c>
      <c r="D584" s="51">
        <v>65.0</v>
      </c>
      <c r="E584" s="52" t="s">
        <v>25</v>
      </c>
      <c r="F584" s="52" t="s">
        <v>26</v>
      </c>
      <c r="G584" s="53"/>
    </row>
    <row r="585">
      <c r="A585" s="49">
        <v>44518.76070121527</v>
      </c>
      <c r="B585" s="50">
        <v>44518.8856697453</v>
      </c>
      <c r="C585" s="51">
        <v>1.074</v>
      </c>
      <c r="D585" s="51">
        <v>65.0</v>
      </c>
      <c r="E585" s="52" t="s">
        <v>25</v>
      </c>
      <c r="F585" s="52" t="s">
        <v>26</v>
      </c>
      <c r="G585" s="53"/>
    </row>
    <row r="586">
      <c r="A586" s="49">
        <v>44518.77112009259</v>
      </c>
      <c r="B586" s="50">
        <v>44518.8960914583</v>
      </c>
      <c r="C586" s="51">
        <v>1.074</v>
      </c>
      <c r="D586" s="51">
        <v>65.0</v>
      </c>
      <c r="E586" s="52" t="s">
        <v>25</v>
      </c>
      <c r="F586" s="52" t="s">
        <v>26</v>
      </c>
      <c r="G586" s="53"/>
    </row>
    <row r="587">
      <c r="A587" s="49">
        <v>44518.78153559028</v>
      </c>
      <c r="B587" s="50">
        <v>44518.906513125</v>
      </c>
      <c r="C587" s="51">
        <v>1.074</v>
      </c>
      <c r="D587" s="51">
        <v>65.0</v>
      </c>
      <c r="E587" s="52" t="s">
        <v>25</v>
      </c>
      <c r="F587" s="52" t="s">
        <v>26</v>
      </c>
      <c r="G587" s="53"/>
    </row>
    <row r="588">
      <c r="A588" s="49">
        <v>44518.79195503472</v>
      </c>
      <c r="B588" s="50">
        <v>44518.9169348495</v>
      </c>
      <c r="C588" s="51">
        <v>1.074</v>
      </c>
      <c r="D588" s="51">
        <v>65.0</v>
      </c>
      <c r="E588" s="52" t="s">
        <v>25</v>
      </c>
      <c r="F588" s="52" t="s">
        <v>26</v>
      </c>
      <c r="G588" s="53"/>
    </row>
    <row r="589">
      <c r="A589" s="49">
        <v>44518.802384421295</v>
      </c>
      <c r="B589" s="50">
        <v>44518.9273551273</v>
      </c>
      <c r="C589" s="51">
        <v>1.073</v>
      </c>
      <c r="D589" s="51">
        <v>65.0</v>
      </c>
      <c r="E589" s="52" t="s">
        <v>25</v>
      </c>
      <c r="F589" s="52" t="s">
        <v>26</v>
      </c>
      <c r="G589" s="53"/>
    </row>
    <row r="590">
      <c r="A590" s="49">
        <v>44518.8128171875</v>
      </c>
      <c r="B590" s="50">
        <v>44518.9377876967</v>
      </c>
      <c r="C590" s="51">
        <v>1.073</v>
      </c>
      <c r="D590" s="51">
        <v>65.0</v>
      </c>
      <c r="E590" s="52" t="s">
        <v>25</v>
      </c>
      <c r="F590" s="52" t="s">
        <v>26</v>
      </c>
      <c r="G590" s="53"/>
    </row>
    <row r="591">
      <c r="A591" s="49">
        <v>44518.82322983796</v>
      </c>
      <c r="B591" s="50">
        <v>44518.9482075925</v>
      </c>
      <c r="C591" s="51">
        <v>1.073</v>
      </c>
      <c r="D591" s="51">
        <v>65.0</v>
      </c>
      <c r="E591" s="52" t="s">
        <v>25</v>
      </c>
      <c r="F591" s="52" t="s">
        <v>26</v>
      </c>
      <c r="G591" s="53"/>
    </row>
    <row r="592">
      <c r="A592" s="49">
        <v>44518.83365717593</v>
      </c>
      <c r="B592" s="50">
        <v>44518.958629618</v>
      </c>
      <c r="C592" s="51">
        <v>1.073</v>
      </c>
      <c r="D592" s="51">
        <v>65.0</v>
      </c>
      <c r="E592" s="52" t="s">
        <v>25</v>
      </c>
      <c r="F592" s="52" t="s">
        <v>26</v>
      </c>
      <c r="G592" s="53"/>
    </row>
    <row r="593">
      <c r="A593" s="49">
        <v>44518.84407944445</v>
      </c>
      <c r="B593" s="50">
        <v>44518.9690510648</v>
      </c>
      <c r="C593" s="51">
        <v>1.073</v>
      </c>
      <c r="D593" s="51">
        <v>65.0</v>
      </c>
      <c r="E593" s="52" t="s">
        <v>25</v>
      </c>
      <c r="F593" s="52" t="s">
        <v>26</v>
      </c>
      <c r="G593" s="53"/>
    </row>
    <row r="594">
      <c r="A594" s="49">
        <v>44518.85450666667</v>
      </c>
      <c r="B594" s="50">
        <v>44518.9794828703</v>
      </c>
      <c r="C594" s="51">
        <v>1.073</v>
      </c>
      <c r="D594" s="51">
        <v>65.0</v>
      </c>
      <c r="E594" s="52" t="s">
        <v>25</v>
      </c>
      <c r="F594" s="52" t="s">
        <v>26</v>
      </c>
      <c r="G594" s="53"/>
    </row>
    <row r="595">
      <c r="A595" s="49">
        <v>44518.86493009259</v>
      </c>
      <c r="B595" s="50">
        <v>44518.9899032754</v>
      </c>
      <c r="C595" s="51">
        <v>1.073</v>
      </c>
      <c r="D595" s="51">
        <v>65.0</v>
      </c>
      <c r="E595" s="52" t="s">
        <v>25</v>
      </c>
      <c r="F595" s="52" t="s">
        <v>26</v>
      </c>
      <c r="G595" s="53"/>
    </row>
    <row r="596">
      <c r="A596" s="49">
        <v>44518.87534413194</v>
      </c>
      <c r="B596" s="50">
        <v>44519.0003244212</v>
      </c>
      <c r="C596" s="51">
        <v>1.073</v>
      </c>
      <c r="D596" s="51">
        <v>65.0</v>
      </c>
      <c r="E596" s="52" t="s">
        <v>25</v>
      </c>
      <c r="F596" s="52" t="s">
        <v>26</v>
      </c>
      <c r="G596" s="53"/>
    </row>
    <row r="597">
      <c r="A597" s="49">
        <v>44518.885792685185</v>
      </c>
      <c r="B597" s="50">
        <v>44519.0107580787</v>
      </c>
      <c r="C597" s="51">
        <v>1.073</v>
      </c>
      <c r="D597" s="51">
        <v>65.0</v>
      </c>
      <c r="E597" s="52" t="s">
        <v>25</v>
      </c>
      <c r="F597" s="52" t="s">
        <v>26</v>
      </c>
      <c r="G597" s="53"/>
    </row>
    <row r="598">
      <c r="A598" s="49">
        <v>44518.89620297454</v>
      </c>
      <c r="B598" s="50">
        <v>44519.0211792476</v>
      </c>
      <c r="C598" s="51">
        <v>1.073</v>
      </c>
      <c r="D598" s="51">
        <v>65.0</v>
      </c>
      <c r="E598" s="52" t="s">
        <v>25</v>
      </c>
      <c r="F598" s="52" t="s">
        <v>26</v>
      </c>
      <c r="G598" s="53"/>
    </row>
    <row r="599">
      <c r="A599" s="49">
        <v>44518.90662358796</v>
      </c>
      <c r="B599" s="50">
        <v>44519.0315983333</v>
      </c>
      <c r="C599" s="51">
        <v>1.073</v>
      </c>
      <c r="D599" s="51">
        <v>65.0</v>
      </c>
      <c r="E599" s="52" t="s">
        <v>25</v>
      </c>
      <c r="F599" s="52" t="s">
        <v>26</v>
      </c>
      <c r="G599" s="53"/>
    </row>
    <row r="600">
      <c r="A600" s="49">
        <v>44518.91706186342</v>
      </c>
      <c r="B600" s="50">
        <v>44519.0420202083</v>
      </c>
      <c r="C600" s="51">
        <v>1.073</v>
      </c>
      <c r="D600" s="51">
        <v>65.0</v>
      </c>
      <c r="E600" s="52" t="s">
        <v>25</v>
      </c>
      <c r="F600" s="52" t="s">
        <v>26</v>
      </c>
      <c r="G600" s="53"/>
    </row>
    <row r="601">
      <c r="A601" s="49">
        <v>44518.92746452546</v>
      </c>
      <c r="B601" s="50">
        <v>44519.0524414699</v>
      </c>
      <c r="C601" s="51">
        <v>1.073</v>
      </c>
      <c r="D601" s="51">
        <v>65.0</v>
      </c>
      <c r="E601" s="52" t="s">
        <v>25</v>
      </c>
      <c r="F601" s="52" t="s">
        <v>26</v>
      </c>
      <c r="G601" s="53"/>
    </row>
    <row r="602">
      <c r="A602" s="49">
        <v>44518.93789719907</v>
      </c>
      <c r="B602" s="50">
        <v>44519.0628624421</v>
      </c>
      <c r="C602" s="51">
        <v>1.073</v>
      </c>
      <c r="D602" s="51">
        <v>65.0</v>
      </c>
      <c r="E602" s="52" t="s">
        <v>25</v>
      </c>
      <c r="F602" s="52" t="s">
        <v>26</v>
      </c>
      <c r="G602" s="53"/>
    </row>
    <row r="603">
      <c r="A603" s="49">
        <v>44518.94833591435</v>
      </c>
      <c r="B603" s="50">
        <v>44519.0733051967</v>
      </c>
      <c r="C603" s="51">
        <v>1.073</v>
      </c>
      <c r="D603" s="51">
        <v>65.0</v>
      </c>
      <c r="E603" s="52" t="s">
        <v>25</v>
      </c>
      <c r="F603" s="52" t="s">
        <v>26</v>
      </c>
      <c r="G603" s="53"/>
    </row>
    <row r="604">
      <c r="A604" s="49">
        <v>44518.95875571759</v>
      </c>
      <c r="B604" s="50">
        <v>44519.0837271064</v>
      </c>
      <c r="C604" s="51">
        <v>1.073</v>
      </c>
      <c r="D604" s="51">
        <v>65.0</v>
      </c>
      <c r="E604" s="52" t="s">
        <v>25</v>
      </c>
      <c r="F604" s="52" t="s">
        <v>26</v>
      </c>
      <c r="G604" s="53"/>
    </row>
    <row r="605">
      <c r="A605" s="49">
        <v>44518.969175509264</v>
      </c>
      <c r="B605" s="50">
        <v>44519.0941475347</v>
      </c>
      <c r="C605" s="51">
        <v>1.073</v>
      </c>
      <c r="D605" s="51">
        <v>65.0</v>
      </c>
      <c r="E605" s="52" t="s">
        <v>25</v>
      </c>
      <c r="F605" s="52" t="s">
        <v>26</v>
      </c>
      <c r="G605" s="53"/>
    </row>
    <row r="606">
      <c r="A606" s="49">
        <v>44518.97962116898</v>
      </c>
      <c r="B606" s="50">
        <v>44519.1045798263</v>
      </c>
      <c r="C606" s="51">
        <v>1.073</v>
      </c>
      <c r="D606" s="51">
        <v>65.0</v>
      </c>
      <c r="E606" s="52" t="s">
        <v>25</v>
      </c>
      <c r="F606" s="52" t="s">
        <v>26</v>
      </c>
      <c r="G606" s="53"/>
    </row>
    <row r="607">
      <c r="A607" s="49">
        <v>44518.990024583334</v>
      </c>
      <c r="B607" s="50">
        <v>44519.1149998148</v>
      </c>
      <c r="C607" s="51">
        <v>1.072</v>
      </c>
      <c r="D607" s="51">
        <v>65.0</v>
      </c>
      <c r="E607" s="52" t="s">
        <v>25</v>
      </c>
      <c r="F607" s="52" t="s">
        <v>26</v>
      </c>
      <c r="G607" s="53"/>
    </row>
    <row r="608">
      <c r="A608" s="49">
        <v>44519.00045128472</v>
      </c>
      <c r="B608" s="50">
        <v>44519.125419537</v>
      </c>
      <c r="C608" s="51">
        <v>1.072</v>
      </c>
      <c r="D608" s="51">
        <v>65.0</v>
      </c>
      <c r="E608" s="52" t="s">
        <v>25</v>
      </c>
      <c r="F608" s="52" t="s">
        <v>26</v>
      </c>
      <c r="G608" s="53"/>
    </row>
    <row r="609">
      <c r="A609" s="49">
        <v>44519.010868136575</v>
      </c>
      <c r="B609" s="50">
        <v>44519.1358407523</v>
      </c>
      <c r="C609" s="51">
        <v>1.073</v>
      </c>
      <c r="D609" s="51">
        <v>65.0</v>
      </c>
      <c r="E609" s="52" t="s">
        <v>25</v>
      </c>
      <c r="F609" s="52" t="s">
        <v>26</v>
      </c>
      <c r="G609" s="53"/>
    </row>
    <row r="610">
      <c r="A610" s="49">
        <v>44519.02128811342</v>
      </c>
      <c r="B610" s="50">
        <v>44519.1462632638</v>
      </c>
      <c r="C610" s="51">
        <v>1.072</v>
      </c>
      <c r="D610" s="51">
        <v>66.0</v>
      </c>
      <c r="E610" s="52" t="s">
        <v>25</v>
      </c>
      <c r="F610" s="52" t="s">
        <v>26</v>
      </c>
      <c r="G610" s="53"/>
    </row>
    <row r="611">
      <c r="A611" s="49">
        <v>44519.03171876157</v>
      </c>
      <c r="B611" s="50">
        <v>44519.1566844907</v>
      </c>
      <c r="C611" s="51">
        <v>1.073</v>
      </c>
      <c r="D611" s="51">
        <v>66.0</v>
      </c>
      <c r="E611" s="52" t="s">
        <v>25</v>
      </c>
      <c r="F611" s="52" t="s">
        <v>26</v>
      </c>
      <c r="G611" s="53"/>
    </row>
    <row r="612">
      <c r="A612" s="49">
        <v>44519.042128692134</v>
      </c>
      <c r="B612" s="50">
        <v>44519.167105243</v>
      </c>
      <c r="C612" s="51">
        <v>1.072</v>
      </c>
      <c r="D612" s="51">
        <v>66.0</v>
      </c>
      <c r="E612" s="52" t="s">
        <v>25</v>
      </c>
      <c r="F612" s="52" t="s">
        <v>26</v>
      </c>
      <c r="G612" s="53"/>
    </row>
    <row r="613">
      <c r="A613" s="49">
        <v>44519.052573900466</v>
      </c>
      <c r="B613" s="50">
        <v>44519.1775271296</v>
      </c>
      <c r="C613" s="51">
        <v>1.072</v>
      </c>
      <c r="D613" s="51">
        <v>66.0</v>
      </c>
      <c r="E613" s="52" t="s">
        <v>25</v>
      </c>
      <c r="F613" s="52" t="s">
        <v>26</v>
      </c>
      <c r="G613" s="53"/>
    </row>
    <row r="614">
      <c r="A614" s="49">
        <v>44519.062973946755</v>
      </c>
      <c r="B614" s="50">
        <v>44519.1879485879</v>
      </c>
      <c r="C614" s="51">
        <v>1.072</v>
      </c>
      <c r="D614" s="51">
        <v>66.0</v>
      </c>
      <c r="E614" s="52" t="s">
        <v>25</v>
      </c>
      <c r="F614" s="52" t="s">
        <v>26</v>
      </c>
      <c r="G614" s="53"/>
    </row>
    <row r="615">
      <c r="A615" s="49">
        <v>44519.07340332176</v>
      </c>
      <c r="B615" s="50">
        <v>44519.1983813888</v>
      </c>
      <c r="C615" s="51">
        <v>1.072</v>
      </c>
      <c r="D615" s="51">
        <v>66.0</v>
      </c>
      <c r="E615" s="52" t="s">
        <v>25</v>
      </c>
      <c r="F615" s="52" t="s">
        <v>26</v>
      </c>
      <c r="G615" s="53"/>
    </row>
    <row r="616">
      <c r="A616" s="49">
        <v>44519.083825821755</v>
      </c>
      <c r="B616" s="50">
        <v>44519.2088023842</v>
      </c>
      <c r="C616" s="51">
        <v>1.072</v>
      </c>
      <c r="D616" s="51">
        <v>66.0</v>
      </c>
      <c r="E616" s="52" t="s">
        <v>25</v>
      </c>
      <c r="F616" s="52" t="s">
        <v>26</v>
      </c>
      <c r="G616" s="53"/>
    </row>
    <row r="617">
      <c r="A617" s="49">
        <v>44519.094246469904</v>
      </c>
      <c r="B617" s="50">
        <v>44519.2192231365</v>
      </c>
      <c r="C617" s="51">
        <v>1.072</v>
      </c>
      <c r="D617" s="51">
        <v>66.0</v>
      </c>
      <c r="E617" s="52" t="s">
        <v>25</v>
      </c>
      <c r="F617" s="52" t="s">
        <v>26</v>
      </c>
      <c r="G617" s="53"/>
    </row>
    <row r="618">
      <c r="A618" s="49">
        <v>44519.10467170139</v>
      </c>
      <c r="B618" s="50">
        <v>44519.2296448958</v>
      </c>
      <c r="C618" s="51">
        <v>1.072</v>
      </c>
      <c r="D618" s="51">
        <v>66.0</v>
      </c>
      <c r="E618" s="52" t="s">
        <v>25</v>
      </c>
      <c r="F618" s="52" t="s">
        <v>26</v>
      </c>
      <c r="G618" s="53"/>
    </row>
    <row r="619">
      <c r="A619" s="49">
        <v>44519.11509420139</v>
      </c>
      <c r="B619" s="50">
        <v>44519.2400652893</v>
      </c>
      <c r="C619" s="51">
        <v>1.072</v>
      </c>
      <c r="D619" s="51">
        <v>66.0</v>
      </c>
      <c r="E619" s="52" t="s">
        <v>25</v>
      </c>
      <c r="F619" s="52" t="s">
        <v>26</v>
      </c>
      <c r="G619" s="53"/>
    </row>
    <row r="620">
      <c r="A620" s="49">
        <v>44519.12553612269</v>
      </c>
      <c r="B620" s="50">
        <v>44519.2505098842</v>
      </c>
      <c r="C620" s="51">
        <v>1.072</v>
      </c>
      <c r="D620" s="51">
        <v>66.0</v>
      </c>
      <c r="E620" s="52" t="s">
        <v>25</v>
      </c>
      <c r="F620" s="52" t="s">
        <v>26</v>
      </c>
      <c r="G620" s="53"/>
    </row>
    <row r="621">
      <c r="A621" s="49">
        <v>44519.13596263889</v>
      </c>
      <c r="B621" s="50">
        <v>44519.2609423495</v>
      </c>
      <c r="C621" s="51">
        <v>1.072</v>
      </c>
      <c r="D621" s="51">
        <v>66.0</v>
      </c>
      <c r="E621" s="52" t="s">
        <v>25</v>
      </c>
      <c r="F621" s="52" t="s">
        <v>26</v>
      </c>
      <c r="G621" s="53"/>
    </row>
    <row r="622">
      <c r="A622" s="49">
        <v>44519.14639822917</v>
      </c>
      <c r="B622" s="50">
        <v>44519.2713629166</v>
      </c>
      <c r="C622" s="51">
        <v>1.072</v>
      </c>
      <c r="D622" s="51">
        <v>66.0</v>
      </c>
      <c r="E622" s="52" t="s">
        <v>25</v>
      </c>
      <c r="F622" s="52" t="s">
        <v>26</v>
      </c>
      <c r="G622" s="53"/>
    </row>
    <row r="623">
      <c r="A623" s="49">
        <v>44519.15681315972</v>
      </c>
      <c r="B623" s="50">
        <v>44519.2817838773</v>
      </c>
      <c r="C623" s="51">
        <v>1.072</v>
      </c>
      <c r="D623" s="51">
        <v>66.0</v>
      </c>
      <c r="E623" s="52" t="s">
        <v>25</v>
      </c>
      <c r="F623" s="52" t="s">
        <v>26</v>
      </c>
      <c r="G623" s="53"/>
    </row>
    <row r="624">
      <c r="A624" s="49">
        <v>44519.167246956014</v>
      </c>
      <c r="B624" s="50">
        <v>44519.2922038541</v>
      </c>
      <c r="C624" s="51">
        <v>1.072</v>
      </c>
      <c r="D624" s="51">
        <v>66.0</v>
      </c>
      <c r="E624" s="52" t="s">
        <v>25</v>
      </c>
      <c r="F624" s="52" t="s">
        <v>26</v>
      </c>
      <c r="G624" s="53"/>
    </row>
    <row r="625">
      <c r="A625" s="49">
        <v>44519.17766452546</v>
      </c>
      <c r="B625" s="50">
        <v>44519.3026232986</v>
      </c>
      <c r="C625" s="51">
        <v>1.072</v>
      </c>
      <c r="D625" s="51">
        <v>66.0</v>
      </c>
      <c r="E625" s="52" t="s">
        <v>25</v>
      </c>
      <c r="F625" s="52" t="s">
        <v>26</v>
      </c>
      <c r="G625" s="53"/>
    </row>
    <row r="626">
      <c r="A626" s="49">
        <v>44519.188077349536</v>
      </c>
      <c r="B626" s="50">
        <v>44519.313057118</v>
      </c>
      <c r="C626" s="51">
        <v>1.072</v>
      </c>
      <c r="D626" s="51">
        <v>66.0</v>
      </c>
      <c r="E626" s="52" t="s">
        <v>25</v>
      </c>
      <c r="F626" s="52" t="s">
        <v>26</v>
      </c>
      <c r="G626" s="53"/>
    </row>
    <row r="627">
      <c r="A627" s="49">
        <v>44519.198513379626</v>
      </c>
      <c r="B627" s="50">
        <v>44519.3234803935</v>
      </c>
      <c r="C627" s="51">
        <v>1.072</v>
      </c>
      <c r="D627" s="51">
        <v>66.0</v>
      </c>
      <c r="E627" s="52" t="s">
        <v>25</v>
      </c>
      <c r="F627" s="52" t="s">
        <v>26</v>
      </c>
      <c r="G627" s="53"/>
    </row>
    <row r="628">
      <c r="A628" s="49">
        <v>44519.208923750004</v>
      </c>
      <c r="B628" s="50">
        <v>44519.3339000347</v>
      </c>
      <c r="C628" s="51">
        <v>1.072</v>
      </c>
      <c r="D628" s="51">
        <v>66.0</v>
      </c>
      <c r="E628" s="52" t="s">
        <v>25</v>
      </c>
      <c r="F628" s="52" t="s">
        <v>26</v>
      </c>
      <c r="G628" s="53"/>
    </row>
    <row r="629">
      <c r="A629" s="49">
        <v>44519.21934821759</v>
      </c>
      <c r="B629" s="50">
        <v>44519.3443210416</v>
      </c>
      <c r="C629" s="51">
        <v>1.072</v>
      </c>
      <c r="D629" s="51">
        <v>66.0</v>
      </c>
      <c r="E629" s="52" t="s">
        <v>25</v>
      </c>
      <c r="F629" s="52" t="s">
        <v>26</v>
      </c>
      <c r="G629" s="53"/>
    </row>
    <row r="630">
      <c r="A630" s="49">
        <v>44519.229765393524</v>
      </c>
      <c r="B630" s="50">
        <v>44519.3547416203</v>
      </c>
      <c r="C630" s="51">
        <v>1.072</v>
      </c>
      <c r="D630" s="51">
        <v>66.0</v>
      </c>
      <c r="E630" s="52" t="s">
        <v>25</v>
      </c>
      <c r="F630" s="52" t="s">
        <v>26</v>
      </c>
      <c r="G630" s="53"/>
    </row>
    <row r="631">
      <c r="A631" s="49">
        <v>44519.24019946759</v>
      </c>
      <c r="B631" s="50">
        <v>44519.3651740856</v>
      </c>
      <c r="C631" s="51">
        <v>1.071</v>
      </c>
      <c r="D631" s="51">
        <v>66.0</v>
      </c>
      <c r="E631" s="52" t="s">
        <v>25</v>
      </c>
      <c r="F631" s="52" t="s">
        <v>26</v>
      </c>
      <c r="G631" s="53"/>
    </row>
    <row r="632">
      <c r="A632" s="49">
        <v>44519.25063141204</v>
      </c>
      <c r="B632" s="50">
        <v>44519.3755960879</v>
      </c>
      <c r="C632" s="51">
        <v>1.071</v>
      </c>
      <c r="D632" s="51">
        <v>66.0</v>
      </c>
      <c r="E632" s="52" t="s">
        <v>25</v>
      </c>
      <c r="F632" s="52" t="s">
        <v>26</v>
      </c>
      <c r="G632" s="53"/>
    </row>
    <row r="633">
      <c r="A633" s="49">
        <v>44519.261051249996</v>
      </c>
      <c r="B633" s="50">
        <v>44519.3860294675</v>
      </c>
      <c r="C633" s="51">
        <v>1.071</v>
      </c>
      <c r="D633" s="51">
        <v>66.0</v>
      </c>
      <c r="E633" s="52" t="s">
        <v>25</v>
      </c>
      <c r="F633" s="52" t="s">
        <v>26</v>
      </c>
      <c r="G633" s="53"/>
    </row>
    <row r="634">
      <c r="A634" s="49">
        <v>44519.27147724537</v>
      </c>
      <c r="B634" s="50">
        <v>44519.396450243</v>
      </c>
      <c r="C634" s="51">
        <v>1.071</v>
      </c>
      <c r="D634" s="51">
        <v>66.0</v>
      </c>
      <c r="E634" s="52" t="s">
        <v>25</v>
      </c>
      <c r="F634" s="52" t="s">
        <v>26</v>
      </c>
      <c r="G634" s="53"/>
    </row>
    <row r="635">
      <c r="A635" s="49">
        <v>44519.28190273148</v>
      </c>
      <c r="B635" s="50">
        <v>44519.4068710532</v>
      </c>
      <c r="C635" s="51">
        <v>1.071</v>
      </c>
      <c r="D635" s="51">
        <v>66.0</v>
      </c>
      <c r="E635" s="52" t="s">
        <v>25</v>
      </c>
      <c r="F635" s="52" t="s">
        <v>26</v>
      </c>
      <c r="G635" s="53"/>
    </row>
    <row r="636">
      <c r="A636" s="49">
        <v>44519.292326111114</v>
      </c>
      <c r="B636" s="50">
        <v>44519.417291574</v>
      </c>
      <c r="C636" s="51">
        <v>1.071</v>
      </c>
      <c r="D636" s="51">
        <v>66.0</v>
      </c>
      <c r="E636" s="52" t="s">
        <v>25</v>
      </c>
      <c r="F636" s="52" t="s">
        <v>26</v>
      </c>
      <c r="G636" s="53"/>
    </row>
    <row r="637">
      <c r="A637" s="49">
        <v>44519.302762349536</v>
      </c>
      <c r="B637" s="50">
        <v>44519.4277248495</v>
      </c>
      <c r="C637" s="51">
        <v>1.071</v>
      </c>
      <c r="D637" s="51">
        <v>66.0</v>
      </c>
      <c r="E637" s="52" t="s">
        <v>25</v>
      </c>
      <c r="F637" s="52" t="s">
        <v>26</v>
      </c>
      <c r="G637" s="53"/>
    </row>
    <row r="638">
      <c r="A638" s="49">
        <v>44519.31319583333</v>
      </c>
      <c r="B638" s="50">
        <v>44519.4381679745</v>
      </c>
      <c r="C638" s="51">
        <v>1.071</v>
      </c>
      <c r="D638" s="51">
        <v>66.0</v>
      </c>
      <c r="E638" s="52" t="s">
        <v>25</v>
      </c>
      <c r="F638" s="52" t="s">
        <v>26</v>
      </c>
      <c r="G638" s="53"/>
    </row>
    <row r="639">
      <c r="A639" s="49">
        <v>44519.32362645833</v>
      </c>
      <c r="B639" s="50">
        <v>44519.4485900347</v>
      </c>
      <c r="C639" s="51">
        <v>1.071</v>
      </c>
      <c r="D639" s="51">
        <v>66.0</v>
      </c>
      <c r="E639" s="52" t="s">
        <v>25</v>
      </c>
      <c r="F639" s="52" t="s">
        <v>26</v>
      </c>
      <c r="G639" s="53"/>
    </row>
    <row r="640">
      <c r="A640" s="49">
        <v>44519.33404271991</v>
      </c>
      <c r="B640" s="50">
        <v>44519.459010324</v>
      </c>
      <c r="C640" s="51">
        <v>1.071</v>
      </c>
      <c r="D640" s="51">
        <v>66.0</v>
      </c>
      <c r="E640" s="52" t="s">
        <v>25</v>
      </c>
      <c r="F640" s="52" t="s">
        <v>26</v>
      </c>
      <c r="G640" s="53"/>
    </row>
    <row r="641">
      <c r="A641" s="49">
        <v>44519.344470173615</v>
      </c>
      <c r="B641" s="50">
        <v>44519.4694305439</v>
      </c>
      <c r="C641" s="51">
        <v>1.071</v>
      </c>
      <c r="D641" s="51">
        <v>66.0</v>
      </c>
      <c r="E641" s="52" t="s">
        <v>25</v>
      </c>
      <c r="F641" s="52" t="s">
        <v>26</v>
      </c>
      <c r="G641" s="53"/>
    </row>
    <row r="642">
      <c r="A642" s="49">
        <v>44519.35487660879</v>
      </c>
      <c r="B642" s="50">
        <v>44519.4798512037</v>
      </c>
      <c r="C642" s="51">
        <v>1.071</v>
      </c>
      <c r="D642" s="51">
        <v>66.0</v>
      </c>
      <c r="E642" s="52" t="s">
        <v>25</v>
      </c>
      <c r="F642" s="52" t="s">
        <v>26</v>
      </c>
      <c r="G642" s="53"/>
    </row>
    <row r="643">
      <c r="A643" s="49">
        <v>44519.36530346065</v>
      </c>
      <c r="B643" s="50">
        <v>44519.4902742824</v>
      </c>
      <c r="C643" s="51">
        <v>1.071</v>
      </c>
      <c r="D643" s="51">
        <v>66.0</v>
      </c>
      <c r="E643" s="52" t="s">
        <v>25</v>
      </c>
      <c r="F643" s="52" t="s">
        <v>26</v>
      </c>
      <c r="G643" s="53"/>
    </row>
    <row r="644">
      <c r="A644" s="49">
        <v>44519.375721041666</v>
      </c>
      <c r="B644" s="50">
        <v>44519.5006953819</v>
      </c>
      <c r="C644" s="51">
        <v>1.071</v>
      </c>
      <c r="D644" s="51">
        <v>66.0</v>
      </c>
      <c r="E644" s="52" t="s">
        <v>25</v>
      </c>
      <c r="F644" s="52" t="s">
        <v>26</v>
      </c>
      <c r="G644" s="53"/>
    </row>
    <row r="645">
      <c r="A645" s="49">
        <v>44519.38615287037</v>
      </c>
      <c r="B645" s="50">
        <v>44519.5111166319</v>
      </c>
      <c r="C645" s="51">
        <v>1.071</v>
      </c>
      <c r="D645" s="51">
        <v>66.0</v>
      </c>
      <c r="E645" s="52" t="s">
        <v>25</v>
      </c>
      <c r="F645" s="52" t="s">
        <v>26</v>
      </c>
      <c r="G645" s="53"/>
    </row>
    <row r="646">
      <c r="A646" s="49">
        <v>44519.396565462965</v>
      </c>
      <c r="B646" s="50">
        <v>44519.5215391898</v>
      </c>
      <c r="C646" s="51">
        <v>1.071</v>
      </c>
      <c r="D646" s="51">
        <v>66.0</v>
      </c>
      <c r="E646" s="52" t="s">
        <v>25</v>
      </c>
      <c r="F646" s="52" t="s">
        <v>26</v>
      </c>
      <c r="G646" s="53"/>
    </row>
    <row r="647">
      <c r="A647" s="49">
        <v>44519.40700082176</v>
      </c>
      <c r="B647" s="50">
        <v>44519.5319604745</v>
      </c>
      <c r="C647" s="51">
        <v>1.071</v>
      </c>
      <c r="D647" s="51">
        <v>66.0</v>
      </c>
      <c r="E647" s="52" t="s">
        <v>25</v>
      </c>
      <c r="F647" s="52" t="s">
        <v>26</v>
      </c>
      <c r="G647" s="53"/>
    </row>
    <row r="648">
      <c r="A648" s="49">
        <v>44519.41740694444</v>
      </c>
      <c r="B648" s="50">
        <v>44519.542382905</v>
      </c>
      <c r="C648" s="51">
        <v>1.07</v>
      </c>
      <c r="D648" s="51">
        <v>66.0</v>
      </c>
      <c r="E648" s="52" t="s">
        <v>25</v>
      </c>
      <c r="F648" s="52" t="s">
        <v>26</v>
      </c>
      <c r="G648" s="53"/>
    </row>
    <row r="649">
      <c r="A649" s="49">
        <v>44519.427825810184</v>
      </c>
      <c r="B649" s="50">
        <v>44519.5528049537</v>
      </c>
      <c r="C649" s="51">
        <v>1.07</v>
      </c>
      <c r="D649" s="51">
        <v>66.0</v>
      </c>
      <c r="E649" s="52" t="s">
        <v>25</v>
      </c>
      <c r="F649" s="52" t="s">
        <v>26</v>
      </c>
      <c r="G649" s="53"/>
    </row>
    <row r="650">
      <c r="A650" s="49">
        <v>44519.43825122685</v>
      </c>
      <c r="B650" s="50">
        <v>44519.5632258564</v>
      </c>
      <c r="C650" s="51">
        <v>1.07</v>
      </c>
      <c r="D650" s="51">
        <v>66.0</v>
      </c>
      <c r="E650" s="52" t="s">
        <v>25</v>
      </c>
      <c r="F650" s="52" t="s">
        <v>26</v>
      </c>
      <c r="G650" s="53"/>
    </row>
    <row r="651">
      <c r="A651" s="49">
        <v>44519.44867287037</v>
      </c>
      <c r="B651" s="50">
        <v>44519.5736476967</v>
      </c>
      <c r="C651" s="51">
        <v>1.07</v>
      </c>
      <c r="D651" s="51">
        <v>66.0</v>
      </c>
      <c r="E651" s="52" t="s">
        <v>25</v>
      </c>
      <c r="F651" s="52" t="s">
        <v>26</v>
      </c>
      <c r="G651" s="53"/>
    </row>
    <row r="652">
      <c r="A652" s="49">
        <v>44519.459107835646</v>
      </c>
      <c r="B652" s="50">
        <v>44519.5840813426</v>
      </c>
      <c r="C652" s="51">
        <v>1.07</v>
      </c>
      <c r="D652" s="51">
        <v>66.0</v>
      </c>
      <c r="E652" s="52" t="s">
        <v>25</v>
      </c>
      <c r="F652" s="52" t="s">
        <v>26</v>
      </c>
      <c r="G652" s="53"/>
    </row>
    <row r="653">
      <c r="A653" s="49">
        <v>44519.469519618055</v>
      </c>
      <c r="B653" s="50">
        <v>44519.5944991435</v>
      </c>
      <c r="C653" s="51">
        <v>1.07</v>
      </c>
      <c r="D653" s="51">
        <v>66.0</v>
      </c>
      <c r="E653" s="52" t="s">
        <v>25</v>
      </c>
      <c r="F653" s="52" t="s">
        <v>26</v>
      </c>
      <c r="G653" s="53"/>
    </row>
    <row r="654">
      <c r="A654" s="49">
        <v>44519.47994853009</v>
      </c>
      <c r="B654" s="50">
        <v>44519.6049190856</v>
      </c>
      <c r="C654" s="51">
        <v>1.07</v>
      </c>
      <c r="D654" s="51">
        <v>66.0</v>
      </c>
      <c r="E654" s="52" t="s">
        <v>25</v>
      </c>
      <c r="F654" s="52" t="s">
        <v>26</v>
      </c>
      <c r="G654" s="53"/>
    </row>
    <row r="655">
      <c r="A655" s="49">
        <v>44519.49036065972</v>
      </c>
      <c r="B655" s="50">
        <v>44519.6153404513</v>
      </c>
      <c r="C655" s="51">
        <v>1.07</v>
      </c>
      <c r="D655" s="51">
        <v>66.0</v>
      </c>
      <c r="E655" s="52" t="s">
        <v>25</v>
      </c>
      <c r="F655" s="52" t="s">
        <v>26</v>
      </c>
      <c r="G655" s="53"/>
    </row>
    <row r="656">
      <c r="A656" s="49">
        <v>44519.50078753472</v>
      </c>
      <c r="B656" s="50">
        <v>44519.625762199</v>
      </c>
      <c r="C656" s="51">
        <v>1.07</v>
      </c>
      <c r="D656" s="51">
        <v>66.0</v>
      </c>
      <c r="E656" s="52" t="s">
        <v>25</v>
      </c>
      <c r="F656" s="52" t="s">
        <v>26</v>
      </c>
      <c r="G656" s="53"/>
    </row>
    <row r="657">
      <c r="A657" s="49">
        <v>44519.51120825231</v>
      </c>
      <c r="B657" s="50">
        <v>44519.6361828703</v>
      </c>
      <c r="C657" s="51">
        <v>1.07</v>
      </c>
      <c r="D657" s="51">
        <v>66.0</v>
      </c>
      <c r="E657" s="52" t="s">
        <v>25</v>
      </c>
      <c r="F657" s="52" t="s">
        <v>26</v>
      </c>
      <c r="G657" s="53"/>
    </row>
    <row r="658">
      <c r="A658" s="49">
        <v>44519.521626574075</v>
      </c>
      <c r="B658" s="50">
        <v>44519.6466048842</v>
      </c>
      <c r="C658" s="51">
        <v>1.07</v>
      </c>
      <c r="D658" s="51">
        <v>66.0</v>
      </c>
      <c r="E658" s="52" t="s">
        <v>25</v>
      </c>
      <c r="F658" s="52" t="s">
        <v>26</v>
      </c>
      <c r="G658" s="53"/>
    </row>
    <row r="659">
      <c r="A659" s="49">
        <v>44519.5320583912</v>
      </c>
      <c r="B659" s="50">
        <v>44519.6570251736</v>
      </c>
      <c r="C659" s="51">
        <v>1.07</v>
      </c>
      <c r="D659" s="51">
        <v>66.0</v>
      </c>
      <c r="E659" s="52" t="s">
        <v>25</v>
      </c>
      <c r="F659" s="52" t="s">
        <v>26</v>
      </c>
      <c r="G659" s="53"/>
    </row>
    <row r="660">
      <c r="A660" s="49">
        <v>44519.542471319444</v>
      </c>
      <c r="B660" s="50">
        <v>44519.6674478125</v>
      </c>
      <c r="C660" s="51">
        <v>1.07</v>
      </c>
      <c r="D660" s="51">
        <v>66.0</v>
      </c>
      <c r="E660" s="52" t="s">
        <v>25</v>
      </c>
      <c r="F660" s="52" t="s">
        <v>26</v>
      </c>
      <c r="G660" s="53"/>
    </row>
    <row r="661">
      <c r="A661" s="49">
        <v>44519.55289774305</v>
      </c>
      <c r="B661" s="50">
        <v>44519.6778705208</v>
      </c>
      <c r="C661" s="51">
        <v>1.07</v>
      </c>
      <c r="D661" s="51">
        <v>66.0</v>
      </c>
      <c r="E661" s="52" t="s">
        <v>25</v>
      </c>
      <c r="F661" s="52" t="s">
        <v>26</v>
      </c>
      <c r="G661" s="53"/>
    </row>
    <row r="662">
      <c r="A662" s="49">
        <v>44519.56331840278</v>
      </c>
      <c r="B662" s="50">
        <v>44519.688289618</v>
      </c>
      <c r="C662" s="51">
        <v>1.07</v>
      </c>
      <c r="D662" s="51">
        <v>66.0</v>
      </c>
      <c r="E662" s="52" t="s">
        <v>25</v>
      </c>
      <c r="F662" s="52" t="s">
        <v>26</v>
      </c>
      <c r="G662" s="53"/>
    </row>
    <row r="663">
      <c r="A663" s="49">
        <v>44519.57374724537</v>
      </c>
      <c r="B663" s="50">
        <v>44519.6987112731</v>
      </c>
      <c r="C663" s="51">
        <v>1.07</v>
      </c>
      <c r="D663" s="51">
        <v>66.0</v>
      </c>
      <c r="E663" s="52" t="s">
        <v>25</v>
      </c>
      <c r="F663" s="52" t="s">
        <v>26</v>
      </c>
      <c r="G663" s="53"/>
    </row>
    <row r="664">
      <c r="A664" s="49">
        <v>44519.58415741898</v>
      </c>
      <c r="B664" s="50">
        <v>44519.7091323611</v>
      </c>
      <c r="C664" s="51">
        <v>1.07</v>
      </c>
      <c r="D664" s="51">
        <v>66.0</v>
      </c>
      <c r="E664" s="52" t="s">
        <v>25</v>
      </c>
      <c r="F664" s="52" t="s">
        <v>26</v>
      </c>
      <c r="G664" s="53"/>
    </row>
    <row r="665">
      <c r="A665" s="49">
        <v>44519.594582777776</v>
      </c>
      <c r="B665" s="50">
        <v>44519.7195543749</v>
      </c>
      <c r="C665" s="51">
        <v>1.07</v>
      </c>
      <c r="D665" s="51">
        <v>66.0</v>
      </c>
      <c r="E665" s="52" t="s">
        <v>25</v>
      </c>
      <c r="F665" s="52" t="s">
        <v>26</v>
      </c>
      <c r="G665" s="53"/>
    </row>
    <row r="666">
      <c r="A666" s="49">
        <v>44519.605000625</v>
      </c>
      <c r="B666" s="50">
        <v>44519.7299738888</v>
      </c>
      <c r="C666" s="51">
        <v>1.069</v>
      </c>
      <c r="D666" s="51">
        <v>66.0</v>
      </c>
      <c r="E666" s="52" t="s">
        <v>25</v>
      </c>
      <c r="F666" s="52" t="s">
        <v>26</v>
      </c>
      <c r="G666" s="53"/>
    </row>
    <row r="667">
      <c r="A667" s="49">
        <v>44519.61544454861</v>
      </c>
      <c r="B667" s="50">
        <v>44519.7404183333</v>
      </c>
      <c r="C667" s="51">
        <v>1.069</v>
      </c>
      <c r="D667" s="51">
        <v>66.0</v>
      </c>
      <c r="E667" s="52" t="s">
        <v>25</v>
      </c>
      <c r="F667" s="52" t="s">
        <v>26</v>
      </c>
      <c r="G667" s="53"/>
    </row>
    <row r="668">
      <c r="A668" s="49">
        <v>44519.6258599537</v>
      </c>
      <c r="B668" s="50">
        <v>44519.7508395138</v>
      </c>
      <c r="C668" s="51">
        <v>1.069</v>
      </c>
      <c r="D668" s="51">
        <v>66.0</v>
      </c>
      <c r="E668" s="52" t="s">
        <v>25</v>
      </c>
      <c r="F668" s="52" t="s">
        <v>26</v>
      </c>
      <c r="G668" s="53"/>
    </row>
    <row r="669">
      <c r="A669" s="49">
        <v>44519.636318854165</v>
      </c>
      <c r="B669" s="50">
        <v>44519.7612853356</v>
      </c>
      <c r="C669" s="51">
        <v>1.069</v>
      </c>
      <c r="D669" s="51">
        <v>67.0</v>
      </c>
      <c r="E669" s="52" t="s">
        <v>25</v>
      </c>
      <c r="F669" s="52" t="s">
        <v>26</v>
      </c>
      <c r="G669" s="53"/>
    </row>
    <row r="670">
      <c r="A670" s="49">
        <v>44519.64673554398</v>
      </c>
      <c r="B670" s="50">
        <v>44519.7717180439</v>
      </c>
      <c r="C670" s="51">
        <v>1.069</v>
      </c>
      <c r="D670" s="51">
        <v>66.0</v>
      </c>
      <c r="E670" s="52" t="s">
        <v>25</v>
      </c>
      <c r="F670" s="52" t="s">
        <v>26</v>
      </c>
      <c r="G670" s="53"/>
    </row>
    <row r="671">
      <c r="A671" s="49">
        <v>44519.657177824076</v>
      </c>
      <c r="B671" s="50">
        <v>44519.7821511574</v>
      </c>
      <c r="C671" s="51">
        <v>1.069</v>
      </c>
      <c r="D671" s="51">
        <v>66.0</v>
      </c>
      <c r="E671" s="52" t="s">
        <v>25</v>
      </c>
      <c r="F671" s="52" t="s">
        <v>26</v>
      </c>
      <c r="G671" s="53"/>
    </row>
    <row r="672">
      <c r="A672" s="49">
        <v>44519.66760141204</v>
      </c>
      <c r="B672" s="50">
        <v>44519.7925713888</v>
      </c>
      <c r="C672" s="51">
        <v>1.069</v>
      </c>
      <c r="D672" s="51">
        <v>66.0</v>
      </c>
      <c r="E672" s="52" t="s">
        <v>25</v>
      </c>
      <c r="F672" s="52" t="s">
        <v>26</v>
      </c>
      <c r="G672" s="53"/>
    </row>
    <row r="673">
      <c r="A673" s="49">
        <v>44519.67801600695</v>
      </c>
      <c r="B673" s="50">
        <v>44519.8029917476</v>
      </c>
      <c r="C673" s="51">
        <v>1.069</v>
      </c>
      <c r="D673" s="51">
        <v>66.0</v>
      </c>
      <c r="E673" s="52" t="s">
        <v>25</v>
      </c>
      <c r="F673" s="52" t="s">
        <v>26</v>
      </c>
      <c r="G673" s="53"/>
    </row>
    <row r="674">
      <c r="A674" s="49">
        <v>44519.6884412963</v>
      </c>
      <c r="B674" s="50">
        <v>44519.8134132291</v>
      </c>
      <c r="C674" s="51">
        <v>1.069</v>
      </c>
      <c r="D674" s="51">
        <v>67.0</v>
      </c>
      <c r="E674" s="52" t="s">
        <v>25</v>
      </c>
      <c r="F674" s="52" t="s">
        <v>26</v>
      </c>
      <c r="G674" s="53"/>
    </row>
    <row r="675">
      <c r="A675" s="49">
        <v>44519.698860000004</v>
      </c>
      <c r="B675" s="50">
        <v>44519.8238337037</v>
      </c>
      <c r="C675" s="51">
        <v>1.069</v>
      </c>
      <c r="D675" s="51">
        <v>66.0</v>
      </c>
      <c r="E675" s="52" t="s">
        <v>25</v>
      </c>
      <c r="F675" s="52" t="s">
        <v>26</v>
      </c>
      <c r="G675" s="53"/>
    </row>
    <row r="676">
      <c r="A676" s="49">
        <v>44519.70928885417</v>
      </c>
      <c r="B676" s="50">
        <v>44519.834266493</v>
      </c>
      <c r="C676" s="51">
        <v>1.069</v>
      </c>
      <c r="D676" s="51">
        <v>66.0</v>
      </c>
      <c r="E676" s="52" t="s">
        <v>25</v>
      </c>
      <c r="F676" s="52" t="s">
        <v>26</v>
      </c>
      <c r="G676" s="53"/>
    </row>
    <row r="677">
      <c r="A677" s="49">
        <v>44519.71971625</v>
      </c>
      <c r="B677" s="50">
        <v>44519.8446875462</v>
      </c>
      <c r="C677" s="51">
        <v>1.069</v>
      </c>
      <c r="D677" s="51">
        <v>67.0</v>
      </c>
      <c r="E677" s="52" t="s">
        <v>25</v>
      </c>
      <c r="F677" s="52" t="s">
        <v>26</v>
      </c>
      <c r="G677" s="53"/>
    </row>
    <row r="678">
      <c r="A678" s="49">
        <v>44519.730127476854</v>
      </c>
      <c r="B678" s="50">
        <v>44519.8551097916</v>
      </c>
      <c r="C678" s="51">
        <v>1.069</v>
      </c>
      <c r="D678" s="51">
        <v>67.0</v>
      </c>
      <c r="E678" s="52" t="s">
        <v>25</v>
      </c>
      <c r="F678" s="52" t="s">
        <v>26</v>
      </c>
      <c r="G678" s="53"/>
    </row>
    <row r="679">
      <c r="A679" s="49">
        <v>44519.74056003473</v>
      </c>
      <c r="B679" s="50">
        <v>44519.865530868</v>
      </c>
      <c r="C679" s="51">
        <v>1.069</v>
      </c>
      <c r="D679" s="51">
        <v>66.0</v>
      </c>
      <c r="E679" s="52" t="s">
        <v>25</v>
      </c>
      <c r="F679" s="52" t="s">
        <v>26</v>
      </c>
      <c r="G679" s="53"/>
    </row>
    <row r="680">
      <c r="A680" s="49">
        <v>44519.750975752315</v>
      </c>
      <c r="B680" s="50">
        <v>44519.8759522222</v>
      </c>
      <c r="C680" s="51">
        <v>1.069</v>
      </c>
      <c r="D680" s="51">
        <v>67.0</v>
      </c>
      <c r="E680" s="52" t="s">
        <v>25</v>
      </c>
      <c r="F680" s="52" t="s">
        <v>26</v>
      </c>
      <c r="G680" s="53"/>
    </row>
    <row r="681">
      <c r="A681" s="49">
        <v>44519.76139706018</v>
      </c>
      <c r="B681" s="50">
        <v>44519.8863733333</v>
      </c>
      <c r="C681" s="51">
        <v>1.069</v>
      </c>
      <c r="D681" s="51">
        <v>67.0</v>
      </c>
      <c r="E681" s="52" t="s">
        <v>25</v>
      </c>
      <c r="F681" s="52" t="s">
        <v>26</v>
      </c>
      <c r="G681" s="53"/>
    </row>
    <row r="682">
      <c r="A682" s="49">
        <v>44519.77181652778</v>
      </c>
      <c r="B682" s="50">
        <v>44519.896795162</v>
      </c>
      <c r="C682" s="51">
        <v>1.069</v>
      </c>
      <c r="D682" s="51">
        <v>67.0</v>
      </c>
      <c r="E682" s="52" t="s">
        <v>25</v>
      </c>
      <c r="F682" s="52" t="s">
        <v>26</v>
      </c>
      <c r="G682" s="53"/>
    </row>
    <row r="683">
      <c r="A683" s="49">
        <v>44519.78225103009</v>
      </c>
      <c r="B683" s="50">
        <v>44519.9072268055</v>
      </c>
      <c r="C683" s="51">
        <v>1.069</v>
      </c>
      <c r="D683" s="51">
        <v>67.0</v>
      </c>
      <c r="E683" s="52" t="s">
        <v>25</v>
      </c>
      <c r="F683" s="52" t="s">
        <v>26</v>
      </c>
      <c r="G683" s="53"/>
    </row>
    <row r="684">
      <c r="A684" s="49">
        <v>44519.7926816088</v>
      </c>
      <c r="B684" s="50">
        <v>44519.9176490393</v>
      </c>
      <c r="C684" s="51">
        <v>1.069</v>
      </c>
      <c r="D684" s="51">
        <v>67.0</v>
      </c>
      <c r="E684" s="52" t="s">
        <v>25</v>
      </c>
      <c r="F684" s="52" t="s">
        <v>26</v>
      </c>
      <c r="G684" s="53"/>
    </row>
    <row r="685">
      <c r="A685" s="49">
        <v>44519.80309659722</v>
      </c>
      <c r="B685" s="50">
        <v>44519.928067824</v>
      </c>
      <c r="C685" s="51">
        <v>1.069</v>
      </c>
      <c r="D685" s="51">
        <v>67.0</v>
      </c>
      <c r="E685" s="52" t="s">
        <v>25</v>
      </c>
      <c r="F685" s="52" t="s">
        <v>26</v>
      </c>
      <c r="G685" s="53"/>
    </row>
    <row r="686">
      <c r="A686" s="49">
        <v>44519.81351506944</v>
      </c>
      <c r="B686" s="50">
        <v>44519.9384887731</v>
      </c>
      <c r="C686" s="51">
        <v>1.069</v>
      </c>
      <c r="D686" s="51">
        <v>67.0</v>
      </c>
      <c r="E686" s="52" t="s">
        <v>25</v>
      </c>
      <c r="F686" s="52" t="s">
        <v>26</v>
      </c>
      <c r="G686" s="53"/>
    </row>
    <row r="687">
      <c r="A687" s="49">
        <v>44519.8239362037</v>
      </c>
      <c r="B687" s="50">
        <v>44519.9489097338</v>
      </c>
      <c r="C687" s="51">
        <v>1.068</v>
      </c>
      <c r="D687" s="51">
        <v>67.0</v>
      </c>
      <c r="E687" s="52" t="s">
        <v>25</v>
      </c>
      <c r="F687" s="52" t="s">
        <v>26</v>
      </c>
      <c r="G687" s="53"/>
    </row>
    <row r="688">
      <c r="A688" s="49">
        <v>44519.83435109953</v>
      </c>
      <c r="B688" s="50">
        <v>44519.9593305324</v>
      </c>
      <c r="C688" s="51">
        <v>1.068</v>
      </c>
      <c r="D688" s="51">
        <v>67.0</v>
      </c>
      <c r="E688" s="52" t="s">
        <v>25</v>
      </c>
      <c r="F688" s="52" t="s">
        <v>26</v>
      </c>
      <c r="G688" s="53"/>
    </row>
    <row r="689">
      <c r="A689" s="49">
        <v>44519.84477423611</v>
      </c>
      <c r="B689" s="50">
        <v>44519.9697517245</v>
      </c>
      <c r="C689" s="51">
        <v>1.068</v>
      </c>
      <c r="D689" s="51">
        <v>67.0</v>
      </c>
      <c r="E689" s="52" t="s">
        <v>25</v>
      </c>
      <c r="F689" s="52" t="s">
        <v>26</v>
      </c>
      <c r="G689" s="53"/>
    </row>
    <row r="690">
      <c r="A690" s="49">
        <v>44519.85522517361</v>
      </c>
      <c r="B690" s="50">
        <v>44519.9801963888</v>
      </c>
      <c r="C690" s="51">
        <v>1.068</v>
      </c>
      <c r="D690" s="51">
        <v>67.0</v>
      </c>
      <c r="E690" s="52" t="s">
        <v>25</v>
      </c>
      <c r="F690" s="52" t="s">
        <v>26</v>
      </c>
      <c r="G690" s="53"/>
    </row>
    <row r="691">
      <c r="A691" s="49">
        <v>44519.86563880787</v>
      </c>
      <c r="B691" s="50">
        <v>44519.9906187499</v>
      </c>
      <c r="C691" s="51">
        <v>1.068</v>
      </c>
      <c r="D691" s="51">
        <v>67.0</v>
      </c>
      <c r="E691" s="52" t="s">
        <v>25</v>
      </c>
      <c r="F691" s="52" t="s">
        <v>26</v>
      </c>
      <c r="G691" s="53"/>
    </row>
    <row r="692">
      <c r="A692" s="49">
        <v>44519.876069375</v>
      </c>
      <c r="B692" s="50">
        <v>44520.0010399768</v>
      </c>
      <c r="C692" s="51">
        <v>1.068</v>
      </c>
      <c r="D692" s="51">
        <v>67.0</v>
      </c>
      <c r="E692" s="52" t="s">
        <v>25</v>
      </c>
      <c r="F692" s="52" t="s">
        <v>26</v>
      </c>
      <c r="G692" s="53"/>
    </row>
    <row r="693">
      <c r="A693" s="49">
        <v>44519.88648872685</v>
      </c>
      <c r="B693" s="50">
        <v>44520.0114612963</v>
      </c>
      <c r="C693" s="51">
        <v>1.068</v>
      </c>
      <c r="D693" s="51">
        <v>67.0</v>
      </c>
      <c r="E693" s="52" t="s">
        <v>25</v>
      </c>
      <c r="F693" s="52" t="s">
        <v>26</v>
      </c>
      <c r="G693" s="53"/>
    </row>
    <row r="694">
      <c r="A694" s="49">
        <v>44519.89691054398</v>
      </c>
      <c r="B694" s="50">
        <v>44520.0218835069</v>
      </c>
      <c r="C694" s="51">
        <v>1.068</v>
      </c>
      <c r="D694" s="51">
        <v>67.0</v>
      </c>
      <c r="E694" s="52" t="s">
        <v>25</v>
      </c>
      <c r="F694" s="52" t="s">
        <v>26</v>
      </c>
      <c r="G694" s="53"/>
    </row>
    <row r="695">
      <c r="A695" s="49">
        <v>44519.9073367824</v>
      </c>
      <c r="B695" s="50">
        <v>44520.0323037384</v>
      </c>
      <c r="C695" s="51">
        <v>1.068</v>
      </c>
      <c r="D695" s="51">
        <v>67.0</v>
      </c>
      <c r="E695" s="52" t="s">
        <v>25</v>
      </c>
      <c r="F695" s="52" t="s">
        <v>26</v>
      </c>
      <c r="G695" s="53"/>
    </row>
    <row r="696">
      <c r="A696" s="49">
        <v>44519.91777101852</v>
      </c>
      <c r="B696" s="50">
        <v>44520.0427386458</v>
      </c>
      <c r="C696" s="51">
        <v>1.068</v>
      </c>
      <c r="D696" s="51">
        <v>67.0</v>
      </c>
      <c r="E696" s="52" t="s">
        <v>25</v>
      </c>
      <c r="F696" s="52" t="s">
        <v>26</v>
      </c>
      <c r="G696" s="53"/>
    </row>
    <row r="697">
      <c r="A697" s="49">
        <v>44519.92818934028</v>
      </c>
      <c r="B697" s="50">
        <v>44520.0531613425</v>
      </c>
      <c r="C697" s="51">
        <v>1.068</v>
      </c>
      <c r="D697" s="51">
        <v>67.0</v>
      </c>
      <c r="E697" s="52" t="s">
        <v>25</v>
      </c>
      <c r="F697" s="52" t="s">
        <v>26</v>
      </c>
      <c r="G697" s="53"/>
    </row>
    <row r="698">
      <c r="A698" s="49">
        <v>44519.93861200231</v>
      </c>
      <c r="B698" s="50">
        <v>44520.0635827777</v>
      </c>
      <c r="C698" s="51">
        <v>1.068</v>
      </c>
      <c r="D698" s="51">
        <v>67.0</v>
      </c>
      <c r="E698" s="52" t="s">
        <v>25</v>
      </c>
      <c r="F698" s="52" t="s">
        <v>26</v>
      </c>
      <c r="G698" s="53"/>
    </row>
    <row r="699">
      <c r="A699" s="49">
        <v>44519.94903751157</v>
      </c>
      <c r="B699" s="50">
        <v>44520.0740041435</v>
      </c>
      <c r="C699" s="51">
        <v>1.068</v>
      </c>
      <c r="D699" s="51">
        <v>67.0</v>
      </c>
      <c r="E699" s="52" t="s">
        <v>25</v>
      </c>
      <c r="F699" s="52" t="s">
        <v>26</v>
      </c>
      <c r="G699" s="53"/>
    </row>
    <row r="700">
      <c r="A700" s="49">
        <v>44519.95945328704</v>
      </c>
      <c r="B700" s="50">
        <v>44520.0844256712</v>
      </c>
      <c r="C700" s="51">
        <v>1.068</v>
      </c>
      <c r="D700" s="51">
        <v>67.0</v>
      </c>
      <c r="E700" s="52" t="s">
        <v>25</v>
      </c>
      <c r="F700" s="52" t="s">
        <v>26</v>
      </c>
      <c r="G700" s="53"/>
    </row>
    <row r="701">
      <c r="A701" s="49">
        <v>44519.96988365741</v>
      </c>
      <c r="B701" s="50">
        <v>44520.0948462615</v>
      </c>
      <c r="C701" s="51">
        <v>1.068</v>
      </c>
      <c r="D701" s="51">
        <v>67.0</v>
      </c>
      <c r="E701" s="52" t="s">
        <v>25</v>
      </c>
      <c r="F701" s="52" t="s">
        <v>26</v>
      </c>
      <c r="G701" s="53"/>
    </row>
    <row r="702">
      <c r="A702" s="49">
        <v>44519.98029436343</v>
      </c>
      <c r="B702" s="50">
        <v>44520.1052670486</v>
      </c>
      <c r="C702" s="51">
        <v>1.068</v>
      </c>
      <c r="D702" s="51">
        <v>67.0</v>
      </c>
      <c r="E702" s="52" t="s">
        <v>25</v>
      </c>
      <c r="F702" s="52" t="s">
        <v>26</v>
      </c>
      <c r="G702" s="53"/>
    </row>
    <row r="703">
      <c r="A703" s="49">
        <v>44519.99073259259</v>
      </c>
      <c r="B703" s="50">
        <v>44520.1156876041</v>
      </c>
      <c r="C703" s="51">
        <v>1.068</v>
      </c>
      <c r="D703" s="51">
        <v>67.0</v>
      </c>
      <c r="E703" s="52" t="s">
        <v>25</v>
      </c>
      <c r="F703" s="52" t="s">
        <v>26</v>
      </c>
      <c r="G703" s="53"/>
    </row>
    <row r="704">
      <c r="A704" s="49">
        <v>44520.001135081024</v>
      </c>
      <c r="B704" s="50">
        <v>44520.1261097569</v>
      </c>
      <c r="C704" s="51">
        <v>1.067</v>
      </c>
      <c r="D704" s="51">
        <v>67.0</v>
      </c>
      <c r="E704" s="52" t="s">
        <v>25</v>
      </c>
      <c r="F704" s="52" t="s">
        <v>26</v>
      </c>
      <c r="G704" s="53"/>
    </row>
    <row r="705">
      <c r="A705" s="49">
        <v>44520.01156759259</v>
      </c>
      <c r="B705" s="50">
        <v>44520.1365426736</v>
      </c>
      <c r="C705" s="51">
        <v>1.067</v>
      </c>
      <c r="D705" s="51">
        <v>67.0</v>
      </c>
      <c r="E705" s="52" t="s">
        <v>25</v>
      </c>
      <c r="F705" s="52" t="s">
        <v>26</v>
      </c>
      <c r="G705" s="53"/>
    </row>
    <row r="706">
      <c r="A706" s="49">
        <v>44520.02199675926</v>
      </c>
      <c r="B706" s="50">
        <v>44520.1469630439</v>
      </c>
      <c r="C706" s="51">
        <v>1.067</v>
      </c>
      <c r="D706" s="51">
        <v>67.0</v>
      </c>
      <c r="E706" s="52" t="s">
        <v>25</v>
      </c>
      <c r="F706" s="52" t="s">
        <v>26</v>
      </c>
      <c r="G706" s="53"/>
    </row>
    <row r="707">
      <c r="A707" s="49">
        <v>44520.03241738426</v>
      </c>
      <c r="B707" s="50">
        <v>44520.1573843981</v>
      </c>
      <c r="C707" s="51">
        <v>1.067</v>
      </c>
      <c r="D707" s="51">
        <v>67.0</v>
      </c>
      <c r="E707" s="52" t="s">
        <v>25</v>
      </c>
      <c r="F707" s="52" t="s">
        <v>26</v>
      </c>
      <c r="G707" s="53"/>
    </row>
    <row r="708">
      <c r="A708" s="49">
        <v>44520.04283474537</v>
      </c>
      <c r="B708" s="50">
        <v>44520.1678057175</v>
      </c>
      <c r="C708" s="51">
        <v>1.067</v>
      </c>
      <c r="D708" s="51">
        <v>67.0</v>
      </c>
      <c r="E708" s="52" t="s">
        <v>25</v>
      </c>
      <c r="F708" s="52" t="s">
        <v>26</v>
      </c>
      <c r="G708" s="53"/>
    </row>
    <row r="709">
      <c r="A709" s="49">
        <v>44520.053252488426</v>
      </c>
      <c r="B709" s="50">
        <v>44520.1782247916</v>
      </c>
      <c r="C709" s="51">
        <v>1.067</v>
      </c>
      <c r="D709" s="51">
        <v>67.0</v>
      </c>
      <c r="E709" s="52" t="s">
        <v>25</v>
      </c>
      <c r="F709" s="52" t="s">
        <v>26</v>
      </c>
      <c r="G709" s="53"/>
    </row>
    <row r="710">
      <c r="A710" s="49">
        <v>44520.06367109954</v>
      </c>
      <c r="B710" s="50">
        <v>44520.1886453125</v>
      </c>
      <c r="C710" s="51">
        <v>1.067</v>
      </c>
      <c r="D710" s="51">
        <v>67.0</v>
      </c>
      <c r="E710" s="52" t="s">
        <v>25</v>
      </c>
      <c r="F710" s="52" t="s">
        <v>26</v>
      </c>
      <c r="G710" s="53"/>
    </row>
    <row r="711">
      <c r="A711" s="49">
        <v>44520.074102280094</v>
      </c>
      <c r="B711" s="50">
        <v>44520.1990780902</v>
      </c>
      <c r="C711" s="51">
        <v>1.067</v>
      </c>
      <c r="D711" s="51">
        <v>67.0</v>
      </c>
      <c r="E711" s="52" t="s">
        <v>25</v>
      </c>
      <c r="F711" s="52" t="s">
        <v>26</v>
      </c>
      <c r="G711" s="53"/>
    </row>
    <row r="712">
      <c r="A712" s="49">
        <v>44520.084525266204</v>
      </c>
      <c r="B712" s="50">
        <v>44520.2094975925</v>
      </c>
      <c r="C712" s="51">
        <v>1.067</v>
      </c>
      <c r="D712" s="51">
        <v>67.0</v>
      </c>
      <c r="E712" s="52" t="s">
        <v>25</v>
      </c>
      <c r="F712" s="52" t="s">
        <v>26</v>
      </c>
      <c r="G712" s="53"/>
    </row>
    <row r="713">
      <c r="A713" s="49">
        <v>44520.094954201384</v>
      </c>
      <c r="B713" s="50">
        <v>44520.2199280671</v>
      </c>
      <c r="C713" s="51">
        <v>1.067</v>
      </c>
      <c r="D713" s="51">
        <v>67.0</v>
      </c>
      <c r="E713" s="52" t="s">
        <v>25</v>
      </c>
      <c r="F713" s="52" t="s">
        <v>26</v>
      </c>
      <c r="G713" s="53"/>
    </row>
    <row r="714">
      <c r="A714" s="49">
        <v>44520.105376817126</v>
      </c>
      <c r="B714" s="50">
        <v>44520.2303518171</v>
      </c>
      <c r="C714" s="51">
        <v>1.067</v>
      </c>
      <c r="D714" s="51">
        <v>67.0</v>
      </c>
      <c r="E714" s="52" t="s">
        <v>25</v>
      </c>
      <c r="F714" s="52" t="s">
        <v>26</v>
      </c>
      <c r="G714" s="53"/>
    </row>
    <row r="715">
      <c r="A715" s="49">
        <v>44520.11578878472</v>
      </c>
      <c r="B715" s="50">
        <v>44520.2407732407</v>
      </c>
      <c r="C715" s="51">
        <v>1.067</v>
      </c>
      <c r="D715" s="51">
        <v>67.0</v>
      </c>
      <c r="E715" s="52" t="s">
        <v>25</v>
      </c>
      <c r="F715" s="52" t="s">
        <v>26</v>
      </c>
      <c r="G715" s="53"/>
    </row>
    <row r="716">
      <c r="A716" s="49">
        <v>44520.12623028935</v>
      </c>
      <c r="B716" s="50">
        <v>44520.2512053472</v>
      </c>
      <c r="C716" s="51">
        <v>1.067</v>
      </c>
      <c r="D716" s="51">
        <v>67.0</v>
      </c>
      <c r="E716" s="52" t="s">
        <v>25</v>
      </c>
      <c r="F716" s="52" t="s">
        <v>26</v>
      </c>
      <c r="G716" s="53"/>
    </row>
    <row r="717">
      <c r="A717" s="49">
        <v>44520.13664863426</v>
      </c>
      <c r="B717" s="50">
        <v>44520.2616247222</v>
      </c>
      <c r="C717" s="51">
        <v>1.066</v>
      </c>
      <c r="D717" s="51">
        <v>67.0</v>
      </c>
      <c r="E717" s="52" t="s">
        <v>25</v>
      </c>
      <c r="F717" s="52" t="s">
        <v>26</v>
      </c>
      <c r="G717" s="53"/>
    </row>
    <row r="718">
      <c r="A718" s="49">
        <v>44520.1470716551</v>
      </c>
      <c r="B718" s="50">
        <v>44520.2720466666</v>
      </c>
      <c r="C718" s="51">
        <v>1.066</v>
      </c>
      <c r="D718" s="51">
        <v>67.0</v>
      </c>
      <c r="E718" s="52" t="s">
        <v>25</v>
      </c>
      <c r="F718" s="52" t="s">
        <v>26</v>
      </c>
      <c r="G718" s="53"/>
    </row>
    <row r="719">
      <c r="A719" s="49">
        <v>44520.157494513885</v>
      </c>
      <c r="B719" s="50">
        <v>44520.2824680324</v>
      </c>
      <c r="C719" s="51">
        <v>1.066</v>
      </c>
      <c r="D719" s="51">
        <v>67.0</v>
      </c>
      <c r="E719" s="52" t="s">
        <v>25</v>
      </c>
      <c r="F719" s="52" t="s">
        <v>26</v>
      </c>
      <c r="G719" s="53"/>
    </row>
    <row r="720">
      <c r="A720" s="49">
        <v>44520.167914606485</v>
      </c>
      <c r="B720" s="50">
        <v>44520.2928897569</v>
      </c>
      <c r="C720" s="51">
        <v>1.066</v>
      </c>
      <c r="D720" s="51">
        <v>67.0</v>
      </c>
      <c r="E720" s="52" t="s">
        <v>25</v>
      </c>
      <c r="F720" s="52" t="s">
        <v>26</v>
      </c>
      <c r="G720" s="53"/>
    </row>
    <row r="721">
      <c r="A721" s="49">
        <v>44520.17833581018</v>
      </c>
      <c r="B721" s="50">
        <v>44520.3033096643</v>
      </c>
      <c r="C721" s="51">
        <v>1.066</v>
      </c>
      <c r="D721" s="51">
        <v>67.0</v>
      </c>
      <c r="E721" s="52" t="s">
        <v>25</v>
      </c>
      <c r="F721" s="52" t="s">
        <v>26</v>
      </c>
      <c r="G721" s="53"/>
    </row>
    <row r="722">
      <c r="A722" s="49">
        <v>44520.18875929398</v>
      </c>
      <c r="B722" s="50">
        <v>44520.3137312152</v>
      </c>
      <c r="C722" s="51">
        <v>1.066</v>
      </c>
      <c r="D722" s="51">
        <v>67.0</v>
      </c>
      <c r="E722" s="52" t="s">
        <v>25</v>
      </c>
      <c r="F722" s="52" t="s">
        <v>26</v>
      </c>
      <c r="G722" s="53"/>
    </row>
    <row r="723">
      <c r="A723" s="49">
        <v>44520.19917739583</v>
      </c>
      <c r="B723" s="50">
        <v>44520.3241530671</v>
      </c>
      <c r="C723" s="51">
        <v>1.066</v>
      </c>
      <c r="D723" s="51">
        <v>67.0</v>
      </c>
      <c r="E723" s="52" t="s">
        <v>25</v>
      </c>
      <c r="F723" s="52" t="s">
        <v>26</v>
      </c>
      <c r="G723" s="53"/>
    </row>
    <row r="724">
      <c r="A724" s="49">
        <v>44520.20959373843</v>
      </c>
      <c r="B724" s="50">
        <v>44520.3345745717</v>
      </c>
      <c r="C724" s="51">
        <v>1.066</v>
      </c>
      <c r="D724" s="51">
        <v>67.0</v>
      </c>
      <c r="E724" s="52" t="s">
        <v>25</v>
      </c>
      <c r="F724" s="52" t="s">
        <v>26</v>
      </c>
      <c r="G724" s="53"/>
    </row>
    <row r="725">
      <c r="A725" s="49">
        <v>44520.22003055556</v>
      </c>
      <c r="B725" s="50">
        <v>44520.3450062384</v>
      </c>
      <c r="C725" s="51">
        <v>1.066</v>
      </c>
      <c r="D725" s="51">
        <v>67.0</v>
      </c>
      <c r="E725" s="52" t="s">
        <v>25</v>
      </c>
      <c r="F725" s="52" t="s">
        <v>26</v>
      </c>
      <c r="G725" s="53"/>
    </row>
    <row r="726">
      <c r="A726" s="49">
        <v>44520.23044947917</v>
      </c>
      <c r="B726" s="50">
        <v>44520.355426331</v>
      </c>
      <c r="C726" s="51">
        <v>1.066</v>
      </c>
      <c r="D726" s="51">
        <v>67.0</v>
      </c>
      <c r="E726" s="52" t="s">
        <v>25</v>
      </c>
      <c r="F726" s="52" t="s">
        <v>26</v>
      </c>
      <c r="G726" s="53"/>
    </row>
    <row r="727">
      <c r="A727" s="49">
        <v>44520.24089417824</v>
      </c>
      <c r="B727" s="50">
        <v>44520.3658707291</v>
      </c>
      <c r="C727" s="51">
        <v>1.066</v>
      </c>
      <c r="D727" s="51">
        <v>67.0</v>
      </c>
      <c r="E727" s="52" t="s">
        <v>25</v>
      </c>
      <c r="F727" s="52" t="s">
        <v>26</v>
      </c>
      <c r="G727" s="53"/>
    </row>
    <row r="728">
      <c r="A728" s="49">
        <v>44520.25131644676</v>
      </c>
      <c r="B728" s="50">
        <v>44520.3762931597</v>
      </c>
      <c r="C728" s="51">
        <v>1.066</v>
      </c>
      <c r="D728" s="51">
        <v>67.0</v>
      </c>
      <c r="E728" s="52" t="s">
        <v>25</v>
      </c>
      <c r="F728" s="52" t="s">
        <v>26</v>
      </c>
      <c r="G728" s="53"/>
    </row>
    <row r="729">
      <c r="A729" s="49">
        <v>44520.261744675925</v>
      </c>
      <c r="B729" s="50">
        <v>44520.3867142708</v>
      </c>
      <c r="C729" s="51">
        <v>1.066</v>
      </c>
      <c r="D729" s="51">
        <v>67.0</v>
      </c>
      <c r="E729" s="52" t="s">
        <v>25</v>
      </c>
      <c r="F729" s="52" t="s">
        <v>26</v>
      </c>
      <c r="G729" s="53"/>
    </row>
    <row r="730">
      <c r="A730" s="49">
        <v>44520.272176956016</v>
      </c>
      <c r="B730" s="50">
        <v>44520.3971592592</v>
      </c>
      <c r="C730" s="51">
        <v>1.066</v>
      </c>
      <c r="D730" s="51">
        <v>67.0</v>
      </c>
      <c r="E730" s="52" t="s">
        <v>25</v>
      </c>
      <c r="F730" s="52" t="s">
        <v>26</v>
      </c>
      <c r="G730" s="53"/>
    </row>
    <row r="731">
      <c r="A731" s="49">
        <v>44520.28260197917</v>
      </c>
      <c r="B731" s="50">
        <v>44520.4075801157</v>
      </c>
      <c r="C731" s="51">
        <v>1.066</v>
      </c>
      <c r="D731" s="51">
        <v>67.0</v>
      </c>
      <c r="E731" s="52" t="s">
        <v>25</v>
      </c>
      <c r="F731" s="52" t="s">
        <v>26</v>
      </c>
      <c r="G731" s="53"/>
    </row>
    <row r="732">
      <c r="A732" s="49">
        <v>44520.29302686342</v>
      </c>
      <c r="B732" s="50">
        <v>44520.4180011689</v>
      </c>
      <c r="C732" s="51">
        <v>1.066</v>
      </c>
      <c r="D732" s="51">
        <v>67.0</v>
      </c>
      <c r="E732" s="52" t="s">
        <v>25</v>
      </c>
      <c r="F732" s="52" t="s">
        <v>26</v>
      </c>
      <c r="G732" s="53"/>
    </row>
    <row r="733">
      <c r="A733" s="49">
        <v>44520.30344145834</v>
      </c>
      <c r="B733" s="50">
        <v>44520.4284217476</v>
      </c>
      <c r="C733" s="51">
        <v>1.066</v>
      </c>
      <c r="D733" s="51">
        <v>67.0</v>
      </c>
      <c r="E733" s="52" t="s">
        <v>25</v>
      </c>
      <c r="F733" s="52" t="s">
        <v>26</v>
      </c>
      <c r="G733" s="53"/>
    </row>
    <row r="734">
      <c r="A734" s="49">
        <v>44520.31386688657</v>
      </c>
      <c r="B734" s="50">
        <v>44520.4388425925</v>
      </c>
      <c r="C734" s="51">
        <v>1.066</v>
      </c>
      <c r="D734" s="51">
        <v>67.0</v>
      </c>
      <c r="E734" s="52" t="s">
        <v>25</v>
      </c>
      <c r="F734" s="52" t="s">
        <v>26</v>
      </c>
      <c r="G734" s="53"/>
    </row>
    <row r="735">
      <c r="A735" s="49">
        <v>44520.32427806713</v>
      </c>
      <c r="B735" s="50">
        <v>44520.4492633449</v>
      </c>
      <c r="C735" s="51">
        <v>1.066</v>
      </c>
      <c r="D735" s="51">
        <v>67.0</v>
      </c>
      <c r="E735" s="52" t="s">
        <v>25</v>
      </c>
      <c r="F735" s="52" t="s">
        <v>26</v>
      </c>
      <c r="G735" s="53"/>
    </row>
    <row r="736">
      <c r="A736" s="49">
        <v>44520.33471037037</v>
      </c>
      <c r="B736" s="50">
        <v>44520.4596853009</v>
      </c>
      <c r="C736" s="51">
        <v>1.066</v>
      </c>
      <c r="D736" s="51">
        <v>67.0</v>
      </c>
      <c r="E736" s="52" t="s">
        <v>25</v>
      </c>
      <c r="F736" s="52" t="s">
        <v>26</v>
      </c>
      <c r="G736" s="53"/>
    </row>
    <row r="737">
      <c r="A737" s="49">
        <v>44520.345133703704</v>
      </c>
      <c r="B737" s="50">
        <v>44520.4701051736</v>
      </c>
      <c r="C737" s="51">
        <v>1.065</v>
      </c>
      <c r="D737" s="51">
        <v>67.0</v>
      </c>
      <c r="E737" s="52" t="s">
        <v>25</v>
      </c>
      <c r="F737" s="52" t="s">
        <v>26</v>
      </c>
      <c r="G737" s="53"/>
    </row>
    <row r="738">
      <c r="A738" s="49">
        <v>44520.355543645834</v>
      </c>
      <c r="B738" s="50">
        <v>44520.4805261226</v>
      </c>
      <c r="C738" s="51">
        <v>1.066</v>
      </c>
      <c r="D738" s="51">
        <v>67.0</v>
      </c>
      <c r="E738" s="52" t="s">
        <v>25</v>
      </c>
      <c r="F738" s="52" t="s">
        <v>26</v>
      </c>
      <c r="G738" s="53"/>
    </row>
    <row r="739">
      <c r="A739" s="49">
        <v>44520.365974872686</v>
      </c>
      <c r="B739" s="50">
        <v>44520.4909468518</v>
      </c>
      <c r="C739" s="51">
        <v>1.065</v>
      </c>
      <c r="D739" s="51">
        <v>67.0</v>
      </c>
      <c r="E739" s="52" t="s">
        <v>25</v>
      </c>
      <c r="F739" s="52" t="s">
        <v>26</v>
      </c>
      <c r="G739" s="53"/>
    </row>
    <row r="740">
      <c r="A740" s="49">
        <v>44520.37638298611</v>
      </c>
      <c r="B740" s="50">
        <v>44520.5013669791</v>
      </c>
      <c r="C740" s="51">
        <v>1.065</v>
      </c>
      <c r="D740" s="51">
        <v>67.0</v>
      </c>
      <c r="E740" s="52" t="s">
        <v>25</v>
      </c>
      <c r="F740" s="52" t="s">
        <v>26</v>
      </c>
      <c r="G740" s="53"/>
    </row>
    <row r="741">
      <c r="A741" s="49">
        <v>44520.386822581015</v>
      </c>
      <c r="B741" s="50">
        <v>44520.5117999189</v>
      </c>
      <c r="C741" s="51">
        <v>1.065</v>
      </c>
      <c r="D741" s="51">
        <v>67.0</v>
      </c>
      <c r="E741" s="52" t="s">
        <v>25</v>
      </c>
      <c r="F741" s="52" t="s">
        <v>26</v>
      </c>
      <c r="G741" s="53"/>
    </row>
    <row r="742">
      <c r="A742" s="49">
        <v>44520.39728480324</v>
      </c>
      <c r="B742" s="50">
        <v>44520.5222571875</v>
      </c>
      <c r="C742" s="51">
        <v>1.065</v>
      </c>
      <c r="D742" s="51">
        <v>67.0</v>
      </c>
      <c r="E742" s="52" t="s">
        <v>25</v>
      </c>
      <c r="F742" s="52" t="s">
        <v>26</v>
      </c>
      <c r="G742" s="53"/>
    </row>
    <row r="743">
      <c r="A743" s="49">
        <v>44520.40771976852</v>
      </c>
      <c r="B743" s="50">
        <v>44520.5326786111</v>
      </c>
      <c r="C743" s="51">
        <v>1.065</v>
      </c>
      <c r="D743" s="51">
        <v>67.0</v>
      </c>
      <c r="E743" s="52" t="s">
        <v>25</v>
      </c>
      <c r="F743" s="52" t="s">
        <v>26</v>
      </c>
      <c r="G743" s="53"/>
    </row>
    <row r="744">
      <c r="A744" s="49">
        <v>44520.41812488426</v>
      </c>
      <c r="B744" s="50">
        <v>44520.5430998958</v>
      </c>
      <c r="C744" s="51">
        <v>1.065</v>
      </c>
      <c r="D744" s="51">
        <v>67.0</v>
      </c>
      <c r="E744" s="52" t="s">
        <v>25</v>
      </c>
      <c r="F744" s="52" t="s">
        <v>26</v>
      </c>
      <c r="G744" s="53"/>
    </row>
    <row r="745">
      <c r="A745" s="49">
        <v>44520.42854623843</v>
      </c>
      <c r="B745" s="50">
        <v>44520.5535193518</v>
      </c>
      <c r="C745" s="51">
        <v>1.065</v>
      </c>
      <c r="D745" s="51">
        <v>67.0</v>
      </c>
      <c r="E745" s="52" t="s">
        <v>25</v>
      </c>
      <c r="F745" s="52" t="s">
        <v>26</v>
      </c>
      <c r="G745" s="53"/>
    </row>
    <row r="746">
      <c r="A746" s="49">
        <v>44520.43897363426</v>
      </c>
      <c r="B746" s="50">
        <v>44520.5639510185</v>
      </c>
      <c r="C746" s="51">
        <v>1.065</v>
      </c>
      <c r="D746" s="51">
        <v>67.0</v>
      </c>
      <c r="E746" s="52" t="s">
        <v>25</v>
      </c>
      <c r="F746" s="52" t="s">
        <v>26</v>
      </c>
      <c r="G746" s="53"/>
    </row>
    <row r="747">
      <c r="A747" s="49">
        <v>44520.44940817129</v>
      </c>
      <c r="B747" s="50">
        <v>44520.5743834606</v>
      </c>
      <c r="C747" s="51">
        <v>1.065</v>
      </c>
      <c r="D747" s="51">
        <v>67.0</v>
      </c>
      <c r="E747" s="52" t="s">
        <v>25</v>
      </c>
      <c r="F747" s="52" t="s">
        <v>26</v>
      </c>
      <c r="G747" s="53"/>
    </row>
    <row r="748">
      <c r="A748" s="49">
        <v>44520.45982471065</v>
      </c>
      <c r="B748" s="50">
        <v>44520.5848044213</v>
      </c>
      <c r="C748" s="51">
        <v>1.065</v>
      </c>
      <c r="D748" s="51">
        <v>67.0</v>
      </c>
      <c r="E748" s="52" t="s">
        <v>25</v>
      </c>
      <c r="F748" s="52" t="s">
        <v>26</v>
      </c>
      <c r="G748" s="53"/>
    </row>
    <row r="749">
      <c r="A749" s="49">
        <v>44520.47028263889</v>
      </c>
      <c r="B749" s="50">
        <v>44520.5952614814</v>
      </c>
      <c r="C749" s="51">
        <v>1.065</v>
      </c>
      <c r="D749" s="51">
        <v>67.0</v>
      </c>
      <c r="E749" s="52" t="s">
        <v>25</v>
      </c>
      <c r="F749" s="52" t="s">
        <v>26</v>
      </c>
      <c r="G749" s="53"/>
    </row>
    <row r="750">
      <c r="A750" s="49">
        <v>44520.48071510417</v>
      </c>
      <c r="B750" s="50">
        <v>44520.605682581</v>
      </c>
      <c r="C750" s="51">
        <v>1.065</v>
      </c>
      <c r="D750" s="51">
        <v>67.0</v>
      </c>
      <c r="E750" s="52" t="s">
        <v>25</v>
      </c>
      <c r="F750" s="52" t="s">
        <v>26</v>
      </c>
      <c r="G750" s="53"/>
    </row>
    <row r="751">
      <c r="A751" s="49">
        <v>44520.49112987268</v>
      </c>
      <c r="B751" s="50">
        <v>44520.6161043518</v>
      </c>
      <c r="C751" s="51">
        <v>1.065</v>
      </c>
      <c r="D751" s="51">
        <v>67.0</v>
      </c>
      <c r="E751" s="52" t="s">
        <v>25</v>
      </c>
      <c r="F751" s="52" t="s">
        <v>26</v>
      </c>
      <c r="G751" s="53"/>
    </row>
    <row r="752">
      <c r="A752" s="49">
        <v>44520.50154949074</v>
      </c>
      <c r="B752" s="50">
        <v>44520.6265253819</v>
      </c>
      <c r="C752" s="51">
        <v>1.065</v>
      </c>
      <c r="D752" s="51">
        <v>67.0</v>
      </c>
      <c r="E752" s="52" t="s">
        <v>25</v>
      </c>
      <c r="F752" s="52" t="s">
        <v>26</v>
      </c>
      <c r="G752" s="53"/>
    </row>
    <row r="753">
      <c r="A753" s="49">
        <v>44520.511978333336</v>
      </c>
      <c r="B753" s="50">
        <v>44520.6369466203</v>
      </c>
      <c r="C753" s="51">
        <v>1.065</v>
      </c>
      <c r="D753" s="51">
        <v>67.0</v>
      </c>
      <c r="E753" s="52" t="s">
        <v>25</v>
      </c>
      <c r="F753" s="52" t="s">
        <v>26</v>
      </c>
      <c r="G753" s="53"/>
    </row>
    <row r="754">
      <c r="A754" s="49">
        <v>44520.52239246528</v>
      </c>
      <c r="B754" s="50">
        <v>44520.6473671527</v>
      </c>
      <c r="C754" s="51">
        <v>1.065</v>
      </c>
      <c r="D754" s="51">
        <v>67.0</v>
      </c>
      <c r="E754" s="52" t="s">
        <v>25</v>
      </c>
      <c r="F754" s="52" t="s">
        <v>26</v>
      </c>
      <c r="G754" s="53"/>
    </row>
    <row r="755">
      <c r="A755" s="49">
        <v>44520.53281596064</v>
      </c>
      <c r="B755" s="50">
        <v>44520.6577889814</v>
      </c>
      <c r="C755" s="51">
        <v>1.065</v>
      </c>
      <c r="D755" s="51">
        <v>67.0</v>
      </c>
      <c r="E755" s="52" t="s">
        <v>25</v>
      </c>
      <c r="F755" s="52" t="s">
        <v>26</v>
      </c>
      <c r="G755" s="53"/>
    </row>
    <row r="756">
      <c r="A756" s="49">
        <v>44520.54323915509</v>
      </c>
      <c r="B756" s="50">
        <v>44520.6682115046</v>
      </c>
      <c r="C756" s="51">
        <v>1.065</v>
      </c>
      <c r="D756" s="51">
        <v>67.0</v>
      </c>
      <c r="E756" s="52" t="s">
        <v>25</v>
      </c>
      <c r="F756" s="52" t="s">
        <v>26</v>
      </c>
      <c r="G756" s="53"/>
    </row>
    <row r="757">
      <c r="A757" s="49">
        <v>44520.55366002315</v>
      </c>
      <c r="B757" s="50">
        <v>44520.6786314467</v>
      </c>
      <c r="C757" s="51">
        <v>1.065</v>
      </c>
      <c r="D757" s="51">
        <v>67.0</v>
      </c>
      <c r="E757" s="52" t="s">
        <v>25</v>
      </c>
      <c r="F757" s="52" t="s">
        <v>26</v>
      </c>
      <c r="G757" s="53"/>
    </row>
    <row r="758">
      <c r="A758" s="49">
        <v>44520.564075902774</v>
      </c>
      <c r="B758" s="50">
        <v>44520.6890530092</v>
      </c>
      <c r="C758" s="51">
        <v>1.065</v>
      </c>
      <c r="D758" s="51">
        <v>67.0</v>
      </c>
      <c r="E758" s="52" t="s">
        <v>25</v>
      </c>
      <c r="F758" s="52" t="s">
        <v>26</v>
      </c>
      <c r="G758" s="53"/>
    </row>
    <row r="759">
      <c r="A759" s="49">
        <v>44520.57448953704</v>
      </c>
      <c r="B759" s="50">
        <v>44520.6994731481</v>
      </c>
      <c r="C759" s="51">
        <v>1.064</v>
      </c>
      <c r="D759" s="51">
        <v>67.0</v>
      </c>
      <c r="E759" s="52" t="s">
        <v>25</v>
      </c>
      <c r="F759" s="52" t="s">
        <v>26</v>
      </c>
      <c r="G759" s="53"/>
    </row>
    <row r="760">
      <c r="A760" s="49">
        <v>44520.58492731482</v>
      </c>
      <c r="B760" s="50">
        <v>44520.7099054513</v>
      </c>
      <c r="C760" s="51">
        <v>1.065</v>
      </c>
      <c r="D760" s="51">
        <v>67.0</v>
      </c>
      <c r="E760" s="52" t="s">
        <v>25</v>
      </c>
      <c r="F760" s="52" t="s">
        <v>26</v>
      </c>
      <c r="G760" s="53"/>
    </row>
    <row r="761">
      <c r="A761" s="49">
        <v>44520.59535849537</v>
      </c>
      <c r="B761" s="50">
        <v>44520.7203373958</v>
      </c>
      <c r="C761" s="51">
        <v>1.065</v>
      </c>
      <c r="D761" s="51">
        <v>67.0</v>
      </c>
      <c r="E761" s="52" t="s">
        <v>25</v>
      </c>
      <c r="F761" s="52" t="s">
        <v>26</v>
      </c>
      <c r="G761" s="53"/>
    </row>
    <row r="762">
      <c r="A762" s="49">
        <v>44520.605781736114</v>
      </c>
      <c r="B762" s="50">
        <v>44520.7307591087</v>
      </c>
      <c r="C762" s="51">
        <v>1.064</v>
      </c>
      <c r="D762" s="51">
        <v>67.0</v>
      </c>
      <c r="E762" s="52" t="s">
        <v>25</v>
      </c>
      <c r="F762" s="52" t="s">
        <v>26</v>
      </c>
      <c r="G762" s="53"/>
    </row>
    <row r="763">
      <c r="A763" s="49">
        <v>44520.61619797454</v>
      </c>
      <c r="B763" s="50">
        <v>44520.741179618</v>
      </c>
      <c r="C763" s="51">
        <v>1.064</v>
      </c>
      <c r="D763" s="51">
        <v>67.0</v>
      </c>
      <c r="E763" s="52" t="s">
        <v>25</v>
      </c>
      <c r="F763" s="52" t="s">
        <v>26</v>
      </c>
      <c r="G763" s="53"/>
    </row>
    <row r="764">
      <c r="A764" s="49">
        <v>44520.62663518518</v>
      </c>
      <c r="B764" s="50">
        <v>44520.7516123611</v>
      </c>
      <c r="C764" s="51">
        <v>1.064</v>
      </c>
      <c r="D764" s="51">
        <v>67.0</v>
      </c>
      <c r="E764" s="52" t="s">
        <v>25</v>
      </c>
      <c r="F764" s="52" t="s">
        <v>26</v>
      </c>
      <c r="G764" s="53"/>
    </row>
    <row r="765">
      <c r="A765" s="49">
        <v>44520.63705226852</v>
      </c>
      <c r="B765" s="50">
        <v>44520.7620326967</v>
      </c>
      <c r="C765" s="51">
        <v>1.064</v>
      </c>
      <c r="D765" s="51">
        <v>67.0</v>
      </c>
      <c r="E765" s="52" t="s">
        <v>25</v>
      </c>
      <c r="F765" s="52" t="s">
        <v>26</v>
      </c>
      <c r="G765" s="53"/>
    </row>
    <row r="766">
      <c r="A766" s="49">
        <v>44520.64747142361</v>
      </c>
      <c r="B766" s="50">
        <v>44520.7724545601</v>
      </c>
      <c r="C766" s="51">
        <v>1.064</v>
      </c>
      <c r="D766" s="51">
        <v>67.0</v>
      </c>
      <c r="E766" s="52" t="s">
        <v>25</v>
      </c>
      <c r="F766" s="52" t="s">
        <v>26</v>
      </c>
      <c r="G766" s="53"/>
    </row>
    <row r="767">
      <c r="A767" s="49">
        <v>44520.657897233796</v>
      </c>
      <c r="B767" s="50">
        <v>44520.7828760416</v>
      </c>
      <c r="C767" s="51">
        <v>1.064</v>
      </c>
      <c r="D767" s="51">
        <v>67.0</v>
      </c>
      <c r="E767" s="52" t="s">
        <v>25</v>
      </c>
      <c r="F767" s="52" t="s">
        <v>26</v>
      </c>
      <c r="G767" s="53"/>
    </row>
    <row r="768">
      <c r="A768" s="49">
        <v>44520.66831638889</v>
      </c>
      <c r="B768" s="50">
        <v>44520.7932979282</v>
      </c>
      <c r="C768" s="51">
        <v>1.064</v>
      </c>
      <c r="D768" s="51">
        <v>67.0</v>
      </c>
      <c r="E768" s="52" t="s">
        <v>25</v>
      </c>
      <c r="F768" s="52" t="s">
        <v>26</v>
      </c>
      <c r="G768" s="53"/>
    </row>
    <row r="769">
      <c r="A769" s="49">
        <v>44520.67874149306</v>
      </c>
      <c r="B769" s="50">
        <v>44520.8037184722</v>
      </c>
      <c r="C769" s="51">
        <v>1.064</v>
      </c>
      <c r="D769" s="51">
        <v>67.0</v>
      </c>
      <c r="E769" s="52" t="s">
        <v>25</v>
      </c>
      <c r="F769" s="52" t="s">
        <v>26</v>
      </c>
      <c r="G769" s="53"/>
    </row>
    <row r="770">
      <c r="A770" s="49">
        <v>44520.68915866898</v>
      </c>
      <c r="B770" s="50">
        <v>44520.8141382407</v>
      </c>
      <c r="C770" s="51">
        <v>1.064</v>
      </c>
      <c r="D770" s="51">
        <v>67.0</v>
      </c>
      <c r="E770" s="52" t="s">
        <v>25</v>
      </c>
      <c r="F770" s="52" t="s">
        <v>26</v>
      </c>
      <c r="G770" s="53"/>
    </row>
    <row r="771">
      <c r="A771" s="49">
        <v>44520.699588564814</v>
      </c>
      <c r="B771" s="50">
        <v>44520.8245603587</v>
      </c>
      <c r="C771" s="51">
        <v>1.064</v>
      </c>
      <c r="D771" s="51">
        <v>67.0</v>
      </c>
      <c r="E771" s="52" t="s">
        <v>25</v>
      </c>
      <c r="F771" s="52" t="s">
        <v>26</v>
      </c>
      <c r="G771" s="53"/>
    </row>
    <row r="772">
      <c r="A772" s="49">
        <v>44520.70999746528</v>
      </c>
      <c r="B772" s="50">
        <v>44520.8349801851</v>
      </c>
      <c r="C772" s="51">
        <v>1.064</v>
      </c>
      <c r="D772" s="51">
        <v>67.0</v>
      </c>
      <c r="E772" s="52" t="s">
        <v>25</v>
      </c>
      <c r="F772" s="52" t="s">
        <v>26</v>
      </c>
      <c r="G772" s="53"/>
    </row>
    <row r="773">
      <c r="A773" s="49">
        <v>44520.72042546296</v>
      </c>
      <c r="B773" s="50">
        <v>44520.845400162</v>
      </c>
      <c r="C773" s="51">
        <v>1.064</v>
      </c>
      <c r="D773" s="51">
        <v>67.0</v>
      </c>
      <c r="E773" s="52" t="s">
        <v>25</v>
      </c>
      <c r="F773" s="52" t="s">
        <v>26</v>
      </c>
      <c r="G773" s="53"/>
    </row>
    <row r="774">
      <c r="A774" s="49">
        <v>44520.73084239583</v>
      </c>
      <c r="B774" s="50">
        <v>44520.8558212731</v>
      </c>
      <c r="C774" s="51">
        <v>1.064</v>
      </c>
      <c r="D774" s="51">
        <v>67.0</v>
      </c>
      <c r="E774" s="52" t="s">
        <v>25</v>
      </c>
      <c r="F774" s="52" t="s">
        <v>26</v>
      </c>
      <c r="G774" s="53"/>
    </row>
    <row r="775">
      <c r="A775" s="49">
        <v>44520.741263958334</v>
      </c>
      <c r="B775" s="50">
        <v>44520.8662425</v>
      </c>
      <c r="C775" s="51">
        <v>1.064</v>
      </c>
      <c r="D775" s="51">
        <v>67.0</v>
      </c>
      <c r="E775" s="52" t="s">
        <v>25</v>
      </c>
      <c r="F775" s="52" t="s">
        <v>26</v>
      </c>
      <c r="G775" s="53"/>
    </row>
    <row r="776">
      <c r="A776" s="49">
        <v>44520.75168479167</v>
      </c>
      <c r="B776" s="50">
        <v>44520.8766628703</v>
      </c>
      <c r="C776" s="51">
        <v>1.064</v>
      </c>
      <c r="D776" s="51">
        <v>67.0</v>
      </c>
      <c r="E776" s="52" t="s">
        <v>25</v>
      </c>
      <c r="F776" s="52" t="s">
        <v>26</v>
      </c>
      <c r="G776" s="53"/>
    </row>
    <row r="777">
      <c r="A777" s="49">
        <v>44520.762108055555</v>
      </c>
      <c r="B777" s="50">
        <v>44520.8870854861</v>
      </c>
      <c r="C777" s="51">
        <v>1.064</v>
      </c>
      <c r="D777" s="51">
        <v>67.0</v>
      </c>
      <c r="E777" s="52" t="s">
        <v>25</v>
      </c>
      <c r="F777" s="52" t="s">
        <v>26</v>
      </c>
      <c r="G777" s="53"/>
    </row>
    <row r="778">
      <c r="A778" s="49">
        <v>44520.77253271991</v>
      </c>
      <c r="B778" s="50">
        <v>44520.897508449</v>
      </c>
      <c r="C778" s="51">
        <v>1.064</v>
      </c>
      <c r="D778" s="51">
        <v>67.0</v>
      </c>
      <c r="E778" s="52" t="s">
        <v>25</v>
      </c>
      <c r="F778" s="52" t="s">
        <v>26</v>
      </c>
      <c r="G778" s="53"/>
    </row>
    <row r="779">
      <c r="A779" s="49">
        <v>44520.782949988425</v>
      </c>
      <c r="B779" s="50">
        <v>44520.9079281828</v>
      </c>
      <c r="C779" s="51">
        <v>1.064</v>
      </c>
      <c r="D779" s="51">
        <v>67.0</v>
      </c>
      <c r="E779" s="52" t="s">
        <v>25</v>
      </c>
      <c r="F779" s="52" t="s">
        <v>26</v>
      </c>
      <c r="G779" s="53"/>
    </row>
    <row r="780">
      <c r="A780" s="49">
        <v>44520.79338930556</v>
      </c>
      <c r="B780" s="50">
        <v>44520.9183597337</v>
      </c>
      <c r="C780" s="51">
        <v>1.064</v>
      </c>
      <c r="D780" s="51">
        <v>67.0</v>
      </c>
      <c r="E780" s="52" t="s">
        <v>25</v>
      </c>
      <c r="F780" s="52" t="s">
        <v>26</v>
      </c>
      <c r="G780" s="53"/>
    </row>
    <row r="781">
      <c r="A781" s="49">
        <v>44520.80380627315</v>
      </c>
      <c r="B781" s="50">
        <v>44520.9287814236</v>
      </c>
      <c r="C781" s="51">
        <v>1.064</v>
      </c>
      <c r="D781" s="51">
        <v>67.0</v>
      </c>
      <c r="E781" s="52" t="s">
        <v>25</v>
      </c>
      <c r="F781" s="52" t="s">
        <v>26</v>
      </c>
      <c r="G781" s="53"/>
    </row>
    <row r="782">
      <c r="A782" s="49">
        <v>44520.81421835648</v>
      </c>
      <c r="B782" s="50">
        <v>44520.9392020023</v>
      </c>
      <c r="C782" s="51">
        <v>1.063</v>
      </c>
      <c r="D782" s="51">
        <v>67.0</v>
      </c>
      <c r="E782" s="52" t="s">
        <v>25</v>
      </c>
      <c r="F782" s="52" t="s">
        <v>26</v>
      </c>
      <c r="G782" s="53"/>
    </row>
    <row r="783">
      <c r="A783" s="49">
        <v>44520.824648622685</v>
      </c>
      <c r="B783" s="50">
        <v>44520.9496230787</v>
      </c>
      <c r="C783" s="51">
        <v>1.064</v>
      </c>
      <c r="D783" s="51">
        <v>67.0</v>
      </c>
      <c r="E783" s="52" t="s">
        <v>25</v>
      </c>
      <c r="F783" s="52" t="s">
        <v>26</v>
      </c>
      <c r="G783" s="53"/>
    </row>
    <row r="784">
      <c r="A784" s="49">
        <v>44520.83506377315</v>
      </c>
      <c r="B784" s="50">
        <v>44520.9600440856</v>
      </c>
      <c r="C784" s="51">
        <v>1.064</v>
      </c>
      <c r="D784" s="51">
        <v>67.0</v>
      </c>
      <c r="E784" s="52" t="s">
        <v>25</v>
      </c>
      <c r="F784" s="52" t="s">
        <v>26</v>
      </c>
      <c r="G784" s="53"/>
    </row>
    <row r="785">
      <c r="A785" s="49">
        <v>44520.84548216435</v>
      </c>
      <c r="B785" s="50">
        <v>44520.9704646874</v>
      </c>
      <c r="C785" s="51">
        <v>1.063</v>
      </c>
      <c r="D785" s="51">
        <v>67.0</v>
      </c>
      <c r="E785" s="52" t="s">
        <v>25</v>
      </c>
      <c r="F785" s="52" t="s">
        <v>26</v>
      </c>
      <c r="G785" s="53"/>
    </row>
    <row r="786">
      <c r="A786" s="49">
        <v>44520.85590954861</v>
      </c>
      <c r="B786" s="50">
        <v>44520.9808851273</v>
      </c>
      <c r="C786" s="51">
        <v>1.063</v>
      </c>
      <c r="D786" s="51">
        <v>67.0</v>
      </c>
      <c r="E786" s="52" t="s">
        <v>25</v>
      </c>
      <c r="F786" s="52" t="s">
        <v>26</v>
      </c>
      <c r="G786" s="53"/>
    </row>
    <row r="787">
      <c r="A787" s="49">
        <v>44520.86633953704</v>
      </c>
      <c r="B787" s="50">
        <v>44520.9913168518</v>
      </c>
      <c r="C787" s="51">
        <v>1.063</v>
      </c>
      <c r="D787" s="51">
        <v>67.0</v>
      </c>
      <c r="E787" s="52" t="s">
        <v>25</v>
      </c>
      <c r="F787" s="52" t="s">
        <v>26</v>
      </c>
      <c r="G787" s="53"/>
    </row>
    <row r="788">
      <c r="A788" s="49">
        <v>44520.87676158565</v>
      </c>
      <c r="B788" s="50">
        <v>44521.0017381365</v>
      </c>
      <c r="C788" s="51">
        <v>1.063</v>
      </c>
      <c r="D788" s="51">
        <v>67.0</v>
      </c>
      <c r="E788" s="52" t="s">
        <v>25</v>
      </c>
      <c r="F788" s="52" t="s">
        <v>26</v>
      </c>
      <c r="G788" s="53"/>
    </row>
    <row r="789">
      <c r="A789" s="49">
        <v>44520.88717545139</v>
      </c>
      <c r="B789" s="50">
        <v>44521.0121585069</v>
      </c>
      <c r="C789" s="51">
        <v>1.063</v>
      </c>
      <c r="D789" s="51">
        <v>67.0</v>
      </c>
      <c r="E789" s="52" t="s">
        <v>25</v>
      </c>
      <c r="F789" s="52" t="s">
        <v>26</v>
      </c>
      <c r="G789" s="53"/>
    </row>
    <row r="790">
      <c r="A790" s="49">
        <v>44520.8976047801</v>
      </c>
      <c r="B790" s="50">
        <v>44521.02257875</v>
      </c>
      <c r="C790" s="51">
        <v>1.063</v>
      </c>
      <c r="D790" s="51">
        <v>67.0</v>
      </c>
      <c r="E790" s="52" t="s">
        <v>25</v>
      </c>
      <c r="F790" s="52" t="s">
        <v>26</v>
      </c>
      <c r="G790" s="53"/>
    </row>
    <row r="791">
      <c r="A791" s="49">
        <v>44520.908023854165</v>
      </c>
      <c r="B791" s="50">
        <v>44521.032999074</v>
      </c>
      <c r="C791" s="51">
        <v>1.063</v>
      </c>
      <c r="D791" s="51">
        <v>67.0</v>
      </c>
      <c r="E791" s="52" t="s">
        <v>25</v>
      </c>
      <c r="F791" s="52" t="s">
        <v>26</v>
      </c>
      <c r="G791" s="53"/>
    </row>
    <row r="792">
      <c r="A792" s="49">
        <v>44520.91844537037</v>
      </c>
      <c r="B792" s="50">
        <v>44521.0434223379</v>
      </c>
      <c r="C792" s="51">
        <v>1.063</v>
      </c>
      <c r="D792" s="51">
        <v>67.0</v>
      </c>
      <c r="E792" s="52" t="s">
        <v>25</v>
      </c>
      <c r="F792" s="52" t="s">
        <v>26</v>
      </c>
      <c r="G792" s="53"/>
    </row>
    <row r="793">
      <c r="A793" s="49">
        <v>44520.928875763886</v>
      </c>
      <c r="B793" s="50">
        <v>44521.0538421643</v>
      </c>
      <c r="C793" s="51">
        <v>1.063</v>
      </c>
      <c r="D793" s="51">
        <v>67.0</v>
      </c>
      <c r="E793" s="52" t="s">
        <v>25</v>
      </c>
      <c r="F793" s="52" t="s">
        <v>26</v>
      </c>
      <c r="G793" s="53"/>
    </row>
    <row r="794">
      <c r="A794" s="49">
        <v>44520.93928258102</v>
      </c>
      <c r="B794" s="50">
        <v>44521.0642654166</v>
      </c>
      <c r="C794" s="51">
        <v>1.063</v>
      </c>
      <c r="D794" s="51">
        <v>67.0</v>
      </c>
      <c r="E794" s="52" t="s">
        <v>25</v>
      </c>
      <c r="F794" s="52" t="s">
        <v>26</v>
      </c>
      <c r="G794" s="53"/>
    </row>
    <row r="795">
      <c r="A795" s="49">
        <v>44520.949711284724</v>
      </c>
      <c r="B795" s="50">
        <v>44521.0746878472</v>
      </c>
      <c r="C795" s="51">
        <v>1.063</v>
      </c>
      <c r="D795" s="51">
        <v>67.0</v>
      </c>
      <c r="E795" s="52" t="s">
        <v>25</v>
      </c>
      <c r="F795" s="52" t="s">
        <v>26</v>
      </c>
      <c r="G795" s="53"/>
    </row>
    <row r="796">
      <c r="A796" s="49">
        <v>44520.96013579861</v>
      </c>
      <c r="B796" s="50">
        <v>44521.0851082407</v>
      </c>
      <c r="C796" s="51">
        <v>1.063</v>
      </c>
      <c r="D796" s="51">
        <v>67.0</v>
      </c>
      <c r="E796" s="52" t="s">
        <v>25</v>
      </c>
      <c r="F796" s="52" t="s">
        <v>26</v>
      </c>
      <c r="G796" s="53"/>
    </row>
    <row r="797">
      <c r="A797" s="49">
        <v>44520.97055496528</v>
      </c>
      <c r="B797" s="50">
        <v>44521.0955403935</v>
      </c>
      <c r="C797" s="51">
        <v>1.062</v>
      </c>
      <c r="D797" s="51">
        <v>67.0</v>
      </c>
      <c r="E797" s="52" t="s">
        <v>25</v>
      </c>
      <c r="F797" s="52" t="s">
        <v>26</v>
      </c>
      <c r="G797" s="53"/>
    </row>
    <row r="798">
      <c r="A798" s="49">
        <v>44520.98097875</v>
      </c>
      <c r="B798" s="50">
        <v>44521.105958831</v>
      </c>
      <c r="C798" s="51">
        <v>1.062</v>
      </c>
      <c r="D798" s="51">
        <v>67.0</v>
      </c>
      <c r="E798" s="52" t="s">
        <v>25</v>
      </c>
      <c r="F798" s="52" t="s">
        <v>26</v>
      </c>
      <c r="G798" s="53"/>
    </row>
    <row r="799">
      <c r="A799" s="49">
        <v>44520.9914105787</v>
      </c>
      <c r="B799" s="50">
        <v>44521.1163792708</v>
      </c>
      <c r="C799" s="51">
        <v>1.062</v>
      </c>
      <c r="D799" s="51">
        <v>67.0</v>
      </c>
      <c r="E799" s="52" t="s">
        <v>25</v>
      </c>
      <c r="F799" s="52" t="s">
        <v>26</v>
      </c>
      <c r="G799" s="53"/>
    </row>
    <row r="800">
      <c r="A800" s="49">
        <v>44521.00181631945</v>
      </c>
      <c r="B800" s="50">
        <v>44521.1268017013</v>
      </c>
      <c r="C800" s="51">
        <v>1.062</v>
      </c>
      <c r="D800" s="51">
        <v>67.0</v>
      </c>
      <c r="E800" s="52" t="s">
        <v>25</v>
      </c>
      <c r="F800" s="52" t="s">
        <v>26</v>
      </c>
      <c r="G800" s="53"/>
    </row>
    <row r="801">
      <c r="A801" s="49">
        <v>44521.01224325231</v>
      </c>
      <c r="B801" s="50">
        <v>44521.1372222453</v>
      </c>
      <c r="C801" s="51">
        <v>1.062</v>
      </c>
      <c r="D801" s="51">
        <v>67.0</v>
      </c>
      <c r="E801" s="52" t="s">
        <v>25</v>
      </c>
      <c r="F801" s="52" t="s">
        <v>26</v>
      </c>
      <c r="G801" s="53"/>
    </row>
    <row r="802">
      <c r="A802" s="49">
        <v>44521.022668749996</v>
      </c>
      <c r="B802" s="50">
        <v>44521.1476443171</v>
      </c>
      <c r="C802" s="51">
        <v>1.062</v>
      </c>
      <c r="D802" s="51">
        <v>67.0</v>
      </c>
      <c r="E802" s="52" t="s">
        <v>25</v>
      </c>
      <c r="F802" s="52" t="s">
        <v>26</v>
      </c>
      <c r="G802" s="53"/>
    </row>
    <row r="803">
      <c r="A803" s="49">
        <v>44521.03308891204</v>
      </c>
      <c r="B803" s="50">
        <v>44521.1580651157</v>
      </c>
      <c r="C803" s="51">
        <v>1.062</v>
      </c>
      <c r="D803" s="51">
        <v>67.0</v>
      </c>
      <c r="E803" s="52" t="s">
        <v>25</v>
      </c>
      <c r="F803" s="52" t="s">
        <v>26</v>
      </c>
      <c r="G803" s="53"/>
    </row>
    <row r="804">
      <c r="A804" s="49">
        <v>44521.043517314814</v>
      </c>
      <c r="B804" s="50">
        <v>44521.1684990046</v>
      </c>
      <c r="C804" s="51">
        <v>1.062</v>
      </c>
      <c r="D804" s="51">
        <v>67.0</v>
      </c>
      <c r="E804" s="52" t="s">
        <v>25</v>
      </c>
      <c r="F804" s="52" t="s">
        <v>26</v>
      </c>
      <c r="G804" s="53"/>
    </row>
    <row r="805">
      <c r="A805" s="49">
        <v>44521.05394295139</v>
      </c>
      <c r="B805" s="50">
        <v>44521.1789195138</v>
      </c>
      <c r="C805" s="51">
        <v>1.062</v>
      </c>
      <c r="D805" s="51">
        <v>67.0</v>
      </c>
      <c r="E805" s="52" t="s">
        <v>25</v>
      </c>
      <c r="F805" s="52" t="s">
        <v>26</v>
      </c>
      <c r="G805" s="53"/>
    </row>
    <row r="806">
      <c r="A806" s="49">
        <v>44521.064361979166</v>
      </c>
      <c r="B806" s="50">
        <v>44521.1893419212</v>
      </c>
      <c r="C806" s="51">
        <v>1.062</v>
      </c>
      <c r="D806" s="51">
        <v>67.0</v>
      </c>
      <c r="E806" s="52" t="s">
        <v>25</v>
      </c>
      <c r="F806" s="52" t="s">
        <v>26</v>
      </c>
      <c r="G806" s="53"/>
    </row>
    <row r="807">
      <c r="A807" s="49">
        <v>44521.07482728009</v>
      </c>
      <c r="B807" s="50">
        <v>44521.1997986111</v>
      </c>
      <c r="C807" s="51">
        <v>1.062</v>
      </c>
      <c r="D807" s="51">
        <v>67.0</v>
      </c>
      <c r="E807" s="52" t="s">
        <v>25</v>
      </c>
      <c r="F807" s="52" t="s">
        <v>26</v>
      </c>
      <c r="G807" s="53"/>
    </row>
    <row r="808">
      <c r="A808" s="49">
        <v>44521.08525072917</v>
      </c>
      <c r="B808" s="50">
        <v>44521.2102204861</v>
      </c>
      <c r="C808" s="51">
        <v>1.062</v>
      </c>
      <c r="D808" s="51">
        <v>67.0</v>
      </c>
      <c r="E808" s="52" t="s">
        <v>25</v>
      </c>
      <c r="F808" s="52" t="s">
        <v>26</v>
      </c>
      <c r="G808" s="53"/>
    </row>
    <row r="809">
      <c r="A809" s="49">
        <v>44521.095671250005</v>
      </c>
      <c r="B809" s="50">
        <v>44521.220652118</v>
      </c>
      <c r="C809" s="51">
        <v>1.062</v>
      </c>
      <c r="D809" s="51">
        <v>67.0</v>
      </c>
      <c r="E809" s="52" t="s">
        <v>25</v>
      </c>
      <c r="F809" s="52" t="s">
        <v>26</v>
      </c>
      <c r="G809" s="53"/>
    </row>
    <row r="810">
      <c r="A810" s="49">
        <v>44521.10610310185</v>
      </c>
      <c r="B810" s="50">
        <v>44521.2310732754</v>
      </c>
      <c r="C810" s="51">
        <v>1.062</v>
      </c>
      <c r="D810" s="51">
        <v>67.0</v>
      </c>
      <c r="E810" s="52" t="s">
        <v>25</v>
      </c>
      <c r="F810" s="52" t="s">
        <v>26</v>
      </c>
      <c r="G810" s="53"/>
    </row>
    <row r="811">
      <c r="A811" s="49">
        <v>44521.116515127316</v>
      </c>
      <c r="B811" s="50">
        <v>44521.2414923726</v>
      </c>
      <c r="C811" s="51">
        <v>1.062</v>
      </c>
      <c r="D811" s="51">
        <v>67.0</v>
      </c>
      <c r="E811" s="52" t="s">
        <v>25</v>
      </c>
      <c r="F811" s="52" t="s">
        <v>26</v>
      </c>
      <c r="G811" s="53"/>
    </row>
    <row r="812">
      <c r="A812" s="49">
        <v>44521.12694072917</v>
      </c>
      <c r="B812" s="50">
        <v>44521.2519238888</v>
      </c>
      <c r="C812" s="51">
        <v>1.062</v>
      </c>
      <c r="D812" s="51">
        <v>67.0</v>
      </c>
      <c r="E812" s="52" t="s">
        <v>25</v>
      </c>
      <c r="F812" s="52" t="s">
        <v>26</v>
      </c>
      <c r="G812" s="53"/>
    </row>
    <row r="813">
      <c r="A813" s="49">
        <v>44521.13737822916</v>
      </c>
      <c r="B813" s="50">
        <v>44521.2623562037</v>
      </c>
      <c r="C813" s="51">
        <v>1.062</v>
      </c>
      <c r="D813" s="51">
        <v>67.0</v>
      </c>
      <c r="E813" s="52" t="s">
        <v>25</v>
      </c>
      <c r="F813" s="52" t="s">
        <v>26</v>
      </c>
      <c r="G813" s="53"/>
    </row>
    <row r="814">
      <c r="A814" s="49">
        <v>44521.14780648148</v>
      </c>
      <c r="B814" s="50">
        <v>44521.2727898148</v>
      </c>
      <c r="C814" s="51">
        <v>1.062</v>
      </c>
      <c r="D814" s="51">
        <v>67.0</v>
      </c>
      <c r="E814" s="52" t="s">
        <v>25</v>
      </c>
      <c r="F814" s="52" t="s">
        <v>26</v>
      </c>
      <c r="G814" s="53"/>
    </row>
    <row r="815">
      <c r="A815" s="49">
        <v>44521.15823134259</v>
      </c>
      <c r="B815" s="50">
        <v>44521.2832101157</v>
      </c>
      <c r="C815" s="51">
        <v>1.062</v>
      </c>
      <c r="D815" s="51">
        <v>67.0</v>
      </c>
      <c r="E815" s="52" t="s">
        <v>25</v>
      </c>
      <c r="F815" s="52" t="s">
        <v>26</v>
      </c>
      <c r="G815" s="53"/>
    </row>
    <row r="816">
      <c r="A816" s="49">
        <v>44521.16865577546</v>
      </c>
      <c r="B816" s="50">
        <v>44521.2936314236</v>
      </c>
      <c r="C816" s="51">
        <v>1.062</v>
      </c>
      <c r="D816" s="51">
        <v>67.0</v>
      </c>
      <c r="E816" s="52" t="s">
        <v>25</v>
      </c>
      <c r="F816" s="52" t="s">
        <v>26</v>
      </c>
      <c r="G816" s="53"/>
    </row>
    <row r="817">
      <c r="A817" s="49">
        <v>44521.179078368055</v>
      </c>
      <c r="B817" s="50">
        <v>44521.3040523263</v>
      </c>
      <c r="C817" s="51">
        <v>1.061</v>
      </c>
      <c r="D817" s="51">
        <v>67.0</v>
      </c>
      <c r="E817" s="52" t="s">
        <v>25</v>
      </c>
      <c r="F817" s="52" t="s">
        <v>26</v>
      </c>
      <c r="G817" s="53"/>
    </row>
    <row r="818">
      <c r="A818" s="49">
        <v>44521.18950709491</v>
      </c>
      <c r="B818" s="50">
        <v>44521.314475162</v>
      </c>
      <c r="C818" s="51">
        <v>1.061</v>
      </c>
      <c r="D818" s="51">
        <v>67.0</v>
      </c>
      <c r="E818" s="52" t="s">
        <v>25</v>
      </c>
      <c r="F818" s="52" t="s">
        <v>26</v>
      </c>
      <c r="G818" s="53"/>
    </row>
    <row r="819">
      <c r="A819" s="49">
        <v>44521.19993106481</v>
      </c>
      <c r="B819" s="50">
        <v>44521.324907662</v>
      </c>
      <c r="C819" s="51">
        <v>1.062</v>
      </c>
      <c r="D819" s="51">
        <v>67.0</v>
      </c>
      <c r="E819" s="52" t="s">
        <v>25</v>
      </c>
      <c r="F819" s="52" t="s">
        <v>26</v>
      </c>
      <c r="G819" s="53"/>
    </row>
    <row r="820">
      <c r="A820" s="49">
        <v>44521.210362048616</v>
      </c>
      <c r="B820" s="50">
        <v>44521.3353398379</v>
      </c>
      <c r="C820" s="51">
        <v>1.061</v>
      </c>
      <c r="D820" s="51">
        <v>67.0</v>
      </c>
      <c r="E820" s="52" t="s">
        <v>25</v>
      </c>
      <c r="F820" s="52" t="s">
        <v>26</v>
      </c>
      <c r="G820" s="53"/>
    </row>
    <row r="821">
      <c r="A821" s="49">
        <v>44521.22078859954</v>
      </c>
      <c r="B821" s="50">
        <v>44521.3457735995</v>
      </c>
      <c r="C821" s="51">
        <v>1.061</v>
      </c>
      <c r="D821" s="51">
        <v>67.0</v>
      </c>
      <c r="E821" s="52" t="s">
        <v>25</v>
      </c>
      <c r="F821" s="52" t="s">
        <v>26</v>
      </c>
      <c r="G821" s="53"/>
    </row>
    <row r="822">
      <c r="A822" s="49">
        <v>44521.23121783565</v>
      </c>
      <c r="B822" s="50">
        <v>44521.3561943402</v>
      </c>
      <c r="C822" s="51">
        <v>1.061</v>
      </c>
      <c r="D822" s="51">
        <v>67.0</v>
      </c>
      <c r="E822" s="52" t="s">
        <v>25</v>
      </c>
      <c r="F822" s="52" t="s">
        <v>26</v>
      </c>
      <c r="G822" s="53"/>
    </row>
    <row r="823">
      <c r="A823" s="49">
        <v>44521.241635983795</v>
      </c>
      <c r="B823" s="50">
        <v>44521.3666145601</v>
      </c>
      <c r="C823" s="51">
        <v>1.061</v>
      </c>
      <c r="D823" s="51">
        <v>67.0</v>
      </c>
      <c r="E823" s="52" t="s">
        <v>25</v>
      </c>
      <c r="F823" s="52" t="s">
        <v>26</v>
      </c>
      <c r="G823" s="53"/>
    </row>
    <row r="824">
      <c r="A824" s="49">
        <v>44521.252051724536</v>
      </c>
      <c r="B824" s="50">
        <v>44521.3770350231</v>
      </c>
      <c r="C824" s="51">
        <v>1.061</v>
      </c>
      <c r="D824" s="51">
        <v>67.0</v>
      </c>
      <c r="E824" s="52" t="s">
        <v>25</v>
      </c>
      <c r="F824" s="52" t="s">
        <v>26</v>
      </c>
      <c r="G824" s="53"/>
    </row>
    <row r="825">
      <c r="A825" s="49">
        <v>44521.26247631945</v>
      </c>
      <c r="B825" s="50">
        <v>44521.3874562847</v>
      </c>
      <c r="C825" s="51">
        <v>1.061</v>
      </c>
      <c r="D825" s="51">
        <v>67.0</v>
      </c>
      <c r="E825" s="52" t="s">
        <v>25</v>
      </c>
      <c r="F825" s="52" t="s">
        <v>26</v>
      </c>
      <c r="G825" s="53"/>
    </row>
    <row r="826">
      <c r="A826" s="49">
        <v>44521.27289392361</v>
      </c>
      <c r="B826" s="50">
        <v>44521.397876493</v>
      </c>
      <c r="C826" s="51">
        <v>1.061</v>
      </c>
      <c r="D826" s="51">
        <v>67.0</v>
      </c>
      <c r="E826" s="52" t="s">
        <v>25</v>
      </c>
      <c r="F826" s="52" t="s">
        <v>26</v>
      </c>
      <c r="G826" s="53"/>
    </row>
    <row r="827">
      <c r="A827" s="49">
        <v>44521.283316030094</v>
      </c>
      <c r="B827" s="50">
        <v>44521.4082965624</v>
      </c>
      <c r="C827" s="51">
        <v>1.061</v>
      </c>
      <c r="D827" s="51">
        <v>67.0</v>
      </c>
      <c r="E827" s="52" t="s">
        <v>25</v>
      </c>
      <c r="F827" s="52" t="s">
        <v>26</v>
      </c>
      <c r="G827" s="53"/>
    </row>
    <row r="828">
      <c r="A828" s="49">
        <v>44521.293750509256</v>
      </c>
      <c r="B828" s="50">
        <v>44521.4187289699</v>
      </c>
      <c r="C828" s="51">
        <v>1.061</v>
      </c>
      <c r="D828" s="51">
        <v>67.0</v>
      </c>
      <c r="E828" s="52" t="s">
        <v>25</v>
      </c>
      <c r="F828" s="52" t="s">
        <v>26</v>
      </c>
      <c r="G828" s="53"/>
    </row>
    <row r="829">
      <c r="A829" s="49">
        <v>44521.30416652778</v>
      </c>
      <c r="B829" s="50">
        <v>44521.4291509953</v>
      </c>
      <c r="C829" s="51">
        <v>1.061</v>
      </c>
      <c r="D829" s="51">
        <v>67.0</v>
      </c>
      <c r="E829" s="52" t="s">
        <v>25</v>
      </c>
      <c r="F829" s="52" t="s">
        <v>26</v>
      </c>
      <c r="G829" s="53"/>
    </row>
    <row r="830">
      <c r="A830" s="49">
        <v>44521.3145984838</v>
      </c>
      <c r="B830" s="50">
        <v>44521.439572581</v>
      </c>
      <c r="C830" s="51">
        <v>1.061</v>
      </c>
      <c r="D830" s="51">
        <v>67.0</v>
      </c>
      <c r="E830" s="52" t="s">
        <v>25</v>
      </c>
      <c r="F830" s="52" t="s">
        <v>26</v>
      </c>
      <c r="G830" s="53"/>
    </row>
    <row r="831">
      <c r="A831" s="49">
        <v>44521.32501606482</v>
      </c>
      <c r="B831" s="50">
        <v>44521.4499944444</v>
      </c>
      <c r="C831" s="51">
        <v>1.061</v>
      </c>
      <c r="D831" s="51">
        <v>67.0</v>
      </c>
      <c r="E831" s="52" t="s">
        <v>25</v>
      </c>
      <c r="F831" s="52" t="s">
        <v>26</v>
      </c>
      <c r="G831" s="53"/>
    </row>
    <row r="832">
      <c r="A832" s="49">
        <v>44521.33543693287</v>
      </c>
      <c r="B832" s="50">
        <v>44521.4604154745</v>
      </c>
      <c r="C832" s="51">
        <v>1.061</v>
      </c>
      <c r="D832" s="51">
        <v>67.0</v>
      </c>
      <c r="E832" s="52" t="s">
        <v>25</v>
      </c>
      <c r="F832" s="52" t="s">
        <v>26</v>
      </c>
      <c r="G832" s="53"/>
    </row>
    <row r="833">
      <c r="A833" s="49">
        <v>44521.34585506945</v>
      </c>
      <c r="B833" s="50">
        <v>44521.4708371759</v>
      </c>
      <c r="C833" s="51">
        <v>1.061</v>
      </c>
      <c r="D833" s="51">
        <v>67.0</v>
      </c>
      <c r="E833" s="52" t="s">
        <v>25</v>
      </c>
      <c r="F833" s="52" t="s">
        <v>26</v>
      </c>
      <c r="G833" s="53"/>
    </row>
    <row r="834">
      <c r="A834" s="49">
        <v>44521.35628439815</v>
      </c>
      <c r="B834" s="50">
        <v>44521.4812596527</v>
      </c>
      <c r="C834" s="51">
        <v>1.061</v>
      </c>
      <c r="D834" s="51">
        <v>67.0</v>
      </c>
      <c r="E834" s="52" t="s">
        <v>25</v>
      </c>
      <c r="F834" s="52" t="s">
        <v>26</v>
      </c>
      <c r="G834" s="53"/>
    </row>
    <row r="835">
      <c r="A835" s="49">
        <v>44521.3667003125</v>
      </c>
      <c r="B835" s="50">
        <v>44521.4916793749</v>
      </c>
      <c r="C835" s="51">
        <v>1.061</v>
      </c>
      <c r="D835" s="51">
        <v>67.0</v>
      </c>
      <c r="E835" s="52" t="s">
        <v>25</v>
      </c>
      <c r="F835" s="52" t="s">
        <v>26</v>
      </c>
      <c r="G835" s="53"/>
    </row>
    <row r="836">
      <c r="A836" s="49">
        <v>44521.37712200232</v>
      </c>
      <c r="B836" s="50">
        <v>44521.5021006481</v>
      </c>
      <c r="C836" s="51">
        <v>1.061</v>
      </c>
      <c r="D836" s="51">
        <v>67.0</v>
      </c>
      <c r="E836" s="52" t="s">
        <v>25</v>
      </c>
      <c r="F836" s="52" t="s">
        <v>26</v>
      </c>
      <c r="G836" s="53"/>
    </row>
    <row r="837">
      <c r="A837" s="49">
        <v>44521.387559016206</v>
      </c>
      <c r="B837" s="50">
        <v>44521.5125321527</v>
      </c>
      <c r="C837" s="51">
        <v>1.061</v>
      </c>
      <c r="D837" s="51">
        <v>67.0</v>
      </c>
      <c r="E837" s="52" t="s">
        <v>25</v>
      </c>
      <c r="F837" s="52" t="s">
        <v>26</v>
      </c>
      <c r="G837" s="53"/>
    </row>
    <row r="838">
      <c r="A838" s="49">
        <v>44521.397973217594</v>
      </c>
      <c r="B838" s="50">
        <v>44521.522953912</v>
      </c>
      <c r="C838" s="51">
        <v>1.061</v>
      </c>
      <c r="D838" s="51">
        <v>67.0</v>
      </c>
      <c r="E838" s="52" t="s">
        <v>25</v>
      </c>
      <c r="F838" s="52" t="s">
        <v>26</v>
      </c>
      <c r="G838" s="53"/>
    </row>
    <row r="839">
      <c r="A839" s="49">
        <v>44521.408399085645</v>
      </c>
      <c r="B839" s="50">
        <v>44521.5333757291</v>
      </c>
      <c r="C839" s="51">
        <v>1.06</v>
      </c>
      <c r="D839" s="51">
        <v>67.0</v>
      </c>
      <c r="E839" s="52" t="s">
        <v>25</v>
      </c>
      <c r="F839" s="52" t="s">
        <v>26</v>
      </c>
      <c r="G839" s="53"/>
    </row>
    <row r="840">
      <c r="A840" s="49">
        <v>44521.418824340275</v>
      </c>
      <c r="B840" s="50">
        <v>44521.5437968171</v>
      </c>
      <c r="C840" s="51">
        <v>1.061</v>
      </c>
      <c r="D840" s="51">
        <v>67.0</v>
      </c>
      <c r="E840" s="52" t="s">
        <v>25</v>
      </c>
      <c r="F840" s="52" t="s">
        <v>26</v>
      </c>
      <c r="G840" s="53"/>
    </row>
    <row r="841">
      <c r="A841" s="49">
        <v>44521.429234571755</v>
      </c>
      <c r="B841" s="50">
        <v>44521.554218912</v>
      </c>
      <c r="C841" s="51">
        <v>1.06</v>
      </c>
      <c r="D841" s="51">
        <v>67.0</v>
      </c>
      <c r="E841" s="52" t="s">
        <v>25</v>
      </c>
      <c r="F841" s="52" t="s">
        <v>26</v>
      </c>
      <c r="G841" s="53"/>
    </row>
    <row r="842">
      <c r="A842" s="49">
        <v>44521.439656041664</v>
      </c>
      <c r="B842" s="50">
        <v>44521.5646386226</v>
      </c>
      <c r="C842" s="51">
        <v>1.06</v>
      </c>
      <c r="D842" s="51">
        <v>68.0</v>
      </c>
      <c r="E842" s="52" t="s">
        <v>25</v>
      </c>
      <c r="F842" s="52" t="s">
        <v>26</v>
      </c>
      <c r="G842" s="53"/>
    </row>
    <row r="843">
      <c r="A843" s="49">
        <v>44521.4500796875</v>
      </c>
      <c r="B843" s="50">
        <v>44521.5750604861</v>
      </c>
      <c r="C843" s="51">
        <v>1.06</v>
      </c>
      <c r="D843" s="51">
        <v>68.0</v>
      </c>
      <c r="E843" s="52" t="s">
        <v>25</v>
      </c>
      <c r="F843" s="52" t="s">
        <v>26</v>
      </c>
      <c r="G843" s="53"/>
    </row>
    <row r="844">
      <c r="A844" s="49">
        <v>44521.46052865741</v>
      </c>
      <c r="B844" s="50">
        <v>44521.5855051504</v>
      </c>
      <c r="C844" s="51">
        <v>1.06</v>
      </c>
      <c r="D844" s="51">
        <v>67.0</v>
      </c>
      <c r="E844" s="52" t="s">
        <v>25</v>
      </c>
      <c r="F844" s="52" t="s">
        <v>26</v>
      </c>
      <c r="G844" s="53"/>
    </row>
    <row r="845">
      <c r="A845" s="49">
        <v>44521.47094655092</v>
      </c>
      <c r="B845" s="50">
        <v>44521.5959267013</v>
      </c>
      <c r="C845" s="51">
        <v>1.06</v>
      </c>
      <c r="D845" s="51">
        <v>68.0</v>
      </c>
      <c r="E845" s="52" t="s">
        <v>25</v>
      </c>
      <c r="F845" s="52" t="s">
        <v>26</v>
      </c>
      <c r="G845" s="53"/>
    </row>
    <row r="846">
      <c r="A846" s="49">
        <v>44521.481378958335</v>
      </c>
      <c r="B846" s="50">
        <v>44521.6063574189</v>
      </c>
      <c r="C846" s="51">
        <v>1.06</v>
      </c>
      <c r="D846" s="51">
        <v>67.0</v>
      </c>
      <c r="E846" s="52" t="s">
        <v>25</v>
      </c>
      <c r="F846" s="52" t="s">
        <v>26</v>
      </c>
      <c r="G846" s="53"/>
    </row>
    <row r="847">
      <c r="A847" s="49">
        <v>44521.49180282408</v>
      </c>
      <c r="B847" s="50">
        <v>44521.6167787152</v>
      </c>
      <c r="C847" s="51">
        <v>1.06</v>
      </c>
      <c r="D847" s="51">
        <v>68.0</v>
      </c>
      <c r="E847" s="52" t="s">
        <v>25</v>
      </c>
      <c r="F847" s="52" t="s">
        <v>26</v>
      </c>
      <c r="G847" s="53"/>
    </row>
    <row r="848">
      <c r="A848" s="49">
        <v>44521.50221892361</v>
      </c>
      <c r="B848" s="50">
        <v>44521.6272004976</v>
      </c>
      <c r="C848" s="51">
        <v>1.06</v>
      </c>
      <c r="D848" s="51">
        <v>68.0</v>
      </c>
      <c r="E848" s="52" t="s">
        <v>25</v>
      </c>
      <c r="F848" s="52" t="s">
        <v>26</v>
      </c>
      <c r="G848" s="53"/>
    </row>
    <row r="849">
      <c r="A849" s="49">
        <v>44521.51264675926</v>
      </c>
      <c r="B849" s="50">
        <v>44521.6376225347</v>
      </c>
      <c r="C849" s="51">
        <v>1.06</v>
      </c>
      <c r="D849" s="51">
        <v>68.0</v>
      </c>
      <c r="E849" s="52" t="s">
        <v>25</v>
      </c>
      <c r="F849" s="52" t="s">
        <v>26</v>
      </c>
      <c r="G849" s="53"/>
    </row>
    <row r="850">
      <c r="A850" s="49">
        <v>44521.523060625</v>
      </c>
      <c r="B850" s="50">
        <v>44521.648043125</v>
      </c>
      <c r="C850" s="51">
        <v>1.06</v>
      </c>
      <c r="D850" s="51">
        <v>67.0</v>
      </c>
      <c r="E850" s="52" t="s">
        <v>25</v>
      </c>
      <c r="F850" s="52" t="s">
        <v>26</v>
      </c>
      <c r="G850" s="53"/>
    </row>
    <row r="851">
      <c r="A851" s="49">
        <v>44521.533489340276</v>
      </c>
      <c r="B851" s="50">
        <v>44521.6584638194</v>
      </c>
      <c r="C851" s="51">
        <v>1.06</v>
      </c>
      <c r="D851" s="51">
        <v>67.0</v>
      </c>
      <c r="E851" s="52" t="s">
        <v>25</v>
      </c>
      <c r="F851" s="52" t="s">
        <v>26</v>
      </c>
      <c r="G851" s="53"/>
    </row>
    <row r="852">
      <c r="A852" s="49">
        <v>44521.54390186342</v>
      </c>
      <c r="B852" s="50">
        <v>44521.6688850231</v>
      </c>
      <c r="C852" s="51">
        <v>1.06</v>
      </c>
      <c r="D852" s="51">
        <v>67.0</v>
      </c>
      <c r="E852" s="52" t="s">
        <v>25</v>
      </c>
      <c r="F852" s="52" t="s">
        <v>26</v>
      </c>
      <c r="G852" s="53"/>
    </row>
    <row r="853">
      <c r="A853" s="49">
        <v>44521.55433359953</v>
      </c>
      <c r="B853" s="50">
        <v>44521.6793083796</v>
      </c>
      <c r="C853" s="51">
        <v>1.06</v>
      </c>
      <c r="D853" s="51">
        <v>67.0</v>
      </c>
      <c r="E853" s="52" t="s">
        <v>25</v>
      </c>
      <c r="F853" s="52" t="s">
        <v>26</v>
      </c>
      <c r="G853" s="53"/>
    </row>
    <row r="854">
      <c r="A854" s="49">
        <v>44521.56476206018</v>
      </c>
      <c r="B854" s="50">
        <v>44521.6897397916</v>
      </c>
      <c r="C854" s="51">
        <v>1.06</v>
      </c>
      <c r="D854" s="51">
        <v>67.0</v>
      </c>
      <c r="E854" s="52" t="s">
        <v>25</v>
      </c>
      <c r="F854" s="52" t="s">
        <v>26</v>
      </c>
      <c r="G854" s="53"/>
    </row>
    <row r="855">
      <c r="A855" s="49">
        <v>44521.57518994213</v>
      </c>
      <c r="B855" s="50">
        <v>44521.7001603356</v>
      </c>
      <c r="C855" s="51">
        <v>1.06</v>
      </c>
      <c r="D855" s="51">
        <v>67.0</v>
      </c>
      <c r="E855" s="52" t="s">
        <v>25</v>
      </c>
      <c r="F855" s="52" t="s">
        <v>26</v>
      </c>
      <c r="G855" s="53"/>
    </row>
    <row r="856">
      <c r="A856" s="49">
        <v>44521.585602499996</v>
      </c>
      <c r="B856" s="50">
        <v>44521.710581493</v>
      </c>
      <c r="C856" s="51">
        <v>1.06</v>
      </c>
      <c r="D856" s="51">
        <v>67.0</v>
      </c>
      <c r="E856" s="52" t="s">
        <v>25</v>
      </c>
      <c r="F856" s="52" t="s">
        <v>26</v>
      </c>
      <c r="G856" s="53"/>
    </row>
    <row r="857">
      <c r="A857" s="49">
        <v>44521.59603864583</v>
      </c>
      <c r="B857" s="50">
        <v>44521.721015081</v>
      </c>
      <c r="C857" s="51">
        <v>1.06</v>
      </c>
      <c r="D857" s="51">
        <v>68.0</v>
      </c>
      <c r="E857" s="52" t="s">
        <v>25</v>
      </c>
      <c r="F857" s="52" t="s">
        <v>26</v>
      </c>
      <c r="G857" s="53"/>
    </row>
    <row r="858">
      <c r="A858" s="49">
        <v>44521.60645383102</v>
      </c>
      <c r="B858" s="50">
        <v>44521.7314368055</v>
      </c>
      <c r="C858" s="51">
        <v>1.06</v>
      </c>
      <c r="D858" s="51">
        <v>68.0</v>
      </c>
      <c r="E858" s="52" t="s">
        <v>25</v>
      </c>
      <c r="F858" s="52" t="s">
        <v>26</v>
      </c>
      <c r="G858" s="53"/>
    </row>
    <row r="859">
      <c r="A859" s="49">
        <v>44521.61688425926</v>
      </c>
      <c r="B859" s="50">
        <v>44521.7418568518</v>
      </c>
      <c r="C859" s="51">
        <v>1.06</v>
      </c>
      <c r="D859" s="51">
        <v>67.0</v>
      </c>
      <c r="E859" s="52" t="s">
        <v>25</v>
      </c>
      <c r="F859" s="52" t="s">
        <v>26</v>
      </c>
      <c r="G859" s="53"/>
    </row>
    <row r="860">
      <c r="A860" s="49">
        <v>44521.62729936343</v>
      </c>
      <c r="B860" s="50">
        <v>44521.7522777199</v>
      </c>
      <c r="C860" s="51">
        <v>1.06</v>
      </c>
      <c r="D860" s="51">
        <v>68.0</v>
      </c>
      <c r="E860" s="52" t="s">
        <v>25</v>
      </c>
      <c r="F860" s="52" t="s">
        <v>26</v>
      </c>
      <c r="G860" s="53"/>
    </row>
    <row r="861">
      <c r="A861" s="49">
        <v>44521.637724155094</v>
      </c>
      <c r="B861" s="50">
        <v>44521.7626996527</v>
      </c>
      <c r="C861" s="51">
        <v>1.06</v>
      </c>
      <c r="D861" s="51">
        <v>68.0</v>
      </c>
      <c r="E861" s="52" t="s">
        <v>25</v>
      </c>
      <c r="F861" s="52" t="s">
        <v>26</v>
      </c>
      <c r="G861" s="53"/>
    </row>
    <row r="862">
      <c r="A862" s="49">
        <v>44521.6481406713</v>
      </c>
      <c r="B862" s="50">
        <v>44521.7731192592</v>
      </c>
      <c r="C862" s="51">
        <v>1.059</v>
      </c>
      <c r="D862" s="51">
        <v>68.0</v>
      </c>
      <c r="E862" s="52" t="s">
        <v>25</v>
      </c>
      <c r="F862" s="52" t="s">
        <v>26</v>
      </c>
      <c r="G862" s="53"/>
    </row>
    <row r="863">
      <c r="A863" s="49">
        <v>44521.65856726852</v>
      </c>
      <c r="B863" s="50">
        <v>44521.7835389351</v>
      </c>
      <c r="C863" s="51">
        <v>1.06</v>
      </c>
      <c r="D863" s="51">
        <v>68.0</v>
      </c>
      <c r="E863" s="52" t="s">
        <v>25</v>
      </c>
      <c r="F863" s="52" t="s">
        <v>26</v>
      </c>
      <c r="G863" s="53"/>
    </row>
    <row r="864">
      <c r="A864" s="49">
        <v>44521.66898452546</v>
      </c>
      <c r="B864" s="50">
        <v>44521.793960081</v>
      </c>
      <c r="C864" s="51">
        <v>1.059</v>
      </c>
      <c r="D864" s="51">
        <v>68.0</v>
      </c>
      <c r="E864" s="52" t="s">
        <v>25</v>
      </c>
      <c r="F864" s="52" t="s">
        <v>26</v>
      </c>
      <c r="G864" s="53"/>
    </row>
    <row r="865">
      <c r="A865" s="49">
        <v>44521.679408344906</v>
      </c>
      <c r="B865" s="50">
        <v>44521.8043803125</v>
      </c>
      <c r="C865" s="51">
        <v>1.059</v>
      </c>
      <c r="D865" s="51">
        <v>68.0</v>
      </c>
      <c r="E865" s="52" t="s">
        <v>25</v>
      </c>
      <c r="F865" s="52" t="s">
        <v>26</v>
      </c>
      <c r="G865" s="53"/>
    </row>
    <row r="866">
      <c r="A866" s="49">
        <v>44521.6898184375</v>
      </c>
      <c r="B866" s="50">
        <v>44521.814802037</v>
      </c>
      <c r="C866" s="51">
        <v>1.059</v>
      </c>
      <c r="D866" s="51">
        <v>68.0</v>
      </c>
      <c r="E866" s="52" t="s">
        <v>25</v>
      </c>
      <c r="F866" s="52" t="s">
        <v>26</v>
      </c>
      <c r="G866" s="53"/>
    </row>
    <row r="867">
      <c r="A867" s="49">
        <v>44521.700247569446</v>
      </c>
      <c r="B867" s="50">
        <v>44521.8252220601</v>
      </c>
      <c r="C867" s="51">
        <v>1.059</v>
      </c>
      <c r="D867" s="51">
        <v>68.0</v>
      </c>
      <c r="E867" s="52" t="s">
        <v>25</v>
      </c>
      <c r="F867" s="52" t="s">
        <v>26</v>
      </c>
      <c r="G867" s="53"/>
    </row>
    <row r="868">
      <c r="A868" s="49">
        <v>44521.71066712963</v>
      </c>
      <c r="B868" s="50">
        <v>44521.8356433912</v>
      </c>
      <c r="C868" s="51">
        <v>1.059</v>
      </c>
      <c r="D868" s="51">
        <v>68.0</v>
      </c>
      <c r="E868" s="52" t="s">
        <v>25</v>
      </c>
      <c r="F868" s="52" t="s">
        <v>26</v>
      </c>
      <c r="G868" s="53"/>
    </row>
    <row r="869">
      <c r="A869" s="49">
        <v>44521.72108938657</v>
      </c>
      <c r="B869" s="50">
        <v>44521.8460625694</v>
      </c>
      <c r="C869" s="51">
        <v>1.059</v>
      </c>
      <c r="D869" s="51">
        <v>68.0</v>
      </c>
      <c r="E869" s="52" t="s">
        <v>25</v>
      </c>
      <c r="F869" s="52" t="s">
        <v>26</v>
      </c>
      <c r="G869" s="53"/>
    </row>
    <row r="870">
      <c r="A870" s="49">
        <v>44521.73151321759</v>
      </c>
      <c r="B870" s="50">
        <v>44521.8564845949</v>
      </c>
      <c r="C870" s="51">
        <v>1.059</v>
      </c>
      <c r="D870" s="51">
        <v>68.0</v>
      </c>
      <c r="E870" s="52" t="s">
        <v>25</v>
      </c>
      <c r="F870" s="52" t="s">
        <v>26</v>
      </c>
      <c r="G870" s="53"/>
    </row>
    <row r="871">
      <c r="A871" s="49">
        <v>44521.741926435185</v>
      </c>
      <c r="B871" s="50">
        <v>44521.8669063657</v>
      </c>
      <c r="C871" s="51">
        <v>1.059</v>
      </c>
      <c r="D871" s="51">
        <v>68.0</v>
      </c>
      <c r="E871" s="52" t="s">
        <v>25</v>
      </c>
      <c r="F871" s="52" t="s">
        <v>26</v>
      </c>
      <c r="G871" s="53"/>
    </row>
    <row r="872">
      <c r="A872" s="49">
        <v>44521.75235087963</v>
      </c>
      <c r="B872" s="50">
        <v>44521.8773284375</v>
      </c>
      <c r="C872" s="51">
        <v>1.059</v>
      </c>
      <c r="D872" s="51">
        <v>68.0</v>
      </c>
      <c r="E872" s="52" t="s">
        <v>25</v>
      </c>
      <c r="F872" s="52" t="s">
        <v>26</v>
      </c>
      <c r="G872" s="53"/>
    </row>
    <row r="873">
      <c r="A873" s="49">
        <v>44521.7627793287</v>
      </c>
      <c r="B873" s="50">
        <v>44521.8877622453</v>
      </c>
      <c r="C873" s="51">
        <v>1.059</v>
      </c>
      <c r="D873" s="51">
        <v>68.0</v>
      </c>
      <c r="E873" s="52" t="s">
        <v>25</v>
      </c>
      <c r="F873" s="52" t="s">
        <v>26</v>
      </c>
      <c r="G873" s="53"/>
    </row>
    <row r="874">
      <c r="A874" s="49">
        <v>44521.77322981482</v>
      </c>
      <c r="B874" s="50">
        <v>44521.8982061805</v>
      </c>
      <c r="C874" s="51">
        <v>1.059</v>
      </c>
      <c r="D874" s="51">
        <v>68.0</v>
      </c>
      <c r="E874" s="52" t="s">
        <v>25</v>
      </c>
      <c r="F874" s="52" t="s">
        <v>26</v>
      </c>
      <c r="G874" s="53"/>
    </row>
    <row r="875">
      <c r="A875" s="49">
        <v>44521.783659340275</v>
      </c>
      <c r="B875" s="50">
        <v>44521.9086276273</v>
      </c>
      <c r="C875" s="51">
        <v>1.059</v>
      </c>
      <c r="D875" s="51">
        <v>68.0</v>
      </c>
      <c r="E875" s="52" t="s">
        <v>25</v>
      </c>
      <c r="F875" s="52" t="s">
        <v>26</v>
      </c>
      <c r="G875" s="53"/>
    </row>
    <row r="876">
      <c r="A876" s="49">
        <v>44521.79407495371</v>
      </c>
      <c r="B876" s="50">
        <v>44521.9190480902</v>
      </c>
      <c r="C876" s="51">
        <v>1.059</v>
      </c>
      <c r="D876" s="51">
        <v>68.0</v>
      </c>
      <c r="E876" s="52" t="s">
        <v>25</v>
      </c>
      <c r="F876" s="52" t="s">
        <v>26</v>
      </c>
      <c r="G876" s="53"/>
    </row>
    <row r="877">
      <c r="A877" s="49">
        <v>44521.804484340275</v>
      </c>
      <c r="B877" s="50">
        <v>44521.9294694791</v>
      </c>
      <c r="C877" s="51">
        <v>1.059</v>
      </c>
      <c r="D877" s="51">
        <v>68.0</v>
      </c>
      <c r="E877" s="52" t="s">
        <v>25</v>
      </c>
      <c r="F877" s="52" t="s">
        <v>26</v>
      </c>
      <c r="G877" s="53"/>
    </row>
    <row r="878">
      <c r="A878" s="49">
        <v>44521.815390868054</v>
      </c>
      <c r="B878" s="50">
        <v>44521.9399022916</v>
      </c>
      <c r="C878" s="51">
        <v>1.059</v>
      </c>
      <c r="D878" s="51">
        <v>68.0</v>
      </c>
      <c r="E878" s="52" t="s">
        <v>25</v>
      </c>
      <c r="F878" s="52" t="s">
        <v>26</v>
      </c>
      <c r="G878" s="53"/>
    </row>
    <row r="879">
      <c r="A879" s="49">
        <v>44521.82537716435</v>
      </c>
      <c r="B879" s="50">
        <v>44521.9503474768</v>
      </c>
      <c r="C879" s="51">
        <v>1.059</v>
      </c>
      <c r="D879" s="51">
        <v>68.0</v>
      </c>
      <c r="E879" s="52" t="s">
        <v>25</v>
      </c>
      <c r="F879" s="52" t="s">
        <v>26</v>
      </c>
      <c r="G879" s="53"/>
    </row>
    <row r="880">
      <c r="A880" s="49">
        <v>44521.83578829862</v>
      </c>
      <c r="B880" s="50">
        <v>44521.9607688888</v>
      </c>
      <c r="C880" s="51">
        <v>1.058</v>
      </c>
      <c r="D880" s="51">
        <v>68.0</v>
      </c>
      <c r="E880" s="52" t="s">
        <v>25</v>
      </c>
      <c r="F880" s="52" t="s">
        <v>26</v>
      </c>
      <c r="G880" s="53"/>
    </row>
    <row r="881">
      <c r="A881" s="49">
        <v>44521.84620303241</v>
      </c>
      <c r="B881" s="50">
        <v>44521.9711888078</v>
      </c>
      <c r="C881" s="51">
        <v>1.058</v>
      </c>
      <c r="D881" s="51">
        <v>68.0</v>
      </c>
      <c r="E881" s="52" t="s">
        <v>25</v>
      </c>
      <c r="F881" s="52" t="s">
        <v>26</v>
      </c>
      <c r="G881" s="53"/>
    </row>
    <row r="882">
      <c r="A882" s="49">
        <v>44521.85663146991</v>
      </c>
      <c r="B882" s="50">
        <v>44521.9816092592</v>
      </c>
      <c r="C882" s="51">
        <v>1.058</v>
      </c>
      <c r="D882" s="51">
        <v>68.0</v>
      </c>
      <c r="E882" s="52" t="s">
        <v>25</v>
      </c>
      <c r="F882" s="52" t="s">
        <v>26</v>
      </c>
      <c r="G882" s="53"/>
    </row>
    <row r="883">
      <c r="A883" s="49">
        <v>44521.86704837963</v>
      </c>
      <c r="B883" s="50">
        <v>44521.9920310995</v>
      </c>
      <c r="C883" s="51">
        <v>1.059</v>
      </c>
      <c r="D883" s="51">
        <v>68.0</v>
      </c>
      <c r="E883" s="52" t="s">
        <v>25</v>
      </c>
      <c r="F883" s="52" t="s">
        <v>26</v>
      </c>
      <c r="G883" s="53"/>
    </row>
    <row r="884">
      <c r="A884" s="49">
        <v>44521.87747576389</v>
      </c>
      <c r="B884" s="50">
        <v>44522.0024529745</v>
      </c>
      <c r="C884" s="51">
        <v>1.058</v>
      </c>
      <c r="D884" s="51">
        <v>68.0</v>
      </c>
      <c r="E884" s="52" t="s">
        <v>25</v>
      </c>
      <c r="F884" s="52" t="s">
        <v>26</v>
      </c>
      <c r="G884" s="53"/>
    </row>
    <row r="885">
      <c r="A885" s="49">
        <v>44521.88789239583</v>
      </c>
      <c r="B885" s="50">
        <v>44522.0128746412</v>
      </c>
      <c r="C885" s="51">
        <v>1.058</v>
      </c>
      <c r="D885" s="51">
        <v>68.0</v>
      </c>
      <c r="E885" s="52" t="s">
        <v>25</v>
      </c>
      <c r="F885" s="52" t="s">
        <v>26</v>
      </c>
      <c r="G885" s="53"/>
    </row>
    <row r="886">
      <c r="A886" s="49">
        <v>44521.89831754629</v>
      </c>
      <c r="B886" s="50">
        <v>44522.0232959837</v>
      </c>
      <c r="C886" s="51">
        <v>1.058</v>
      </c>
      <c r="D886" s="51">
        <v>68.0</v>
      </c>
      <c r="E886" s="52" t="s">
        <v>25</v>
      </c>
      <c r="F886" s="52" t="s">
        <v>26</v>
      </c>
      <c r="G886" s="53"/>
    </row>
    <row r="887">
      <c r="A887" s="49">
        <v>44521.908737708334</v>
      </c>
      <c r="B887" s="50">
        <v>44522.0337171527</v>
      </c>
      <c r="C887" s="51">
        <v>1.058</v>
      </c>
      <c r="D887" s="51">
        <v>68.0</v>
      </c>
      <c r="E887" s="52" t="s">
        <v>25</v>
      </c>
      <c r="F887" s="52" t="s">
        <v>26</v>
      </c>
      <c r="G887" s="53"/>
    </row>
    <row r="888">
      <c r="A888" s="49">
        <v>44521.91917019676</v>
      </c>
      <c r="B888" s="50">
        <v>44522.0441522337</v>
      </c>
      <c r="C888" s="51">
        <v>1.058</v>
      </c>
      <c r="D888" s="51">
        <v>68.0</v>
      </c>
      <c r="E888" s="52" t="s">
        <v>25</v>
      </c>
      <c r="F888" s="52" t="s">
        <v>26</v>
      </c>
      <c r="G888" s="53"/>
    </row>
    <row r="889">
      <c r="A889" s="49">
        <v>44521.929611388885</v>
      </c>
      <c r="B889" s="50">
        <v>44522.054585324</v>
      </c>
      <c r="C889" s="51">
        <v>1.058</v>
      </c>
      <c r="D889" s="51">
        <v>68.0</v>
      </c>
      <c r="E889" s="52" t="s">
        <v>25</v>
      </c>
      <c r="F889" s="52" t="s">
        <v>26</v>
      </c>
      <c r="G889" s="53"/>
    </row>
    <row r="890">
      <c r="A890" s="49">
        <v>44521.940025578704</v>
      </c>
      <c r="B890" s="50">
        <v>44522.0650074074</v>
      </c>
      <c r="C890" s="51">
        <v>1.058</v>
      </c>
      <c r="D890" s="51">
        <v>68.0</v>
      </c>
      <c r="E890" s="52" t="s">
        <v>25</v>
      </c>
      <c r="F890" s="52" t="s">
        <v>26</v>
      </c>
      <c r="G890" s="53"/>
    </row>
    <row r="891">
      <c r="A891" s="49">
        <v>44521.950457326384</v>
      </c>
      <c r="B891" s="50">
        <v>44522.0754405555</v>
      </c>
      <c r="C891" s="51">
        <v>1.058</v>
      </c>
      <c r="D891" s="51">
        <v>68.0</v>
      </c>
      <c r="E891" s="52" t="s">
        <v>25</v>
      </c>
      <c r="F891" s="52" t="s">
        <v>26</v>
      </c>
      <c r="G891" s="53"/>
    </row>
    <row r="892">
      <c r="A892" s="49">
        <v>44521.960892118055</v>
      </c>
      <c r="B892" s="50">
        <v>44522.0858619097</v>
      </c>
      <c r="C892" s="51">
        <v>1.058</v>
      </c>
      <c r="D892" s="51">
        <v>68.0</v>
      </c>
      <c r="E892" s="52" t="s">
        <v>25</v>
      </c>
      <c r="F892" s="52" t="s">
        <v>26</v>
      </c>
      <c r="G892" s="53"/>
    </row>
    <row r="893">
      <c r="A893" s="49">
        <v>44521.97131020833</v>
      </c>
      <c r="B893" s="50">
        <v>44522.0962831134</v>
      </c>
      <c r="C893" s="51">
        <v>1.058</v>
      </c>
      <c r="D893" s="51">
        <v>68.0</v>
      </c>
      <c r="E893" s="52" t="s">
        <v>25</v>
      </c>
      <c r="F893" s="52" t="s">
        <v>26</v>
      </c>
      <c r="G893" s="53"/>
    </row>
    <row r="894">
      <c r="A894" s="49">
        <v>44521.981739537034</v>
      </c>
      <c r="B894" s="50">
        <v>44522.106715868</v>
      </c>
      <c r="C894" s="51">
        <v>1.058</v>
      </c>
      <c r="D894" s="51">
        <v>68.0</v>
      </c>
      <c r="E894" s="52" t="s">
        <v>25</v>
      </c>
      <c r="F894" s="52" t="s">
        <v>26</v>
      </c>
      <c r="G894" s="53"/>
    </row>
    <row r="895">
      <c r="A895" s="49">
        <v>44521.9921605787</v>
      </c>
      <c r="B895" s="50">
        <v>44522.1171396759</v>
      </c>
      <c r="C895" s="51">
        <v>1.058</v>
      </c>
      <c r="D895" s="51">
        <v>68.0</v>
      </c>
      <c r="E895" s="52" t="s">
        <v>25</v>
      </c>
      <c r="F895" s="52" t="s">
        <v>26</v>
      </c>
      <c r="G895" s="53"/>
    </row>
    <row r="896">
      <c r="A896" s="49">
        <v>44522.00263488426</v>
      </c>
      <c r="B896" s="50">
        <v>44522.12757375</v>
      </c>
      <c r="C896" s="51">
        <v>1.057</v>
      </c>
      <c r="D896" s="51">
        <v>68.0</v>
      </c>
      <c r="E896" s="52" t="s">
        <v>25</v>
      </c>
      <c r="F896" s="52" t="s">
        <v>26</v>
      </c>
      <c r="G896" s="53"/>
    </row>
    <row r="897">
      <c r="A897" s="49">
        <v>44522.01301576389</v>
      </c>
      <c r="B897" s="50">
        <v>44522.1379934606</v>
      </c>
      <c r="C897" s="51">
        <v>1.057</v>
      </c>
      <c r="D897" s="51">
        <v>68.0</v>
      </c>
      <c r="E897" s="52" t="s">
        <v>25</v>
      </c>
      <c r="F897" s="52" t="s">
        <v>26</v>
      </c>
      <c r="G897" s="53"/>
    </row>
    <row r="898">
      <c r="A898" s="49">
        <v>44522.02345090278</v>
      </c>
      <c r="B898" s="50">
        <v>44522.1484256018</v>
      </c>
      <c r="C898" s="51">
        <v>1.057</v>
      </c>
      <c r="D898" s="51">
        <v>68.0</v>
      </c>
      <c r="E898" s="52" t="s">
        <v>25</v>
      </c>
      <c r="F898" s="52" t="s">
        <v>26</v>
      </c>
      <c r="G898" s="53"/>
    </row>
    <row r="899">
      <c r="A899" s="49">
        <v>44522.03387184028</v>
      </c>
      <c r="B899" s="50">
        <v>44522.1588473495</v>
      </c>
      <c r="C899" s="51">
        <v>1.057</v>
      </c>
      <c r="D899" s="51">
        <v>68.0</v>
      </c>
      <c r="E899" s="52" t="s">
        <v>25</v>
      </c>
      <c r="F899" s="52" t="s">
        <v>26</v>
      </c>
      <c r="G899" s="53"/>
    </row>
    <row r="900">
      <c r="A900" s="49">
        <v>44522.04429233796</v>
      </c>
      <c r="B900" s="50">
        <v>44522.1692701157</v>
      </c>
      <c r="C900" s="51">
        <v>1.057</v>
      </c>
      <c r="D900" s="51">
        <v>68.0</v>
      </c>
      <c r="E900" s="52" t="s">
        <v>25</v>
      </c>
      <c r="F900" s="52" t="s">
        <v>26</v>
      </c>
      <c r="G900" s="53"/>
    </row>
    <row r="901">
      <c r="A901" s="49">
        <v>44522.054714363425</v>
      </c>
      <c r="B901" s="50">
        <v>44522.1796913657</v>
      </c>
      <c r="C901" s="51">
        <v>1.057</v>
      </c>
      <c r="D901" s="51">
        <v>68.0</v>
      </c>
      <c r="E901" s="52" t="s">
        <v>25</v>
      </c>
      <c r="F901" s="52" t="s">
        <v>26</v>
      </c>
      <c r="G901" s="53"/>
    </row>
    <row r="902">
      <c r="A902" s="49">
        <v>44522.06513795139</v>
      </c>
      <c r="B902" s="50">
        <v>44522.1901145949</v>
      </c>
      <c r="C902" s="51">
        <v>1.057</v>
      </c>
      <c r="D902" s="51">
        <v>68.0</v>
      </c>
      <c r="E902" s="52" t="s">
        <v>25</v>
      </c>
      <c r="F902" s="52" t="s">
        <v>26</v>
      </c>
      <c r="G902" s="53"/>
    </row>
    <row r="903">
      <c r="A903" s="49">
        <v>44522.07555850694</v>
      </c>
      <c r="B903" s="50">
        <v>44522.200536956</v>
      </c>
      <c r="C903" s="51">
        <v>1.057</v>
      </c>
      <c r="D903" s="51">
        <v>68.0</v>
      </c>
      <c r="E903" s="52" t="s">
        <v>25</v>
      </c>
      <c r="F903" s="52" t="s">
        <v>26</v>
      </c>
      <c r="G903" s="53"/>
    </row>
    <row r="904">
      <c r="A904" s="49">
        <v>44522.08598696759</v>
      </c>
      <c r="B904" s="50">
        <v>44522.2109580439</v>
      </c>
      <c r="C904" s="51">
        <v>1.057</v>
      </c>
      <c r="D904" s="51">
        <v>68.0</v>
      </c>
      <c r="E904" s="52" t="s">
        <v>25</v>
      </c>
      <c r="F904" s="52" t="s">
        <v>26</v>
      </c>
      <c r="G904" s="53"/>
    </row>
    <row r="905">
      <c r="A905" s="49">
        <v>44522.09640371527</v>
      </c>
      <c r="B905" s="50">
        <v>44522.2213798032</v>
      </c>
      <c r="C905" s="51">
        <v>1.057</v>
      </c>
      <c r="D905" s="51">
        <v>68.0</v>
      </c>
      <c r="E905" s="52" t="s">
        <v>25</v>
      </c>
      <c r="F905" s="52" t="s">
        <v>26</v>
      </c>
      <c r="G905" s="53"/>
    </row>
    <row r="906">
      <c r="A906" s="49">
        <v>44522.10683560185</v>
      </c>
      <c r="B906" s="50">
        <v>44522.2318010416</v>
      </c>
      <c r="C906" s="51">
        <v>1.057</v>
      </c>
      <c r="D906" s="51">
        <v>68.0</v>
      </c>
      <c r="E906" s="52" t="s">
        <v>25</v>
      </c>
      <c r="F906" s="52" t="s">
        <v>26</v>
      </c>
      <c r="G906" s="53"/>
    </row>
    <row r="907">
      <c r="A907" s="49">
        <v>44522.11724103009</v>
      </c>
      <c r="B907" s="50">
        <v>44522.2422225694</v>
      </c>
      <c r="C907" s="51">
        <v>1.057</v>
      </c>
      <c r="D907" s="51">
        <v>68.0</v>
      </c>
      <c r="E907" s="52" t="s">
        <v>25</v>
      </c>
      <c r="F907" s="52" t="s">
        <v>26</v>
      </c>
      <c r="G907" s="53"/>
    </row>
    <row r="908">
      <c r="A908" s="49">
        <v>44522.12769833334</v>
      </c>
      <c r="B908" s="50">
        <v>44522.2526418055</v>
      </c>
      <c r="C908" s="51">
        <v>1.057</v>
      </c>
      <c r="D908" s="51">
        <v>68.0</v>
      </c>
      <c r="E908" s="52" t="s">
        <v>25</v>
      </c>
      <c r="F908" s="52" t="s">
        <v>26</v>
      </c>
      <c r="G908" s="53"/>
    </row>
    <row r="909">
      <c r="A909" s="49">
        <v>44522.138093981484</v>
      </c>
      <c r="B909" s="50">
        <v>44522.2630631481</v>
      </c>
      <c r="C909" s="51">
        <v>1.057</v>
      </c>
      <c r="D909" s="51">
        <v>68.0</v>
      </c>
      <c r="E909" s="52" t="s">
        <v>25</v>
      </c>
      <c r="F909" s="52" t="s">
        <v>26</v>
      </c>
      <c r="G909" s="53"/>
    </row>
    <row r="910">
      <c r="A910" s="49">
        <v>44522.14852653936</v>
      </c>
      <c r="B910" s="50">
        <v>44522.273485868</v>
      </c>
      <c r="C910" s="51">
        <v>1.057</v>
      </c>
      <c r="D910" s="51">
        <v>68.0</v>
      </c>
      <c r="E910" s="52" t="s">
        <v>25</v>
      </c>
      <c r="F910" s="52" t="s">
        <v>26</v>
      </c>
      <c r="G910" s="53"/>
    </row>
    <row r="911">
      <c r="A911" s="49">
        <v>44522.15892615741</v>
      </c>
      <c r="B911" s="50">
        <v>44522.2839075</v>
      </c>
      <c r="C911" s="51">
        <v>1.057</v>
      </c>
      <c r="D911" s="51">
        <v>68.0</v>
      </c>
      <c r="E911" s="52" t="s">
        <v>25</v>
      </c>
      <c r="F911" s="52" t="s">
        <v>26</v>
      </c>
      <c r="G911" s="53"/>
    </row>
    <row r="912">
      <c r="A912" s="49">
        <v>44522.16979326389</v>
      </c>
      <c r="B912" s="50">
        <v>44522.294327662</v>
      </c>
      <c r="C912" s="51">
        <v>1.057</v>
      </c>
      <c r="D912" s="51">
        <v>68.0</v>
      </c>
      <c r="E912" s="52" t="s">
        <v>25</v>
      </c>
      <c r="F912" s="52" t="s">
        <v>26</v>
      </c>
      <c r="G912" s="53"/>
    </row>
    <row r="913">
      <c r="A913" s="49">
        <v>44522.17976842592</v>
      </c>
      <c r="B913" s="50">
        <v>44522.3047493634</v>
      </c>
      <c r="C913" s="51">
        <v>1.057</v>
      </c>
      <c r="D913" s="51">
        <v>68.0</v>
      </c>
      <c r="E913" s="52" t="s">
        <v>25</v>
      </c>
      <c r="F913" s="52" t="s">
        <v>26</v>
      </c>
      <c r="G913" s="53"/>
    </row>
    <row r="914">
      <c r="A914" s="49">
        <v>44522.19019113426</v>
      </c>
      <c r="B914" s="50">
        <v>44522.3151696643</v>
      </c>
      <c r="C914" s="51">
        <v>1.057</v>
      </c>
      <c r="D914" s="51">
        <v>68.0</v>
      </c>
      <c r="E914" s="52" t="s">
        <v>25</v>
      </c>
      <c r="F914" s="52" t="s">
        <v>26</v>
      </c>
      <c r="G914" s="53"/>
    </row>
    <row r="915">
      <c r="A915" s="49">
        <v>44522.20094403935</v>
      </c>
      <c r="B915" s="50">
        <v>44522.3255916319</v>
      </c>
      <c r="C915" s="51">
        <v>1.056</v>
      </c>
      <c r="D915" s="51">
        <v>68.0</v>
      </c>
      <c r="E915" s="52" t="s">
        <v>25</v>
      </c>
      <c r="F915" s="52" t="s">
        <v>26</v>
      </c>
      <c r="G915" s="53"/>
    </row>
    <row r="916">
      <c r="A916" s="49">
        <v>44522.211081284724</v>
      </c>
      <c r="B916" s="50">
        <v>44522.3360239583</v>
      </c>
      <c r="C916" s="51">
        <v>1.057</v>
      </c>
      <c r="D916" s="51">
        <v>68.0</v>
      </c>
      <c r="E916" s="52" t="s">
        <v>25</v>
      </c>
      <c r="F916" s="52" t="s">
        <v>26</v>
      </c>
      <c r="G916" s="53"/>
    </row>
    <row r="917">
      <c r="A917" s="49">
        <v>44522.22146984954</v>
      </c>
      <c r="B917" s="50">
        <v>44522.3464444791</v>
      </c>
      <c r="C917" s="51">
        <v>1.056</v>
      </c>
      <c r="D917" s="51">
        <v>68.0</v>
      </c>
      <c r="E917" s="52" t="s">
        <v>25</v>
      </c>
      <c r="F917" s="52" t="s">
        <v>26</v>
      </c>
      <c r="G917" s="53"/>
    </row>
    <row r="918">
      <c r="A918" s="49">
        <v>44522.23189112269</v>
      </c>
      <c r="B918" s="50">
        <v>44522.3568652199</v>
      </c>
      <c r="C918" s="51">
        <v>1.056</v>
      </c>
      <c r="D918" s="51">
        <v>68.0</v>
      </c>
      <c r="E918" s="52" t="s">
        <v>25</v>
      </c>
      <c r="F918" s="52" t="s">
        <v>26</v>
      </c>
      <c r="G918" s="53"/>
    </row>
    <row r="919">
      <c r="A919" s="49">
        <v>44522.24232295139</v>
      </c>
      <c r="B919" s="50">
        <v>44522.3672986458</v>
      </c>
      <c r="C919" s="51">
        <v>1.056</v>
      </c>
      <c r="D919" s="51">
        <v>68.0</v>
      </c>
      <c r="E919" s="52" t="s">
        <v>25</v>
      </c>
      <c r="F919" s="52" t="s">
        <v>26</v>
      </c>
      <c r="G919" s="53"/>
    </row>
    <row r="920">
      <c r="A920" s="49">
        <v>44522.25274813657</v>
      </c>
      <c r="B920" s="50">
        <v>44522.3777201388</v>
      </c>
      <c r="C920" s="51">
        <v>1.056</v>
      </c>
      <c r="D920" s="51">
        <v>68.0</v>
      </c>
      <c r="E920" s="52" t="s">
        <v>25</v>
      </c>
      <c r="F920" s="52" t="s">
        <v>26</v>
      </c>
      <c r="G920" s="53"/>
    </row>
    <row r="921">
      <c r="A921" s="49">
        <v>44522.26317042824</v>
      </c>
      <c r="B921" s="50">
        <v>44522.3881407638</v>
      </c>
      <c r="C921" s="51">
        <v>1.056</v>
      </c>
      <c r="D921" s="51">
        <v>68.0</v>
      </c>
      <c r="E921" s="52" t="s">
        <v>25</v>
      </c>
      <c r="F921" s="52" t="s">
        <v>26</v>
      </c>
      <c r="G921" s="53"/>
    </row>
    <row r="922">
      <c r="A922" s="49">
        <v>44522.273584131945</v>
      </c>
      <c r="B922" s="50">
        <v>44522.398561956</v>
      </c>
      <c r="C922" s="51">
        <v>1.056</v>
      </c>
      <c r="D922" s="51">
        <v>68.0</v>
      </c>
      <c r="E922" s="52" t="s">
        <v>25</v>
      </c>
      <c r="F922" s="52" t="s">
        <v>26</v>
      </c>
      <c r="G922" s="53"/>
    </row>
    <row r="923">
      <c r="A923" s="49">
        <v>44522.28400804398</v>
      </c>
      <c r="B923" s="50">
        <v>44522.4089837615</v>
      </c>
      <c r="C923" s="51">
        <v>1.056</v>
      </c>
      <c r="D923" s="51">
        <v>68.0</v>
      </c>
      <c r="E923" s="52" t="s">
        <v>25</v>
      </c>
      <c r="F923" s="52" t="s">
        <v>26</v>
      </c>
      <c r="G923" s="53"/>
    </row>
    <row r="924">
      <c r="A924" s="49">
        <v>44522.294429270834</v>
      </c>
      <c r="B924" s="50">
        <v>44522.4194055555</v>
      </c>
      <c r="C924" s="51">
        <v>1.056</v>
      </c>
      <c r="D924" s="51">
        <v>68.0</v>
      </c>
      <c r="E924" s="52" t="s">
        <v>25</v>
      </c>
      <c r="F924" s="52" t="s">
        <v>26</v>
      </c>
      <c r="G924" s="53"/>
    </row>
    <row r="925">
      <c r="A925" s="49">
        <v>44522.30484532408</v>
      </c>
      <c r="B925" s="50">
        <v>44522.4298261226</v>
      </c>
      <c r="C925" s="51">
        <v>1.056</v>
      </c>
      <c r="D925" s="51">
        <v>68.0</v>
      </c>
      <c r="E925" s="52" t="s">
        <v>25</v>
      </c>
      <c r="F925" s="52" t="s">
        <v>26</v>
      </c>
      <c r="G925" s="53"/>
    </row>
    <row r="926">
      <c r="A926" s="49">
        <v>44522.315264074074</v>
      </c>
      <c r="B926" s="50">
        <v>44522.4402456597</v>
      </c>
      <c r="C926" s="51">
        <v>1.056</v>
      </c>
      <c r="D926" s="51">
        <v>68.0</v>
      </c>
      <c r="E926" s="52" t="s">
        <v>25</v>
      </c>
      <c r="F926" s="52" t="s">
        <v>26</v>
      </c>
      <c r="G926" s="53"/>
    </row>
    <row r="927">
      <c r="A927" s="49">
        <v>44522.32568635417</v>
      </c>
      <c r="B927" s="50">
        <v>44522.4506667824</v>
      </c>
      <c r="C927" s="51">
        <v>1.056</v>
      </c>
      <c r="D927" s="51">
        <v>68.0</v>
      </c>
      <c r="E927" s="52" t="s">
        <v>25</v>
      </c>
      <c r="F927" s="52" t="s">
        <v>26</v>
      </c>
      <c r="G927" s="53"/>
    </row>
    <row r="928">
      <c r="A928" s="49">
        <v>44522.336101030094</v>
      </c>
      <c r="B928" s="50">
        <v>44522.4610868749</v>
      </c>
      <c r="C928" s="51">
        <v>1.056</v>
      </c>
      <c r="D928" s="51">
        <v>68.0</v>
      </c>
      <c r="E928" s="52" t="s">
        <v>25</v>
      </c>
      <c r="F928" s="52" t="s">
        <v>26</v>
      </c>
      <c r="G928" s="53"/>
    </row>
    <row r="929">
      <c r="A929" s="49">
        <v>44522.346531620366</v>
      </c>
      <c r="B929" s="50">
        <v>44522.4715078356</v>
      </c>
      <c r="C929" s="51">
        <v>1.056</v>
      </c>
      <c r="D929" s="51">
        <v>68.0</v>
      </c>
      <c r="E929" s="52" t="s">
        <v>25</v>
      </c>
      <c r="F929" s="52" t="s">
        <v>26</v>
      </c>
      <c r="G929" s="53"/>
    </row>
    <row r="930">
      <c r="A930" s="49">
        <v>44522.35696914352</v>
      </c>
      <c r="B930" s="50">
        <v>44522.481939537</v>
      </c>
      <c r="C930" s="51">
        <v>1.056</v>
      </c>
      <c r="D930" s="51">
        <v>68.0</v>
      </c>
      <c r="E930" s="52" t="s">
        <v>25</v>
      </c>
      <c r="F930" s="52" t="s">
        <v>26</v>
      </c>
      <c r="G930" s="53"/>
    </row>
    <row r="931">
      <c r="A931" s="49">
        <v>44522.3674428125</v>
      </c>
      <c r="B931" s="50">
        <v>44522.4923606712</v>
      </c>
      <c r="C931" s="51">
        <v>1.056</v>
      </c>
      <c r="D931" s="51">
        <v>68.0</v>
      </c>
      <c r="E931" s="52" t="s">
        <v>25</v>
      </c>
      <c r="F931" s="52" t="s">
        <v>26</v>
      </c>
      <c r="G931" s="53"/>
    </row>
    <row r="932">
      <c r="A932" s="49">
        <v>44522.3778203125</v>
      </c>
      <c r="B932" s="50">
        <v>44522.5027926157</v>
      </c>
      <c r="C932" s="51">
        <v>1.056</v>
      </c>
      <c r="D932" s="51">
        <v>68.0</v>
      </c>
      <c r="E932" s="52" t="s">
        <v>25</v>
      </c>
      <c r="F932" s="52" t="s">
        <v>26</v>
      </c>
      <c r="G932" s="53"/>
    </row>
    <row r="933">
      <c r="A933" s="49">
        <v>44522.38823927083</v>
      </c>
      <c r="B933" s="50">
        <v>44522.51321375</v>
      </c>
      <c r="C933" s="51">
        <v>1.056</v>
      </c>
      <c r="D933" s="51">
        <v>68.0</v>
      </c>
      <c r="E933" s="52" t="s">
        <v>25</v>
      </c>
      <c r="F933" s="52" t="s">
        <v>26</v>
      </c>
      <c r="G933" s="53"/>
    </row>
    <row r="934">
      <c r="A934" s="49">
        <v>44522.39867012731</v>
      </c>
      <c r="B934" s="50">
        <v>44522.5236456944</v>
      </c>
      <c r="C934" s="51">
        <v>1.056</v>
      </c>
      <c r="D934" s="51">
        <v>68.0</v>
      </c>
      <c r="E934" s="52" t="s">
        <v>25</v>
      </c>
      <c r="F934" s="52" t="s">
        <v>26</v>
      </c>
      <c r="G934" s="53"/>
    </row>
    <row r="935">
      <c r="A935" s="49">
        <v>44522.40909219907</v>
      </c>
      <c r="B935" s="50">
        <v>44522.5340671759</v>
      </c>
      <c r="C935" s="51">
        <v>1.056</v>
      </c>
      <c r="D935" s="51">
        <v>68.0</v>
      </c>
      <c r="E935" s="52" t="s">
        <v>25</v>
      </c>
      <c r="F935" s="52" t="s">
        <v>26</v>
      </c>
      <c r="G935" s="53"/>
    </row>
    <row r="936">
      <c r="A936" s="49">
        <v>44522.41952369213</v>
      </c>
      <c r="B936" s="50">
        <v>44522.5444978009</v>
      </c>
      <c r="C936" s="51">
        <v>1.056</v>
      </c>
      <c r="D936" s="51">
        <v>68.0</v>
      </c>
      <c r="E936" s="52" t="s">
        <v>25</v>
      </c>
      <c r="F936" s="52" t="s">
        <v>26</v>
      </c>
      <c r="G936" s="53"/>
    </row>
    <row r="937">
      <c r="A937" s="49">
        <v>44522.429979016204</v>
      </c>
      <c r="B937" s="50">
        <v>44522.5549527893</v>
      </c>
      <c r="C937" s="51">
        <v>1.056</v>
      </c>
      <c r="D937" s="51">
        <v>68.0</v>
      </c>
      <c r="E937" s="52" t="s">
        <v>25</v>
      </c>
      <c r="F937" s="52" t="s">
        <v>26</v>
      </c>
      <c r="G937" s="53"/>
    </row>
    <row r="938">
      <c r="A938" s="49">
        <v>44522.44040357639</v>
      </c>
      <c r="B938" s="50">
        <v>44522.5653734027</v>
      </c>
      <c r="C938" s="51">
        <v>1.056</v>
      </c>
      <c r="D938" s="51">
        <v>68.0</v>
      </c>
      <c r="E938" s="52" t="s">
        <v>25</v>
      </c>
      <c r="F938" s="52" t="s">
        <v>26</v>
      </c>
      <c r="G938" s="53"/>
    </row>
    <row r="939">
      <c r="A939" s="49">
        <v>44522.450816157405</v>
      </c>
      <c r="B939" s="50">
        <v>44522.5757951736</v>
      </c>
      <c r="C939" s="51">
        <v>1.056</v>
      </c>
      <c r="D939" s="51">
        <v>68.0</v>
      </c>
      <c r="E939" s="52" t="s">
        <v>25</v>
      </c>
      <c r="F939" s="52" t="s">
        <v>26</v>
      </c>
      <c r="G939" s="53"/>
    </row>
    <row r="940">
      <c r="A940" s="49">
        <v>44522.46123378472</v>
      </c>
      <c r="B940" s="50">
        <v>44522.5862155439</v>
      </c>
      <c r="C940" s="51">
        <v>1.056</v>
      </c>
      <c r="D940" s="51">
        <v>68.0</v>
      </c>
      <c r="E940" s="52" t="s">
        <v>25</v>
      </c>
      <c r="F940" s="52" t="s">
        <v>26</v>
      </c>
      <c r="G940" s="53"/>
    </row>
    <row r="941">
      <c r="A941" s="49">
        <v>44522.47166297454</v>
      </c>
      <c r="B941" s="50">
        <v>44522.5966370833</v>
      </c>
      <c r="C941" s="51">
        <v>1.056</v>
      </c>
      <c r="D941" s="51">
        <v>68.0</v>
      </c>
      <c r="E941" s="52" t="s">
        <v>25</v>
      </c>
      <c r="F941" s="52" t="s">
        <v>26</v>
      </c>
      <c r="G941" s="53"/>
    </row>
    <row r="942">
      <c r="A942" s="49">
        <v>44522.48208767361</v>
      </c>
      <c r="B942" s="50">
        <v>44522.6070584722</v>
      </c>
      <c r="C942" s="51">
        <v>1.056</v>
      </c>
      <c r="D942" s="51">
        <v>68.0</v>
      </c>
      <c r="E942" s="52" t="s">
        <v>25</v>
      </c>
      <c r="F942" s="52" t="s">
        <v>26</v>
      </c>
      <c r="G942" s="53"/>
    </row>
    <row r="943">
      <c r="A943" s="49">
        <v>44522.49251136574</v>
      </c>
      <c r="B943" s="50">
        <v>44522.6174930902</v>
      </c>
      <c r="C943" s="51">
        <v>1.055</v>
      </c>
      <c r="D943" s="51">
        <v>68.0</v>
      </c>
      <c r="E943" s="52" t="s">
        <v>25</v>
      </c>
      <c r="F943" s="52" t="s">
        <v>26</v>
      </c>
      <c r="G943" s="53"/>
    </row>
    <row r="944">
      <c r="A944" s="49">
        <v>44522.502934398144</v>
      </c>
      <c r="B944" s="50">
        <v>44522.6279153587</v>
      </c>
      <c r="C944" s="51">
        <v>1.055</v>
      </c>
      <c r="D944" s="51">
        <v>68.0</v>
      </c>
      <c r="E944" s="52" t="s">
        <v>25</v>
      </c>
      <c r="F944" s="52" t="s">
        <v>26</v>
      </c>
      <c r="G944" s="53"/>
    </row>
    <row r="945">
      <c r="A945" s="49">
        <v>44522.513358807875</v>
      </c>
      <c r="B945" s="50">
        <v>44522.6383350231</v>
      </c>
      <c r="C945" s="51">
        <v>1.055</v>
      </c>
      <c r="D945" s="51">
        <v>68.0</v>
      </c>
      <c r="E945" s="52" t="s">
        <v>25</v>
      </c>
      <c r="F945" s="52" t="s">
        <v>26</v>
      </c>
      <c r="G945" s="53"/>
    </row>
    <row r="946">
      <c r="A946" s="49">
        <v>44522.52377263889</v>
      </c>
      <c r="B946" s="50">
        <v>44522.6487569791</v>
      </c>
      <c r="C946" s="51">
        <v>1.055</v>
      </c>
      <c r="D946" s="51">
        <v>68.0</v>
      </c>
      <c r="E946" s="52" t="s">
        <v>25</v>
      </c>
      <c r="F946" s="52" t="s">
        <v>26</v>
      </c>
      <c r="G946" s="53"/>
    </row>
    <row r="947">
      <c r="A947" s="49">
        <v>44522.534199710644</v>
      </c>
      <c r="B947" s="50">
        <v>44522.6591778009</v>
      </c>
      <c r="C947" s="51">
        <v>1.055</v>
      </c>
      <c r="D947" s="51">
        <v>68.0</v>
      </c>
      <c r="E947" s="52" t="s">
        <v>25</v>
      </c>
      <c r="F947" s="52" t="s">
        <v>26</v>
      </c>
      <c r="G947" s="53"/>
    </row>
    <row r="948">
      <c r="A948" s="49">
        <v>44522.54461577546</v>
      </c>
      <c r="B948" s="50">
        <v>44522.669597905</v>
      </c>
      <c r="C948" s="51">
        <v>1.055</v>
      </c>
      <c r="D948" s="51">
        <v>68.0</v>
      </c>
      <c r="E948" s="52" t="s">
        <v>25</v>
      </c>
      <c r="F948" s="52" t="s">
        <v>26</v>
      </c>
      <c r="G948" s="53"/>
    </row>
    <row r="949">
      <c r="A949" s="49">
        <v>44522.555043518514</v>
      </c>
      <c r="B949" s="50">
        <v>44522.6800183101</v>
      </c>
      <c r="C949" s="51">
        <v>1.055</v>
      </c>
      <c r="D949" s="51">
        <v>68.0</v>
      </c>
      <c r="E949" s="52" t="s">
        <v>25</v>
      </c>
      <c r="F949" s="52" t="s">
        <v>26</v>
      </c>
      <c r="G949" s="53"/>
    </row>
    <row r="950">
      <c r="A950" s="49">
        <v>44522.5654575463</v>
      </c>
      <c r="B950" s="50">
        <v>44522.6904398958</v>
      </c>
      <c r="C950" s="51">
        <v>1.055</v>
      </c>
      <c r="D950" s="51">
        <v>68.0</v>
      </c>
      <c r="E950" s="52" t="s">
        <v>25</v>
      </c>
      <c r="F950" s="52" t="s">
        <v>26</v>
      </c>
      <c r="G950" s="53"/>
    </row>
    <row r="951">
      <c r="A951" s="49">
        <v>44522.57588025463</v>
      </c>
      <c r="B951" s="50">
        <v>44522.7008614467</v>
      </c>
      <c r="C951" s="51">
        <v>1.055</v>
      </c>
      <c r="D951" s="51">
        <v>68.0</v>
      </c>
      <c r="E951" s="52" t="s">
        <v>25</v>
      </c>
      <c r="F951" s="52" t="s">
        <v>26</v>
      </c>
      <c r="G951" s="53"/>
    </row>
    <row r="952">
      <c r="A952" s="49">
        <v>44522.58632292824</v>
      </c>
      <c r="B952" s="50">
        <v>44522.7112943171</v>
      </c>
      <c r="C952" s="51">
        <v>1.055</v>
      </c>
      <c r="D952" s="51">
        <v>68.0</v>
      </c>
      <c r="E952" s="52" t="s">
        <v>25</v>
      </c>
      <c r="F952" s="52" t="s">
        <v>26</v>
      </c>
      <c r="G952" s="53"/>
    </row>
    <row r="953">
      <c r="A953" s="49">
        <v>44522.59673533565</v>
      </c>
      <c r="B953" s="50">
        <v>44522.7217165625</v>
      </c>
      <c r="C953" s="51">
        <v>1.055</v>
      </c>
      <c r="D953" s="51">
        <v>68.0</v>
      </c>
      <c r="E953" s="52" t="s">
        <v>25</v>
      </c>
      <c r="F953" s="52" t="s">
        <v>26</v>
      </c>
      <c r="G953" s="53"/>
    </row>
    <row r="954">
      <c r="A954" s="49">
        <v>44522.60715859954</v>
      </c>
      <c r="B954" s="50">
        <v>44522.7321395486</v>
      </c>
      <c r="C954" s="51">
        <v>1.055</v>
      </c>
      <c r="D954" s="51">
        <v>68.0</v>
      </c>
      <c r="E954" s="52" t="s">
        <v>25</v>
      </c>
      <c r="F954" s="52" t="s">
        <v>26</v>
      </c>
      <c r="G954" s="53"/>
    </row>
    <row r="955">
      <c r="A955" s="49">
        <v>44522.61757537037</v>
      </c>
      <c r="B955" s="50">
        <v>44522.7425595601</v>
      </c>
      <c r="C955" s="51">
        <v>1.055</v>
      </c>
      <c r="D955" s="51">
        <v>68.0</v>
      </c>
      <c r="E955" s="52" t="s">
        <v>25</v>
      </c>
      <c r="F955" s="52" t="s">
        <v>26</v>
      </c>
      <c r="G955" s="53"/>
    </row>
    <row r="956">
      <c r="A956" s="49">
        <v>44522.628006493054</v>
      </c>
      <c r="B956" s="50">
        <v>44522.7529810185</v>
      </c>
      <c r="C956" s="51">
        <v>1.055</v>
      </c>
      <c r="D956" s="51">
        <v>68.0</v>
      </c>
      <c r="E956" s="52" t="s">
        <v>25</v>
      </c>
      <c r="F956" s="52" t="s">
        <v>26</v>
      </c>
      <c r="G956" s="53"/>
    </row>
    <row r="957">
      <c r="A957" s="49">
        <v>44522.63841903935</v>
      </c>
      <c r="B957" s="50">
        <v>44522.7634018634</v>
      </c>
      <c r="C957" s="51">
        <v>1.055</v>
      </c>
      <c r="D957" s="51">
        <v>68.0</v>
      </c>
      <c r="E957" s="52" t="s">
        <v>25</v>
      </c>
      <c r="F957" s="52" t="s">
        <v>26</v>
      </c>
      <c r="G957" s="53"/>
    </row>
    <row r="958">
      <c r="A958" s="49">
        <v>44522.64885898148</v>
      </c>
      <c r="B958" s="50">
        <v>44522.7738367129</v>
      </c>
      <c r="C958" s="51">
        <v>1.055</v>
      </c>
      <c r="D958" s="51">
        <v>68.0</v>
      </c>
      <c r="E958" s="52" t="s">
        <v>25</v>
      </c>
      <c r="F958" s="52" t="s">
        <v>26</v>
      </c>
      <c r="G958" s="53"/>
    </row>
    <row r="959">
      <c r="A959" s="49">
        <v>44522.659276990744</v>
      </c>
      <c r="B959" s="50">
        <v>44522.7842576157</v>
      </c>
      <c r="C959" s="51">
        <v>1.055</v>
      </c>
      <c r="D959" s="51">
        <v>68.0</v>
      </c>
      <c r="E959" s="52" t="s">
        <v>25</v>
      </c>
      <c r="F959" s="52" t="s">
        <v>26</v>
      </c>
      <c r="G959" s="53"/>
    </row>
    <row r="960">
      <c r="A960" s="49">
        <v>44522.6697087037</v>
      </c>
      <c r="B960" s="50">
        <v>44522.79469</v>
      </c>
      <c r="C960" s="51">
        <v>1.055</v>
      </c>
      <c r="D960" s="51">
        <v>68.0</v>
      </c>
      <c r="E960" s="52" t="s">
        <v>25</v>
      </c>
      <c r="F960" s="52" t="s">
        <v>26</v>
      </c>
      <c r="G960" s="53"/>
    </row>
    <row r="961">
      <c r="A961" s="49">
        <v>44522.68013087963</v>
      </c>
      <c r="B961" s="50">
        <v>44522.8051104629</v>
      </c>
      <c r="C961" s="51">
        <v>1.055</v>
      </c>
      <c r="D961" s="51">
        <v>68.0</v>
      </c>
      <c r="E961" s="52" t="s">
        <v>25</v>
      </c>
      <c r="F961" s="52" t="s">
        <v>26</v>
      </c>
      <c r="G961" s="53"/>
    </row>
    <row r="962">
      <c r="A962" s="49">
        <v>44522.69056192129</v>
      </c>
      <c r="B962" s="50">
        <v>44522.8155320833</v>
      </c>
      <c r="C962" s="51">
        <v>1.055</v>
      </c>
      <c r="D962" s="51">
        <v>68.0</v>
      </c>
      <c r="E962" s="52" t="s">
        <v>25</v>
      </c>
      <c r="F962" s="52" t="s">
        <v>26</v>
      </c>
      <c r="G962" s="53"/>
    </row>
    <row r="963">
      <c r="A963" s="49">
        <v>44522.70096743056</v>
      </c>
      <c r="B963" s="50">
        <v>44522.8259528125</v>
      </c>
      <c r="C963" s="51">
        <v>1.055</v>
      </c>
      <c r="D963" s="51">
        <v>68.0</v>
      </c>
      <c r="E963" s="52" t="s">
        <v>25</v>
      </c>
      <c r="F963" s="52" t="s">
        <v>26</v>
      </c>
      <c r="G963" s="53"/>
    </row>
    <row r="964">
      <c r="A964" s="49">
        <v>44522.71139515046</v>
      </c>
      <c r="B964" s="50">
        <v>44522.8363744212</v>
      </c>
      <c r="C964" s="51">
        <v>1.055</v>
      </c>
      <c r="D964" s="51">
        <v>68.0</v>
      </c>
      <c r="E964" s="52" t="s">
        <v>25</v>
      </c>
      <c r="F964" s="52" t="s">
        <v>26</v>
      </c>
      <c r="G964" s="53"/>
    </row>
    <row r="965">
      <c r="A965" s="49">
        <v>44522.72180837963</v>
      </c>
      <c r="B965" s="50">
        <v>44522.8467940972</v>
      </c>
      <c r="C965" s="51">
        <v>1.055</v>
      </c>
      <c r="D965" s="51">
        <v>68.0</v>
      </c>
      <c r="E965" s="52" t="s">
        <v>25</v>
      </c>
      <c r="F965" s="52" t="s">
        <v>26</v>
      </c>
      <c r="G965" s="53"/>
    </row>
    <row r="966">
      <c r="A966" s="49">
        <v>44522.73223530092</v>
      </c>
      <c r="B966" s="50">
        <v>44522.8572140972</v>
      </c>
      <c r="C966" s="51">
        <v>1.055</v>
      </c>
      <c r="D966" s="51">
        <v>68.0</v>
      </c>
      <c r="E966" s="52" t="s">
        <v>25</v>
      </c>
      <c r="F966" s="52" t="s">
        <v>26</v>
      </c>
      <c r="G966" s="53"/>
    </row>
    <row r="967">
      <c r="A967" s="49">
        <v>44522.742653402776</v>
      </c>
      <c r="B967" s="50">
        <v>44522.8676350578</v>
      </c>
      <c r="C967" s="51">
        <v>1.054</v>
      </c>
      <c r="D967" s="51">
        <v>68.0</v>
      </c>
      <c r="E967" s="52" t="s">
        <v>25</v>
      </c>
      <c r="F967" s="52" t="s">
        <v>26</v>
      </c>
      <c r="G967" s="53"/>
    </row>
    <row r="968">
      <c r="A968" s="49">
        <v>44522.75308334491</v>
      </c>
      <c r="B968" s="50">
        <v>44522.8780563888</v>
      </c>
      <c r="C968" s="51">
        <v>1.054</v>
      </c>
      <c r="D968" s="51">
        <v>68.0</v>
      </c>
      <c r="E968" s="52" t="s">
        <v>25</v>
      </c>
      <c r="F968" s="52" t="s">
        <v>26</v>
      </c>
      <c r="G968" s="53"/>
    </row>
    <row r="969">
      <c r="A969" s="49">
        <v>44522.76351255787</v>
      </c>
      <c r="B969" s="50">
        <v>44522.8884785879</v>
      </c>
      <c r="C969" s="51">
        <v>1.054</v>
      </c>
      <c r="D969" s="51">
        <v>68.0</v>
      </c>
      <c r="E969" s="52" t="s">
        <v>25</v>
      </c>
      <c r="F969" s="52" t="s">
        <v>26</v>
      </c>
      <c r="G969" s="53"/>
    </row>
    <row r="970">
      <c r="A970" s="49">
        <v>44522.77392037037</v>
      </c>
      <c r="B970" s="50">
        <v>44522.8988998726</v>
      </c>
      <c r="C970" s="51">
        <v>1.054</v>
      </c>
      <c r="D970" s="51">
        <v>68.0</v>
      </c>
      <c r="E970" s="52" t="s">
        <v>25</v>
      </c>
      <c r="F970" s="52" t="s">
        <v>26</v>
      </c>
      <c r="G970" s="53"/>
    </row>
    <row r="971">
      <c r="A971" s="49">
        <v>44522.7843369676</v>
      </c>
      <c r="B971" s="50">
        <v>44522.9093223263</v>
      </c>
      <c r="C971" s="51">
        <v>1.054</v>
      </c>
      <c r="D971" s="51">
        <v>68.0</v>
      </c>
      <c r="E971" s="52" t="s">
        <v>25</v>
      </c>
      <c r="F971" s="52" t="s">
        <v>26</v>
      </c>
      <c r="G971" s="53"/>
    </row>
    <row r="972">
      <c r="A972" s="49">
        <v>44522.794765416664</v>
      </c>
      <c r="B972" s="50">
        <v>44522.919743206</v>
      </c>
      <c r="C972" s="51">
        <v>1.054</v>
      </c>
      <c r="D972" s="51">
        <v>68.0</v>
      </c>
      <c r="E972" s="52" t="s">
        <v>25</v>
      </c>
      <c r="F972" s="52" t="s">
        <v>26</v>
      </c>
      <c r="G972" s="53"/>
    </row>
    <row r="973">
      <c r="A973" s="49">
        <v>44522.80518574074</v>
      </c>
      <c r="B973" s="50">
        <v>44522.9301639699</v>
      </c>
      <c r="C973" s="51">
        <v>1.054</v>
      </c>
      <c r="D973" s="51">
        <v>68.0</v>
      </c>
      <c r="E973" s="52" t="s">
        <v>25</v>
      </c>
      <c r="F973" s="52" t="s">
        <v>26</v>
      </c>
      <c r="G973" s="53"/>
    </row>
    <row r="974">
      <c r="A974" s="49">
        <v>44522.81560427083</v>
      </c>
      <c r="B974" s="50">
        <v>44522.94058603</v>
      </c>
      <c r="C974" s="51">
        <v>1.054</v>
      </c>
      <c r="D974" s="51">
        <v>68.0</v>
      </c>
      <c r="E974" s="52" t="s">
        <v>25</v>
      </c>
      <c r="F974" s="52" t="s">
        <v>26</v>
      </c>
      <c r="G974" s="53"/>
    </row>
    <row r="975">
      <c r="A975" s="49">
        <v>44522.82602607639</v>
      </c>
      <c r="B975" s="50">
        <v>44522.951006331</v>
      </c>
      <c r="C975" s="51">
        <v>1.054</v>
      </c>
      <c r="D975" s="51">
        <v>68.0</v>
      </c>
      <c r="E975" s="52" t="s">
        <v>25</v>
      </c>
      <c r="F975" s="52" t="s">
        <v>26</v>
      </c>
      <c r="G975" s="53"/>
    </row>
    <row r="976">
      <c r="A976" s="49">
        <v>44522.83644005787</v>
      </c>
      <c r="B976" s="50">
        <v>44522.9614268402</v>
      </c>
      <c r="C976" s="51">
        <v>1.054</v>
      </c>
      <c r="D976" s="51">
        <v>68.0</v>
      </c>
      <c r="E976" s="52" t="s">
        <v>25</v>
      </c>
      <c r="F976" s="52" t="s">
        <v>26</v>
      </c>
      <c r="G976" s="53"/>
    </row>
    <row r="977">
      <c r="A977" s="49">
        <v>44522.84686803241</v>
      </c>
      <c r="B977" s="50">
        <v>44522.9718476736</v>
      </c>
      <c r="C977" s="51">
        <v>1.054</v>
      </c>
      <c r="D977" s="51">
        <v>68.0</v>
      </c>
      <c r="E977" s="52" t="s">
        <v>25</v>
      </c>
      <c r="F977" s="52" t="s">
        <v>26</v>
      </c>
      <c r="G977" s="53"/>
    </row>
    <row r="978">
      <c r="A978" s="49">
        <v>44522.85731373842</v>
      </c>
      <c r="B978" s="50">
        <v>44522.9822916319</v>
      </c>
      <c r="C978" s="51">
        <v>1.054</v>
      </c>
      <c r="D978" s="51">
        <v>68.0</v>
      </c>
      <c r="E978" s="52" t="s">
        <v>25</v>
      </c>
      <c r="F978" s="52" t="s">
        <v>26</v>
      </c>
      <c r="G978" s="53"/>
    </row>
    <row r="979">
      <c r="A979" s="49">
        <v>44522.86773172454</v>
      </c>
      <c r="B979" s="50">
        <v>44522.9927115972</v>
      </c>
      <c r="C979" s="51">
        <v>1.054</v>
      </c>
      <c r="D979" s="51">
        <v>68.0</v>
      </c>
      <c r="E979" s="52" t="s">
        <v>25</v>
      </c>
      <c r="F979" s="52" t="s">
        <v>26</v>
      </c>
      <c r="G979" s="53"/>
    </row>
    <row r="980">
      <c r="A980" s="49">
        <v>44522.8781678588</v>
      </c>
      <c r="B980" s="50">
        <v>44523.0031362731</v>
      </c>
      <c r="C980" s="51">
        <v>1.054</v>
      </c>
      <c r="D980" s="51">
        <v>68.0</v>
      </c>
      <c r="E980" s="52" t="s">
        <v>25</v>
      </c>
      <c r="F980" s="52" t="s">
        <v>26</v>
      </c>
      <c r="G980" s="53"/>
    </row>
    <row r="981">
      <c r="A981" s="49">
        <v>44522.88858136574</v>
      </c>
      <c r="B981" s="50">
        <v>44523.0135600231</v>
      </c>
      <c r="C981" s="51">
        <v>1.054</v>
      </c>
      <c r="D981" s="51">
        <v>68.0</v>
      </c>
      <c r="E981" s="52" t="s">
        <v>25</v>
      </c>
      <c r="F981" s="52" t="s">
        <v>26</v>
      </c>
      <c r="G981" s="53"/>
    </row>
    <row r="982">
      <c r="A982" s="49">
        <v>44522.89899938657</v>
      </c>
      <c r="B982" s="50">
        <v>44523.0239822106</v>
      </c>
      <c r="C982" s="51">
        <v>1.054</v>
      </c>
      <c r="D982" s="51">
        <v>68.0</v>
      </c>
      <c r="E982" s="52" t="s">
        <v>25</v>
      </c>
      <c r="F982" s="52" t="s">
        <v>26</v>
      </c>
      <c r="G982" s="53"/>
    </row>
    <row r="983">
      <c r="A983" s="49">
        <v>44522.909421226854</v>
      </c>
      <c r="B983" s="50">
        <v>44523.0344034953</v>
      </c>
      <c r="C983" s="51">
        <v>1.054</v>
      </c>
      <c r="D983" s="51">
        <v>68.0</v>
      </c>
      <c r="E983" s="52" t="s">
        <v>25</v>
      </c>
      <c r="F983" s="52" t="s">
        <v>26</v>
      </c>
      <c r="G983" s="53"/>
    </row>
    <row r="984">
      <c r="A984" s="49">
        <v>44522.91985826389</v>
      </c>
      <c r="B984" s="50">
        <v>44523.0448347337</v>
      </c>
      <c r="C984" s="51">
        <v>1.054</v>
      </c>
      <c r="D984" s="51">
        <v>68.0</v>
      </c>
      <c r="E984" s="52" t="s">
        <v>25</v>
      </c>
      <c r="F984" s="52" t="s">
        <v>26</v>
      </c>
      <c r="G984" s="53"/>
    </row>
    <row r="985">
      <c r="A985" s="49">
        <v>44522.930299583335</v>
      </c>
      <c r="B985" s="50">
        <v>44523.0552773958</v>
      </c>
      <c r="C985" s="51">
        <v>1.054</v>
      </c>
      <c r="D985" s="51">
        <v>68.0</v>
      </c>
      <c r="E985" s="52" t="s">
        <v>25</v>
      </c>
      <c r="F985" s="52" t="s">
        <v>26</v>
      </c>
      <c r="G985" s="53"/>
    </row>
    <row r="986">
      <c r="A986" s="49">
        <v>44522.94072237269</v>
      </c>
      <c r="B986" s="50">
        <v>44523.0656985416</v>
      </c>
      <c r="C986" s="51">
        <v>1.054</v>
      </c>
      <c r="D986" s="51">
        <v>68.0</v>
      </c>
      <c r="E986" s="52" t="s">
        <v>25</v>
      </c>
      <c r="F986" s="52" t="s">
        <v>26</v>
      </c>
      <c r="G986" s="53"/>
    </row>
    <row r="987">
      <c r="A987" s="49">
        <v>44522.95115386574</v>
      </c>
      <c r="B987" s="50">
        <v>44523.0761322453</v>
      </c>
      <c r="C987" s="51">
        <v>1.054</v>
      </c>
      <c r="D987" s="51">
        <v>68.0</v>
      </c>
      <c r="E987" s="52" t="s">
        <v>25</v>
      </c>
      <c r="F987" s="52" t="s">
        <v>26</v>
      </c>
      <c r="G987" s="53"/>
    </row>
    <row r="988">
      <c r="A988" s="49">
        <v>44522.96156871528</v>
      </c>
      <c r="B988" s="50">
        <v>44523.0865530324</v>
      </c>
      <c r="C988" s="51">
        <v>1.054</v>
      </c>
      <c r="D988" s="51">
        <v>68.0</v>
      </c>
      <c r="E988" s="52" t="s">
        <v>25</v>
      </c>
      <c r="F988" s="52" t="s">
        <v>26</v>
      </c>
      <c r="G988" s="53"/>
    </row>
    <row r="989">
      <c r="A989" s="49">
        <v>44522.972005902775</v>
      </c>
      <c r="B989" s="50">
        <v>44523.0969856134</v>
      </c>
      <c r="C989" s="51">
        <v>1.054</v>
      </c>
      <c r="D989" s="51">
        <v>68.0</v>
      </c>
      <c r="E989" s="52" t="s">
        <v>25</v>
      </c>
      <c r="F989" s="52" t="s">
        <v>26</v>
      </c>
      <c r="G989" s="53"/>
    </row>
    <row r="990">
      <c r="A990" s="49">
        <v>44522.98245314815</v>
      </c>
      <c r="B990" s="50">
        <v>44523.1074085879</v>
      </c>
      <c r="C990" s="51">
        <v>1.054</v>
      </c>
      <c r="D990" s="51">
        <v>68.0</v>
      </c>
      <c r="E990" s="52" t="s">
        <v>25</v>
      </c>
      <c r="F990" s="52" t="s">
        <v>26</v>
      </c>
      <c r="G990" s="53"/>
    </row>
    <row r="991">
      <c r="A991" s="49">
        <v>44522.992855335644</v>
      </c>
      <c r="B991" s="50">
        <v>44523.1178303472</v>
      </c>
      <c r="C991" s="51">
        <v>1.053</v>
      </c>
      <c r="D991" s="51">
        <v>68.0</v>
      </c>
      <c r="E991" s="52" t="s">
        <v>25</v>
      </c>
      <c r="F991" s="52" t="s">
        <v>26</v>
      </c>
      <c r="G991" s="53"/>
    </row>
    <row r="992">
      <c r="A992" s="49">
        <v>44523.00327731481</v>
      </c>
      <c r="B992" s="50">
        <v>44523.1282509953</v>
      </c>
      <c r="C992" s="51">
        <v>1.053</v>
      </c>
      <c r="D992" s="51">
        <v>68.0</v>
      </c>
      <c r="E992" s="52" t="s">
        <v>25</v>
      </c>
      <c r="F992" s="52" t="s">
        <v>26</v>
      </c>
      <c r="G992" s="53"/>
    </row>
    <row r="993">
      <c r="A993" s="49">
        <v>44523.01370019676</v>
      </c>
      <c r="B993" s="50">
        <v>44523.1386712384</v>
      </c>
      <c r="C993" s="51">
        <v>1.053</v>
      </c>
      <c r="D993" s="51">
        <v>68.0</v>
      </c>
      <c r="E993" s="52" t="s">
        <v>25</v>
      </c>
      <c r="F993" s="52" t="s">
        <v>26</v>
      </c>
      <c r="G993" s="53"/>
    </row>
    <row r="994">
      <c r="A994" s="49">
        <v>44523.02414540509</v>
      </c>
      <c r="B994" s="50">
        <v>44523.1490930902</v>
      </c>
      <c r="C994" s="51">
        <v>1.054</v>
      </c>
      <c r="D994" s="51">
        <v>68.0</v>
      </c>
      <c r="E994" s="52" t="s">
        <v>25</v>
      </c>
      <c r="F994" s="52" t="s">
        <v>26</v>
      </c>
      <c r="G994" s="53"/>
    </row>
    <row r="995">
      <c r="A995" s="49">
        <v>44523.03454461806</v>
      </c>
      <c r="B995" s="50">
        <v>44523.1595261574</v>
      </c>
      <c r="C995" s="51">
        <v>1.053</v>
      </c>
      <c r="D995" s="51">
        <v>68.0</v>
      </c>
      <c r="E995" s="52" t="s">
        <v>25</v>
      </c>
      <c r="F995" s="52" t="s">
        <v>26</v>
      </c>
      <c r="G995" s="53"/>
    </row>
    <row r="996">
      <c r="A996" s="49">
        <v>44523.04498160879</v>
      </c>
      <c r="B996" s="50">
        <v>44523.1699591319</v>
      </c>
      <c r="C996" s="51">
        <v>1.053</v>
      </c>
      <c r="D996" s="51">
        <v>68.0</v>
      </c>
      <c r="E996" s="52" t="s">
        <v>25</v>
      </c>
      <c r="F996" s="52" t="s">
        <v>26</v>
      </c>
      <c r="G996" s="53"/>
    </row>
    <row r="997">
      <c r="A997" s="49">
        <v>44523.05539501157</v>
      </c>
      <c r="B997" s="50">
        <v>44523.1803799768</v>
      </c>
      <c r="C997" s="51">
        <v>1.053</v>
      </c>
      <c r="D997" s="51">
        <v>68.0</v>
      </c>
      <c r="E997" s="52" t="s">
        <v>25</v>
      </c>
      <c r="F997" s="52" t="s">
        <v>26</v>
      </c>
      <c r="G997" s="53"/>
    </row>
    <row r="998">
      <c r="A998" s="49">
        <v>44523.0658715625</v>
      </c>
      <c r="B998" s="50">
        <v>44523.1908487615</v>
      </c>
      <c r="C998" s="51">
        <v>1.053</v>
      </c>
      <c r="D998" s="51">
        <v>68.0</v>
      </c>
      <c r="E998" s="52" t="s">
        <v>25</v>
      </c>
      <c r="F998" s="52" t="s">
        <v>26</v>
      </c>
      <c r="G998" s="53"/>
    </row>
    <row r="999">
      <c r="A999" s="49">
        <v>44523.0763371412</v>
      </c>
      <c r="B999" s="50">
        <v>44523.2012704861</v>
      </c>
      <c r="C999" s="51">
        <v>1.053</v>
      </c>
      <c r="D999" s="51">
        <v>68.0</v>
      </c>
      <c r="E999" s="52" t="s">
        <v>25</v>
      </c>
      <c r="F999" s="52" t="s">
        <v>26</v>
      </c>
      <c r="G999" s="53"/>
    </row>
    <row r="1000">
      <c r="A1000" s="49">
        <v>44523.086715</v>
      </c>
      <c r="B1000" s="50">
        <v>44523.2116919444</v>
      </c>
      <c r="C1000" s="51">
        <v>1.053</v>
      </c>
      <c r="D1000" s="51">
        <v>68.0</v>
      </c>
      <c r="E1000" s="52" t="s">
        <v>25</v>
      </c>
      <c r="F1000" s="52" t="s">
        <v>26</v>
      </c>
      <c r="G1000" s="53"/>
    </row>
    <row r="1001">
      <c r="A1001" s="49">
        <v>44523.09713883101</v>
      </c>
      <c r="B1001" s="50">
        <v>44523.2221138541</v>
      </c>
      <c r="C1001" s="51">
        <v>1.053</v>
      </c>
      <c r="D1001" s="51">
        <v>68.0</v>
      </c>
      <c r="E1001" s="52" t="s">
        <v>25</v>
      </c>
      <c r="F1001" s="52" t="s">
        <v>26</v>
      </c>
      <c r="G1001" s="53"/>
    </row>
    <row r="1002">
      <c r="A1002" s="49">
        <v>44523.10755262732</v>
      </c>
      <c r="B1002" s="50">
        <v>44523.2325332523</v>
      </c>
      <c r="C1002" s="51">
        <v>1.053</v>
      </c>
      <c r="D1002" s="51">
        <v>68.0</v>
      </c>
      <c r="E1002" s="52" t="s">
        <v>25</v>
      </c>
      <c r="F1002" s="52" t="s">
        <v>26</v>
      </c>
      <c r="G1002" s="53"/>
    </row>
    <row r="1003">
      <c r="A1003" s="49">
        <v>44523.1179815625</v>
      </c>
      <c r="B1003" s="50">
        <v>44523.2429548148</v>
      </c>
      <c r="C1003" s="51">
        <v>1.053</v>
      </c>
      <c r="D1003" s="51">
        <v>68.0</v>
      </c>
      <c r="E1003" s="52" t="s">
        <v>25</v>
      </c>
      <c r="F1003" s="52" t="s">
        <v>26</v>
      </c>
      <c r="G1003" s="53"/>
    </row>
    <row r="1004">
      <c r="A1004" s="49">
        <v>44523.12840023148</v>
      </c>
      <c r="B1004" s="50">
        <v>44523.2533761921</v>
      </c>
      <c r="C1004" s="51">
        <v>1.053</v>
      </c>
      <c r="D1004" s="51">
        <v>67.0</v>
      </c>
      <c r="E1004" s="52" t="s">
        <v>25</v>
      </c>
      <c r="F1004" s="52" t="s">
        <v>26</v>
      </c>
      <c r="G1004" s="53"/>
    </row>
    <row r="1005">
      <c r="A1005" s="49">
        <v>44523.138814861115</v>
      </c>
      <c r="B1005" s="50">
        <v>44523.2637980671</v>
      </c>
      <c r="C1005" s="51">
        <v>1.053</v>
      </c>
      <c r="D1005" s="51">
        <v>67.0</v>
      </c>
      <c r="E1005" s="52" t="s">
        <v>25</v>
      </c>
      <c r="F1005" s="52" t="s">
        <v>26</v>
      </c>
      <c r="G1005" s="53"/>
    </row>
    <row r="1006">
      <c r="A1006" s="49">
        <v>44523.14924109954</v>
      </c>
      <c r="B1006" s="50">
        <v>44523.2742184259</v>
      </c>
      <c r="C1006" s="51">
        <v>1.053</v>
      </c>
      <c r="D1006" s="51">
        <v>67.0</v>
      </c>
      <c r="E1006" s="52" t="s">
        <v>25</v>
      </c>
      <c r="F1006" s="52" t="s">
        <v>26</v>
      </c>
      <c r="G1006" s="53"/>
    </row>
    <row r="1007">
      <c r="A1007" s="49">
        <v>44523.15966146991</v>
      </c>
      <c r="B1007" s="50">
        <v>44523.2846407754</v>
      </c>
      <c r="C1007" s="51">
        <v>1.053</v>
      </c>
      <c r="D1007" s="51">
        <v>67.0</v>
      </c>
      <c r="E1007" s="52" t="s">
        <v>25</v>
      </c>
      <c r="F1007" s="52" t="s">
        <v>26</v>
      </c>
      <c r="G1007" s="53"/>
    </row>
    <row r="1008">
      <c r="A1008" s="49">
        <v>44523.17008214121</v>
      </c>
      <c r="B1008" s="50">
        <v>44523.2950600925</v>
      </c>
      <c r="C1008" s="51">
        <v>1.053</v>
      </c>
      <c r="D1008" s="51">
        <v>67.0</v>
      </c>
      <c r="E1008" s="52" t="s">
        <v>25</v>
      </c>
      <c r="F1008" s="52" t="s">
        <v>26</v>
      </c>
      <c r="G1008" s="53"/>
    </row>
    <row r="1009">
      <c r="A1009" s="49">
        <v>44523.180500925926</v>
      </c>
      <c r="B1009" s="50">
        <v>44523.3054805324</v>
      </c>
      <c r="C1009" s="51">
        <v>1.053</v>
      </c>
      <c r="D1009" s="51">
        <v>67.0</v>
      </c>
      <c r="E1009" s="52" t="s">
        <v>25</v>
      </c>
      <c r="F1009" s="52" t="s">
        <v>26</v>
      </c>
      <c r="G1009" s="53"/>
    </row>
    <row r="1010">
      <c r="A1010" s="49">
        <v>44523.19092155092</v>
      </c>
      <c r="B1010" s="50">
        <v>44523.3159013773</v>
      </c>
      <c r="C1010" s="51">
        <v>1.053</v>
      </c>
      <c r="D1010" s="51">
        <v>67.0</v>
      </c>
      <c r="E1010" s="52" t="s">
        <v>25</v>
      </c>
      <c r="F1010" s="52" t="s">
        <v>26</v>
      </c>
      <c r="G1010" s="53"/>
    </row>
    <row r="1011">
      <c r="A1011" s="49">
        <v>44523.20135855324</v>
      </c>
      <c r="B1011" s="50">
        <v>44523.3263355092</v>
      </c>
      <c r="C1011" s="51">
        <v>1.053</v>
      </c>
      <c r="D1011" s="51">
        <v>67.0</v>
      </c>
      <c r="E1011" s="52" t="s">
        <v>25</v>
      </c>
      <c r="F1011" s="52" t="s">
        <v>26</v>
      </c>
      <c r="G1011" s="53"/>
    </row>
    <row r="1012">
      <c r="A1012" s="49">
        <v>44523.21179378472</v>
      </c>
      <c r="B1012" s="50">
        <v>44523.3367785763</v>
      </c>
      <c r="C1012" s="51">
        <v>1.053</v>
      </c>
      <c r="D1012" s="51">
        <v>67.0</v>
      </c>
      <c r="E1012" s="52" t="s">
        <v>25</v>
      </c>
      <c r="F1012" s="52" t="s">
        <v>26</v>
      </c>
      <c r="G1012" s="53"/>
    </row>
    <row r="1013">
      <c r="A1013" s="49">
        <v>44523.22222319445</v>
      </c>
      <c r="B1013" s="50">
        <v>44523.347200081</v>
      </c>
      <c r="C1013" s="51">
        <v>1.053</v>
      </c>
      <c r="D1013" s="51">
        <v>67.0</v>
      </c>
      <c r="E1013" s="52" t="s">
        <v>25</v>
      </c>
      <c r="F1013" s="52" t="s">
        <v>26</v>
      </c>
      <c r="G1013" s="53"/>
    </row>
    <row r="1014">
      <c r="A1014" s="49">
        <v>44523.23264299768</v>
      </c>
      <c r="B1014" s="50">
        <v>44523.3576206944</v>
      </c>
      <c r="C1014" s="51">
        <v>1.053</v>
      </c>
      <c r="D1014" s="51">
        <v>67.0</v>
      </c>
      <c r="E1014" s="52" t="s">
        <v>25</v>
      </c>
      <c r="F1014" s="52" t="s">
        <v>26</v>
      </c>
      <c r="G1014" s="53"/>
    </row>
    <row r="1015">
      <c r="A1015" s="49">
        <v>44523.243064814815</v>
      </c>
      <c r="B1015" s="50">
        <v>44523.3680428935</v>
      </c>
      <c r="C1015" s="51">
        <v>1.053</v>
      </c>
      <c r="D1015" s="51">
        <v>67.0</v>
      </c>
      <c r="E1015" s="52" t="s">
        <v>25</v>
      </c>
      <c r="F1015" s="52" t="s">
        <v>26</v>
      </c>
      <c r="G1015" s="53"/>
    </row>
    <row r="1016">
      <c r="A1016" s="49">
        <v>44523.25350644676</v>
      </c>
      <c r="B1016" s="50">
        <v>44523.3784755092</v>
      </c>
      <c r="C1016" s="51">
        <v>1.053</v>
      </c>
      <c r="D1016" s="51">
        <v>67.0</v>
      </c>
      <c r="E1016" s="52" t="s">
        <v>25</v>
      </c>
      <c r="F1016" s="52" t="s">
        <v>26</v>
      </c>
      <c r="G1016" s="53"/>
    </row>
    <row r="1017">
      <c r="A1017" s="49">
        <v>44523.26392135417</v>
      </c>
      <c r="B1017" s="50">
        <v>44523.3888983101</v>
      </c>
      <c r="C1017" s="51">
        <v>1.053</v>
      </c>
      <c r="D1017" s="51">
        <v>67.0</v>
      </c>
      <c r="E1017" s="52" t="s">
        <v>25</v>
      </c>
      <c r="F1017" s="52" t="s">
        <v>26</v>
      </c>
      <c r="G1017" s="53"/>
    </row>
    <row r="1018">
      <c r="A1018" s="49">
        <v>44523.274443692135</v>
      </c>
      <c r="B1018" s="50">
        <v>44523.3993210648</v>
      </c>
      <c r="C1018" s="51">
        <v>1.053</v>
      </c>
      <c r="D1018" s="51">
        <v>67.0</v>
      </c>
      <c r="E1018" s="52" t="s">
        <v>25</v>
      </c>
      <c r="F1018" s="52" t="s">
        <v>26</v>
      </c>
      <c r="G1018" s="53"/>
    </row>
    <row r="1019">
      <c r="A1019" s="49">
        <v>44523.28476484954</v>
      </c>
      <c r="B1019" s="50">
        <v>44523.4097428819</v>
      </c>
      <c r="C1019" s="51">
        <v>1.052</v>
      </c>
      <c r="D1019" s="51">
        <v>67.0</v>
      </c>
      <c r="E1019" s="52" t="s">
        <v>25</v>
      </c>
      <c r="F1019" s="52" t="s">
        <v>26</v>
      </c>
      <c r="G1019" s="53"/>
    </row>
    <row r="1020">
      <c r="A1020" s="49">
        <v>44523.295198148146</v>
      </c>
      <c r="B1020" s="50">
        <v>44523.4201651504</v>
      </c>
      <c r="C1020" s="51">
        <v>1.052</v>
      </c>
      <c r="D1020" s="51">
        <v>67.0</v>
      </c>
      <c r="E1020" s="52" t="s">
        <v>25</v>
      </c>
      <c r="F1020" s="52" t="s">
        <v>26</v>
      </c>
      <c r="G1020" s="53"/>
    </row>
    <row r="1021">
      <c r="A1021" s="49">
        <v>44523.30562658564</v>
      </c>
      <c r="B1021" s="50">
        <v>44523.4305856134</v>
      </c>
      <c r="C1021" s="51">
        <v>1.052</v>
      </c>
      <c r="D1021" s="51">
        <v>67.0</v>
      </c>
      <c r="E1021" s="52" t="s">
        <v>25</v>
      </c>
      <c r="F1021" s="52" t="s">
        <v>26</v>
      </c>
      <c r="G1021" s="53"/>
    </row>
    <row r="1022">
      <c r="A1022" s="49">
        <v>44523.31602373843</v>
      </c>
      <c r="B1022" s="50">
        <v>44523.4410079861</v>
      </c>
      <c r="C1022" s="51">
        <v>1.052</v>
      </c>
      <c r="D1022" s="51">
        <v>67.0</v>
      </c>
      <c r="E1022" s="52" t="s">
        <v>25</v>
      </c>
      <c r="F1022" s="52" t="s">
        <v>26</v>
      </c>
      <c r="G1022" s="53"/>
    </row>
    <row r="1023">
      <c r="A1023" s="49">
        <v>44523.326462893514</v>
      </c>
      <c r="B1023" s="50">
        <v>44523.4514395486</v>
      </c>
      <c r="C1023" s="51">
        <v>1.052</v>
      </c>
      <c r="D1023" s="51">
        <v>67.0</v>
      </c>
      <c r="E1023" s="52" t="s">
        <v>25</v>
      </c>
      <c r="F1023" s="52" t="s">
        <v>26</v>
      </c>
      <c r="G1023" s="53"/>
    </row>
    <row r="1024">
      <c r="A1024" s="49">
        <v>44523.33687806713</v>
      </c>
      <c r="B1024" s="50">
        <v>44523.4618614351</v>
      </c>
      <c r="C1024" s="51">
        <v>1.052</v>
      </c>
      <c r="D1024" s="51">
        <v>67.0</v>
      </c>
      <c r="E1024" s="52" t="s">
        <v>25</v>
      </c>
      <c r="F1024" s="52" t="s">
        <v>26</v>
      </c>
      <c r="G1024" s="53"/>
    </row>
    <row r="1025">
      <c r="A1025" s="49">
        <v>44523.347307916665</v>
      </c>
      <c r="B1025" s="50">
        <v>44523.4722840393</v>
      </c>
      <c r="C1025" s="51">
        <v>1.052</v>
      </c>
      <c r="D1025" s="51">
        <v>67.0</v>
      </c>
      <c r="E1025" s="52" t="s">
        <v>25</v>
      </c>
      <c r="F1025" s="52" t="s">
        <v>26</v>
      </c>
      <c r="G1025" s="53"/>
    </row>
    <row r="1026">
      <c r="A1026" s="49">
        <v>44523.35773209491</v>
      </c>
      <c r="B1026" s="50">
        <v>44523.4827064236</v>
      </c>
      <c r="C1026" s="51">
        <v>1.052</v>
      </c>
      <c r="D1026" s="51">
        <v>67.0</v>
      </c>
      <c r="E1026" s="52" t="s">
        <v>25</v>
      </c>
      <c r="F1026" s="52" t="s">
        <v>26</v>
      </c>
      <c r="G1026" s="53"/>
    </row>
    <row r="1027">
      <c r="A1027" s="49">
        <v>44523.36815527778</v>
      </c>
      <c r="B1027" s="50">
        <v>44523.4931301967</v>
      </c>
      <c r="C1027" s="51">
        <v>1.052</v>
      </c>
      <c r="D1027" s="51">
        <v>67.0</v>
      </c>
      <c r="E1027" s="52" t="s">
        <v>25</v>
      </c>
      <c r="F1027" s="52" t="s">
        <v>26</v>
      </c>
      <c r="G1027" s="53"/>
    </row>
    <row r="1028">
      <c r="A1028" s="49">
        <v>44523.37869283565</v>
      </c>
      <c r="B1028" s="50">
        <v>44523.5035518171</v>
      </c>
      <c r="C1028" s="51">
        <v>1.052</v>
      </c>
      <c r="D1028" s="51">
        <v>67.0</v>
      </c>
      <c r="E1028" s="52" t="s">
        <v>25</v>
      </c>
      <c r="F1028" s="52" t="s">
        <v>26</v>
      </c>
      <c r="G1028" s="53"/>
    </row>
    <row r="1029">
      <c r="A1029" s="49">
        <v>44523.38900658565</v>
      </c>
      <c r="B1029" s="50">
        <v>44523.5139849652</v>
      </c>
      <c r="C1029" s="51">
        <v>1.052</v>
      </c>
      <c r="D1029" s="51">
        <v>67.0</v>
      </c>
      <c r="E1029" s="52" t="s">
        <v>25</v>
      </c>
      <c r="F1029" s="52" t="s">
        <v>26</v>
      </c>
      <c r="G1029" s="53"/>
    </row>
    <row r="1030">
      <c r="A1030" s="49">
        <v>44523.39944289352</v>
      </c>
      <c r="B1030" s="50">
        <v>44523.5244069675</v>
      </c>
      <c r="C1030" s="51">
        <v>1.052</v>
      </c>
      <c r="D1030" s="51">
        <v>67.0</v>
      </c>
      <c r="E1030" s="52" t="s">
        <v>25</v>
      </c>
      <c r="F1030" s="52" t="s">
        <v>26</v>
      </c>
      <c r="G1030" s="53"/>
    </row>
    <row r="1031">
      <c r="A1031" s="49">
        <v>44523.4098525463</v>
      </c>
      <c r="B1031" s="50">
        <v>44523.5348382754</v>
      </c>
      <c r="C1031" s="51">
        <v>1.052</v>
      </c>
      <c r="D1031" s="51">
        <v>67.0</v>
      </c>
      <c r="E1031" s="52" t="s">
        <v>25</v>
      </c>
      <c r="F1031" s="52" t="s">
        <v>26</v>
      </c>
      <c r="G1031" s="53"/>
    </row>
    <row r="1032">
      <c r="A1032" s="49">
        <v>44523.420288657406</v>
      </c>
      <c r="B1032" s="50">
        <v>44523.5452603935</v>
      </c>
      <c r="C1032" s="51">
        <v>1.052</v>
      </c>
      <c r="D1032" s="51">
        <v>67.0</v>
      </c>
      <c r="E1032" s="52" t="s">
        <v>25</v>
      </c>
      <c r="F1032" s="52" t="s">
        <v>26</v>
      </c>
      <c r="G1032" s="53"/>
    </row>
    <row r="1033">
      <c r="A1033" s="49">
        <v>44523.430733113426</v>
      </c>
      <c r="B1033" s="50">
        <v>44523.5557050578</v>
      </c>
      <c r="C1033" s="51">
        <v>1.052</v>
      </c>
      <c r="D1033" s="51">
        <v>67.0</v>
      </c>
      <c r="E1033" s="52" t="s">
        <v>25</v>
      </c>
      <c r="F1033" s="52" t="s">
        <v>26</v>
      </c>
      <c r="G1033" s="53"/>
    </row>
    <row r="1034">
      <c r="A1034" s="49">
        <v>44523.44114587963</v>
      </c>
      <c r="B1034" s="50">
        <v>44523.5661254282</v>
      </c>
      <c r="C1034" s="51">
        <v>1.052</v>
      </c>
      <c r="D1034" s="51">
        <v>67.0</v>
      </c>
      <c r="E1034" s="52" t="s">
        <v>25</v>
      </c>
      <c r="F1034" s="52" t="s">
        <v>26</v>
      </c>
      <c r="G1034" s="53"/>
    </row>
    <row r="1035">
      <c r="A1035" s="49">
        <v>44523.451567384254</v>
      </c>
      <c r="B1035" s="50">
        <v>44523.5765458912</v>
      </c>
      <c r="C1035" s="51">
        <v>1.052</v>
      </c>
      <c r="D1035" s="51">
        <v>67.0</v>
      </c>
      <c r="E1035" s="52" t="s">
        <v>25</v>
      </c>
      <c r="F1035" s="52" t="s">
        <v>26</v>
      </c>
      <c r="G1035" s="53"/>
    </row>
    <row r="1036">
      <c r="A1036" s="49">
        <v>44523.461987222225</v>
      </c>
      <c r="B1036" s="50">
        <v>44523.586966875</v>
      </c>
      <c r="C1036" s="51">
        <v>1.052</v>
      </c>
      <c r="D1036" s="51">
        <v>67.0</v>
      </c>
      <c r="E1036" s="52" t="s">
        <v>25</v>
      </c>
      <c r="F1036" s="52" t="s">
        <v>26</v>
      </c>
      <c r="G1036" s="53"/>
    </row>
    <row r="1037">
      <c r="A1037" s="49">
        <v>44523.47241194444</v>
      </c>
      <c r="B1037" s="50">
        <v>44523.5973872916</v>
      </c>
      <c r="C1037" s="51">
        <v>1.052</v>
      </c>
      <c r="D1037" s="51">
        <v>67.0</v>
      </c>
      <c r="E1037" s="52" t="s">
        <v>25</v>
      </c>
      <c r="F1037" s="52" t="s">
        <v>26</v>
      </c>
      <c r="G1037" s="53"/>
    </row>
    <row r="1038">
      <c r="A1038" s="49">
        <v>44523.48283247685</v>
      </c>
      <c r="B1038" s="50">
        <v>44523.6078073726</v>
      </c>
      <c r="C1038" s="51">
        <v>1.052</v>
      </c>
      <c r="D1038" s="51">
        <v>67.0</v>
      </c>
      <c r="E1038" s="52" t="s">
        <v>25</v>
      </c>
      <c r="F1038" s="52" t="s">
        <v>26</v>
      </c>
      <c r="G1038" s="53"/>
    </row>
    <row r="1039">
      <c r="A1039" s="49">
        <v>44523.493266377314</v>
      </c>
      <c r="B1039" s="50">
        <v>44523.6182391203</v>
      </c>
      <c r="C1039" s="51">
        <v>1.052</v>
      </c>
      <c r="D1039" s="51">
        <v>67.0</v>
      </c>
      <c r="E1039" s="52" t="s">
        <v>25</v>
      </c>
      <c r="F1039" s="52" t="s">
        <v>26</v>
      </c>
      <c r="G1039" s="53"/>
    </row>
    <row r="1040">
      <c r="A1040" s="49">
        <v>44523.50368543981</v>
      </c>
      <c r="B1040" s="50">
        <v>44523.6286603356</v>
      </c>
      <c r="C1040" s="51">
        <v>1.052</v>
      </c>
      <c r="D1040" s="51">
        <v>67.0</v>
      </c>
      <c r="E1040" s="52" t="s">
        <v>25</v>
      </c>
      <c r="F1040" s="52" t="s">
        <v>26</v>
      </c>
      <c r="G1040" s="53"/>
    </row>
    <row r="1041">
      <c r="A1041" s="49">
        <v>44523.51410127315</v>
      </c>
      <c r="B1041" s="50">
        <v>44523.6390817361</v>
      </c>
      <c r="C1041" s="51">
        <v>1.052</v>
      </c>
      <c r="D1041" s="51">
        <v>67.0</v>
      </c>
      <c r="E1041" s="52" t="s">
        <v>25</v>
      </c>
      <c r="F1041" s="52" t="s">
        <v>26</v>
      </c>
      <c r="G1041" s="53"/>
    </row>
    <row r="1042">
      <c r="A1042" s="49">
        <v>44523.5245244213</v>
      </c>
      <c r="B1042" s="50">
        <v>44523.6495010648</v>
      </c>
      <c r="C1042" s="51">
        <v>1.052</v>
      </c>
      <c r="D1042" s="51">
        <v>67.0</v>
      </c>
      <c r="E1042" s="52" t="s">
        <v>25</v>
      </c>
      <c r="F1042" s="52" t="s">
        <v>26</v>
      </c>
      <c r="G1042" s="53"/>
    </row>
    <row r="1043">
      <c r="A1043" s="49">
        <v>44523.53494628472</v>
      </c>
      <c r="B1043" s="50">
        <v>44523.6599225694</v>
      </c>
      <c r="C1043" s="51">
        <v>1.052</v>
      </c>
      <c r="D1043" s="51">
        <v>67.0</v>
      </c>
      <c r="E1043" s="52" t="s">
        <v>25</v>
      </c>
      <c r="F1043" s="52" t="s">
        <v>26</v>
      </c>
      <c r="G1043" s="53"/>
    </row>
    <row r="1044">
      <c r="A1044" s="49">
        <v>44523.54537075231</v>
      </c>
      <c r="B1044" s="50">
        <v>44523.6703444675</v>
      </c>
      <c r="C1044" s="51">
        <v>1.052</v>
      </c>
      <c r="D1044" s="51">
        <v>67.0</v>
      </c>
      <c r="E1044" s="52" t="s">
        <v>25</v>
      </c>
      <c r="F1044" s="52" t="s">
        <v>26</v>
      </c>
      <c r="G1044" s="53"/>
    </row>
    <row r="1045">
      <c r="A1045" s="49">
        <v>44523.555800601855</v>
      </c>
      <c r="B1045" s="50">
        <v>44523.6807652314</v>
      </c>
      <c r="C1045" s="51">
        <v>1.052</v>
      </c>
      <c r="D1045" s="51">
        <v>67.0</v>
      </c>
      <c r="E1045" s="52" t="s">
        <v>25</v>
      </c>
      <c r="F1045" s="52" t="s">
        <v>26</v>
      </c>
      <c r="G1045" s="53"/>
    </row>
    <row r="1046">
      <c r="A1046" s="49">
        <v>44523.56621226852</v>
      </c>
      <c r="B1046" s="50">
        <v>44523.6911853935</v>
      </c>
      <c r="C1046" s="51">
        <v>1.052</v>
      </c>
      <c r="D1046" s="51">
        <v>67.0</v>
      </c>
      <c r="E1046" s="52" t="s">
        <v>25</v>
      </c>
      <c r="F1046" s="52" t="s">
        <v>26</v>
      </c>
      <c r="G1046" s="53"/>
    </row>
    <row r="1047">
      <c r="A1047" s="49">
        <v>44523.576623796296</v>
      </c>
      <c r="B1047" s="50">
        <v>44523.7016051736</v>
      </c>
      <c r="C1047" s="51">
        <v>1.052</v>
      </c>
      <c r="D1047" s="51">
        <v>67.0</v>
      </c>
      <c r="E1047" s="52" t="s">
        <v>25</v>
      </c>
      <c r="F1047" s="52" t="s">
        <v>26</v>
      </c>
      <c r="G1047" s="53"/>
    </row>
    <row r="1048">
      <c r="A1048" s="49">
        <v>44523.587052511575</v>
      </c>
      <c r="B1048" s="50">
        <v>44523.7120255671</v>
      </c>
      <c r="C1048" s="51">
        <v>1.052</v>
      </c>
      <c r="D1048" s="51">
        <v>67.0</v>
      </c>
      <c r="E1048" s="52" t="s">
        <v>25</v>
      </c>
      <c r="F1048" s="52" t="s">
        <v>26</v>
      </c>
      <c r="G1048" s="53"/>
    </row>
    <row r="1049">
      <c r="A1049" s="49">
        <v>44523.59746694444</v>
      </c>
      <c r="B1049" s="50">
        <v>44523.7224447685</v>
      </c>
      <c r="C1049" s="51">
        <v>1.051</v>
      </c>
      <c r="D1049" s="51">
        <v>67.0</v>
      </c>
      <c r="E1049" s="52" t="s">
        <v>25</v>
      </c>
      <c r="F1049" s="52" t="s">
        <v>26</v>
      </c>
      <c r="G1049" s="53"/>
    </row>
    <row r="1050">
      <c r="A1050" s="49">
        <v>44523.60789853009</v>
      </c>
      <c r="B1050" s="50">
        <v>44523.7328664814</v>
      </c>
      <c r="C1050" s="51">
        <v>1.052</v>
      </c>
      <c r="D1050" s="51">
        <v>67.0</v>
      </c>
      <c r="E1050" s="52" t="s">
        <v>25</v>
      </c>
      <c r="F1050" s="52" t="s">
        <v>26</v>
      </c>
      <c r="G1050" s="53"/>
    </row>
    <row r="1051">
      <c r="A1051" s="49">
        <v>44523.61831917824</v>
      </c>
      <c r="B1051" s="50">
        <v>44523.7432878009</v>
      </c>
      <c r="C1051" s="51">
        <v>1.052</v>
      </c>
      <c r="D1051" s="51">
        <v>67.0</v>
      </c>
      <c r="E1051" s="52" t="s">
        <v>25</v>
      </c>
      <c r="F1051" s="52" t="s">
        <v>26</v>
      </c>
      <c r="G1051" s="53"/>
    </row>
    <row r="1052">
      <c r="A1052" s="49">
        <v>44523.628736099534</v>
      </c>
      <c r="B1052" s="50">
        <v>44523.7537077199</v>
      </c>
      <c r="C1052" s="51">
        <v>1.051</v>
      </c>
      <c r="D1052" s="51">
        <v>67.0</v>
      </c>
      <c r="E1052" s="52" t="s">
        <v>25</v>
      </c>
      <c r="F1052" s="52" t="s">
        <v>26</v>
      </c>
      <c r="G1052" s="53"/>
    </row>
    <row r="1053">
      <c r="A1053" s="49">
        <v>44523.639162418986</v>
      </c>
      <c r="B1053" s="50">
        <v>44523.7641284837</v>
      </c>
      <c r="C1053" s="51">
        <v>1.051</v>
      </c>
      <c r="D1053" s="51">
        <v>67.0</v>
      </c>
      <c r="E1053" s="52" t="s">
        <v>25</v>
      </c>
      <c r="F1053" s="52" t="s">
        <v>26</v>
      </c>
      <c r="G1053" s="53"/>
    </row>
    <row r="1054">
      <c r="A1054" s="49">
        <v>44523.64958564815</v>
      </c>
      <c r="B1054" s="50">
        <v>44523.7745504513</v>
      </c>
      <c r="C1054" s="51">
        <v>1.051</v>
      </c>
      <c r="D1054" s="51">
        <v>67.0</v>
      </c>
      <c r="E1054" s="52" t="s">
        <v>25</v>
      </c>
      <c r="F1054" s="52" t="s">
        <v>26</v>
      </c>
      <c r="G1054" s="53"/>
    </row>
    <row r="1055">
      <c r="A1055" s="49">
        <v>44523.659995775466</v>
      </c>
      <c r="B1055" s="50">
        <v>44523.7849730439</v>
      </c>
      <c r="C1055" s="51">
        <v>1.051</v>
      </c>
      <c r="D1055" s="51">
        <v>67.0</v>
      </c>
      <c r="E1055" s="52" t="s">
        <v>25</v>
      </c>
      <c r="F1055" s="52" t="s">
        <v>26</v>
      </c>
      <c r="G1055" s="53"/>
    </row>
    <row r="1056">
      <c r="A1056" s="49">
        <v>44523.670423171294</v>
      </c>
      <c r="B1056" s="50">
        <v>44523.7953949768</v>
      </c>
      <c r="C1056" s="51">
        <v>1.051</v>
      </c>
      <c r="D1056" s="51">
        <v>67.0</v>
      </c>
      <c r="E1056" s="52" t="s">
        <v>25</v>
      </c>
      <c r="F1056" s="52" t="s">
        <v>26</v>
      </c>
      <c r="G1056" s="53"/>
    </row>
    <row r="1057">
      <c r="A1057" s="49">
        <v>44523.68085362269</v>
      </c>
      <c r="B1057" s="50">
        <v>44523.8058160879</v>
      </c>
      <c r="C1057" s="51">
        <v>1.051</v>
      </c>
      <c r="D1057" s="51">
        <v>67.0</v>
      </c>
      <c r="E1057" s="52" t="s">
        <v>25</v>
      </c>
      <c r="F1057" s="52" t="s">
        <v>26</v>
      </c>
      <c r="G1057" s="53"/>
    </row>
    <row r="1058">
      <c r="A1058" s="49">
        <v>44523.691268009265</v>
      </c>
      <c r="B1058" s="50">
        <v>44523.8162372685</v>
      </c>
      <c r="C1058" s="51">
        <v>1.051</v>
      </c>
      <c r="D1058" s="51">
        <v>67.0</v>
      </c>
      <c r="E1058" s="52" t="s">
        <v>25</v>
      </c>
      <c r="F1058" s="52" t="s">
        <v>26</v>
      </c>
      <c r="G1058" s="53"/>
    </row>
    <row r="1059">
      <c r="A1059" s="49">
        <v>44523.701691469905</v>
      </c>
      <c r="B1059" s="50">
        <v>44523.8266567129</v>
      </c>
      <c r="C1059" s="51">
        <v>1.051</v>
      </c>
      <c r="D1059" s="51">
        <v>67.0</v>
      </c>
      <c r="E1059" s="52" t="s">
        <v>25</v>
      </c>
      <c r="F1059" s="52" t="s">
        <v>26</v>
      </c>
      <c r="G1059" s="53"/>
    </row>
    <row r="1060">
      <c r="A1060" s="49">
        <v>44523.712112141206</v>
      </c>
      <c r="B1060" s="50">
        <v>44523.8370776736</v>
      </c>
      <c r="C1060" s="51">
        <v>1.051</v>
      </c>
      <c r="D1060" s="51">
        <v>67.0</v>
      </c>
      <c r="E1060" s="52" t="s">
        <v>25</v>
      </c>
      <c r="F1060" s="52" t="s">
        <v>26</v>
      </c>
      <c r="G1060" s="53"/>
    </row>
    <row r="1061">
      <c r="A1061" s="49">
        <v>44523.7225307176</v>
      </c>
      <c r="B1061" s="50">
        <v>44523.8474987615</v>
      </c>
      <c r="C1061" s="51">
        <v>1.051</v>
      </c>
      <c r="D1061" s="51">
        <v>67.0</v>
      </c>
      <c r="E1061" s="52" t="s">
        <v>25</v>
      </c>
      <c r="F1061" s="52" t="s">
        <v>26</v>
      </c>
      <c r="G1061" s="53"/>
    </row>
    <row r="1062">
      <c r="A1062" s="49">
        <v>44523.73296334491</v>
      </c>
      <c r="B1062" s="50">
        <v>44523.8579301388</v>
      </c>
      <c r="C1062" s="51">
        <v>1.051</v>
      </c>
      <c r="D1062" s="51">
        <v>67.0</v>
      </c>
      <c r="E1062" s="52" t="s">
        <v>25</v>
      </c>
      <c r="F1062" s="52" t="s">
        <v>26</v>
      </c>
      <c r="G1062" s="53"/>
    </row>
    <row r="1063">
      <c r="A1063" s="49">
        <v>44523.743383622685</v>
      </c>
      <c r="B1063" s="50">
        <v>44523.868352199</v>
      </c>
      <c r="C1063" s="51">
        <v>1.051</v>
      </c>
      <c r="D1063" s="51">
        <v>67.0</v>
      </c>
      <c r="E1063" s="52" t="s">
        <v>25</v>
      </c>
      <c r="F1063" s="52" t="s">
        <v>26</v>
      </c>
      <c r="G1063" s="53"/>
    </row>
    <row r="1064">
      <c r="A1064" s="49">
        <v>44523.753795428245</v>
      </c>
      <c r="B1064" s="50">
        <v>44523.8787720833</v>
      </c>
      <c r="C1064" s="51">
        <v>1.051</v>
      </c>
      <c r="D1064" s="51">
        <v>67.0</v>
      </c>
      <c r="E1064" s="52" t="s">
        <v>25</v>
      </c>
      <c r="F1064" s="52" t="s">
        <v>26</v>
      </c>
      <c r="G1064" s="53"/>
    </row>
    <row r="1065">
      <c r="A1065" s="49">
        <v>44523.76423835648</v>
      </c>
      <c r="B1065" s="50">
        <v>44523.8891933564</v>
      </c>
      <c r="C1065" s="51">
        <v>1.051</v>
      </c>
      <c r="D1065" s="51">
        <v>67.0</v>
      </c>
      <c r="E1065" s="52" t="s">
        <v>25</v>
      </c>
      <c r="F1065" s="52" t="s">
        <v>26</v>
      </c>
      <c r="G1065" s="53"/>
    </row>
    <row r="1066">
      <c r="A1066" s="49">
        <v>44523.77467060185</v>
      </c>
      <c r="B1066" s="50">
        <v>44523.899638287</v>
      </c>
      <c r="C1066" s="51">
        <v>1.051</v>
      </c>
      <c r="D1066" s="51">
        <v>67.0</v>
      </c>
      <c r="E1066" s="52" t="s">
        <v>25</v>
      </c>
      <c r="F1066" s="52" t="s">
        <v>26</v>
      </c>
      <c r="G1066" s="53"/>
    </row>
    <row r="1067">
      <c r="A1067" s="49">
        <v>44523.78510115741</v>
      </c>
      <c r="B1067" s="50">
        <v>44523.9100699189</v>
      </c>
      <c r="C1067" s="51">
        <v>1.051</v>
      </c>
      <c r="D1067" s="51">
        <v>67.0</v>
      </c>
      <c r="E1067" s="52" t="s">
        <v>25</v>
      </c>
      <c r="F1067" s="52" t="s">
        <v>26</v>
      </c>
      <c r="G1067" s="53"/>
    </row>
    <row r="1068">
      <c r="A1068" s="49">
        <v>44523.795518680556</v>
      </c>
      <c r="B1068" s="50">
        <v>44523.9204915393</v>
      </c>
      <c r="C1068" s="51">
        <v>1.051</v>
      </c>
      <c r="D1068" s="51">
        <v>67.0</v>
      </c>
      <c r="E1068" s="52" t="s">
        <v>25</v>
      </c>
      <c r="F1068" s="52" t="s">
        <v>26</v>
      </c>
      <c r="G1068" s="53"/>
    </row>
    <row r="1069">
      <c r="A1069" s="49">
        <v>44523.80596061343</v>
      </c>
      <c r="B1069" s="50">
        <v>44523.9309237037</v>
      </c>
      <c r="C1069" s="51">
        <v>1.051</v>
      </c>
      <c r="D1069" s="51">
        <v>67.0</v>
      </c>
      <c r="E1069" s="52" t="s">
        <v>25</v>
      </c>
      <c r="F1069" s="52" t="s">
        <v>26</v>
      </c>
      <c r="G1069" s="53"/>
    </row>
    <row r="1070">
      <c r="A1070" s="49">
        <v>44523.81637392361</v>
      </c>
      <c r="B1070" s="50">
        <v>44523.9413432986</v>
      </c>
      <c r="C1070" s="51">
        <v>1.051</v>
      </c>
      <c r="D1070" s="51">
        <v>67.0</v>
      </c>
      <c r="E1070" s="52" t="s">
        <v>25</v>
      </c>
      <c r="F1070" s="52" t="s">
        <v>26</v>
      </c>
      <c r="G1070" s="53"/>
    </row>
    <row r="1071">
      <c r="A1071" s="49">
        <v>44523.82680978009</v>
      </c>
      <c r="B1071" s="50">
        <v>44523.951777743</v>
      </c>
      <c r="C1071" s="51">
        <v>1.051</v>
      </c>
      <c r="D1071" s="51">
        <v>67.0</v>
      </c>
      <c r="E1071" s="52" t="s">
        <v>25</v>
      </c>
      <c r="F1071" s="52" t="s">
        <v>26</v>
      </c>
      <c r="G1071" s="53"/>
    </row>
    <row r="1072">
      <c r="A1072" s="49">
        <v>44523.83722555556</v>
      </c>
      <c r="B1072" s="50">
        <v>44523.9621981481</v>
      </c>
      <c r="C1072" s="51">
        <v>1.051</v>
      </c>
      <c r="D1072" s="51">
        <v>67.0</v>
      </c>
      <c r="E1072" s="52" t="s">
        <v>25</v>
      </c>
      <c r="F1072" s="52" t="s">
        <v>26</v>
      </c>
      <c r="G1072" s="53"/>
    </row>
    <row r="1073">
      <c r="A1073" s="49">
        <v>44523.847645856484</v>
      </c>
      <c r="B1073" s="50">
        <v>44523.9726184722</v>
      </c>
      <c r="C1073" s="51">
        <v>1.051</v>
      </c>
      <c r="D1073" s="51">
        <v>67.0</v>
      </c>
      <c r="E1073" s="52" t="s">
        <v>25</v>
      </c>
      <c r="F1073" s="52" t="s">
        <v>26</v>
      </c>
      <c r="G1073" s="53"/>
    </row>
    <row r="1074">
      <c r="A1074" s="49">
        <v>44523.85807711806</v>
      </c>
      <c r="B1074" s="50">
        <v>44523.9830382523</v>
      </c>
      <c r="C1074" s="51">
        <v>1.051</v>
      </c>
      <c r="D1074" s="51">
        <v>67.0</v>
      </c>
      <c r="E1074" s="52" t="s">
        <v>25</v>
      </c>
      <c r="F1074" s="52" t="s">
        <v>26</v>
      </c>
      <c r="G1074" s="53"/>
    </row>
    <row r="1075">
      <c r="A1075" s="49">
        <v>44523.86848612269</v>
      </c>
      <c r="B1075" s="50">
        <v>44523.9934592013</v>
      </c>
      <c r="C1075" s="51">
        <v>1.051</v>
      </c>
      <c r="D1075" s="51">
        <v>67.0</v>
      </c>
      <c r="E1075" s="52" t="s">
        <v>25</v>
      </c>
      <c r="F1075" s="52" t="s">
        <v>26</v>
      </c>
      <c r="G1075" s="53"/>
    </row>
    <row r="1076">
      <c r="A1076" s="49">
        <v>44523.87893298611</v>
      </c>
      <c r="B1076" s="50">
        <v>44524.0038921527</v>
      </c>
      <c r="C1076" s="51">
        <v>1.05</v>
      </c>
      <c r="D1076" s="51">
        <v>67.0</v>
      </c>
      <c r="E1076" s="52" t="s">
        <v>25</v>
      </c>
      <c r="F1076" s="52" t="s">
        <v>26</v>
      </c>
      <c r="G1076" s="53"/>
    </row>
    <row r="1077">
      <c r="A1077" s="49">
        <v>44523.88934524306</v>
      </c>
      <c r="B1077" s="50">
        <v>44524.0143121643</v>
      </c>
      <c r="C1077" s="51">
        <v>1.05</v>
      </c>
      <c r="D1077" s="51">
        <v>67.0</v>
      </c>
      <c r="E1077" s="52" t="s">
        <v>25</v>
      </c>
      <c r="F1077" s="52" t="s">
        <v>26</v>
      </c>
      <c r="G1077" s="53"/>
    </row>
    <row r="1078">
      <c r="A1078" s="49">
        <v>44523.89976743056</v>
      </c>
      <c r="B1078" s="50">
        <v>44524.0247332754</v>
      </c>
      <c r="C1078" s="51">
        <v>1.051</v>
      </c>
      <c r="D1078" s="51">
        <v>67.0</v>
      </c>
      <c r="E1078" s="52" t="s">
        <v>25</v>
      </c>
      <c r="F1078" s="52" t="s">
        <v>26</v>
      </c>
      <c r="G1078" s="53"/>
    </row>
    <row r="1079">
      <c r="A1079" s="49">
        <v>44523.91019556713</v>
      </c>
      <c r="B1079" s="50">
        <v>44524.0351540162</v>
      </c>
      <c r="C1079" s="51">
        <v>1.05</v>
      </c>
      <c r="D1079" s="51">
        <v>67.0</v>
      </c>
      <c r="E1079" s="52" t="s">
        <v>25</v>
      </c>
      <c r="F1079" s="52" t="s">
        <v>26</v>
      </c>
      <c r="G1079" s="53"/>
    </row>
    <row r="1080">
      <c r="A1080" s="49">
        <v>44523.92060376157</v>
      </c>
      <c r="B1080" s="50">
        <v>44524.0455736689</v>
      </c>
      <c r="C1080" s="51">
        <v>1.05</v>
      </c>
      <c r="D1080" s="51">
        <v>67.0</v>
      </c>
      <c r="E1080" s="52" t="s">
        <v>25</v>
      </c>
      <c r="F1080" s="52" t="s">
        <v>26</v>
      </c>
      <c r="G1080" s="53"/>
    </row>
    <row r="1081">
      <c r="A1081" s="49">
        <v>44523.93102105324</v>
      </c>
      <c r="B1081" s="50">
        <v>44524.0559952199</v>
      </c>
      <c r="C1081" s="51">
        <v>1.05</v>
      </c>
      <c r="D1081" s="51">
        <v>67.0</v>
      </c>
      <c r="E1081" s="52" t="s">
        <v>25</v>
      </c>
      <c r="F1081" s="52" t="s">
        <v>26</v>
      </c>
      <c r="G1081" s="53"/>
    </row>
    <row r="1082">
      <c r="A1082" s="49">
        <v>44523.94145428241</v>
      </c>
      <c r="B1082" s="50">
        <v>44524.0664161574</v>
      </c>
      <c r="C1082" s="51">
        <v>1.05</v>
      </c>
      <c r="D1082" s="51">
        <v>67.0</v>
      </c>
      <c r="E1082" s="52" t="s">
        <v>25</v>
      </c>
      <c r="F1082" s="52" t="s">
        <v>26</v>
      </c>
      <c r="G1082" s="53"/>
    </row>
    <row r="1083">
      <c r="A1083" s="49">
        <v>44523.95187533565</v>
      </c>
      <c r="B1083" s="50">
        <v>44524.076849375</v>
      </c>
      <c r="C1083" s="51">
        <v>1.05</v>
      </c>
      <c r="D1083" s="51">
        <v>67.0</v>
      </c>
      <c r="E1083" s="52" t="s">
        <v>25</v>
      </c>
      <c r="F1083" s="52" t="s">
        <v>26</v>
      </c>
      <c r="G1083" s="53"/>
    </row>
    <row r="1084">
      <c r="A1084" s="49">
        <v>44523.96230994213</v>
      </c>
      <c r="B1084" s="50">
        <v>44524.0872711689</v>
      </c>
      <c r="C1084" s="51">
        <v>1.05</v>
      </c>
      <c r="D1084" s="51">
        <v>67.0</v>
      </c>
      <c r="E1084" s="52" t="s">
        <v>25</v>
      </c>
      <c r="F1084" s="52" t="s">
        <v>26</v>
      </c>
      <c r="G1084" s="53"/>
    </row>
    <row r="1085">
      <c r="A1085" s="49">
        <v>44523.972727500004</v>
      </c>
      <c r="B1085" s="50">
        <v>44524.0976915972</v>
      </c>
      <c r="C1085" s="51">
        <v>1.05</v>
      </c>
      <c r="D1085" s="51">
        <v>67.0</v>
      </c>
      <c r="E1085" s="52" t="s">
        <v>25</v>
      </c>
      <c r="F1085" s="52" t="s">
        <v>26</v>
      </c>
      <c r="G1085" s="53"/>
    </row>
    <row r="1086">
      <c r="A1086" s="49">
        <v>44523.98314652778</v>
      </c>
      <c r="B1086" s="50">
        <v>44524.108111655</v>
      </c>
      <c r="C1086" s="51">
        <v>1.05</v>
      </c>
      <c r="D1086" s="51">
        <v>67.0</v>
      </c>
      <c r="E1086" s="52" t="s">
        <v>25</v>
      </c>
      <c r="F1086" s="52" t="s">
        <v>26</v>
      </c>
      <c r="G1086" s="53"/>
    </row>
    <row r="1087">
      <c r="A1087" s="49">
        <v>44523.99356224537</v>
      </c>
      <c r="B1087" s="50">
        <v>44524.1185307523</v>
      </c>
      <c r="C1087" s="51">
        <v>1.05</v>
      </c>
      <c r="D1087" s="51">
        <v>67.0</v>
      </c>
      <c r="E1087" s="52" t="s">
        <v>25</v>
      </c>
      <c r="F1087" s="52" t="s">
        <v>26</v>
      </c>
      <c r="G1087" s="53"/>
    </row>
    <row r="1088">
      <c r="A1088" s="49">
        <v>44524.00398646991</v>
      </c>
      <c r="B1088" s="50">
        <v>44524.1289508796</v>
      </c>
      <c r="C1088" s="51">
        <v>1.05</v>
      </c>
      <c r="D1088" s="51">
        <v>67.0</v>
      </c>
      <c r="E1088" s="52" t="s">
        <v>25</v>
      </c>
      <c r="F1088" s="52" t="s">
        <v>26</v>
      </c>
      <c r="G1088" s="53"/>
    </row>
    <row r="1089">
      <c r="A1089" s="49">
        <v>44524.01441804398</v>
      </c>
      <c r="B1089" s="50">
        <v>44524.1393831249</v>
      </c>
      <c r="C1089" s="51">
        <v>1.05</v>
      </c>
      <c r="D1089" s="51">
        <v>67.0</v>
      </c>
      <c r="E1089" s="52" t="s">
        <v>25</v>
      </c>
      <c r="F1089" s="52" t="s">
        <v>26</v>
      </c>
      <c r="G1089" s="53"/>
    </row>
    <row r="1090">
      <c r="A1090" s="49">
        <v>44524.02483738426</v>
      </c>
      <c r="B1090" s="50">
        <v>44524.149805324</v>
      </c>
      <c r="C1090" s="51">
        <v>1.05</v>
      </c>
      <c r="D1090" s="51">
        <v>67.0</v>
      </c>
      <c r="E1090" s="52" t="s">
        <v>25</v>
      </c>
      <c r="F1090" s="52" t="s">
        <v>26</v>
      </c>
      <c r="G1090" s="53"/>
    </row>
    <row r="1091">
      <c r="A1091" s="49">
        <v>44524.035264502316</v>
      </c>
      <c r="B1091" s="50">
        <v>44524.1602264004</v>
      </c>
      <c r="C1091" s="51">
        <v>1.05</v>
      </c>
      <c r="D1091" s="51">
        <v>67.0</v>
      </c>
      <c r="E1091" s="52" t="s">
        <v>25</v>
      </c>
      <c r="F1091" s="52" t="s">
        <v>26</v>
      </c>
      <c r="G1091" s="53"/>
    </row>
    <row r="1092">
      <c r="A1092" s="49">
        <v>44524.045679745366</v>
      </c>
      <c r="B1092" s="50">
        <v>44524.1706468518</v>
      </c>
      <c r="C1092" s="51">
        <v>1.05</v>
      </c>
      <c r="D1092" s="51">
        <v>67.0</v>
      </c>
      <c r="E1092" s="52" t="s">
        <v>25</v>
      </c>
      <c r="F1092" s="52" t="s">
        <v>26</v>
      </c>
      <c r="G1092" s="53"/>
    </row>
    <row r="1093">
      <c r="A1093" s="49">
        <v>44524.05609903936</v>
      </c>
      <c r="B1093" s="50">
        <v>44524.1810668865</v>
      </c>
      <c r="C1093" s="51">
        <v>1.05</v>
      </c>
      <c r="D1093" s="51">
        <v>67.0</v>
      </c>
      <c r="E1093" s="52" t="s">
        <v>25</v>
      </c>
      <c r="F1093" s="52" t="s">
        <v>26</v>
      </c>
      <c r="G1093" s="53"/>
    </row>
    <row r="1094">
      <c r="A1094" s="49">
        <v>44524.06652275463</v>
      </c>
      <c r="B1094" s="50">
        <v>44524.191488449</v>
      </c>
      <c r="C1094" s="51">
        <v>1.05</v>
      </c>
      <c r="D1094" s="51">
        <v>67.0</v>
      </c>
      <c r="E1094" s="52" t="s">
        <v>25</v>
      </c>
      <c r="F1094" s="52" t="s">
        <v>26</v>
      </c>
      <c r="G1094" s="53"/>
    </row>
    <row r="1095">
      <c r="A1095" s="49">
        <v>44524.07694290509</v>
      </c>
      <c r="B1095" s="50">
        <v>44524.2019093287</v>
      </c>
      <c r="C1095" s="51">
        <v>1.05</v>
      </c>
      <c r="D1095" s="51">
        <v>67.0</v>
      </c>
      <c r="E1095" s="52" t="s">
        <v>25</v>
      </c>
      <c r="F1095" s="52" t="s">
        <v>26</v>
      </c>
      <c r="G1095" s="53"/>
    </row>
    <row r="1096">
      <c r="A1096" s="49">
        <v>44524.08736060185</v>
      </c>
      <c r="B1096" s="50">
        <v>44524.2123305671</v>
      </c>
      <c r="C1096" s="51">
        <v>1.05</v>
      </c>
      <c r="D1096" s="51">
        <v>67.0</v>
      </c>
      <c r="E1096" s="52" t="s">
        <v>25</v>
      </c>
      <c r="F1096" s="52" t="s">
        <v>26</v>
      </c>
      <c r="G1096" s="53"/>
    </row>
    <row r="1097">
      <c r="A1097" s="49">
        <v>44524.09780549769</v>
      </c>
      <c r="B1097" s="50">
        <v>44524.2227629398</v>
      </c>
      <c r="C1097" s="51">
        <v>1.05</v>
      </c>
      <c r="D1097" s="51">
        <v>67.0</v>
      </c>
      <c r="E1097" s="52" t="s">
        <v>25</v>
      </c>
      <c r="F1097" s="52" t="s">
        <v>26</v>
      </c>
      <c r="G1097" s="53"/>
    </row>
    <row r="1098">
      <c r="A1098" s="49">
        <v>44524.108217870365</v>
      </c>
      <c r="B1098" s="50">
        <v>44524.2331834027</v>
      </c>
      <c r="C1098" s="51">
        <v>1.05</v>
      </c>
      <c r="D1098" s="51">
        <v>67.0</v>
      </c>
      <c r="E1098" s="52" t="s">
        <v>25</v>
      </c>
      <c r="F1098" s="52" t="s">
        <v>26</v>
      </c>
      <c r="G1098" s="53"/>
    </row>
    <row r="1099">
      <c r="A1099" s="49">
        <v>44524.11864256945</v>
      </c>
      <c r="B1099" s="50">
        <v>44524.2436044212</v>
      </c>
      <c r="C1099" s="51">
        <v>1.05</v>
      </c>
      <c r="D1099" s="51">
        <v>67.0</v>
      </c>
      <c r="E1099" s="52" t="s">
        <v>25</v>
      </c>
      <c r="F1099" s="52" t="s">
        <v>26</v>
      </c>
      <c r="G1099" s="53"/>
    </row>
    <row r="1100">
      <c r="A1100" s="49">
        <v>44524.1290758449</v>
      </c>
      <c r="B1100" s="50">
        <v>44524.2540378009</v>
      </c>
      <c r="C1100" s="51">
        <v>1.05</v>
      </c>
      <c r="D1100" s="51">
        <v>67.0</v>
      </c>
      <c r="E1100" s="52" t="s">
        <v>25</v>
      </c>
      <c r="F1100" s="52" t="s">
        <v>26</v>
      </c>
      <c r="G1100" s="53"/>
    </row>
    <row r="1101">
      <c r="A1101" s="49">
        <v>44524.13948890046</v>
      </c>
      <c r="B1101" s="50">
        <v>44524.2644592708</v>
      </c>
      <c r="C1101" s="51">
        <v>1.05</v>
      </c>
      <c r="D1101" s="51">
        <v>67.0</v>
      </c>
      <c r="E1101" s="52" t="s">
        <v>25</v>
      </c>
      <c r="F1101" s="52" t="s">
        <v>26</v>
      </c>
      <c r="G1101" s="53"/>
    </row>
    <row r="1102">
      <c r="A1102" s="49">
        <v>44524.14992668982</v>
      </c>
      <c r="B1102" s="50">
        <v>44524.2748914351</v>
      </c>
      <c r="C1102" s="51">
        <v>1.05</v>
      </c>
      <c r="D1102" s="51">
        <v>67.0</v>
      </c>
      <c r="E1102" s="52" t="s">
        <v>25</v>
      </c>
      <c r="F1102" s="52" t="s">
        <v>26</v>
      </c>
      <c r="G1102" s="53"/>
    </row>
    <row r="1103">
      <c r="A1103" s="49">
        <v>44524.160357650464</v>
      </c>
      <c r="B1103" s="50">
        <v>44524.285314537</v>
      </c>
      <c r="C1103" s="51">
        <v>1.05</v>
      </c>
      <c r="D1103" s="51">
        <v>67.0</v>
      </c>
      <c r="E1103" s="52" t="s">
        <v>25</v>
      </c>
      <c r="F1103" s="52" t="s">
        <v>26</v>
      </c>
      <c r="G1103" s="53"/>
    </row>
    <row r="1104">
      <c r="A1104" s="49">
        <v>44524.17078534722</v>
      </c>
      <c r="B1104" s="50">
        <v>44524.2957469328</v>
      </c>
      <c r="C1104" s="51">
        <v>1.05</v>
      </c>
      <c r="D1104" s="51">
        <v>67.0</v>
      </c>
      <c r="E1104" s="52" t="s">
        <v>25</v>
      </c>
      <c r="F1104" s="52" t="s">
        <v>26</v>
      </c>
      <c r="G1104" s="53"/>
    </row>
    <row r="1105">
      <c r="A1105" s="49">
        <v>44524.18120943287</v>
      </c>
      <c r="B1105" s="50">
        <v>44524.3061678587</v>
      </c>
      <c r="C1105" s="51">
        <v>1.05</v>
      </c>
      <c r="D1105" s="51">
        <v>67.0</v>
      </c>
      <c r="E1105" s="52" t="s">
        <v>25</v>
      </c>
      <c r="F1105" s="52" t="s">
        <v>26</v>
      </c>
      <c r="G1105" s="53"/>
    </row>
    <row r="1106">
      <c r="A1106" s="49">
        <v>44524.191618310186</v>
      </c>
      <c r="B1106" s="50">
        <v>44524.3165865277</v>
      </c>
      <c r="C1106" s="51">
        <v>1.049</v>
      </c>
      <c r="D1106" s="51">
        <v>67.0</v>
      </c>
      <c r="E1106" s="52" t="s">
        <v>25</v>
      </c>
      <c r="F1106" s="52" t="s">
        <v>26</v>
      </c>
      <c r="G1106" s="53"/>
    </row>
    <row r="1107">
      <c r="A1107" s="49">
        <v>44524.20204523148</v>
      </c>
      <c r="B1107" s="50">
        <v>44524.3270076504</v>
      </c>
      <c r="C1107" s="51">
        <v>1.049</v>
      </c>
      <c r="D1107" s="51">
        <v>67.0</v>
      </c>
      <c r="E1107" s="52" t="s">
        <v>25</v>
      </c>
      <c r="F1107" s="52" t="s">
        <v>26</v>
      </c>
      <c r="G1107" s="53"/>
    </row>
    <row r="1108">
      <c r="A1108" s="49">
        <v>44524.21246121528</v>
      </c>
      <c r="B1108" s="50">
        <v>44524.3374281249</v>
      </c>
      <c r="C1108" s="51">
        <v>1.05</v>
      </c>
      <c r="D1108" s="51">
        <v>67.0</v>
      </c>
      <c r="E1108" s="52" t="s">
        <v>25</v>
      </c>
      <c r="F1108" s="52" t="s">
        <v>26</v>
      </c>
      <c r="G1108" s="53"/>
    </row>
    <row r="1109">
      <c r="A1109" s="49">
        <v>44524.222892060185</v>
      </c>
      <c r="B1109" s="50">
        <v>44524.3478498379</v>
      </c>
      <c r="C1109" s="51">
        <v>1.049</v>
      </c>
      <c r="D1109" s="51">
        <v>67.0</v>
      </c>
      <c r="E1109" s="52" t="s">
        <v>25</v>
      </c>
      <c r="F1109" s="52" t="s">
        <v>26</v>
      </c>
      <c r="G1109" s="53"/>
    </row>
    <row r="1110">
      <c r="A1110" s="49">
        <v>44524.233304629626</v>
      </c>
      <c r="B1110" s="50">
        <v>44524.3582698611</v>
      </c>
      <c r="C1110" s="51">
        <v>1.049</v>
      </c>
      <c r="D1110" s="51">
        <v>67.0</v>
      </c>
      <c r="E1110" s="52" t="s">
        <v>25</v>
      </c>
      <c r="F1110" s="52" t="s">
        <v>26</v>
      </c>
      <c r="G1110" s="53"/>
    </row>
    <row r="1111">
      <c r="A1111" s="49">
        <v>44524.24372578703</v>
      </c>
      <c r="B1111" s="50">
        <v>44524.368690706</v>
      </c>
      <c r="C1111" s="51">
        <v>1.049</v>
      </c>
      <c r="D1111" s="51">
        <v>67.0</v>
      </c>
      <c r="E1111" s="52" t="s">
        <v>25</v>
      </c>
      <c r="F1111" s="52" t="s">
        <v>26</v>
      </c>
      <c r="G1111" s="53"/>
    </row>
    <row r="1112">
      <c r="A1112" s="49">
        <v>44524.254149456014</v>
      </c>
      <c r="B1112" s="50">
        <v>44524.3791111689</v>
      </c>
      <c r="C1112" s="51">
        <v>1.049</v>
      </c>
      <c r="D1112" s="51">
        <v>67.0</v>
      </c>
      <c r="E1112" s="52" t="s">
        <v>25</v>
      </c>
      <c r="F1112" s="52" t="s">
        <v>26</v>
      </c>
      <c r="G1112" s="53"/>
    </row>
    <row r="1113">
      <c r="A1113" s="49">
        <v>44524.2645672338</v>
      </c>
      <c r="B1113" s="50">
        <v>44524.3895321412</v>
      </c>
      <c r="C1113" s="51">
        <v>1.049</v>
      </c>
      <c r="D1113" s="51">
        <v>67.0</v>
      </c>
      <c r="E1113" s="52" t="s">
        <v>25</v>
      </c>
      <c r="F1113" s="52" t="s">
        <v>26</v>
      </c>
      <c r="G1113" s="53"/>
    </row>
    <row r="1114">
      <c r="A1114" s="49">
        <v>44524.27498420139</v>
      </c>
      <c r="B1114" s="50">
        <v>44524.399952743</v>
      </c>
      <c r="C1114" s="51">
        <v>1.049</v>
      </c>
      <c r="D1114" s="51">
        <v>67.0</v>
      </c>
      <c r="E1114" s="52" t="s">
        <v>25</v>
      </c>
      <c r="F1114" s="52" t="s">
        <v>26</v>
      </c>
      <c r="G1114" s="53"/>
    </row>
    <row r="1115">
      <c r="A1115" s="49">
        <v>44524.28541094907</v>
      </c>
      <c r="B1115" s="50">
        <v>44524.4103740856</v>
      </c>
      <c r="C1115" s="51">
        <v>1.049</v>
      </c>
      <c r="D1115" s="51">
        <v>67.0</v>
      </c>
      <c r="E1115" s="52" t="s">
        <v>25</v>
      </c>
      <c r="F1115" s="52" t="s">
        <v>26</v>
      </c>
      <c r="G1115" s="53"/>
    </row>
    <row r="1116">
      <c r="A1116" s="49">
        <v>44524.29582511574</v>
      </c>
      <c r="B1116" s="50">
        <v>44524.4207960185</v>
      </c>
      <c r="C1116" s="51">
        <v>1.049</v>
      </c>
      <c r="D1116" s="51">
        <v>67.0</v>
      </c>
      <c r="E1116" s="52" t="s">
        <v>25</v>
      </c>
      <c r="F1116" s="52" t="s">
        <v>26</v>
      </c>
      <c r="G1116" s="53"/>
    </row>
    <row r="1117">
      <c r="A1117" s="49">
        <v>44524.30626194444</v>
      </c>
      <c r="B1117" s="50">
        <v>44524.4312294675</v>
      </c>
      <c r="C1117" s="51">
        <v>1.049</v>
      </c>
      <c r="D1117" s="51">
        <v>67.0</v>
      </c>
      <c r="E1117" s="52" t="s">
        <v>25</v>
      </c>
      <c r="F1117" s="52" t="s">
        <v>26</v>
      </c>
      <c r="G1117" s="53"/>
    </row>
    <row r="1118">
      <c r="A1118" s="49">
        <v>44524.316692106484</v>
      </c>
      <c r="B1118" s="50">
        <v>44524.4416523032</v>
      </c>
      <c r="C1118" s="51">
        <v>1.049</v>
      </c>
      <c r="D1118" s="51">
        <v>67.0</v>
      </c>
      <c r="E1118" s="52" t="s">
        <v>25</v>
      </c>
      <c r="F1118" s="52" t="s">
        <v>26</v>
      </c>
      <c r="G1118" s="53"/>
    </row>
    <row r="1119">
      <c r="A1119" s="49">
        <v>44524.32711783565</v>
      </c>
      <c r="B1119" s="50">
        <v>44524.4520855208</v>
      </c>
      <c r="C1119" s="51">
        <v>1.049</v>
      </c>
      <c r="D1119" s="51">
        <v>67.0</v>
      </c>
      <c r="E1119" s="52" t="s">
        <v>25</v>
      </c>
      <c r="F1119" s="52" t="s">
        <v>26</v>
      </c>
      <c r="G1119" s="53"/>
    </row>
    <row r="1120">
      <c r="A1120" s="49">
        <v>44524.33753966435</v>
      </c>
      <c r="B1120" s="50">
        <v>44524.4625087268</v>
      </c>
      <c r="C1120" s="51">
        <v>1.049</v>
      </c>
      <c r="D1120" s="51">
        <v>67.0</v>
      </c>
      <c r="E1120" s="52" t="s">
        <v>25</v>
      </c>
      <c r="F1120" s="52" t="s">
        <v>26</v>
      </c>
      <c r="G1120" s="53"/>
    </row>
    <row r="1121">
      <c r="A1121" s="49">
        <v>44524.34796752315</v>
      </c>
      <c r="B1121" s="50">
        <v>44524.4729307175</v>
      </c>
      <c r="C1121" s="51">
        <v>1.049</v>
      </c>
      <c r="D1121" s="51">
        <v>67.0</v>
      </c>
      <c r="E1121" s="52" t="s">
        <v>25</v>
      </c>
      <c r="F1121" s="52" t="s">
        <v>26</v>
      </c>
      <c r="G1121" s="53"/>
    </row>
    <row r="1122">
      <c r="A1122" s="49">
        <v>44524.35840590278</v>
      </c>
      <c r="B1122" s="50">
        <v>44524.483374537</v>
      </c>
      <c r="C1122" s="51">
        <v>1.049</v>
      </c>
      <c r="D1122" s="51">
        <v>67.0</v>
      </c>
      <c r="E1122" s="52" t="s">
        <v>25</v>
      </c>
      <c r="F1122" s="52" t="s">
        <v>26</v>
      </c>
      <c r="G1122" s="53"/>
    </row>
    <row r="1123">
      <c r="A1123" s="49">
        <v>44524.36882458333</v>
      </c>
      <c r="B1123" s="50">
        <v>44524.4937953587</v>
      </c>
      <c r="C1123" s="51">
        <v>1.049</v>
      </c>
      <c r="D1123" s="51">
        <v>66.0</v>
      </c>
      <c r="E1123" s="52" t="s">
        <v>25</v>
      </c>
      <c r="F1123" s="52" t="s">
        <v>26</v>
      </c>
      <c r="G1123" s="53"/>
    </row>
    <row r="1124">
      <c r="A1124" s="49">
        <v>44524.379248321755</v>
      </c>
      <c r="B1124" s="50">
        <v>44524.5042173495</v>
      </c>
      <c r="C1124" s="51">
        <v>1.049</v>
      </c>
      <c r="D1124" s="51">
        <v>67.0</v>
      </c>
      <c r="E1124" s="52" t="s">
        <v>25</v>
      </c>
      <c r="F1124" s="52" t="s">
        <v>26</v>
      </c>
      <c r="G1124" s="53"/>
    </row>
    <row r="1125">
      <c r="A1125" s="49">
        <v>44524.38966770833</v>
      </c>
      <c r="B1125" s="50">
        <v>44524.5146373726</v>
      </c>
      <c r="C1125" s="51">
        <v>1.049</v>
      </c>
      <c r="D1125" s="51">
        <v>67.0</v>
      </c>
      <c r="E1125" s="52" t="s">
        <v>25</v>
      </c>
      <c r="F1125" s="52" t="s">
        <v>26</v>
      </c>
      <c r="G1125" s="53"/>
    </row>
    <row r="1126">
      <c r="A1126" s="49">
        <v>44524.40009243056</v>
      </c>
      <c r="B1126" s="50">
        <v>44524.5250586689</v>
      </c>
      <c r="C1126" s="51">
        <v>1.049</v>
      </c>
      <c r="D1126" s="51">
        <v>67.0</v>
      </c>
      <c r="E1126" s="52" t="s">
        <v>25</v>
      </c>
      <c r="F1126" s="52" t="s">
        <v>26</v>
      </c>
      <c r="G1126" s="53"/>
    </row>
    <row r="1127">
      <c r="A1127" s="49">
        <v>44524.41050979166</v>
      </c>
      <c r="B1127" s="50">
        <v>44524.5354808564</v>
      </c>
      <c r="C1127" s="51">
        <v>1.049</v>
      </c>
      <c r="D1127" s="51">
        <v>66.0</v>
      </c>
      <c r="E1127" s="52" t="s">
        <v>25</v>
      </c>
      <c r="F1127" s="52" t="s">
        <v>26</v>
      </c>
      <c r="G1127" s="53"/>
    </row>
    <row r="1128">
      <c r="A1128" s="49">
        <v>44524.420934988426</v>
      </c>
      <c r="B1128" s="50">
        <v>44524.545902199</v>
      </c>
      <c r="C1128" s="51">
        <v>1.049</v>
      </c>
      <c r="D1128" s="51">
        <v>67.0</v>
      </c>
      <c r="E1128" s="52" t="s">
        <v>25</v>
      </c>
      <c r="F1128" s="52" t="s">
        <v>26</v>
      </c>
      <c r="G1128" s="53"/>
    </row>
    <row r="1129">
      <c r="A1129" s="49">
        <v>44524.431354444445</v>
      </c>
      <c r="B1129" s="50">
        <v>44524.5563224074</v>
      </c>
      <c r="C1129" s="51">
        <v>1.049</v>
      </c>
      <c r="D1129" s="51">
        <v>67.0</v>
      </c>
      <c r="E1129" s="52" t="s">
        <v>25</v>
      </c>
      <c r="F1129" s="52" t="s">
        <v>26</v>
      </c>
      <c r="G1129" s="53"/>
    </row>
    <row r="1130">
      <c r="A1130" s="49">
        <v>44524.44178105324</v>
      </c>
      <c r="B1130" s="50">
        <v>44524.5667445023</v>
      </c>
      <c r="C1130" s="51">
        <v>1.049</v>
      </c>
      <c r="D1130" s="51">
        <v>67.0</v>
      </c>
      <c r="E1130" s="52" t="s">
        <v>25</v>
      </c>
      <c r="F1130" s="52" t="s">
        <v>26</v>
      </c>
      <c r="G1130" s="53"/>
    </row>
    <row r="1131">
      <c r="A1131" s="49">
        <v>44524.4521934375</v>
      </c>
      <c r="B1131" s="50">
        <v>44524.5771651504</v>
      </c>
      <c r="C1131" s="51">
        <v>1.049</v>
      </c>
      <c r="D1131" s="51">
        <v>67.0</v>
      </c>
      <c r="E1131" s="52" t="s">
        <v>25</v>
      </c>
      <c r="F1131" s="52" t="s">
        <v>26</v>
      </c>
      <c r="G1131" s="53"/>
    </row>
    <row r="1132">
      <c r="A1132" s="49">
        <v>44524.46262430555</v>
      </c>
      <c r="B1132" s="50">
        <v>44524.5875868171</v>
      </c>
      <c r="C1132" s="51">
        <v>1.049</v>
      </c>
      <c r="D1132" s="51">
        <v>67.0</v>
      </c>
      <c r="E1132" s="52" t="s">
        <v>25</v>
      </c>
      <c r="F1132" s="52" t="s">
        <v>26</v>
      </c>
      <c r="G1132" s="53"/>
    </row>
    <row r="1133">
      <c r="A1133" s="49">
        <v>44524.47304013889</v>
      </c>
      <c r="B1133" s="50">
        <v>44524.5980070601</v>
      </c>
      <c r="C1133" s="51">
        <v>1.049</v>
      </c>
      <c r="D1133" s="51">
        <v>66.0</v>
      </c>
      <c r="E1133" s="52" t="s">
        <v>25</v>
      </c>
      <c r="F1133" s="52" t="s">
        <v>26</v>
      </c>
      <c r="G1133" s="53"/>
    </row>
    <row r="1134">
      <c r="A1134" s="49">
        <v>44524.48346001157</v>
      </c>
      <c r="B1134" s="50">
        <v>44524.608426655</v>
      </c>
      <c r="C1134" s="51">
        <v>1.049</v>
      </c>
      <c r="D1134" s="51">
        <v>66.0</v>
      </c>
      <c r="E1134" s="52" t="s">
        <v>25</v>
      </c>
      <c r="F1134" s="52" t="s">
        <v>26</v>
      </c>
      <c r="G1134" s="53"/>
    </row>
    <row r="1135">
      <c r="A1135" s="49">
        <v>44524.493882939816</v>
      </c>
      <c r="B1135" s="50">
        <v>44524.6188484027</v>
      </c>
      <c r="C1135" s="51">
        <v>1.049</v>
      </c>
      <c r="D1135" s="51">
        <v>66.0</v>
      </c>
      <c r="E1135" s="52" t="s">
        <v>25</v>
      </c>
      <c r="F1135" s="52" t="s">
        <v>26</v>
      </c>
      <c r="G1135" s="53"/>
    </row>
    <row r="1136">
      <c r="A1136" s="49">
        <v>44524.50430634259</v>
      </c>
      <c r="B1136" s="50">
        <v>44524.6292675347</v>
      </c>
      <c r="C1136" s="51">
        <v>1.049</v>
      </c>
      <c r="D1136" s="51">
        <v>66.0</v>
      </c>
      <c r="E1136" s="52" t="s">
        <v>25</v>
      </c>
      <c r="F1136" s="52" t="s">
        <v>26</v>
      </c>
      <c r="G1136" s="53"/>
    </row>
    <row r="1137">
      <c r="A1137" s="49">
        <v>44524.51472461806</v>
      </c>
      <c r="B1137" s="50">
        <v>44524.639689074</v>
      </c>
      <c r="C1137" s="51">
        <v>1.049</v>
      </c>
      <c r="D1137" s="51">
        <v>66.0</v>
      </c>
      <c r="E1137" s="52" t="s">
        <v>25</v>
      </c>
      <c r="F1137" s="52" t="s">
        <v>26</v>
      </c>
      <c r="G1137" s="53"/>
    </row>
    <row r="1138">
      <c r="A1138" s="49">
        <v>44524.52514346065</v>
      </c>
      <c r="B1138" s="50">
        <v>44524.6501096759</v>
      </c>
      <c r="C1138" s="51">
        <v>1.049</v>
      </c>
      <c r="D1138" s="51">
        <v>66.0</v>
      </c>
      <c r="E1138" s="52" t="s">
        <v>25</v>
      </c>
      <c r="F1138" s="52" t="s">
        <v>26</v>
      </c>
      <c r="G1138" s="53"/>
    </row>
    <row r="1139">
      <c r="A1139" s="49">
        <v>44524.53556903935</v>
      </c>
      <c r="B1139" s="50">
        <v>44524.6605430324</v>
      </c>
      <c r="C1139" s="51">
        <v>1.049</v>
      </c>
      <c r="D1139" s="51">
        <v>66.0</v>
      </c>
      <c r="E1139" s="52" t="s">
        <v>25</v>
      </c>
      <c r="F1139" s="52" t="s">
        <v>26</v>
      </c>
      <c r="G1139" s="53"/>
    </row>
    <row r="1140">
      <c r="A1140" s="49">
        <v>44524.546030682875</v>
      </c>
      <c r="B1140" s="50">
        <v>44524.6709646874</v>
      </c>
      <c r="C1140" s="51">
        <v>1.049</v>
      </c>
      <c r="D1140" s="51">
        <v>66.0</v>
      </c>
      <c r="E1140" s="52" t="s">
        <v>25</v>
      </c>
      <c r="F1140" s="52" t="s">
        <v>26</v>
      </c>
      <c r="G1140" s="53"/>
    </row>
    <row r="1141">
      <c r="A1141" s="49">
        <v>44524.55642172454</v>
      </c>
      <c r="B1141" s="50">
        <v>44524.6813853935</v>
      </c>
      <c r="C1141" s="51">
        <v>1.049</v>
      </c>
      <c r="D1141" s="51">
        <v>66.0</v>
      </c>
      <c r="E1141" s="52" t="s">
        <v>25</v>
      </c>
      <c r="F1141" s="52" t="s">
        <v>26</v>
      </c>
      <c r="G1141" s="53"/>
    </row>
    <row r="1142">
      <c r="A1142" s="49">
        <v>44524.56684501158</v>
      </c>
      <c r="B1142" s="50">
        <v>44524.6918076388</v>
      </c>
      <c r="C1142" s="51">
        <v>1.049</v>
      </c>
      <c r="D1142" s="51">
        <v>66.0</v>
      </c>
      <c r="E1142" s="52" t="s">
        <v>25</v>
      </c>
      <c r="F1142" s="52" t="s">
        <v>26</v>
      </c>
      <c r="G1142" s="53"/>
    </row>
    <row r="1143">
      <c r="A1143" s="49">
        <v>44524.57726664352</v>
      </c>
      <c r="B1143" s="50">
        <v>44524.70222853</v>
      </c>
      <c r="C1143" s="51">
        <v>1.049</v>
      </c>
      <c r="D1143" s="51">
        <v>66.0</v>
      </c>
      <c r="E1143" s="52" t="s">
        <v>25</v>
      </c>
      <c r="F1143" s="52" t="s">
        <v>26</v>
      </c>
      <c r="G1143" s="53"/>
    </row>
    <row r="1144">
      <c r="A1144" s="49">
        <v>44524.58768265047</v>
      </c>
      <c r="B1144" s="50">
        <v>44524.7126479629</v>
      </c>
      <c r="C1144" s="51">
        <v>1.048</v>
      </c>
      <c r="D1144" s="51">
        <v>66.0</v>
      </c>
      <c r="E1144" s="52" t="s">
        <v>25</v>
      </c>
      <c r="F1144" s="52" t="s">
        <v>26</v>
      </c>
      <c r="G1144" s="53"/>
    </row>
    <row r="1145">
      <c r="A1145" s="49">
        <v>44524.59810724537</v>
      </c>
      <c r="B1145" s="50">
        <v>44524.7230701967</v>
      </c>
      <c r="C1145" s="51">
        <v>1.049</v>
      </c>
      <c r="D1145" s="51">
        <v>66.0</v>
      </c>
      <c r="E1145" s="52" t="s">
        <v>25</v>
      </c>
      <c r="F1145" s="52" t="s">
        <v>26</v>
      </c>
      <c r="G1145" s="53"/>
    </row>
    <row r="1146">
      <c r="A1146" s="49">
        <v>44524.60852671297</v>
      </c>
      <c r="B1146" s="50">
        <v>44524.7334899189</v>
      </c>
      <c r="C1146" s="51">
        <v>1.049</v>
      </c>
      <c r="D1146" s="51">
        <v>66.0</v>
      </c>
      <c r="E1146" s="52" t="s">
        <v>25</v>
      </c>
      <c r="F1146" s="52" t="s">
        <v>26</v>
      </c>
      <c r="G1146" s="53"/>
    </row>
    <row r="1147">
      <c r="A1147" s="49">
        <v>44524.61897137732</v>
      </c>
      <c r="B1147" s="50">
        <v>44524.7439231597</v>
      </c>
      <c r="C1147" s="51">
        <v>1.048</v>
      </c>
      <c r="D1147" s="51">
        <v>66.0</v>
      </c>
      <c r="E1147" s="52" t="s">
        <v>25</v>
      </c>
      <c r="F1147" s="52" t="s">
        <v>26</v>
      </c>
      <c r="G1147" s="53"/>
    </row>
    <row r="1148">
      <c r="A1148" s="49">
        <v>44524.62937957176</v>
      </c>
      <c r="B1148" s="50">
        <v>44524.7543452893</v>
      </c>
      <c r="C1148" s="51">
        <v>1.049</v>
      </c>
      <c r="D1148" s="51">
        <v>66.0</v>
      </c>
      <c r="E1148" s="52" t="s">
        <v>25</v>
      </c>
      <c r="F1148" s="52" t="s">
        <v>26</v>
      </c>
      <c r="G1148" s="53"/>
    </row>
    <row r="1149">
      <c r="A1149" s="49">
        <v>44524.63980563657</v>
      </c>
      <c r="B1149" s="50">
        <v>44524.7647669328</v>
      </c>
      <c r="C1149" s="51">
        <v>1.049</v>
      </c>
      <c r="D1149" s="51">
        <v>66.0</v>
      </c>
      <c r="E1149" s="52" t="s">
        <v>25</v>
      </c>
      <c r="F1149" s="52" t="s">
        <v>26</v>
      </c>
      <c r="G1149" s="53"/>
    </row>
    <row r="1150">
      <c r="A1150" s="49">
        <v>44524.650231782405</v>
      </c>
      <c r="B1150" s="50">
        <v>44524.7752019213</v>
      </c>
      <c r="C1150" s="51">
        <v>1.049</v>
      </c>
      <c r="D1150" s="51">
        <v>66.0</v>
      </c>
      <c r="E1150" s="52" t="s">
        <v>25</v>
      </c>
      <c r="F1150" s="52" t="s">
        <v>26</v>
      </c>
      <c r="G1150" s="53"/>
    </row>
    <row r="1151">
      <c r="A1151" s="49">
        <v>44524.660656238426</v>
      </c>
      <c r="B1151" s="50">
        <v>44524.7856255208</v>
      </c>
      <c r="C1151" s="51">
        <v>1.048</v>
      </c>
      <c r="D1151" s="51">
        <v>66.0</v>
      </c>
      <c r="E1151" s="52" t="s">
        <v>25</v>
      </c>
      <c r="F1151" s="52" t="s">
        <v>26</v>
      </c>
      <c r="G1151" s="53"/>
    </row>
    <row r="1152">
      <c r="A1152" s="49">
        <v>44524.67107791667</v>
      </c>
      <c r="B1152" s="50">
        <v>44524.796047824</v>
      </c>
      <c r="C1152" s="51">
        <v>1.048</v>
      </c>
      <c r="D1152" s="51">
        <v>66.0</v>
      </c>
      <c r="E1152" s="52" t="s">
        <v>25</v>
      </c>
      <c r="F1152" s="52" t="s">
        <v>26</v>
      </c>
      <c r="G1152" s="53"/>
    </row>
    <row r="1153">
      <c r="A1153" s="49">
        <v>44524.68150377314</v>
      </c>
      <c r="B1153" s="50">
        <v>44524.8064687268</v>
      </c>
      <c r="C1153" s="51">
        <v>1.049</v>
      </c>
      <c r="D1153" s="51">
        <v>66.0</v>
      </c>
      <c r="E1153" s="52" t="s">
        <v>25</v>
      </c>
      <c r="F1153" s="52" t="s">
        <v>26</v>
      </c>
      <c r="G1153" s="53"/>
    </row>
    <row r="1154">
      <c r="A1154" s="49">
        <v>44524.69192293982</v>
      </c>
      <c r="B1154" s="50">
        <v>44524.81689125</v>
      </c>
      <c r="C1154" s="51">
        <v>1.048</v>
      </c>
      <c r="D1154" s="51">
        <v>66.0</v>
      </c>
      <c r="E1154" s="52" t="s">
        <v>25</v>
      </c>
      <c r="F1154" s="52" t="s">
        <v>26</v>
      </c>
      <c r="G1154" s="53"/>
    </row>
    <row r="1155">
      <c r="A1155" s="49">
        <v>44524.70234631945</v>
      </c>
      <c r="B1155" s="50">
        <v>44524.8273126851</v>
      </c>
      <c r="C1155" s="51">
        <v>1.048</v>
      </c>
      <c r="D1155" s="51">
        <v>66.0</v>
      </c>
      <c r="E1155" s="52" t="s">
        <v>25</v>
      </c>
      <c r="F1155" s="52" t="s">
        <v>26</v>
      </c>
      <c r="G1155" s="53"/>
    </row>
    <row r="1156">
      <c r="A1156" s="49">
        <v>44524.712769722224</v>
      </c>
      <c r="B1156" s="50">
        <v>44524.8377341898</v>
      </c>
      <c r="C1156" s="51">
        <v>1.048</v>
      </c>
      <c r="D1156" s="51">
        <v>66.0</v>
      </c>
      <c r="E1156" s="52" t="s">
        <v>25</v>
      </c>
      <c r="F1156" s="52" t="s">
        <v>26</v>
      </c>
      <c r="G1156" s="53"/>
    </row>
    <row r="1157">
      <c r="A1157" s="49">
        <v>44524.72318579861</v>
      </c>
      <c r="B1157" s="50">
        <v>44524.8481545486</v>
      </c>
      <c r="C1157" s="51">
        <v>1.048</v>
      </c>
      <c r="D1157" s="51">
        <v>66.0</v>
      </c>
      <c r="E1157" s="52" t="s">
        <v>25</v>
      </c>
      <c r="F1157" s="52" t="s">
        <v>26</v>
      </c>
      <c r="G1157" s="53"/>
    </row>
    <row r="1158">
      <c r="A1158" s="49">
        <v>44524.73360170139</v>
      </c>
      <c r="B1158" s="50">
        <v>44524.8585747685</v>
      </c>
      <c r="C1158" s="51">
        <v>1.048</v>
      </c>
      <c r="D1158" s="51">
        <v>66.0</v>
      </c>
      <c r="E1158" s="52" t="s">
        <v>25</v>
      </c>
      <c r="F1158" s="52" t="s">
        <v>26</v>
      </c>
      <c r="G1158" s="53"/>
    </row>
    <row r="1159">
      <c r="A1159" s="49">
        <v>44524.74404109953</v>
      </c>
      <c r="B1159" s="50">
        <v>44524.8690060069</v>
      </c>
      <c r="C1159" s="51">
        <v>1.048</v>
      </c>
      <c r="D1159" s="51">
        <v>66.0</v>
      </c>
      <c r="E1159" s="52" t="s">
        <v>25</v>
      </c>
      <c r="F1159" s="52" t="s">
        <v>26</v>
      </c>
      <c r="G1159" s="53"/>
    </row>
    <row r="1160">
      <c r="A1160" s="49">
        <v>44524.7544802662</v>
      </c>
      <c r="B1160" s="50">
        <v>44524.8794268865</v>
      </c>
      <c r="C1160" s="51">
        <v>1.048</v>
      </c>
      <c r="D1160" s="51">
        <v>66.0</v>
      </c>
      <c r="E1160" s="52" t="s">
        <v>25</v>
      </c>
      <c r="F1160" s="52" t="s">
        <v>26</v>
      </c>
      <c r="G1160" s="53"/>
    </row>
    <row r="1161">
      <c r="A1161" s="49">
        <v>44524.764887418976</v>
      </c>
      <c r="B1161" s="50">
        <v>44524.8898470949</v>
      </c>
      <c r="C1161" s="51">
        <v>1.048</v>
      </c>
      <c r="D1161" s="51">
        <v>66.0</v>
      </c>
      <c r="E1161" s="52" t="s">
        <v>25</v>
      </c>
      <c r="F1161" s="52" t="s">
        <v>26</v>
      </c>
      <c r="G1161" s="53"/>
    </row>
    <row r="1162">
      <c r="A1162" s="49">
        <v>44524.775294756946</v>
      </c>
      <c r="B1162" s="50">
        <v>44524.9002670138</v>
      </c>
      <c r="C1162" s="51">
        <v>1.048</v>
      </c>
      <c r="D1162" s="51">
        <v>66.0</v>
      </c>
      <c r="E1162" s="52" t="s">
        <v>25</v>
      </c>
      <c r="F1162" s="52" t="s">
        <v>26</v>
      </c>
      <c r="G1162" s="53"/>
    </row>
    <row r="1163">
      <c r="A1163" s="49">
        <v>44524.785732766206</v>
      </c>
      <c r="B1163" s="50">
        <v>44524.9106998726</v>
      </c>
      <c r="C1163" s="51">
        <v>1.048</v>
      </c>
      <c r="D1163" s="51">
        <v>66.0</v>
      </c>
      <c r="E1163" s="52" t="s">
        <v>25</v>
      </c>
      <c r="F1163" s="52" t="s">
        <v>26</v>
      </c>
      <c r="G1163" s="53"/>
    </row>
    <row r="1164">
      <c r="A1164" s="49">
        <v>44524.79616902777</v>
      </c>
      <c r="B1164" s="50">
        <v>44524.9211340856</v>
      </c>
      <c r="C1164" s="51">
        <v>1.048</v>
      </c>
      <c r="D1164" s="51">
        <v>66.0</v>
      </c>
      <c r="E1164" s="52" t="s">
        <v>25</v>
      </c>
      <c r="F1164" s="52" t="s">
        <v>26</v>
      </c>
      <c r="G1164" s="53"/>
    </row>
    <row r="1165">
      <c r="A1165" s="49">
        <v>44524.80658055555</v>
      </c>
      <c r="B1165" s="50">
        <v>44524.9315542013</v>
      </c>
      <c r="C1165" s="51">
        <v>1.048</v>
      </c>
      <c r="D1165" s="51">
        <v>66.0</v>
      </c>
      <c r="E1165" s="52" t="s">
        <v>25</v>
      </c>
      <c r="F1165" s="52" t="s">
        <v>26</v>
      </c>
      <c r="G1165" s="53"/>
    </row>
    <row r="1166">
      <c r="A1166" s="49">
        <v>44524.81701194444</v>
      </c>
      <c r="B1166" s="50">
        <v>44524.9419744212</v>
      </c>
      <c r="C1166" s="51">
        <v>1.048</v>
      </c>
      <c r="D1166" s="51">
        <v>66.0</v>
      </c>
      <c r="E1166" s="52" t="s">
        <v>25</v>
      </c>
      <c r="F1166" s="52" t="s">
        <v>26</v>
      </c>
      <c r="G1166" s="53"/>
    </row>
    <row r="1167">
      <c r="A1167" s="49">
        <v>44524.82742822917</v>
      </c>
      <c r="B1167" s="50">
        <v>44524.9523958796</v>
      </c>
      <c r="C1167" s="51">
        <v>1.048</v>
      </c>
      <c r="D1167" s="51">
        <v>66.0</v>
      </c>
      <c r="E1167" s="52" t="s">
        <v>25</v>
      </c>
      <c r="F1167" s="52" t="s">
        <v>26</v>
      </c>
      <c r="G1167" s="53"/>
    </row>
    <row r="1168">
      <c r="A1168" s="49">
        <v>44524.83785152777</v>
      </c>
      <c r="B1168" s="50">
        <v>44524.9628155324</v>
      </c>
      <c r="C1168" s="51">
        <v>1.048</v>
      </c>
      <c r="D1168" s="51">
        <v>66.0</v>
      </c>
      <c r="E1168" s="52" t="s">
        <v>25</v>
      </c>
      <c r="F1168" s="52" t="s">
        <v>26</v>
      </c>
      <c r="G1168" s="53"/>
    </row>
    <row r="1169">
      <c r="A1169" s="49">
        <v>44524.84828548611</v>
      </c>
      <c r="B1169" s="50">
        <v>44524.9732478935</v>
      </c>
      <c r="C1169" s="51">
        <v>1.048</v>
      </c>
      <c r="D1169" s="51">
        <v>66.0</v>
      </c>
      <c r="E1169" s="52" t="s">
        <v>25</v>
      </c>
      <c r="F1169" s="52" t="s">
        <v>26</v>
      </c>
      <c r="G1169" s="53"/>
    </row>
    <row r="1170">
      <c r="A1170" s="49">
        <v>44524.85870859954</v>
      </c>
      <c r="B1170" s="50">
        <v>44524.9836705208</v>
      </c>
      <c r="C1170" s="51">
        <v>1.048</v>
      </c>
      <c r="D1170" s="51">
        <v>66.0</v>
      </c>
      <c r="E1170" s="52" t="s">
        <v>25</v>
      </c>
      <c r="F1170" s="52" t="s">
        <v>26</v>
      </c>
      <c r="G1170" s="53"/>
    </row>
    <row r="1171">
      <c r="A1171" s="49">
        <v>44524.86912322917</v>
      </c>
      <c r="B1171" s="50">
        <v>44524.9940930902</v>
      </c>
      <c r="C1171" s="51">
        <v>1.048</v>
      </c>
      <c r="D1171" s="51">
        <v>66.0</v>
      </c>
      <c r="E1171" s="52" t="s">
        <v>25</v>
      </c>
      <c r="F1171" s="52" t="s">
        <v>26</v>
      </c>
      <c r="G1171" s="53"/>
    </row>
    <row r="1172">
      <c r="A1172" s="49">
        <v>44524.879545497686</v>
      </c>
      <c r="B1172" s="50">
        <v>44525.0045124768</v>
      </c>
      <c r="C1172" s="51">
        <v>1.048</v>
      </c>
      <c r="D1172" s="51">
        <v>66.0</v>
      </c>
      <c r="E1172" s="52" t="s">
        <v>25</v>
      </c>
      <c r="F1172" s="52" t="s">
        <v>26</v>
      </c>
      <c r="G1172" s="53"/>
    </row>
    <row r="1173">
      <c r="A1173" s="49">
        <v>44524.88997341435</v>
      </c>
      <c r="B1173" s="50">
        <v>44525.0149454976</v>
      </c>
      <c r="C1173" s="51">
        <v>1.048</v>
      </c>
      <c r="D1173" s="51">
        <v>66.0</v>
      </c>
      <c r="E1173" s="52" t="s">
        <v>25</v>
      </c>
      <c r="F1173" s="52" t="s">
        <v>26</v>
      </c>
      <c r="G1173" s="53"/>
    </row>
    <row r="1174">
      <c r="A1174" s="49">
        <v>44524.900396736106</v>
      </c>
      <c r="B1174" s="50">
        <v>44525.0253678819</v>
      </c>
      <c r="C1174" s="51">
        <v>1.048</v>
      </c>
      <c r="D1174" s="51">
        <v>66.0</v>
      </c>
      <c r="E1174" s="52" t="s">
        <v>25</v>
      </c>
      <c r="F1174" s="52" t="s">
        <v>26</v>
      </c>
      <c r="G1174" s="53"/>
    </row>
    <row r="1175">
      <c r="A1175" s="49">
        <v>44524.91082790509</v>
      </c>
      <c r="B1175" s="50">
        <v>44525.0357879166</v>
      </c>
      <c r="C1175" s="51">
        <v>1.048</v>
      </c>
      <c r="D1175" s="51">
        <v>66.0</v>
      </c>
      <c r="E1175" s="52" t="s">
        <v>25</v>
      </c>
      <c r="F1175" s="52" t="s">
        <v>26</v>
      </c>
      <c r="G1175" s="53"/>
    </row>
    <row r="1176">
      <c r="A1176" s="49">
        <v>44524.92126851852</v>
      </c>
      <c r="B1176" s="50">
        <v>44525.0462323148</v>
      </c>
      <c r="C1176" s="51">
        <v>1.048</v>
      </c>
      <c r="D1176" s="51">
        <v>66.0</v>
      </c>
      <c r="E1176" s="52" t="s">
        <v>25</v>
      </c>
      <c r="F1176" s="52" t="s">
        <v>26</v>
      </c>
      <c r="G1176" s="53"/>
    </row>
    <row r="1177">
      <c r="A1177" s="49">
        <v>44524.93168583333</v>
      </c>
      <c r="B1177" s="50">
        <v>44525.056654537</v>
      </c>
      <c r="C1177" s="51">
        <v>1.048</v>
      </c>
      <c r="D1177" s="51">
        <v>66.0</v>
      </c>
      <c r="E1177" s="52" t="s">
        <v>25</v>
      </c>
      <c r="F1177" s="52" t="s">
        <v>26</v>
      </c>
      <c r="G1177" s="53"/>
    </row>
    <row r="1178">
      <c r="A1178" s="49">
        <v>44524.94211454861</v>
      </c>
      <c r="B1178" s="50">
        <v>44525.0670742476</v>
      </c>
      <c r="C1178" s="51">
        <v>1.048</v>
      </c>
      <c r="D1178" s="51">
        <v>66.0</v>
      </c>
      <c r="E1178" s="52" t="s">
        <v>25</v>
      </c>
      <c r="F1178" s="52" t="s">
        <v>26</v>
      </c>
      <c r="G1178" s="53"/>
    </row>
    <row r="1179">
      <c r="A1179" s="49">
        <v>44524.95255594907</v>
      </c>
      <c r="B1179" s="50">
        <v>44525.0774949189</v>
      </c>
      <c r="C1179" s="51">
        <v>1.048</v>
      </c>
      <c r="D1179" s="51">
        <v>66.0</v>
      </c>
      <c r="E1179" s="52" t="s">
        <v>25</v>
      </c>
      <c r="F1179" s="52" t="s">
        <v>26</v>
      </c>
      <c r="G1179" s="53"/>
    </row>
    <row r="1180">
      <c r="A1180" s="49">
        <v>44524.96295021991</v>
      </c>
      <c r="B1180" s="50">
        <v>44525.0879165856</v>
      </c>
      <c r="C1180" s="51">
        <v>1.048</v>
      </c>
      <c r="D1180" s="51">
        <v>66.0</v>
      </c>
      <c r="E1180" s="52" t="s">
        <v>25</v>
      </c>
      <c r="F1180" s="52" t="s">
        <v>26</v>
      </c>
      <c r="G1180" s="53"/>
    </row>
    <row r="1181">
      <c r="A1181" s="49">
        <v>44524.97338355324</v>
      </c>
      <c r="B1181" s="50">
        <v>44525.0983368518</v>
      </c>
      <c r="C1181" s="51">
        <v>1.048</v>
      </c>
      <c r="D1181" s="51">
        <v>66.0</v>
      </c>
      <c r="E1181" s="52" t="s">
        <v>25</v>
      </c>
      <c r="F1181" s="52" t="s">
        <v>26</v>
      </c>
      <c r="G1181" s="53"/>
    </row>
    <row r="1182">
      <c r="A1182" s="49">
        <v>44524.9837996875</v>
      </c>
      <c r="B1182" s="50">
        <v>44525.1087588657</v>
      </c>
      <c r="C1182" s="51">
        <v>1.048</v>
      </c>
      <c r="D1182" s="51">
        <v>66.0</v>
      </c>
      <c r="E1182" s="52" t="s">
        <v>25</v>
      </c>
      <c r="F1182" s="52" t="s">
        <v>26</v>
      </c>
      <c r="G1182" s="53"/>
    </row>
    <row r="1183">
      <c r="A1183" s="49">
        <v>44524.994283078704</v>
      </c>
      <c r="B1183" s="50">
        <v>44525.119179537</v>
      </c>
      <c r="C1183" s="51">
        <v>1.048</v>
      </c>
      <c r="D1183" s="51">
        <v>66.0</v>
      </c>
      <c r="E1183" s="52" t="s">
        <v>25</v>
      </c>
      <c r="F1183" s="52" t="s">
        <v>26</v>
      </c>
      <c r="G1183" s="53"/>
    </row>
    <row r="1184">
      <c r="A1184" s="49">
        <v>44525.004638865736</v>
      </c>
      <c r="B1184" s="50">
        <v>44525.1296015277</v>
      </c>
      <c r="C1184" s="51">
        <v>1.048</v>
      </c>
      <c r="D1184" s="51">
        <v>66.0</v>
      </c>
      <c r="E1184" s="52" t="s">
        <v>25</v>
      </c>
      <c r="F1184" s="52" t="s">
        <v>26</v>
      </c>
      <c r="G1184" s="53"/>
    </row>
    <row r="1185">
      <c r="A1185" s="49">
        <v>44525.015057662036</v>
      </c>
      <c r="B1185" s="50">
        <v>44525.1400233564</v>
      </c>
      <c r="C1185" s="51">
        <v>1.048</v>
      </c>
      <c r="D1185" s="51">
        <v>66.0</v>
      </c>
      <c r="E1185" s="52" t="s">
        <v>25</v>
      </c>
      <c r="F1185" s="52" t="s">
        <v>26</v>
      </c>
      <c r="G1185" s="53"/>
    </row>
    <row r="1186">
      <c r="A1186" s="49">
        <v>44525.02550108796</v>
      </c>
      <c r="B1186" s="50">
        <v>44525.1504665856</v>
      </c>
      <c r="C1186" s="51">
        <v>1.048</v>
      </c>
      <c r="D1186" s="51">
        <v>66.0</v>
      </c>
      <c r="E1186" s="52" t="s">
        <v>25</v>
      </c>
      <c r="F1186" s="52" t="s">
        <v>26</v>
      </c>
      <c r="G1186" s="53"/>
    </row>
    <row r="1187">
      <c r="A1187" s="49">
        <v>44525.035933680556</v>
      </c>
      <c r="B1187" s="50">
        <v>44525.1608877662</v>
      </c>
      <c r="C1187" s="51">
        <v>1.048</v>
      </c>
      <c r="D1187" s="51">
        <v>66.0</v>
      </c>
      <c r="E1187" s="52" t="s">
        <v>25</v>
      </c>
      <c r="F1187" s="52" t="s">
        <v>26</v>
      </c>
      <c r="G1187" s="53"/>
    </row>
    <row r="1188">
      <c r="A1188" s="49">
        <v>44525.04636740741</v>
      </c>
      <c r="B1188" s="50">
        <v>44525.1713317708</v>
      </c>
      <c r="C1188" s="51">
        <v>1.048</v>
      </c>
      <c r="D1188" s="51">
        <v>66.0</v>
      </c>
      <c r="E1188" s="52" t="s">
        <v>25</v>
      </c>
      <c r="F1188" s="52" t="s">
        <v>26</v>
      </c>
      <c r="G1188" s="53"/>
    </row>
    <row r="1189">
      <c r="A1189" s="49">
        <v>44525.0568015162</v>
      </c>
      <c r="B1189" s="50">
        <v>44525.1817528703</v>
      </c>
      <c r="C1189" s="51">
        <v>1.048</v>
      </c>
      <c r="D1189" s="51">
        <v>66.0</v>
      </c>
      <c r="E1189" s="52" t="s">
        <v>25</v>
      </c>
      <c r="F1189" s="52" t="s">
        <v>26</v>
      </c>
      <c r="G1189" s="53"/>
    </row>
    <row r="1190">
      <c r="A1190" s="49">
        <v>44525.067219247685</v>
      </c>
      <c r="B1190" s="50">
        <v>44525.1921751157</v>
      </c>
      <c r="C1190" s="51">
        <v>1.048</v>
      </c>
      <c r="D1190" s="51">
        <v>66.0</v>
      </c>
      <c r="E1190" s="52" t="s">
        <v>25</v>
      </c>
      <c r="F1190" s="52" t="s">
        <v>26</v>
      </c>
      <c r="G1190" s="53"/>
    </row>
    <row r="1191">
      <c r="A1191" s="49">
        <v>44525.07764335648</v>
      </c>
      <c r="B1191" s="50">
        <v>44525.2026080439</v>
      </c>
      <c r="C1191" s="51">
        <v>1.048</v>
      </c>
      <c r="D1191" s="51">
        <v>66.0</v>
      </c>
      <c r="E1191" s="52" t="s">
        <v>25</v>
      </c>
      <c r="F1191" s="52" t="s">
        <v>26</v>
      </c>
      <c r="G1191" s="53"/>
    </row>
    <row r="1192">
      <c r="A1192" s="49">
        <v>44525.08806421296</v>
      </c>
      <c r="B1192" s="50">
        <v>44525.213030706</v>
      </c>
      <c r="C1192" s="51">
        <v>1.048</v>
      </c>
      <c r="D1192" s="51">
        <v>66.0</v>
      </c>
      <c r="E1192" s="52" t="s">
        <v>25</v>
      </c>
      <c r="F1192" s="52" t="s">
        <v>26</v>
      </c>
      <c r="G1192" s="53"/>
    </row>
    <row r="1193">
      <c r="A1193" s="49">
        <v>44525.09848299768</v>
      </c>
      <c r="B1193" s="50">
        <v>44525.2234508449</v>
      </c>
      <c r="C1193" s="51">
        <v>1.047</v>
      </c>
      <c r="D1193" s="51">
        <v>66.0</v>
      </c>
      <c r="E1193" s="52" t="s">
        <v>25</v>
      </c>
      <c r="F1193" s="52" t="s">
        <v>26</v>
      </c>
      <c r="G1193" s="53"/>
    </row>
    <row r="1194">
      <c r="A1194" s="49">
        <v>44525.10890737268</v>
      </c>
      <c r="B1194" s="50">
        <v>44525.2338711689</v>
      </c>
      <c r="C1194" s="51">
        <v>1.048</v>
      </c>
      <c r="D1194" s="51">
        <v>66.0</v>
      </c>
      <c r="E1194" s="52" t="s">
        <v>25</v>
      </c>
      <c r="F1194" s="52" t="s">
        <v>26</v>
      </c>
      <c r="G1194" s="53"/>
    </row>
    <row r="1195">
      <c r="A1195" s="49">
        <v>44525.11931605324</v>
      </c>
      <c r="B1195" s="50">
        <v>44525.2442912731</v>
      </c>
      <c r="C1195" s="51">
        <v>1.047</v>
      </c>
      <c r="D1195" s="51">
        <v>66.0</v>
      </c>
      <c r="E1195" s="52" t="s">
        <v>25</v>
      </c>
      <c r="F1195" s="52" t="s">
        <v>26</v>
      </c>
      <c r="G1195" s="53"/>
    </row>
    <row r="1196">
      <c r="A1196" s="49">
        <v>44525.12975024305</v>
      </c>
      <c r="B1196" s="50">
        <v>44525.2547126041</v>
      </c>
      <c r="C1196" s="51">
        <v>1.047</v>
      </c>
      <c r="D1196" s="51">
        <v>66.0</v>
      </c>
      <c r="E1196" s="52" t="s">
        <v>25</v>
      </c>
      <c r="F1196" s="52" t="s">
        <v>26</v>
      </c>
      <c r="G1196" s="53"/>
    </row>
    <row r="1197">
      <c r="A1197" s="49">
        <v>44525.1401759838</v>
      </c>
      <c r="B1197" s="50">
        <v>44525.2651459953</v>
      </c>
      <c r="C1197" s="51">
        <v>1.047</v>
      </c>
      <c r="D1197" s="51">
        <v>66.0</v>
      </c>
      <c r="E1197" s="52" t="s">
        <v>25</v>
      </c>
      <c r="F1197" s="52" t="s">
        <v>26</v>
      </c>
      <c r="G1197" s="53"/>
    </row>
    <row r="1198">
      <c r="A1198" s="49">
        <v>44525.15061318287</v>
      </c>
      <c r="B1198" s="50">
        <v>44525.2755783912</v>
      </c>
      <c r="C1198" s="51">
        <v>1.048</v>
      </c>
      <c r="D1198" s="51">
        <v>66.0</v>
      </c>
      <c r="E1198" s="52" t="s">
        <v>25</v>
      </c>
      <c r="F1198" s="52" t="s">
        <v>26</v>
      </c>
      <c r="G1198" s="53"/>
    </row>
    <row r="1199">
      <c r="A1199" s="49">
        <v>44525.16103503472</v>
      </c>
      <c r="B1199" s="50">
        <v>44525.2860083217</v>
      </c>
      <c r="C1199" s="51">
        <v>1.047</v>
      </c>
      <c r="D1199" s="51">
        <v>66.0</v>
      </c>
      <c r="E1199" s="52" t="s">
        <v>25</v>
      </c>
      <c r="F1199" s="52" t="s">
        <v>26</v>
      </c>
      <c r="G1199" s="53"/>
    </row>
    <row r="1200">
      <c r="A1200" s="49">
        <v>44525.171460682875</v>
      </c>
      <c r="B1200" s="50">
        <v>44525.2964300462</v>
      </c>
      <c r="C1200" s="51">
        <v>1.047</v>
      </c>
      <c r="D1200" s="51">
        <v>66.0</v>
      </c>
      <c r="E1200" s="52" t="s">
        <v>25</v>
      </c>
      <c r="F1200" s="52" t="s">
        <v>26</v>
      </c>
      <c r="G1200" s="53"/>
    </row>
    <row r="1201">
      <c r="A1201" s="49">
        <v>44525.18188221064</v>
      </c>
      <c r="B1201" s="50">
        <v>44525.3068496412</v>
      </c>
      <c r="C1201" s="51">
        <v>1.047</v>
      </c>
      <c r="D1201" s="51">
        <v>66.0</v>
      </c>
      <c r="E1201" s="52" t="s">
        <v>25</v>
      </c>
      <c r="F1201" s="52" t="s">
        <v>26</v>
      </c>
      <c r="G1201" s="53"/>
    </row>
    <row r="1202">
      <c r="A1202" s="49">
        <v>44525.19229847222</v>
      </c>
      <c r="B1202" s="50">
        <v>44525.3172696527</v>
      </c>
      <c r="C1202" s="51">
        <v>1.047</v>
      </c>
      <c r="D1202" s="51">
        <v>66.0</v>
      </c>
      <c r="E1202" s="52" t="s">
        <v>25</v>
      </c>
      <c r="F1202" s="52" t="s">
        <v>26</v>
      </c>
      <c r="G1202" s="53"/>
    </row>
    <row r="1203">
      <c r="A1203" s="49">
        <v>44525.20272184028</v>
      </c>
      <c r="B1203" s="50">
        <v>44525.3276919328</v>
      </c>
      <c r="C1203" s="51">
        <v>1.047</v>
      </c>
      <c r="D1203" s="51">
        <v>66.0</v>
      </c>
      <c r="E1203" s="52" t="s">
        <v>25</v>
      </c>
      <c r="F1203" s="52" t="s">
        <v>26</v>
      </c>
      <c r="G1203" s="53"/>
    </row>
    <row r="1204">
      <c r="A1204" s="49">
        <v>44525.2131484375</v>
      </c>
      <c r="B1204" s="50">
        <v>44525.3381136574</v>
      </c>
      <c r="C1204" s="51">
        <v>1.047</v>
      </c>
      <c r="D1204" s="51">
        <v>66.0</v>
      </c>
      <c r="E1204" s="52" t="s">
        <v>25</v>
      </c>
      <c r="F1204" s="52" t="s">
        <v>26</v>
      </c>
      <c r="G1204" s="53"/>
    </row>
    <row r="1205">
      <c r="A1205" s="49">
        <v>44525.22356388889</v>
      </c>
      <c r="B1205" s="50">
        <v>44525.3485351388</v>
      </c>
      <c r="C1205" s="51">
        <v>1.047</v>
      </c>
      <c r="D1205" s="51">
        <v>66.0</v>
      </c>
      <c r="E1205" s="52" t="s">
        <v>25</v>
      </c>
      <c r="F1205" s="52" t="s">
        <v>26</v>
      </c>
      <c r="G1205" s="53"/>
    </row>
    <row r="1206">
      <c r="A1206" s="49">
        <v>44525.233994421294</v>
      </c>
      <c r="B1206" s="50">
        <v>44525.3589682291</v>
      </c>
      <c r="C1206" s="51">
        <v>1.047</v>
      </c>
      <c r="D1206" s="51">
        <v>66.0</v>
      </c>
      <c r="E1206" s="52" t="s">
        <v>25</v>
      </c>
      <c r="F1206" s="52" t="s">
        <v>26</v>
      </c>
      <c r="G1206" s="53"/>
    </row>
    <row r="1207">
      <c r="A1207" s="49">
        <v>44525.24441114583</v>
      </c>
      <c r="B1207" s="50">
        <v>44525.369386956</v>
      </c>
      <c r="C1207" s="51">
        <v>1.047</v>
      </c>
      <c r="D1207" s="51">
        <v>66.0</v>
      </c>
      <c r="E1207" s="52" t="s">
        <v>25</v>
      </c>
      <c r="F1207" s="52" t="s">
        <v>26</v>
      </c>
      <c r="G1207" s="53"/>
    </row>
    <row r="1208">
      <c r="A1208" s="49">
        <v>44525.25484627315</v>
      </c>
      <c r="B1208" s="50">
        <v>44525.3798206597</v>
      </c>
      <c r="C1208" s="51">
        <v>1.047</v>
      </c>
      <c r="D1208" s="51">
        <v>66.0</v>
      </c>
      <c r="E1208" s="52" t="s">
        <v>25</v>
      </c>
      <c r="F1208" s="52" t="s">
        <v>26</v>
      </c>
      <c r="G1208" s="53"/>
    </row>
    <row r="1209">
      <c r="A1209" s="49">
        <v>44525.26526533565</v>
      </c>
      <c r="B1209" s="50">
        <v>44525.3902407291</v>
      </c>
      <c r="C1209" s="51">
        <v>1.047</v>
      </c>
      <c r="D1209" s="51">
        <v>66.0</v>
      </c>
      <c r="E1209" s="52" t="s">
        <v>25</v>
      </c>
      <c r="F1209" s="52" t="s">
        <v>26</v>
      </c>
      <c r="G1209" s="53"/>
    </row>
    <row r="1210">
      <c r="A1210" s="49">
        <v>44525.275696261575</v>
      </c>
      <c r="B1210" s="50">
        <v>44525.4006612037</v>
      </c>
      <c r="C1210" s="51">
        <v>1.047</v>
      </c>
      <c r="D1210" s="51">
        <v>66.0</v>
      </c>
      <c r="E1210" s="52" t="s">
        <v>25</v>
      </c>
      <c r="F1210" s="52" t="s">
        <v>26</v>
      </c>
      <c r="G1210" s="53"/>
    </row>
    <row r="1211">
      <c r="A1211" s="49">
        <v>44525.28611097222</v>
      </c>
      <c r="B1211" s="50">
        <v>44525.4110821064</v>
      </c>
      <c r="C1211" s="51">
        <v>1.047</v>
      </c>
      <c r="D1211" s="51">
        <v>66.0</v>
      </c>
      <c r="E1211" s="52" t="s">
        <v>25</v>
      </c>
      <c r="F1211" s="52" t="s">
        <v>26</v>
      </c>
      <c r="G1211" s="53"/>
    </row>
    <row r="1212">
      <c r="A1212" s="49">
        <v>44525.296535243055</v>
      </c>
      <c r="B1212" s="50">
        <v>44525.4215042129</v>
      </c>
      <c r="C1212" s="51">
        <v>1.047</v>
      </c>
      <c r="D1212" s="51">
        <v>66.0</v>
      </c>
      <c r="E1212" s="52" t="s">
        <v>25</v>
      </c>
      <c r="F1212" s="52" t="s">
        <v>26</v>
      </c>
      <c r="G1212" s="53"/>
    </row>
    <row r="1213">
      <c r="A1213" s="49">
        <v>44525.30694913195</v>
      </c>
      <c r="B1213" s="50">
        <v>44525.4319250925</v>
      </c>
      <c r="C1213" s="51">
        <v>1.047</v>
      </c>
      <c r="D1213" s="51">
        <v>66.0</v>
      </c>
      <c r="E1213" s="52" t="s">
        <v>25</v>
      </c>
      <c r="F1213" s="52" t="s">
        <v>26</v>
      </c>
      <c r="G1213" s="53"/>
    </row>
    <row r="1214">
      <c r="A1214" s="49">
        <v>44525.31737046296</v>
      </c>
      <c r="B1214" s="50">
        <v>44525.4423466435</v>
      </c>
      <c r="C1214" s="51">
        <v>1.047</v>
      </c>
      <c r="D1214" s="51">
        <v>66.0</v>
      </c>
      <c r="E1214" s="52" t="s">
        <v>25</v>
      </c>
      <c r="F1214" s="52" t="s">
        <v>26</v>
      </c>
      <c r="G1214" s="53"/>
    </row>
    <row r="1215">
      <c r="A1215" s="49">
        <v>44525.327798541664</v>
      </c>
      <c r="B1215" s="50">
        <v>44525.4527677546</v>
      </c>
      <c r="C1215" s="51">
        <v>1.047</v>
      </c>
      <c r="D1215" s="51">
        <v>66.0</v>
      </c>
      <c r="E1215" s="52" t="s">
        <v>25</v>
      </c>
      <c r="F1215" s="52" t="s">
        <v>26</v>
      </c>
      <c r="G1215" s="53"/>
    </row>
    <row r="1216">
      <c r="A1216" s="49">
        <v>44525.33821700231</v>
      </c>
      <c r="B1216" s="50">
        <v>44525.463189375</v>
      </c>
      <c r="C1216" s="51">
        <v>1.047</v>
      </c>
      <c r="D1216" s="51">
        <v>66.0</v>
      </c>
      <c r="E1216" s="52" t="s">
        <v>25</v>
      </c>
      <c r="F1216" s="52" t="s">
        <v>26</v>
      </c>
      <c r="G1216" s="53"/>
    </row>
    <row r="1217">
      <c r="A1217" s="49">
        <v>44525.34863789352</v>
      </c>
      <c r="B1217" s="50">
        <v>44525.4736107407</v>
      </c>
      <c r="C1217" s="51">
        <v>1.047</v>
      </c>
      <c r="D1217" s="51">
        <v>66.0</v>
      </c>
      <c r="E1217" s="52" t="s">
        <v>25</v>
      </c>
      <c r="F1217" s="52" t="s">
        <v>26</v>
      </c>
      <c r="G1217" s="53"/>
    </row>
    <row r="1218">
      <c r="A1218" s="49">
        <v>44525.3590715162</v>
      </c>
      <c r="B1218" s="50">
        <v>44525.4840451967</v>
      </c>
      <c r="C1218" s="51">
        <v>1.047</v>
      </c>
      <c r="D1218" s="51">
        <v>66.0</v>
      </c>
      <c r="E1218" s="52" t="s">
        <v>25</v>
      </c>
      <c r="F1218" s="52" t="s">
        <v>26</v>
      </c>
      <c r="G1218" s="53"/>
    </row>
    <row r="1219">
      <c r="A1219" s="49">
        <v>44525.36949149305</v>
      </c>
      <c r="B1219" s="50">
        <v>44525.4944663078</v>
      </c>
      <c r="C1219" s="51">
        <v>1.047</v>
      </c>
      <c r="D1219" s="51">
        <v>66.0</v>
      </c>
      <c r="E1219" s="52" t="s">
        <v>25</v>
      </c>
      <c r="F1219" s="52" t="s">
        <v>26</v>
      </c>
      <c r="G1219" s="53"/>
    </row>
    <row r="1220">
      <c r="A1220" s="49">
        <v>44525.37991986111</v>
      </c>
      <c r="B1220" s="50">
        <v>44525.5048882523</v>
      </c>
      <c r="C1220" s="51">
        <v>1.047</v>
      </c>
      <c r="D1220" s="51">
        <v>66.0</v>
      </c>
      <c r="E1220" s="52" t="s">
        <v>25</v>
      </c>
      <c r="F1220" s="52" t="s">
        <v>26</v>
      </c>
      <c r="G1220" s="53"/>
    </row>
    <row r="1221">
      <c r="A1221" s="49">
        <v>44525.39034482639</v>
      </c>
      <c r="B1221" s="50">
        <v>44525.5153204745</v>
      </c>
      <c r="C1221" s="51">
        <v>1.047</v>
      </c>
      <c r="D1221" s="51">
        <v>66.0</v>
      </c>
      <c r="E1221" s="52" t="s">
        <v>25</v>
      </c>
      <c r="F1221" s="52" t="s">
        <v>26</v>
      </c>
      <c r="G1221" s="53"/>
    </row>
    <row r="1222">
      <c r="A1222" s="49">
        <v>44525.40077390046</v>
      </c>
      <c r="B1222" s="50">
        <v>44525.5257416203</v>
      </c>
      <c r="C1222" s="51">
        <v>1.047</v>
      </c>
      <c r="D1222" s="51">
        <v>66.0</v>
      </c>
      <c r="E1222" s="52" t="s">
        <v>25</v>
      </c>
      <c r="F1222" s="52" t="s">
        <v>26</v>
      </c>
      <c r="G1222" s="53"/>
    </row>
    <row r="1223">
      <c r="A1223" s="49">
        <v>44525.41119907408</v>
      </c>
      <c r="B1223" s="50">
        <v>44525.5361743402</v>
      </c>
      <c r="C1223" s="51">
        <v>1.047</v>
      </c>
      <c r="D1223" s="51">
        <v>66.0</v>
      </c>
      <c r="E1223" s="52" t="s">
        <v>25</v>
      </c>
      <c r="F1223" s="52" t="s">
        <v>26</v>
      </c>
      <c r="G1223" s="53"/>
    </row>
    <row r="1224">
      <c r="A1224" s="49">
        <v>44525.42163677083</v>
      </c>
      <c r="B1224" s="50">
        <v>44525.5466069097</v>
      </c>
      <c r="C1224" s="51">
        <v>1.047</v>
      </c>
      <c r="D1224" s="51">
        <v>66.0</v>
      </c>
      <c r="E1224" s="52" t="s">
        <v>25</v>
      </c>
      <c r="F1224" s="52" t="s">
        <v>26</v>
      </c>
      <c r="G1224" s="53"/>
    </row>
    <row r="1225">
      <c r="A1225" s="49">
        <v>44525.432047662034</v>
      </c>
      <c r="B1225" s="50">
        <v>44525.5570266898</v>
      </c>
      <c r="C1225" s="51">
        <v>1.047</v>
      </c>
      <c r="D1225" s="51">
        <v>66.0</v>
      </c>
      <c r="E1225" s="52" t="s">
        <v>25</v>
      </c>
      <c r="F1225" s="52" t="s">
        <v>26</v>
      </c>
      <c r="G1225" s="53"/>
    </row>
    <row r="1226">
      <c r="A1226" s="49">
        <v>44525.442470381946</v>
      </c>
      <c r="B1226" s="50">
        <v>44525.5674471527</v>
      </c>
      <c r="C1226" s="51">
        <v>1.047</v>
      </c>
      <c r="D1226" s="51">
        <v>66.0</v>
      </c>
      <c r="E1226" s="52" t="s">
        <v>25</v>
      </c>
      <c r="F1226" s="52" t="s">
        <v>26</v>
      </c>
      <c r="G1226" s="53"/>
    </row>
    <row r="1227">
      <c r="A1227" s="49">
        <v>44525.4529066088</v>
      </c>
      <c r="B1227" s="50">
        <v>44525.577879456</v>
      </c>
      <c r="C1227" s="51">
        <v>1.047</v>
      </c>
      <c r="D1227" s="51">
        <v>66.0</v>
      </c>
      <c r="E1227" s="52" t="s">
        <v>25</v>
      </c>
      <c r="F1227" s="52" t="s">
        <v>26</v>
      </c>
      <c r="G1227" s="53"/>
    </row>
    <row r="1228">
      <c r="A1228" s="49">
        <v>44525.46332645833</v>
      </c>
      <c r="B1228" s="50">
        <v>44525.5883013657</v>
      </c>
      <c r="C1228" s="51">
        <v>1.047</v>
      </c>
      <c r="D1228" s="51">
        <v>66.0</v>
      </c>
      <c r="E1228" s="52" t="s">
        <v>25</v>
      </c>
      <c r="F1228" s="52" t="s">
        <v>26</v>
      </c>
      <c r="G1228" s="53"/>
    </row>
    <row r="1229">
      <c r="A1229" s="49">
        <v>44525.473750335645</v>
      </c>
      <c r="B1229" s="50">
        <v>44525.5987224537</v>
      </c>
      <c r="C1229" s="51">
        <v>1.047</v>
      </c>
      <c r="D1229" s="51">
        <v>66.0</v>
      </c>
      <c r="E1229" s="52" t="s">
        <v>25</v>
      </c>
      <c r="F1229" s="52" t="s">
        <v>26</v>
      </c>
      <c r="G1229" s="53"/>
    </row>
    <row r="1230">
      <c r="A1230" s="49">
        <v>44525.48416216436</v>
      </c>
      <c r="B1230" s="50">
        <v>44525.6091435879</v>
      </c>
      <c r="C1230" s="51">
        <v>1.047</v>
      </c>
      <c r="D1230" s="51">
        <v>66.0</v>
      </c>
      <c r="E1230" s="52" t="s">
        <v>25</v>
      </c>
      <c r="F1230" s="52" t="s">
        <v>26</v>
      </c>
      <c r="G1230" s="53"/>
    </row>
    <row r="1231">
      <c r="A1231" s="49">
        <v>44525.49459396991</v>
      </c>
      <c r="B1231" s="50">
        <v>44525.6195624768</v>
      </c>
      <c r="C1231" s="51">
        <v>1.047</v>
      </c>
      <c r="D1231" s="51">
        <v>66.0</v>
      </c>
      <c r="E1231" s="52" t="s">
        <v>25</v>
      </c>
      <c r="F1231" s="52" t="s">
        <v>26</v>
      </c>
      <c r="G1231" s="53"/>
    </row>
    <row r="1232">
      <c r="A1232" s="49">
        <v>44525.505007395834</v>
      </c>
      <c r="B1232" s="50">
        <v>44525.6299840162</v>
      </c>
      <c r="C1232" s="51">
        <v>1.047</v>
      </c>
      <c r="D1232" s="51">
        <v>66.0</v>
      </c>
      <c r="E1232" s="52" t="s">
        <v>25</v>
      </c>
      <c r="F1232" s="52" t="s">
        <v>26</v>
      </c>
      <c r="G1232" s="53"/>
    </row>
    <row r="1233">
      <c r="A1233" s="49">
        <v>44525.51543560185</v>
      </c>
      <c r="B1233" s="50">
        <v>44525.6404049652</v>
      </c>
      <c r="C1233" s="51">
        <v>1.047</v>
      </c>
      <c r="D1233" s="51">
        <v>66.0</v>
      </c>
      <c r="E1233" s="52" t="s">
        <v>25</v>
      </c>
      <c r="F1233" s="52" t="s">
        <v>26</v>
      </c>
      <c r="G1233" s="53"/>
    </row>
    <row r="1234">
      <c r="A1234" s="49">
        <v>44525.52586136574</v>
      </c>
      <c r="B1234" s="50">
        <v>44525.6508374189</v>
      </c>
      <c r="C1234" s="51">
        <v>1.047</v>
      </c>
      <c r="D1234" s="51">
        <v>66.0</v>
      </c>
      <c r="E1234" s="52" t="s">
        <v>25</v>
      </c>
      <c r="F1234" s="52" t="s">
        <v>26</v>
      </c>
      <c r="G1234" s="53"/>
    </row>
    <row r="1235">
      <c r="A1235" s="49">
        <v>44525.5362781713</v>
      </c>
      <c r="B1235" s="50">
        <v>44525.6612582407</v>
      </c>
      <c r="C1235" s="51">
        <v>1.047</v>
      </c>
      <c r="D1235" s="51">
        <v>66.0</v>
      </c>
      <c r="E1235" s="52" t="s">
        <v>25</v>
      </c>
      <c r="F1235" s="52" t="s">
        <v>26</v>
      </c>
      <c r="G1235" s="53"/>
    </row>
    <row r="1236">
      <c r="A1236" s="49">
        <v>44525.546698715276</v>
      </c>
      <c r="B1236" s="50">
        <v>44525.6716779398</v>
      </c>
      <c r="C1236" s="51">
        <v>1.047</v>
      </c>
      <c r="D1236" s="51">
        <v>66.0</v>
      </c>
      <c r="E1236" s="52" t="s">
        <v>25</v>
      </c>
      <c r="F1236" s="52" t="s">
        <v>26</v>
      </c>
      <c r="G1236" s="53"/>
    </row>
    <row r="1237">
      <c r="A1237" s="49">
        <v>44525.557147824074</v>
      </c>
      <c r="B1237" s="50">
        <v>44525.6821215509</v>
      </c>
      <c r="C1237" s="51">
        <v>1.047</v>
      </c>
      <c r="D1237" s="51">
        <v>66.0</v>
      </c>
      <c r="E1237" s="52" t="s">
        <v>25</v>
      </c>
      <c r="F1237" s="52" t="s">
        <v>26</v>
      </c>
      <c r="G1237" s="53"/>
    </row>
    <row r="1238">
      <c r="A1238" s="49">
        <v>44525.56757053241</v>
      </c>
      <c r="B1238" s="50">
        <v>44525.6925424884</v>
      </c>
      <c r="C1238" s="51">
        <v>1.046</v>
      </c>
      <c r="D1238" s="51">
        <v>66.0</v>
      </c>
      <c r="E1238" s="52" t="s">
        <v>25</v>
      </c>
      <c r="F1238" s="52" t="s">
        <v>26</v>
      </c>
      <c r="G1238" s="53"/>
    </row>
    <row r="1239">
      <c r="A1239" s="49">
        <v>44525.57800380787</v>
      </c>
      <c r="B1239" s="50">
        <v>44525.702974618</v>
      </c>
      <c r="C1239" s="51">
        <v>1.047</v>
      </c>
      <c r="D1239" s="51">
        <v>66.0</v>
      </c>
      <c r="E1239" s="52" t="s">
        <v>25</v>
      </c>
      <c r="F1239" s="52" t="s">
        <v>26</v>
      </c>
      <c r="G1239" s="53"/>
    </row>
    <row r="1240">
      <c r="A1240" s="49">
        <v>44525.58843152778</v>
      </c>
      <c r="B1240" s="50">
        <v>44525.713395405</v>
      </c>
      <c r="C1240" s="51">
        <v>1.047</v>
      </c>
      <c r="D1240" s="51">
        <v>66.0</v>
      </c>
      <c r="E1240" s="52" t="s">
        <v>25</v>
      </c>
      <c r="F1240" s="52" t="s">
        <v>26</v>
      </c>
      <c r="G1240" s="53"/>
    </row>
    <row r="1241">
      <c r="A1241" s="49">
        <v>44525.598844328706</v>
      </c>
      <c r="B1241" s="50">
        <v>44525.7238169328</v>
      </c>
      <c r="C1241" s="51">
        <v>1.046</v>
      </c>
      <c r="D1241" s="51">
        <v>65.0</v>
      </c>
      <c r="E1241" s="52" t="s">
        <v>25</v>
      </c>
      <c r="F1241" s="52" t="s">
        <v>26</v>
      </c>
      <c r="G1241" s="53"/>
    </row>
    <row r="1242">
      <c r="A1242" s="49">
        <v>44525.60927878472</v>
      </c>
      <c r="B1242" s="50">
        <v>44525.7342493634</v>
      </c>
      <c r="C1242" s="51">
        <v>1.046</v>
      </c>
      <c r="D1242" s="51">
        <v>65.0</v>
      </c>
      <c r="E1242" s="52" t="s">
        <v>25</v>
      </c>
      <c r="F1242" s="52" t="s">
        <v>26</v>
      </c>
      <c r="G1242" s="53"/>
    </row>
    <row r="1243">
      <c r="A1243" s="49">
        <v>44525.61969571759</v>
      </c>
      <c r="B1243" s="50">
        <v>44525.744673449</v>
      </c>
      <c r="C1243" s="51">
        <v>1.047</v>
      </c>
      <c r="D1243" s="51">
        <v>66.0</v>
      </c>
      <c r="E1243" s="52" t="s">
        <v>25</v>
      </c>
      <c r="F1243" s="52" t="s">
        <v>26</v>
      </c>
      <c r="G1243" s="53"/>
    </row>
    <row r="1244">
      <c r="A1244" s="49">
        <v>44525.63011783565</v>
      </c>
      <c r="B1244" s="50">
        <v>44525.7550953356</v>
      </c>
      <c r="C1244" s="51">
        <v>1.046</v>
      </c>
      <c r="D1244" s="51">
        <v>66.0</v>
      </c>
      <c r="E1244" s="52" t="s">
        <v>25</v>
      </c>
      <c r="F1244" s="52" t="s">
        <v>26</v>
      </c>
      <c r="G1244" s="53"/>
    </row>
    <row r="1245">
      <c r="A1245" s="49">
        <v>44525.64055460648</v>
      </c>
      <c r="B1245" s="50">
        <v>44525.76552603</v>
      </c>
      <c r="C1245" s="51">
        <v>1.046</v>
      </c>
      <c r="D1245" s="51">
        <v>66.0</v>
      </c>
      <c r="E1245" s="52" t="s">
        <v>25</v>
      </c>
      <c r="F1245" s="52" t="s">
        <v>26</v>
      </c>
      <c r="G1245" s="53"/>
    </row>
    <row r="1246">
      <c r="A1246" s="49">
        <v>44525.65098524306</v>
      </c>
      <c r="B1246" s="50">
        <v>44525.7759572337</v>
      </c>
      <c r="C1246" s="51">
        <v>1.046</v>
      </c>
      <c r="D1246" s="51">
        <v>65.0</v>
      </c>
      <c r="E1246" s="52" t="s">
        <v>25</v>
      </c>
      <c r="F1246" s="52" t="s">
        <v>26</v>
      </c>
      <c r="G1246" s="53"/>
    </row>
    <row r="1247">
      <c r="A1247" s="49">
        <v>44525.66141155093</v>
      </c>
      <c r="B1247" s="50">
        <v>44525.7863793749</v>
      </c>
      <c r="C1247" s="51">
        <v>1.046</v>
      </c>
      <c r="D1247" s="51">
        <v>66.0</v>
      </c>
      <c r="E1247" s="52" t="s">
        <v>25</v>
      </c>
      <c r="F1247" s="52" t="s">
        <v>26</v>
      </c>
      <c r="G1247" s="53"/>
    </row>
    <row r="1248">
      <c r="A1248" s="49">
        <v>44525.6718262963</v>
      </c>
      <c r="B1248" s="50">
        <v>44525.7967998148</v>
      </c>
      <c r="C1248" s="51">
        <v>1.046</v>
      </c>
      <c r="D1248" s="51">
        <v>65.0</v>
      </c>
      <c r="E1248" s="52" t="s">
        <v>25</v>
      </c>
      <c r="F1248" s="52" t="s">
        <v>26</v>
      </c>
      <c r="G1248" s="53"/>
    </row>
    <row r="1249">
      <c r="A1249" s="49">
        <v>44525.68225027778</v>
      </c>
      <c r="B1249" s="50">
        <v>44525.807220625</v>
      </c>
      <c r="C1249" s="51">
        <v>1.046</v>
      </c>
      <c r="D1249" s="51">
        <v>66.0</v>
      </c>
      <c r="E1249" s="52" t="s">
        <v>25</v>
      </c>
      <c r="F1249" s="52" t="s">
        <v>26</v>
      </c>
      <c r="G1249" s="53"/>
    </row>
    <row r="1250">
      <c r="A1250" s="49">
        <v>44525.692663912036</v>
      </c>
      <c r="B1250" s="50">
        <v>44525.8176403819</v>
      </c>
      <c r="C1250" s="51">
        <v>1.047</v>
      </c>
      <c r="D1250" s="51">
        <v>66.0</v>
      </c>
      <c r="E1250" s="52" t="s">
        <v>25</v>
      </c>
      <c r="F1250" s="52" t="s">
        <v>26</v>
      </c>
      <c r="G1250" s="53"/>
    </row>
    <row r="1251">
      <c r="A1251" s="49">
        <v>44525.7030875</v>
      </c>
      <c r="B1251" s="50">
        <v>44525.8280612847</v>
      </c>
      <c r="C1251" s="51">
        <v>1.046</v>
      </c>
      <c r="D1251" s="51">
        <v>65.0</v>
      </c>
      <c r="E1251" s="52" t="s">
        <v>25</v>
      </c>
      <c r="F1251" s="52" t="s">
        <v>26</v>
      </c>
      <c r="G1251" s="53"/>
    </row>
    <row r="1252">
      <c r="A1252" s="49">
        <v>44525.71350171296</v>
      </c>
      <c r="B1252" s="50">
        <v>44525.83848</v>
      </c>
      <c r="C1252" s="51">
        <v>1.046</v>
      </c>
      <c r="D1252" s="51">
        <v>66.0</v>
      </c>
      <c r="E1252" s="52" t="s">
        <v>25</v>
      </c>
      <c r="F1252" s="52" t="s">
        <v>26</v>
      </c>
      <c r="G1252" s="53"/>
    </row>
    <row r="1253">
      <c r="A1253" s="49">
        <v>44525.72392857639</v>
      </c>
      <c r="B1253" s="50">
        <v>44525.848900243</v>
      </c>
      <c r="C1253" s="51">
        <v>1.046</v>
      </c>
      <c r="D1253" s="51">
        <v>65.0</v>
      </c>
      <c r="E1253" s="52" t="s">
        <v>25</v>
      </c>
      <c r="F1253" s="52" t="s">
        <v>26</v>
      </c>
      <c r="G1253" s="53"/>
    </row>
    <row r="1254">
      <c r="A1254" s="49">
        <v>44525.73434216435</v>
      </c>
      <c r="B1254" s="50">
        <v>44525.8593219791</v>
      </c>
      <c r="C1254" s="51">
        <v>1.046</v>
      </c>
      <c r="D1254" s="51">
        <v>65.0</v>
      </c>
      <c r="E1254" s="52" t="s">
        <v>25</v>
      </c>
      <c r="F1254" s="52" t="s">
        <v>26</v>
      </c>
      <c r="G1254" s="53"/>
    </row>
    <row r="1255">
      <c r="A1255" s="49">
        <v>44525.74478258102</v>
      </c>
      <c r="B1255" s="50">
        <v>44525.8697549768</v>
      </c>
      <c r="C1255" s="51">
        <v>1.046</v>
      </c>
      <c r="D1255" s="51">
        <v>66.0</v>
      </c>
      <c r="E1255" s="52" t="s">
        <v>25</v>
      </c>
      <c r="F1255" s="52" t="s">
        <v>26</v>
      </c>
      <c r="G1255" s="53"/>
    </row>
    <row r="1256">
      <c r="A1256" s="49">
        <v>44525.7552044676</v>
      </c>
      <c r="B1256" s="50">
        <v>44525.8801765277</v>
      </c>
      <c r="C1256" s="51">
        <v>1.046</v>
      </c>
      <c r="D1256" s="51">
        <v>65.0</v>
      </c>
      <c r="E1256" s="52" t="s">
        <v>25</v>
      </c>
      <c r="F1256" s="52" t="s">
        <v>26</v>
      </c>
      <c r="G1256" s="53"/>
    </row>
    <row r="1257">
      <c r="A1257" s="49">
        <v>44525.76561690972</v>
      </c>
      <c r="B1257" s="50">
        <v>44525.890597118</v>
      </c>
      <c r="C1257" s="51">
        <v>1.046</v>
      </c>
      <c r="D1257" s="51">
        <v>66.0</v>
      </c>
      <c r="E1257" s="52" t="s">
        <v>25</v>
      </c>
      <c r="F1257" s="52" t="s">
        <v>26</v>
      </c>
      <c r="G1257" s="53"/>
    </row>
    <row r="1258">
      <c r="A1258" s="49">
        <v>44525.77604604167</v>
      </c>
      <c r="B1258" s="50">
        <v>44525.9010182523</v>
      </c>
      <c r="C1258" s="51">
        <v>1.046</v>
      </c>
      <c r="D1258" s="51">
        <v>65.0</v>
      </c>
      <c r="E1258" s="52" t="s">
        <v>25</v>
      </c>
      <c r="F1258" s="52" t="s">
        <v>26</v>
      </c>
      <c r="G1258" s="53"/>
    </row>
    <row r="1259">
      <c r="A1259" s="49">
        <v>44525.786494375</v>
      </c>
      <c r="B1259" s="50">
        <v>44525.9114638425</v>
      </c>
      <c r="C1259" s="51">
        <v>1.046</v>
      </c>
      <c r="D1259" s="51">
        <v>65.0</v>
      </c>
      <c r="E1259" s="52" t="s">
        <v>25</v>
      </c>
      <c r="F1259" s="52" t="s">
        <v>26</v>
      </c>
      <c r="G1259" s="53"/>
    </row>
    <row r="1260">
      <c r="A1260" s="49">
        <v>44525.79690983796</v>
      </c>
      <c r="B1260" s="50">
        <v>44525.9218830555</v>
      </c>
      <c r="C1260" s="51">
        <v>1.046</v>
      </c>
      <c r="D1260" s="51">
        <v>65.0</v>
      </c>
      <c r="E1260" s="52" t="s">
        <v>25</v>
      </c>
      <c r="F1260" s="52" t="s">
        <v>26</v>
      </c>
      <c r="G1260" s="53"/>
    </row>
    <row r="1261">
      <c r="A1261" s="49">
        <v>44525.807329930554</v>
      </c>
      <c r="B1261" s="50">
        <v>44525.9323051157</v>
      </c>
      <c r="C1261" s="51">
        <v>1.046</v>
      </c>
      <c r="D1261" s="51">
        <v>65.0</v>
      </c>
      <c r="E1261" s="52" t="s">
        <v>25</v>
      </c>
      <c r="F1261" s="52" t="s">
        <v>26</v>
      </c>
      <c r="G1261" s="53"/>
    </row>
    <row r="1262">
      <c r="A1262" s="49">
        <v>44525.817743182866</v>
      </c>
      <c r="B1262" s="50">
        <v>44525.9427259722</v>
      </c>
      <c r="C1262" s="51">
        <v>1.046</v>
      </c>
      <c r="D1262" s="51">
        <v>65.0</v>
      </c>
      <c r="E1262" s="52" t="s">
        <v>25</v>
      </c>
      <c r="F1262" s="52" t="s">
        <v>26</v>
      </c>
      <c r="G1262" s="53"/>
    </row>
    <row r="1263">
      <c r="A1263" s="49">
        <v>44525.828167581014</v>
      </c>
      <c r="B1263" s="50">
        <v>44525.9531473958</v>
      </c>
      <c r="C1263" s="51">
        <v>1.046</v>
      </c>
      <c r="D1263" s="51">
        <v>65.0</v>
      </c>
      <c r="E1263" s="52" t="s">
        <v>25</v>
      </c>
      <c r="F1263" s="52" t="s">
        <v>26</v>
      </c>
      <c r="G1263" s="53"/>
    </row>
    <row r="1264">
      <c r="A1264" s="49">
        <v>44525.83859414352</v>
      </c>
      <c r="B1264" s="50">
        <v>44525.9635687384</v>
      </c>
      <c r="C1264" s="51">
        <v>1.046</v>
      </c>
      <c r="D1264" s="51">
        <v>65.0</v>
      </c>
      <c r="E1264" s="52" t="s">
        <v>25</v>
      </c>
      <c r="F1264" s="52" t="s">
        <v>26</v>
      </c>
      <c r="G1264" s="53"/>
    </row>
    <row r="1265">
      <c r="A1265" s="49">
        <v>44525.8490084375</v>
      </c>
      <c r="B1265" s="50">
        <v>44525.9739889814</v>
      </c>
      <c r="C1265" s="51">
        <v>1.046</v>
      </c>
      <c r="D1265" s="51">
        <v>66.0</v>
      </c>
      <c r="E1265" s="52" t="s">
        <v>25</v>
      </c>
      <c r="F1265" s="52" t="s">
        <v>26</v>
      </c>
      <c r="G1265" s="53"/>
    </row>
    <row r="1266">
      <c r="A1266" s="49">
        <v>44525.85948107639</v>
      </c>
      <c r="B1266" s="50">
        <v>44525.9844334953</v>
      </c>
      <c r="C1266" s="51">
        <v>1.046</v>
      </c>
      <c r="D1266" s="51">
        <v>65.0</v>
      </c>
      <c r="E1266" s="52" t="s">
        <v>25</v>
      </c>
      <c r="F1266" s="52" t="s">
        <v>26</v>
      </c>
      <c r="G1266" s="53"/>
    </row>
    <row r="1267">
      <c r="A1267" s="49">
        <v>44525.86988641204</v>
      </c>
      <c r="B1267" s="50">
        <v>44525.9948668749</v>
      </c>
      <c r="C1267" s="51">
        <v>1.046</v>
      </c>
      <c r="D1267" s="51">
        <v>65.0</v>
      </c>
      <c r="E1267" s="52" t="s">
        <v>25</v>
      </c>
      <c r="F1267" s="52" t="s">
        <v>26</v>
      </c>
      <c r="G1267" s="53"/>
    </row>
    <row r="1268">
      <c r="A1268" s="49">
        <v>44525.880334270834</v>
      </c>
      <c r="B1268" s="50">
        <v>44526.0053115162</v>
      </c>
      <c r="C1268" s="51">
        <v>1.046</v>
      </c>
      <c r="D1268" s="51">
        <v>65.0</v>
      </c>
      <c r="E1268" s="52" t="s">
        <v>25</v>
      </c>
      <c r="F1268" s="52" t="s">
        <v>26</v>
      </c>
      <c r="G1268" s="53"/>
    </row>
    <row r="1269">
      <c r="A1269" s="49">
        <v>44525.890762511575</v>
      </c>
      <c r="B1269" s="50">
        <v>44526.0157347685</v>
      </c>
      <c r="C1269" s="51">
        <v>1.046</v>
      </c>
      <c r="D1269" s="51">
        <v>65.0</v>
      </c>
      <c r="E1269" s="52" t="s">
        <v>25</v>
      </c>
      <c r="F1269" s="52" t="s">
        <v>26</v>
      </c>
      <c r="G1269" s="53"/>
    </row>
    <row r="1270">
      <c r="A1270" s="49">
        <v>44525.90119267361</v>
      </c>
      <c r="B1270" s="50">
        <v>44526.0261680555</v>
      </c>
      <c r="C1270" s="51">
        <v>1.046</v>
      </c>
      <c r="D1270" s="51">
        <v>65.0</v>
      </c>
      <c r="E1270" s="52" t="s">
        <v>25</v>
      </c>
      <c r="F1270" s="52" t="s">
        <v>26</v>
      </c>
      <c r="G1270" s="53"/>
    </row>
    <row r="1271">
      <c r="A1271" s="49">
        <v>44525.91161115741</v>
      </c>
      <c r="B1271" s="50">
        <v>44526.0365879629</v>
      </c>
      <c r="C1271" s="51">
        <v>1.046</v>
      </c>
      <c r="D1271" s="51">
        <v>65.0</v>
      </c>
      <c r="E1271" s="52" t="s">
        <v>25</v>
      </c>
      <c r="F1271" s="52" t="s">
        <v>26</v>
      </c>
      <c r="G1271" s="53"/>
    </row>
    <row r="1272">
      <c r="A1272" s="49">
        <v>44525.922048333334</v>
      </c>
      <c r="B1272" s="50">
        <v>44526.0470226967</v>
      </c>
      <c r="C1272" s="51">
        <v>1.046</v>
      </c>
      <c r="D1272" s="51">
        <v>65.0</v>
      </c>
      <c r="E1272" s="52" t="s">
        <v>25</v>
      </c>
      <c r="F1272" s="52" t="s">
        <v>26</v>
      </c>
      <c r="G1272" s="53"/>
    </row>
    <row r="1273">
      <c r="A1273" s="49">
        <v>44525.9324629051</v>
      </c>
      <c r="B1273" s="50">
        <v>44526.057442905</v>
      </c>
      <c r="C1273" s="51">
        <v>1.046</v>
      </c>
      <c r="D1273" s="51">
        <v>65.0</v>
      </c>
      <c r="E1273" s="52" t="s">
        <v>25</v>
      </c>
      <c r="F1273" s="52" t="s">
        <v>26</v>
      </c>
      <c r="G1273" s="53"/>
    </row>
    <row r="1274">
      <c r="A1274" s="49">
        <v>44525.94288833333</v>
      </c>
      <c r="B1274" s="50">
        <v>44526.0678625347</v>
      </c>
      <c r="C1274" s="51">
        <v>1.046</v>
      </c>
      <c r="D1274" s="51">
        <v>65.0</v>
      </c>
      <c r="E1274" s="52" t="s">
        <v>25</v>
      </c>
      <c r="F1274" s="52" t="s">
        <v>26</v>
      </c>
      <c r="G1274" s="53"/>
    </row>
    <row r="1275">
      <c r="A1275" s="49">
        <v>44525.953300810186</v>
      </c>
      <c r="B1275" s="50">
        <v>44526.0782842708</v>
      </c>
      <c r="C1275" s="51">
        <v>1.046</v>
      </c>
      <c r="D1275" s="51">
        <v>65.0</v>
      </c>
      <c r="E1275" s="52" t="s">
        <v>25</v>
      </c>
      <c r="F1275" s="52" t="s">
        <v>26</v>
      </c>
      <c r="G1275" s="53"/>
    </row>
    <row r="1276">
      <c r="A1276" s="49">
        <v>44525.96372664352</v>
      </c>
      <c r="B1276" s="50">
        <v>44526.0887061342</v>
      </c>
      <c r="C1276" s="51">
        <v>1.046</v>
      </c>
      <c r="D1276" s="51">
        <v>65.0</v>
      </c>
      <c r="E1276" s="52" t="s">
        <v>25</v>
      </c>
      <c r="F1276" s="52" t="s">
        <v>26</v>
      </c>
      <c r="G1276" s="53"/>
    </row>
    <row r="1277">
      <c r="A1277" s="49">
        <v>44525.97414978009</v>
      </c>
      <c r="B1277" s="50">
        <v>44526.0991274537</v>
      </c>
      <c r="C1277" s="51">
        <v>1.046</v>
      </c>
      <c r="D1277" s="51">
        <v>65.0</v>
      </c>
      <c r="E1277" s="52" t="s">
        <v>25</v>
      </c>
      <c r="F1277" s="52" t="s">
        <v>26</v>
      </c>
      <c r="G1277" s="53"/>
    </row>
    <row r="1278">
      <c r="A1278" s="49">
        <v>44525.98457359953</v>
      </c>
      <c r="B1278" s="50">
        <v>44526.1095490046</v>
      </c>
      <c r="C1278" s="51">
        <v>1.046</v>
      </c>
      <c r="D1278" s="51">
        <v>65.0</v>
      </c>
      <c r="E1278" s="52" t="s">
        <v>25</v>
      </c>
      <c r="F1278" s="52" t="s">
        <v>26</v>
      </c>
      <c r="G1278" s="53"/>
    </row>
    <row r="1279">
      <c r="A1279" s="49">
        <v>44525.99501701389</v>
      </c>
      <c r="B1279" s="50">
        <v>44526.1199937384</v>
      </c>
      <c r="C1279" s="51">
        <v>1.046</v>
      </c>
      <c r="D1279" s="51">
        <v>65.0</v>
      </c>
      <c r="E1279" s="52" t="s">
        <v>25</v>
      </c>
      <c r="F1279" s="52" t="s">
        <v>26</v>
      </c>
      <c r="G1279" s="53"/>
    </row>
    <row r="1280">
      <c r="A1280" s="49">
        <v>44526.0054415162</v>
      </c>
      <c r="B1280" s="50">
        <v>44526.1304151157</v>
      </c>
      <c r="C1280" s="51">
        <v>1.046</v>
      </c>
      <c r="D1280" s="51">
        <v>65.0</v>
      </c>
      <c r="E1280" s="52" t="s">
        <v>25</v>
      </c>
      <c r="F1280" s="52" t="s">
        <v>26</v>
      </c>
      <c r="G1280" s="53"/>
    </row>
    <row r="1281">
      <c r="A1281" s="49">
        <v>44526.015866898146</v>
      </c>
      <c r="B1281" s="50">
        <v>44526.1408345486</v>
      </c>
      <c r="C1281" s="51">
        <v>1.045</v>
      </c>
      <c r="D1281" s="51">
        <v>65.0</v>
      </c>
      <c r="E1281" s="52" t="s">
        <v>25</v>
      </c>
      <c r="F1281" s="52" t="s">
        <v>26</v>
      </c>
      <c r="G1281" s="53"/>
    </row>
    <row r="1282">
      <c r="A1282" s="49">
        <v>44526.02627828704</v>
      </c>
      <c r="B1282" s="50">
        <v>44526.1512547916</v>
      </c>
      <c r="C1282" s="51">
        <v>1.046</v>
      </c>
      <c r="D1282" s="51">
        <v>65.0</v>
      </c>
      <c r="E1282" s="52" t="s">
        <v>25</v>
      </c>
      <c r="F1282" s="52" t="s">
        <v>26</v>
      </c>
      <c r="G1282" s="53"/>
    </row>
    <row r="1283">
      <c r="A1283" s="49">
        <v>44526.036712291665</v>
      </c>
      <c r="B1283" s="50">
        <v>44526.1616763425</v>
      </c>
      <c r="C1283" s="51">
        <v>1.045</v>
      </c>
      <c r="D1283" s="51">
        <v>65.0</v>
      </c>
      <c r="E1283" s="52" t="s">
        <v>25</v>
      </c>
      <c r="F1283" s="52" t="s">
        <v>26</v>
      </c>
      <c r="G1283" s="53"/>
    </row>
    <row r="1284">
      <c r="A1284" s="49">
        <v>44526.04714376158</v>
      </c>
      <c r="B1284" s="50">
        <v>44526.1721110416</v>
      </c>
      <c r="C1284" s="51">
        <v>1.046</v>
      </c>
      <c r="D1284" s="51">
        <v>65.0</v>
      </c>
      <c r="E1284" s="52" t="s">
        <v>25</v>
      </c>
      <c r="F1284" s="52" t="s">
        <v>26</v>
      </c>
      <c r="G1284" s="53"/>
    </row>
    <row r="1285">
      <c r="A1285" s="49">
        <v>44526.057564421295</v>
      </c>
      <c r="B1285" s="50">
        <v>44526.1825326388</v>
      </c>
      <c r="C1285" s="51">
        <v>1.046</v>
      </c>
      <c r="D1285" s="51">
        <v>65.0</v>
      </c>
      <c r="E1285" s="52" t="s">
        <v>25</v>
      </c>
      <c r="F1285" s="52" t="s">
        <v>26</v>
      </c>
      <c r="G1285" s="53"/>
    </row>
    <row r="1286">
      <c r="A1286" s="49">
        <v>44526.06798008102</v>
      </c>
      <c r="B1286" s="50">
        <v>44526.1929526504</v>
      </c>
      <c r="C1286" s="51">
        <v>1.046</v>
      </c>
      <c r="D1286" s="51">
        <v>65.0</v>
      </c>
      <c r="E1286" s="52" t="s">
        <v>25</v>
      </c>
      <c r="F1286" s="52" t="s">
        <v>26</v>
      </c>
      <c r="G1286" s="53"/>
    </row>
    <row r="1287">
      <c r="A1287" s="49">
        <v>44526.078408125</v>
      </c>
      <c r="B1287" s="50">
        <v>44526.2033771874</v>
      </c>
      <c r="C1287" s="51">
        <v>1.045</v>
      </c>
      <c r="D1287" s="51">
        <v>65.0</v>
      </c>
      <c r="E1287" s="52" t="s">
        <v>25</v>
      </c>
      <c r="F1287" s="52" t="s">
        <v>26</v>
      </c>
      <c r="G1287" s="53"/>
    </row>
    <row r="1288">
      <c r="A1288" s="49">
        <v>44526.08881494213</v>
      </c>
      <c r="B1288" s="50">
        <v>44526.2137985763</v>
      </c>
      <c r="C1288" s="51">
        <v>1.045</v>
      </c>
      <c r="D1288" s="51">
        <v>65.0</v>
      </c>
      <c r="E1288" s="52" t="s">
        <v>25</v>
      </c>
      <c r="F1288" s="52" t="s">
        <v>26</v>
      </c>
      <c r="G1288" s="53"/>
    </row>
    <row r="1289">
      <c r="A1289" s="49">
        <v>44526.09925438657</v>
      </c>
      <c r="B1289" s="50">
        <v>44526.2242210648</v>
      </c>
      <c r="C1289" s="51">
        <v>1.046</v>
      </c>
      <c r="D1289" s="51">
        <v>65.0</v>
      </c>
      <c r="E1289" s="52" t="s">
        <v>25</v>
      </c>
      <c r="F1289" s="52" t="s">
        <v>26</v>
      </c>
      <c r="G1289" s="53"/>
    </row>
    <row r="1290">
      <c r="A1290" s="49">
        <v>44526.1096658912</v>
      </c>
      <c r="B1290" s="50">
        <v>44526.2346419907</v>
      </c>
      <c r="C1290" s="51">
        <v>1.046</v>
      </c>
      <c r="D1290" s="51">
        <v>65.0</v>
      </c>
      <c r="E1290" s="52" t="s">
        <v>25</v>
      </c>
      <c r="F1290" s="52" t="s">
        <v>26</v>
      </c>
      <c r="G1290" s="53"/>
    </row>
    <row r="1291">
      <c r="A1291" s="49">
        <v>44526.12011097222</v>
      </c>
      <c r="B1291" s="50">
        <v>44526.2450757754</v>
      </c>
      <c r="C1291" s="51">
        <v>1.045</v>
      </c>
      <c r="D1291" s="51">
        <v>65.0</v>
      </c>
      <c r="E1291" s="52" t="s">
        <v>25</v>
      </c>
      <c r="F1291" s="52" t="s">
        <v>26</v>
      </c>
      <c r="G1291" s="53"/>
    </row>
    <row r="1292">
      <c r="A1292" s="49">
        <v>44526.13053023149</v>
      </c>
      <c r="B1292" s="50">
        <v>44526.2554962731</v>
      </c>
      <c r="C1292" s="51">
        <v>1.045</v>
      </c>
      <c r="D1292" s="51">
        <v>65.0</v>
      </c>
      <c r="E1292" s="52" t="s">
        <v>25</v>
      </c>
      <c r="F1292" s="52" t="s">
        <v>26</v>
      </c>
      <c r="G1292" s="53"/>
    </row>
    <row r="1293">
      <c r="A1293" s="49">
        <v>44526.14095678241</v>
      </c>
      <c r="B1293" s="50">
        <v>44526.2659305671</v>
      </c>
      <c r="C1293" s="51">
        <v>1.045</v>
      </c>
      <c r="D1293" s="51">
        <v>65.0</v>
      </c>
      <c r="E1293" s="52" t="s">
        <v>25</v>
      </c>
      <c r="F1293" s="52" t="s">
        <v>26</v>
      </c>
      <c r="G1293" s="53"/>
    </row>
    <row r="1294">
      <c r="A1294" s="49">
        <v>44526.15137388889</v>
      </c>
      <c r="B1294" s="50">
        <v>44526.2763526388</v>
      </c>
      <c r="C1294" s="51">
        <v>1.045</v>
      </c>
      <c r="D1294" s="51">
        <v>65.0</v>
      </c>
      <c r="E1294" s="52" t="s">
        <v>25</v>
      </c>
      <c r="F1294" s="52" t="s">
        <v>26</v>
      </c>
      <c r="G1294" s="53"/>
    </row>
    <row r="1295">
      <c r="A1295" s="49">
        <v>44526.16180592593</v>
      </c>
      <c r="B1295" s="50">
        <v>44526.2867735648</v>
      </c>
      <c r="C1295" s="51">
        <v>1.046</v>
      </c>
      <c r="D1295" s="51">
        <v>65.0</v>
      </c>
      <c r="E1295" s="52" t="s">
        <v>25</v>
      </c>
      <c r="F1295" s="52" t="s">
        <v>26</v>
      </c>
      <c r="G1295" s="53"/>
    </row>
    <row r="1296">
      <c r="A1296" s="49">
        <v>44526.172227511575</v>
      </c>
      <c r="B1296" s="50">
        <v>44526.2971946296</v>
      </c>
      <c r="C1296" s="51">
        <v>1.045</v>
      </c>
      <c r="D1296" s="51">
        <v>65.0</v>
      </c>
      <c r="E1296" s="52" t="s">
        <v>25</v>
      </c>
      <c r="F1296" s="52" t="s">
        <v>26</v>
      </c>
      <c r="G1296" s="53"/>
    </row>
    <row r="1297">
      <c r="A1297" s="49">
        <v>44526.1826475</v>
      </c>
      <c r="B1297" s="50">
        <v>44526.3076139236</v>
      </c>
      <c r="C1297" s="51">
        <v>1.045</v>
      </c>
      <c r="D1297" s="51">
        <v>65.0</v>
      </c>
      <c r="E1297" s="52" t="s">
        <v>25</v>
      </c>
      <c r="F1297" s="52" t="s">
        <v>26</v>
      </c>
      <c r="G1297" s="53"/>
    </row>
    <row r="1298">
      <c r="A1298" s="49">
        <v>44526.19306236111</v>
      </c>
      <c r="B1298" s="50">
        <v>44526.3180353356</v>
      </c>
      <c r="C1298" s="51">
        <v>1.045</v>
      </c>
      <c r="D1298" s="51">
        <v>65.0</v>
      </c>
      <c r="E1298" s="52" t="s">
        <v>25</v>
      </c>
      <c r="F1298" s="52" t="s">
        <v>26</v>
      </c>
      <c r="G1298" s="53"/>
    </row>
    <row r="1299">
      <c r="A1299" s="49">
        <v>44526.20348627315</v>
      </c>
      <c r="B1299" s="50">
        <v>44526.328456956</v>
      </c>
      <c r="C1299" s="51">
        <v>1.045</v>
      </c>
      <c r="D1299" s="51">
        <v>65.0</v>
      </c>
      <c r="E1299" s="52" t="s">
        <v>25</v>
      </c>
      <c r="F1299" s="52" t="s">
        <v>26</v>
      </c>
      <c r="G1299" s="53"/>
    </row>
    <row r="1300">
      <c r="A1300" s="49">
        <v>44526.21391917824</v>
      </c>
      <c r="B1300" s="50">
        <v>44526.3388914004</v>
      </c>
      <c r="C1300" s="51">
        <v>1.045</v>
      </c>
      <c r="D1300" s="51">
        <v>65.0</v>
      </c>
      <c r="E1300" s="52" t="s">
        <v>25</v>
      </c>
      <c r="F1300" s="52" t="s">
        <v>26</v>
      </c>
      <c r="G1300" s="53"/>
    </row>
    <row r="1301">
      <c r="A1301" s="49">
        <v>44526.224343229165</v>
      </c>
      <c r="B1301" s="50">
        <v>44526.3493141898</v>
      </c>
      <c r="C1301" s="51">
        <v>1.045</v>
      </c>
      <c r="D1301" s="51">
        <v>65.0</v>
      </c>
      <c r="E1301" s="52" t="s">
        <v>25</v>
      </c>
      <c r="F1301" s="52" t="s">
        <v>26</v>
      </c>
      <c r="G1301" s="53"/>
    </row>
    <row r="1302">
      <c r="A1302" s="49">
        <v>44526.23476097222</v>
      </c>
      <c r="B1302" s="50">
        <v>44526.3597343055</v>
      </c>
      <c r="C1302" s="51">
        <v>1.045</v>
      </c>
      <c r="D1302" s="51">
        <v>65.0</v>
      </c>
      <c r="E1302" s="52" t="s">
        <v>25</v>
      </c>
      <c r="F1302" s="52" t="s">
        <v>26</v>
      </c>
      <c r="G1302" s="53"/>
    </row>
    <row r="1303">
      <c r="A1303" s="49">
        <v>44526.24519592593</v>
      </c>
      <c r="B1303" s="50">
        <v>44526.3701525115</v>
      </c>
      <c r="C1303" s="51">
        <v>1.045</v>
      </c>
      <c r="D1303" s="51">
        <v>65.0</v>
      </c>
      <c r="E1303" s="52" t="s">
        <v>25</v>
      </c>
      <c r="F1303" s="52" t="s">
        <v>26</v>
      </c>
      <c r="G1303" s="53"/>
    </row>
    <row r="1304">
      <c r="A1304" s="49">
        <v>44526.25559450232</v>
      </c>
      <c r="B1304" s="50">
        <v>44526.3805724768</v>
      </c>
      <c r="C1304" s="51">
        <v>1.045</v>
      </c>
      <c r="D1304" s="51">
        <v>65.0</v>
      </c>
      <c r="E1304" s="52" t="s">
        <v>25</v>
      </c>
      <c r="F1304" s="52" t="s">
        <v>26</v>
      </c>
      <c r="G1304" s="53"/>
    </row>
    <row r="1305">
      <c r="A1305" s="49">
        <v>44526.26602746527</v>
      </c>
      <c r="B1305" s="50">
        <v>44526.390992743</v>
      </c>
      <c r="C1305" s="51">
        <v>1.045</v>
      </c>
      <c r="D1305" s="51">
        <v>65.0</v>
      </c>
      <c r="E1305" s="52" t="s">
        <v>25</v>
      </c>
      <c r="F1305" s="52" t="s">
        <v>26</v>
      </c>
      <c r="G1305" s="53"/>
    </row>
    <row r="1306">
      <c r="A1306" s="49">
        <v>44526.2764430324</v>
      </c>
      <c r="B1306" s="50">
        <v>44526.4014131944</v>
      </c>
      <c r="C1306" s="51">
        <v>1.045</v>
      </c>
      <c r="D1306" s="51">
        <v>65.0</v>
      </c>
      <c r="E1306" s="52" t="s">
        <v>25</v>
      </c>
      <c r="F1306" s="52" t="s">
        <v>26</v>
      </c>
      <c r="G1306" s="53"/>
    </row>
    <row r="1307">
      <c r="A1307" s="49">
        <v>44526.28686313657</v>
      </c>
      <c r="B1307" s="50">
        <v>44526.4118358101</v>
      </c>
      <c r="C1307" s="51">
        <v>1.045</v>
      </c>
      <c r="D1307" s="51">
        <v>65.0</v>
      </c>
      <c r="E1307" s="52" t="s">
        <v>25</v>
      </c>
      <c r="F1307" s="52" t="s">
        <v>26</v>
      </c>
      <c r="G1307" s="53"/>
    </row>
    <row r="1308">
      <c r="A1308" s="49">
        <v>44526.29728560185</v>
      </c>
      <c r="B1308" s="50">
        <v>44526.4222565972</v>
      </c>
      <c r="C1308" s="51">
        <v>1.045</v>
      </c>
      <c r="D1308" s="51">
        <v>65.0</v>
      </c>
      <c r="E1308" s="52" t="s">
        <v>25</v>
      </c>
      <c r="F1308" s="52" t="s">
        <v>26</v>
      </c>
      <c r="G1308" s="53"/>
    </row>
    <row r="1309">
      <c r="A1309" s="49">
        <v>44526.30769537037</v>
      </c>
      <c r="B1309" s="50">
        <v>44526.4326782523</v>
      </c>
      <c r="C1309" s="51">
        <v>1.045</v>
      </c>
      <c r="D1309" s="51">
        <v>65.0</v>
      </c>
      <c r="E1309" s="52" t="s">
        <v>25</v>
      </c>
      <c r="F1309" s="52" t="s">
        <v>26</v>
      </c>
      <c r="G1309" s="53"/>
    </row>
    <row r="1310">
      <c r="A1310" s="49">
        <v>44526.31812855324</v>
      </c>
      <c r="B1310" s="50">
        <v>44526.4430996759</v>
      </c>
      <c r="C1310" s="51">
        <v>1.045</v>
      </c>
      <c r="D1310" s="51">
        <v>65.0</v>
      </c>
      <c r="E1310" s="52" t="s">
        <v>25</v>
      </c>
      <c r="F1310" s="52" t="s">
        <v>26</v>
      </c>
      <c r="G1310" s="53"/>
    </row>
    <row r="1311">
      <c r="A1311" s="49">
        <v>44526.32854538194</v>
      </c>
      <c r="B1311" s="50">
        <v>44526.4535209838</v>
      </c>
      <c r="C1311" s="51">
        <v>1.045</v>
      </c>
      <c r="D1311" s="51">
        <v>65.0</v>
      </c>
      <c r="E1311" s="52" t="s">
        <v>25</v>
      </c>
      <c r="F1311" s="52" t="s">
        <v>26</v>
      </c>
      <c r="G1311" s="53"/>
    </row>
    <row r="1312">
      <c r="A1312" s="49">
        <v>44526.338975439816</v>
      </c>
      <c r="B1312" s="50">
        <v>44526.4639422337</v>
      </c>
      <c r="C1312" s="51">
        <v>1.045</v>
      </c>
      <c r="D1312" s="51">
        <v>65.0</v>
      </c>
      <c r="E1312" s="52" t="s">
        <v>25</v>
      </c>
      <c r="F1312" s="52" t="s">
        <v>26</v>
      </c>
      <c r="G1312" s="53"/>
    </row>
    <row r="1313">
      <c r="A1313" s="49">
        <v>44526.349397025464</v>
      </c>
      <c r="B1313" s="50">
        <v>44526.4743640625</v>
      </c>
      <c r="C1313" s="51">
        <v>1.045</v>
      </c>
      <c r="D1313" s="51">
        <v>65.0</v>
      </c>
      <c r="E1313" s="52" t="s">
        <v>25</v>
      </c>
      <c r="F1313" s="52" t="s">
        <v>26</v>
      </c>
      <c r="G1313" s="53"/>
    </row>
    <row r="1314">
      <c r="A1314" s="49">
        <v>44526.3598035301</v>
      </c>
      <c r="B1314" s="50">
        <v>44526.4847829861</v>
      </c>
      <c r="C1314" s="51">
        <v>1.045</v>
      </c>
      <c r="D1314" s="51">
        <v>65.0</v>
      </c>
      <c r="E1314" s="52" t="s">
        <v>25</v>
      </c>
      <c r="F1314" s="52" t="s">
        <v>26</v>
      </c>
      <c r="G1314" s="53"/>
    </row>
    <row r="1315">
      <c r="A1315" s="49">
        <v>44526.37023107639</v>
      </c>
      <c r="B1315" s="50">
        <v>44526.4952037268</v>
      </c>
      <c r="C1315" s="51">
        <v>1.045</v>
      </c>
      <c r="D1315" s="51">
        <v>65.0</v>
      </c>
      <c r="E1315" s="52" t="s">
        <v>25</v>
      </c>
      <c r="F1315" s="52" t="s">
        <v>26</v>
      </c>
      <c r="G1315" s="53"/>
    </row>
    <row r="1316">
      <c r="A1316" s="49">
        <v>44526.38065771991</v>
      </c>
      <c r="B1316" s="50">
        <v>44526.505636875</v>
      </c>
      <c r="C1316" s="51">
        <v>1.045</v>
      </c>
      <c r="D1316" s="51">
        <v>65.0</v>
      </c>
      <c r="E1316" s="52" t="s">
        <v>25</v>
      </c>
      <c r="F1316" s="52" t="s">
        <v>26</v>
      </c>
      <c r="G1316" s="53"/>
    </row>
    <row r="1317">
      <c r="A1317" s="49">
        <v>44526.391090439814</v>
      </c>
      <c r="B1317" s="50">
        <v>44526.5160579629</v>
      </c>
      <c r="C1317" s="51">
        <v>1.045</v>
      </c>
      <c r="D1317" s="51">
        <v>65.0</v>
      </c>
      <c r="E1317" s="52" t="s">
        <v>25</v>
      </c>
      <c r="F1317" s="52" t="s">
        <v>26</v>
      </c>
      <c r="G1317" s="53"/>
    </row>
    <row r="1318">
      <c r="A1318" s="49">
        <v>44526.40150743056</v>
      </c>
      <c r="B1318" s="50">
        <v>44526.5264770486</v>
      </c>
      <c r="C1318" s="51">
        <v>1.045</v>
      </c>
      <c r="D1318" s="51">
        <v>65.0</v>
      </c>
      <c r="E1318" s="52" t="s">
        <v>25</v>
      </c>
      <c r="F1318" s="52" t="s">
        <v>26</v>
      </c>
      <c r="G1318" s="53"/>
    </row>
    <row r="1319">
      <c r="A1319" s="49">
        <v>44526.41192193287</v>
      </c>
      <c r="B1319" s="50">
        <v>44526.5368975578</v>
      </c>
      <c r="C1319" s="51">
        <v>1.045</v>
      </c>
      <c r="D1319" s="51">
        <v>65.0</v>
      </c>
      <c r="E1319" s="52" t="s">
        <v>25</v>
      </c>
      <c r="F1319" s="52" t="s">
        <v>26</v>
      </c>
      <c r="G1319" s="53"/>
    </row>
    <row r="1320">
      <c r="A1320" s="49">
        <v>44526.422355138886</v>
      </c>
      <c r="B1320" s="50">
        <v>44526.5473192824</v>
      </c>
      <c r="C1320" s="51">
        <v>1.045</v>
      </c>
      <c r="D1320" s="51">
        <v>65.0</v>
      </c>
      <c r="E1320" s="52" t="s">
        <v>25</v>
      </c>
      <c r="F1320" s="52" t="s">
        <v>26</v>
      </c>
      <c r="G1320" s="53"/>
    </row>
    <row r="1321">
      <c r="A1321" s="49">
        <v>44526.432792164356</v>
      </c>
      <c r="B1321" s="50">
        <v>44526.557764699</v>
      </c>
      <c r="C1321" s="51">
        <v>1.045</v>
      </c>
      <c r="D1321" s="51">
        <v>65.0</v>
      </c>
      <c r="E1321" s="52" t="s">
        <v>25</v>
      </c>
      <c r="F1321" s="52" t="s">
        <v>26</v>
      </c>
      <c r="G1321" s="53"/>
    </row>
    <row r="1322">
      <c r="A1322" s="49">
        <v>44526.44324864583</v>
      </c>
      <c r="B1322" s="50">
        <v>44526.5682087731</v>
      </c>
      <c r="C1322" s="51">
        <v>1.045</v>
      </c>
      <c r="D1322" s="51">
        <v>65.0</v>
      </c>
      <c r="E1322" s="52" t="s">
        <v>25</v>
      </c>
      <c r="F1322" s="52" t="s">
        <v>26</v>
      </c>
      <c r="G1322" s="53"/>
    </row>
    <row r="1323">
      <c r="A1323" s="49">
        <v>44526.45366814815</v>
      </c>
      <c r="B1323" s="50">
        <v>44526.5786414236</v>
      </c>
      <c r="C1323" s="51">
        <v>1.045</v>
      </c>
      <c r="D1323" s="51">
        <v>65.0</v>
      </c>
      <c r="E1323" s="52" t="s">
        <v>25</v>
      </c>
      <c r="F1323" s="52" t="s">
        <v>26</v>
      </c>
      <c r="G1323" s="53"/>
    </row>
    <row r="1324">
      <c r="A1324" s="49">
        <v>44526.46409710648</v>
      </c>
      <c r="B1324" s="50">
        <v>44526.5890617013</v>
      </c>
      <c r="C1324" s="51">
        <v>1.045</v>
      </c>
      <c r="D1324" s="51">
        <v>65.0</v>
      </c>
      <c r="E1324" s="52" t="s">
        <v>25</v>
      </c>
      <c r="F1324" s="52" t="s">
        <v>26</v>
      </c>
      <c r="G1324" s="53"/>
    </row>
    <row r="1325">
      <c r="A1325" s="49">
        <v>44526.474515821756</v>
      </c>
      <c r="B1325" s="50">
        <v>44526.599483287</v>
      </c>
      <c r="C1325" s="51">
        <v>1.045</v>
      </c>
      <c r="D1325" s="51">
        <v>65.0</v>
      </c>
      <c r="E1325" s="52" t="s">
        <v>25</v>
      </c>
      <c r="F1325" s="52" t="s">
        <v>26</v>
      </c>
      <c r="G1325" s="53"/>
    </row>
    <row r="1326">
      <c r="A1326" s="49">
        <v>44526.48492903935</v>
      </c>
      <c r="B1326" s="50">
        <v>44526.6099038194</v>
      </c>
      <c r="C1326" s="51">
        <v>1.045</v>
      </c>
      <c r="D1326" s="51">
        <v>65.0</v>
      </c>
      <c r="E1326" s="52" t="s">
        <v>25</v>
      </c>
      <c r="F1326" s="52" t="s">
        <v>26</v>
      </c>
      <c r="G1326" s="53"/>
    </row>
    <row r="1327">
      <c r="A1327" s="49">
        <v>44526.495355439816</v>
      </c>
      <c r="B1327" s="50">
        <v>44526.6203243402</v>
      </c>
      <c r="C1327" s="51">
        <v>1.045</v>
      </c>
      <c r="D1327" s="51">
        <v>65.0</v>
      </c>
      <c r="E1327" s="52" t="s">
        <v>25</v>
      </c>
      <c r="F1327" s="52" t="s">
        <v>26</v>
      </c>
      <c r="G1327" s="53"/>
    </row>
    <row r="1328">
      <c r="A1328" s="49">
        <v>44526.50578302083</v>
      </c>
      <c r="B1328" s="50">
        <v>44526.63074603</v>
      </c>
      <c r="C1328" s="51">
        <v>1.045</v>
      </c>
      <c r="D1328" s="51">
        <v>65.0</v>
      </c>
      <c r="E1328" s="52" t="s">
        <v>25</v>
      </c>
      <c r="F1328" s="52" t="s">
        <v>26</v>
      </c>
      <c r="G1328" s="53"/>
    </row>
    <row r="1329">
      <c r="A1329" s="49">
        <v>44526.51620135417</v>
      </c>
      <c r="B1329" s="50">
        <v>44526.6411689236</v>
      </c>
      <c r="C1329" s="51">
        <v>1.045</v>
      </c>
      <c r="D1329" s="51">
        <v>65.0</v>
      </c>
      <c r="E1329" s="52" t="s">
        <v>25</v>
      </c>
      <c r="F1329" s="52" t="s">
        <v>26</v>
      </c>
      <c r="G1329" s="53"/>
    </row>
    <row r="1330">
      <c r="A1330" s="49">
        <v>44526.52662207176</v>
      </c>
      <c r="B1330" s="50">
        <v>44526.6515887268</v>
      </c>
      <c r="C1330" s="51">
        <v>1.045</v>
      </c>
      <c r="D1330" s="51">
        <v>65.0</v>
      </c>
      <c r="E1330" s="52" t="s">
        <v>25</v>
      </c>
      <c r="F1330" s="52" t="s">
        <v>26</v>
      </c>
      <c r="G1330" s="53"/>
    </row>
    <row r="1331">
      <c r="A1331" s="49">
        <v>44526.53703869213</v>
      </c>
      <c r="B1331" s="50">
        <v>44526.6620102314</v>
      </c>
      <c r="C1331" s="51">
        <v>1.045</v>
      </c>
      <c r="D1331" s="51">
        <v>65.0</v>
      </c>
      <c r="E1331" s="52" t="s">
        <v>25</v>
      </c>
      <c r="F1331" s="52" t="s">
        <v>26</v>
      </c>
      <c r="G1331" s="53"/>
    </row>
    <row r="1332">
      <c r="A1332" s="49">
        <v>44526.54747116898</v>
      </c>
      <c r="B1332" s="50">
        <v>44526.6724419675</v>
      </c>
      <c r="C1332" s="51">
        <v>1.045</v>
      </c>
      <c r="D1332" s="51">
        <v>65.0</v>
      </c>
      <c r="E1332" s="52" t="s">
        <v>25</v>
      </c>
      <c r="F1332" s="52" t="s">
        <v>26</v>
      </c>
      <c r="G1332" s="53"/>
    </row>
    <row r="1333">
      <c r="A1333" s="49">
        <v>44526.55789489583</v>
      </c>
      <c r="B1333" s="50">
        <v>44526.6828629861</v>
      </c>
      <c r="C1333" s="51">
        <v>1.045</v>
      </c>
      <c r="D1333" s="51">
        <v>65.0</v>
      </c>
      <c r="E1333" s="52" t="s">
        <v>25</v>
      </c>
      <c r="F1333" s="52" t="s">
        <v>26</v>
      </c>
      <c r="G1333" s="53"/>
    </row>
    <row r="1334">
      <c r="A1334" s="49">
        <v>44526.56831466436</v>
      </c>
      <c r="B1334" s="50">
        <v>44526.6932831828</v>
      </c>
      <c r="C1334" s="51">
        <v>1.045</v>
      </c>
      <c r="D1334" s="51">
        <v>65.0</v>
      </c>
      <c r="E1334" s="52" t="s">
        <v>25</v>
      </c>
      <c r="F1334" s="52" t="s">
        <v>26</v>
      </c>
      <c r="G1334" s="53"/>
    </row>
    <row r="1335">
      <c r="A1335" s="49">
        <v>44526.5787356713</v>
      </c>
      <c r="B1335" s="50">
        <v>44526.7037042476</v>
      </c>
      <c r="C1335" s="51">
        <v>1.045</v>
      </c>
      <c r="D1335" s="51">
        <v>65.0</v>
      </c>
      <c r="E1335" s="52" t="s">
        <v>25</v>
      </c>
      <c r="F1335" s="52" t="s">
        <v>26</v>
      </c>
      <c r="G1335" s="53"/>
    </row>
    <row r="1336">
      <c r="A1336" s="49">
        <v>44526.58916753472</v>
      </c>
      <c r="B1336" s="50">
        <v>44526.7141371064</v>
      </c>
      <c r="C1336" s="51">
        <v>1.045</v>
      </c>
      <c r="D1336" s="51">
        <v>65.0</v>
      </c>
      <c r="E1336" s="52" t="s">
        <v>25</v>
      </c>
      <c r="F1336" s="52" t="s">
        <v>26</v>
      </c>
      <c r="G1336" s="53"/>
    </row>
    <row r="1337">
      <c r="A1337" s="49">
        <v>44526.59961186342</v>
      </c>
      <c r="B1337" s="50">
        <v>44526.7245815161</v>
      </c>
      <c r="C1337" s="51">
        <v>1.045</v>
      </c>
      <c r="D1337" s="51">
        <v>65.0</v>
      </c>
      <c r="E1337" s="52" t="s">
        <v>25</v>
      </c>
      <c r="F1337" s="52" t="s">
        <v>26</v>
      </c>
      <c r="G1337" s="53"/>
    </row>
    <row r="1338">
      <c r="A1338" s="49">
        <v>44526.610037997685</v>
      </c>
      <c r="B1338" s="50">
        <v>44526.7350037963</v>
      </c>
      <c r="C1338" s="51">
        <v>1.044</v>
      </c>
      <c r="D1338" s="51">
        <v>65.0</v>
      </c>
      <c r="E1338" s="52" t="s">
        <v>25</v>
      </c>
      <c r="F1338" s="52" t="s">
        <v>26</v>
      </c>
      <c r="G1338" s="53"/>
    </row>
    <row r="1339">
      <c r="A1339" s="49">
        <v>44526.62044652778</v>
      </c>
      <c r="B1339" s="50">
        <v>44526.7454254166</v>
      </c>
      <c r="C1339" s="51">
        <v>1.044</v>
      </c>
      <c r="D1339" s="51">
        <v>65.0</v>
      </c>
      <c r="E1339" s="52" t="s">
        <v>25</v>
      </c>
      <c r="F1339" s="52" t="s">
        <v>26</v>
      </c>
      <c r="G1339" s="53"/>
    </row>
    <row r="1340">
      <c r="A1340" s="49">
        <v>44526.630871875</v>
      </c>
      <c r="B1340" s="50">
        <v>44526.7558470833</v>
      </c>
      <c r="C1340" s="51">
        <v>1.044</v>
      </c>
      <c r="D1340" s="51">
        <v>65.0</v>
      </c>
      <c r="E1340" s="52" t="s">
        <v>25</v>
      </c>
      <c r="F1340" s="52" t="s">
        <v>26</v>
      </c>
      <c r="G1340" s="53"/>
    </row>
    <row r="1341">
      <c r="A1341" s="49">
        <v>44526.6413086574</v>
      </c>
      <c r="B1341" s="50">
        <v>44526.7662701157</v>
      </c>
      <c r="C1341" s="51">
        <v>1.044</v>
      </c>
      <c r="D1341" s="51">
        <v>65.0</v>
      </c>
      <c r="E1341" s="52" t="s">
        <v>25</v>
      </c>
      <c r="F1341" s="52" t="s">
        <v>26</v>
      </c>
      <c r="G1341" s="53"/>
    </row>
    <row r="1342">
      <c r="A1342" s="49">
        <v>44526.65173938657</v>
      </c>
      <c r="B1342" s="50">
        <v>44526.7767020949</v>
      </c>
      <c r="C1342" s="51">
        <v>1.045</v>
      </c>
      <c r="D1342" s="51">
        <v>65.0</v>
      </c>
      <c r="E1342" s="52" t="s">
        <v>25</v>
      </c>
      <c r="F1342" s="52" t="s">
        <v>26</v>
      </c>
      <c r="G1342" s="53"/>
    </row>
    <row r="1343">
      <c r="A1343" s="49">
        <v>44526.66215202546</v>
      </c>
      <c r="B1343" s="50">
        <v>44526.7871231018</v>
      </c>
      <c r="C1343" s="51">
        <v>1.044</v>
      </c>
      <c r="D1343" s="51">
        <v>65.0</v>
      </c>
      <c r="E1343" s="52" t="s">
        <v>25</v>
      </c>
      <c r="F1343" s="52" t="s">
        <v>26</v>
      </c>
      <c r="G1343" s="53"/>
    </row>
    <row r="1344">
      <c r="A1344" s="49">
        <v>44526.67257540509</v>
      </c>
      <c r="B1344" s="50">
        <v>44526.7975446759</v>
      </c>
      <c r="C1344" s="51">
        <v>1.044</v>
      </c>
      <c r="D1344" s="51">
        <v>65.0</v>
      </c>
      <c r="E1344" s="52" t="s">
        <v>25</v>
      </c>
      <c r="F1344" s="52" t="s">
        <v>26</v>
      </c>
      <c r="G1344" s="53"/>
    </row>
    <row r="1345">
      <c r="A1345" s="49">
        <v>44526.6830109838</v>
      </c>
      <c r="B1345" s="50">
        <v>44526.8079766898</v>
      </c>
      <c r="C1345" s="51">
        <v>1.044</v>
      </c>
      <c r="D1345" s="51">
        <v>65.0</v>
      </c>
      <c r="E1345" s="52" t="s">
        <v>25</v>
      </c>
      <c r="F1345" s="52" t="s">
        <v>26</v>
      </c>
      <c r="G1345" s="53"/>
    </row>
    <row r="1346">
      <c r="A1346" s="49">
        <v>44526.69346952546</v>
      </c>
      <c r="B1346" s="50">
        <v>44526.818444375</v>
      </c>
      <c r="C1346" s="51">
        <v>1.044</v>
      </c>
      <c r="D1346" s="51">
        <v>65.0</v>
      </c>
      <c r="E1346" s="52" t="s">
        <v>25</v>
      </c>
      <c r="F1346" s="52" t="s">
        <v>26</v>
      </c>
      <c r="G1346" s="53"/>
    </row>
    <row r="1347">
      <c r="A1347" s="49">
        <v>44526.70388813657</v>
      </c>
      <c r="B1347" s="50">
        <v>44526.828865706</v>
      </c>
      <c r="C1347" s="51">
        <v>1.044</v>
      </c>
      <c r="D1347" s="51">
        <v>65.0</v>
      </c>
      <c r="E1347" s="52" t="s">
        <v>25</v>
      </c>
      <c r="F1347" s="52" t="s">
        <v>26</v>
      </c>
      <c r="G1347" s="53"/>
    </row>
    <row r="1348">
      <c r="A1348" s="49">
        <v>44526.714322569445</v>
      </c>
      <c r="B1348" s="50">
        <v>44526.839286655</v>
      </c>
      <c r="C1348" s="51">
        <v>1.044</v>
      </c>
      <c r="D1348" s="51">
        <v>65.0</v>
      </c>
      <c r="E1348" s="52" t="s">
        <v>25</v>
      </c>
      <c r="F1348" s="52" t="s">
        <v>26</v>
      </c>
      <c r="G1348" s="53"/>
    </row>
    <row r="1349">
      <c r="A1349" s="49">
        <v>44526.72474127315</v>
      </c>
      <c r="B1349" s="50">
        <v>44526.8497070717</v>
      </c>
      <c r="C1349" s="51">
        <v>1.044</v>
      </c>
      <c r="D1349" s="51">
        <v>65.0</v>
      </c>
      <c r="E1349" s="52" t="s">
        <v>25</v>
      </c>
      <c r="F1349" s="52" t="s">
        <v>26</v>
      </c>
      <c r="G1349" s="53"/>
    </row>
    <row r="1350">
      <c r="A1350" s="49">
        <v>44526.735176539354</v>
      </c>
      <c r="B1350" s="50">
        <v>44526.8601502083</v>
      </c>
      <c r="C1350" s="51">
        <v>1.044</v>
      </c>
      <c r="D1350" s="51">
        <v>65.0</v>
      </c>
      <c r="E1350" s="52" t="s">
        <v>25</v>
      </c>
      <c r="F1350" s="52" t="s">
        <v>26</v>
      </c>
      <c r="G1350" s="53"/>
    </row>
    <row r="1351">
      <c r="A1351" s="49">
        <v>44526.74559917824</v>
      </c>
      <c r="B1351" s="50">
        <v>44526.8705717939</v>
      </c>
      <c r="C1351" s="51">
        <v>1.044</v>
      </c>
      <c r="D1351" s="51">
        <v>65.0</v>
      </c>
      <c r="E1351" s="52" t="s">
        <v>25</v>
      </c>
      <c r="F1351" s="52" t="s">
        <v>26</v>
      </c>
      <c r="G1351" s="53"/>
    </row>
    <row r="1352">
      <c r="A1352" s="49">
        <v>44526.75600987268</v>
      </c>
      <c r="B1352" s="50">
        <v>44526.8809925925</v>
      </c>
      <c r="C1352" s="51">
        <v>1.044</v>
      </c>
      <c r="D1352" s="51">
        <v>65.0</v>
      </c>
      <c r="E1352" s="52" t="s">
        <v>25</v>
      </c>
      <c r="F1352" s="52" t="s">
        <v>26</v>
      </c>
      <c r="G1352" s="53"/>
    </row>
    <row r="1353">
      <c r="A1353" s="49">
        <v>44526.76643693287</v>
      </c>
      <c r="B1353" s="50">
        <v>44526.8914102199</v>
      </c>
      <c r="C1353" s="51">
        <v>1.044</v>
      </c>
      <c r="D1353" s="51">
        <v>65.0</v>
      </c>
      <c r="E1353" s="52" t="s">
        <v>25</v>
      </c>
      <c r="F1353" s="52" t="s">
        <v>26</v>
      </c>
      <c r="G1353" s="53"/>
    </row>
    <row r="1354">
      <c r="A1354" s="49">
        <v>44526.77686116898</v>
      </c>
      <c r="B1354" s="50">
        <v>44526.9018438078</v>
      </c>
      <c r="C1354" s="51">
        <v>1.044</v>
      </c>
      <c r="D1354" s="51">
        <v>65.0</v>
      </c>
      <c r="E1354" s="52" t="s">
        <v>25</v>
      </c>
      <c r="F1354" s="52" t="s">
        <v>26</v>
      </c>
      <c r="G1354" s="53"/>
    </row>
    <row r="1355">
      <c r="A1355" s="49">
        <v>44526.78728607639</v>
      </c>
      <c r="B1355" s="50">
        <v>44526.9122653125</v>
      </c>
      <c r="C1355" s="51">
        <v>1.044</v>
      </c>
      <c r="D1355" s="51">
        <v>65.0</v>
      </c>
      <c r="E1355" s="52" t="s">
        <v>25</v>
      </c>
      <c r="F1355" s="52" t="s">
        <v>26</v>
      </c>
      <c r="G1355" s="53"/>
    </row>
    <row r="1356">
      <c r="A1356" s="49">
        <v>44526.79771408565</v>
      </c>
      <c r="B1356" s="50">
        <v>44526.9226870138</v>
      </c>
      <c r="C1356" s="51">
        <v>1.044</v>
      </c>
      <c r="D1356" s="51">
        <v>65.0</v>
      </c>
      <c r="E1356" s="52" t="s">
        <v>25</v>
      </c>
      <c r="F1356" s="52" t="s">
        <v>26</v>
      </c>
      <c r="G1356" s="53"/>
    </row>
    <row r="1357">
      <c r="A1357" s="49">
        <v>44526.80812728009</v>
      </c>
      <c r="B1357" s="50">
        <v>44526.9331067708</v>
      </c>
      <c r="C1357" s="51">
        <v>1.044</v>
      </c>
      <c r="D1357" s="51">
        <v>65.0</v>
      </c>
      <c r="E1357" s="52" t="s">
        <v>25</v>
      </c>
      <c r="F1357" s="52" t="s">
        <v>26</v>
      </c>
      <c r="G1357" s="53"/>
    </row>
    <row r="1358">
      <c r="A1358" s="49">
        <v>44526.81855203703</v>
      </c>
      <c r="B1358" s="50">
        <v>44526.9435265393</v>
      </c>
      <c r="C1358" s="51">
        <v>1.044</v>
      </c>
      <c r="D1358" s="51">
        <v>65.0</v>
      </c>
      <c r="E1358" s="52" t="s">
        <v>25</v>
      </c>
      <c r="F1358" s="52" t="s">
        <v>26</v>
      </c>
      <c r="G1358" s="53"/>
    </row>
    <row r="1359">
      <c r="A1359" s="49">
        <v>44526.82898145833</v>
      </c>
      <c r="B1359" s="50">
        <v>44526.9539586458</v>
      </c>
      <c r="C1359" s="51">
        <v>1.044</v>
      </c>
      <c r="D1359" s="51">
        <v>65.0</v>
      </c>
      <c r="E1359" s="52" t="s">
        <v>25</v>
      </c>
      <c r="F1359" s="52" t="s">
        <v>26</v>
      </c>
      <c r="G1359" s="53"/>
    </row>
    <row r="1360">
      <c r="A1360" s="49">
        <v>44526.83940622685</v>
      </c>
      <c r="B1360" s="50">
        <v>44526.9643815972</v>
      </c>
      <c r="C1360" s="51">
        <v>1.044</v>
      </c>
      <c r="D1360" s="51">
        <v>65.0</v>
      </c>
      <c r="E1360" s="52" t="s">
        <v>25</v>
      </c>
      <c r="F1360" s="52" t="s">
        <v>26</v>
      </c>
      <c r="G1360" s="53"/>
    </row>
    <row r="1361">
      <c r="A1361" s="49">
        <v>44526.84983203704</v>
      </c>
      <c r="B1361" s="50">
        <v>44526.974814699</v>
      </c>
      <c r="C1361" s="51">
        <v>1.044</v>
      </c>
      <c r="D1361" s="51">
        <v>65.0</v>
      </c>
      <c r="E1361" s="52" t="s">
        <v>25</v>
      </c>
      <c r="F1361" s="52" t="s">
        <v>26</v>
      </c>
      <c r="G1361" s="53"/>
    </row>
    <row r="1362">
      <c r="A1362" s="49">
        <v>44526.86026083333</v>
      </c>
      <c r="B1362" s="50">
        <v>44526.9852358564</v>
      </c>
      <c r="C1362" s="51">
        <v>1.044</v>
      </c>
      <c r="D1362" s="51">
        <v>65.0</v>
      </c>
      <c r="E1362" s="52" t="s">
        <v>25</v>
      </c>
      <c r="F1362" s="52" t="s">
        <v>26</v>
      </c>
      <c r="G1362" s="53"/>
    </row>
    <row r="1363">
      <c r="A1363" s="49">
        <v>44526.87068414352</v>
      </c>
      <c r="B1363" s="50">
        <v>44526.995658912</v>
      </c>
      <c r="C1363" s="51">
        <v>1.044</v>
      </c>
      <c r="D1363" s="51">
        <v>65.0</v>
      </c>
      <c r="E1363" s="52" t="s">
        <v>25</v>
      </c>
      <c r="F1363" s="52" t="s">
        <v>26</v>
      </c>
      <c r="G1363" s="53"/>
    </row>
    <row r="1364">
      <c r="A1364" s="49">
        <v>44526.88109726852</v>
      </c>
      <c r="B1364" s="50">
        <v>44527.0060794791</v>
      </c>
      <c r="C1364" s="51">
        <v>1.044</v>
      </c>
      <c r="D1364" s="51">
        <v>65.0</v>
      </c>
      <c r="E1364" s="52" t="s">
        <v>25</v>
      </c>
      <c r="F1364" s="52" t="s">
        <v>26</v>
      </c>
      <c r="G1364" s="53"/>
    </row>
    <row r="1365">
      <c r="A1365" s="49">
        <v>44526.89154945602</v>
      </c>
      <c r="B1365" s="50">
        <v>44527.0165242129</v>
      </c>
      <c r="C1365" s="51">
        <v>1.044</v>
      </c>
      <c r="D1365" s="51">
        <v>65.0</v>
      </c>
      <c r="E1365" s="52" t="s">
        <v>25</v>
      </c>
      <c r="F1365" s="52" t="s">
        <v>26</v>
      </c>
      <c r="G1365" s="53"/>
    </row>
    <row r="1366">
      <c r="A1366" s="49">
        <v>44526.90196275463</v>
      </c>
      <c r="B1366" s="50">
        <v>44527.0269459606</v>
      </c>
      <c r="C1366" s="51">
        <v>1.044</v>
      </c>
      <c r="D1366" s="51">
        <v>65.0</v>
      </c>
      <c r="E1366" s="52" t="s">
        <v>25</v>
      </c>
      <c r="F1366" s="52" t="s">
        <v>26</v>
      </c>
      <c r="G1366" s="53"/>
    </row>
    <row r="1367">
      <c r="A1367" s="49">
        <v>44526.912390729165</v>
      </c>
      <c r="B1367" s="50">
        <v>44527.037367037</v>
      </c>
      <c r="C1367" s="51">
        <v>1.044</v>
      </c>
      <c r="D1367" s="51">
        <v>65.0</v>
      </c>
      <c r="E1367" s="52" t="s">
        <v>25</v>
      </c>
      <c r="F1367" s="52" t="s">
        <v>26</v>
      </c>
      <c r="G1367" s="53"/>
    </row>
    <row r="1368">
      <c r="A1368" s="49">
        <v>44526.92281913194</v>
      </c>
      <c r="B1368" s="50">
        <v>44527.0477893171</v>
      </c>
      <c r="C1368" s="51">
        <v>1.044</v>
      </c>
      <c r="D1368" s="51">
        <v>65.0</v>
      </c>
      <c r="E1368" s="52" t="s">
        <v>25</v>
      </c>
      <c r="F1368" s="52" t="s">
        <v>26</v>
      </c>
      <c r="G1368" s="53"/>
    </row>
    <row r="1369">
      <c r="A1369" s="49">
        <v>44526.93323152778</v>
      </c>
      <c r="B1369" s="50">
        <v>44527.058209537</v>
      </c>
      <c r="C1369" s="51">
        <v>1.044</v>
      </c>
      <c r="D1369" s="51">
        <v>65.0</v>
      </c>
      <c r="E1369" s="52" t="s">
        <v>25</v>
      </c>
      <c r="F1369" s="52" t="s">
        <v>26</v>
      </c>
      <c r="G1369" s="53"/>
    </row>
    <row r="1370">
      <c r="A1370" s="49">
        <v>44526.943663784725</v>
      </c>
      <c r="B1370" s="50">
        <v>44527.0686303009</v>
      </c>
      <c r="C1370" s="51">
        <v>1.044</v>
      </c>
      <c r="D1370" s="51">
        <v>65.0</v>
      </c>
      <c r="E1370" s="52" t="s">
        <v>25</v>
      </c>
      <c r="F1370" s="52" t="s">
        <v>26</v>
      </c>
      <c r="G1370" s="53"/>
    </row>
    <row r="1371">
      <c r="A1371" s="49">
        <v>44526.954070127314</v>
      </c>
      <c r="B1371" s="50">
        <v>44527.0790530092</v>
      </c>
      <c r="C1371" s="51">
        <v>1.044</v>
      </c>
      <c r="D1371" s="51">
        <v>65.0</v>
      </c>
      <c r="E1371" s="52" t="s">
        <v>25</v>
      </c>
      <c r="F1371" s="52" t="s">
        <v>26</v>
      </c>
      <c r="G1371" s="53"/>
    </row>
    <row r="1372">
      <c r="A1372" s="49">
        <v>44526.96450018519</v>
      </c>
      <c r="B1372" s="50">
        <v>44527.0894744097</v>
      </c>
      <c r="C1372" s="51">
        <v>1.044</v>
      </c>
      <c r="D1372" s="51">
        <v>65.0</v>
      </c>
      <c r="E1372" s="52" t="s">
        <v>25</v>
      </c>
      <c r="F1372" s="52" t="s">
        <v>26</v>
      </c>
      <c r="G1372" s="53"/>
    </row>
    <row r="1373">
      <c r="A1373" s="49">
        <v>44526.97491873843</v>
      </c>
      <c r="B1373" s="50">
        <v>44527.0998969675</v>
      </c>
      <c r="C1373" s="51">
        <v>1.044</v>
      </c>
      <c r="D1373" s="51">
        <v>65.0</v>
      </c>
      <c r="E1373" s="52" t="s">
        <v>25</v>
      </c>
      <c r="F1373" s="52" t="s">
        <v>26</v>
      </c>
      <c r="G1373" s="53"/>
    </row>
    <row r="1374">
      <c r="A1374" s="49">
        <v>44526.98533755787</v>
      </c>
      <c r="B1374" s="50">
        <v>44527.1103181944</v>
      </c>
      <c r="C1374" s="51">
        <v>1.044</v>
      </c>
      <c r="D1374" s="51">
        <v>65.0</v>
      </c>
      <c r="E1374" s="52" t="s">
        <v>25</v>
      </c>
      <c r="F1374" s="52" t="s">
        <v>26</v>
      </c>
      <c r="G1374" s="53"/>
    </row>
    <row r="1375">
      <c r="A1375" s="49">
        <v>44526.995770127316</v>
      </c>
      <c r="B1375" s="50">
        <v>44527.12075103</v>
      </c>
      <c r="C1375" s="51">
        <v>1.044</v>
      </c>
      <c r="D1375" s="51">
        <v>65.0</v>
      </c>
      <c r="E1375" s="52" t="s">
        <v>25</v>
      </c>
      <c r="F1375" s="52" t="s">
        <v>26</v>
      </c>
      <c r="G1375" s="53"/>
    </row>
    <row r="1376">
      <c r="A1376" s="49">
        <v>44527.00619478009</v>
      </c>
      <c r="B1376" s="50">
        <v>44527.131172199</v>
      </c>
      <c r="C1376" s="51">
        <v>1.044</v>
      </c>
      <c r="D1376" s="51">
        <v>65.0</v>
      </c>
      <c r="E1376" s="52" t="s">
        <v>25</v>
      </c>
      <c r="F1376" s="52" t="s">
        <v>26</v>
      </c>
      <c r="G1376" s="53"/>
    </row>
    <row r="1377">
      <c r="A1377" s="49">
        <v>44527.01661107639</v>
      </c>
      <c r="B1377" s="50">
        <v>44527.141593125</v>
      </c>
      <c r="C1377" s="51">
        <v>1.044</v>
      </c>
      <c r="D1377" s="51">
        <v>65.0</v>
      </c>
      <c r="E1377" s="52" t="s">
        <v>25</v>
      </c>
      <c r="F1377" s="52" t="s">
        <v>26</v>
      </c>
      <c r="G1377" s="53"/>
    </row>
    <row r="1378">
      <c r="A1378" s="49">
        <v>44527.02703701389</v>
      </c>
      <c r="B1378" s="50">
        <v>44527.1520150694</v>
      </c>
      <c r="C1378" s="51">
        <v>1.044</v>
      </c>
      <c r="D1378" s="51">
        <v>65.0</v>
      </c>
      <c r="E1378" s="52" t="s">
        <v>25</v>
      </c>
      <c r="F1378" s="52" t="s">
        <v>26</v>
      </c>
      <c r="G1378" s="53"/>
    </row>
    <row r="1379">
      <c r="A1379" s="49">
        <v>44527.03746369213</v>
      </c>
      <c r="B1379" s="50">
        <v>44527.1624352314</v>
      </c>
      <c r="C1379" s="51">
        <v>1.044</v>
      </c>
      <c r="D1379" s="51">
        <v>65.0</v>
      </c>
      <c r="E1379" s="52" t="s">
        <v>25</v>
      </c>
      <c r="F1379" s="52" t="s">
        <v>26</v>
      </c>
      <c r="G1379" s="53"/>
    </row>
    <row r="1380">
      <c r="A1380" s="49">
        <v>44527.047877997684</v>
      </c>
      <c r="B1380" s="50">
        <v>44527.1728553356</v>
      </c>
      <c r="C1380" s="51">
        <v>1.044</v>
      </c>
      <c r="D1380" s="51">
        <v>65.0</v>
      </c>
      <c r="E1380" s="52" t="s">
        <v>25</v>
      </c>
      <c r="F1380" s="52" t="s">
        <v>26</v>
      </c>
      <c r="G1380" s="53"/>
    </row>
    <row r="1381">
      <c r="A1381" s="49">
        <v>44527.058303935184</v>
      </c>
      <c r="B1381" s="50">
        <v>44527.1832766435</v>
      </c>
      <c r="C1381" s="51">
        <v>1.044</v>
      </c>
      <c r="D1381" s="51">
        <v>65.0</v>
      </c>
      <c r="E1381" s="52" t="s">
        <v>25</v>
      </c>
      <c r="F1381" s="52" t="s">
        <v>26</v>
      </c>
      <c r="G1381" s="53"/>
    </row>
    <row r="1382">
      <c r="A1382" s="49">
        <v>44527.06873407407</v>
      </c>
      <c r="B1382" s="50">
        <v>44527.1937103125</v>
      </c>
      <c r="C1382" s="51">
        <v>1.044</v>
      </c>
      <c r="D1382" s="51">
        <v>65.0</v>
      </c>
      <c r="E1382" s="52" t="s">
        <v>25</v>
      </c>
      <c r="F1382" s="52" t="s">
        <v>26</v>
      </c>
      <c r="G1382" s="53"/>
    </row>
    <row r="1383">
      <c r="A1383" s="49">
        <v>44527.07915885416</v>
      </c>
      <c r="B1383" s="50">
        <v>44527.2041308333</v>
      </c>
      <c r="C1383" s="51">
        <v>1.044</v>
      </c>
      <c r="D1383" s="51">
        <v>65.0</v>
      </c>
      <c r="E1383" s="52" t="s">
        <v>25</v>
      </c>
      <c r="F1383" s="52" t="s">
        <v>26</v>
      </c>
      <c r="G1383" s="53"/>
    </row>
    <row r="1384">
      <c r="A1384" s="49">
        <v>44527.08958784722</v>
      </c>
      <c r="B1384" s="50">
        <v>44527.2145629629</v>
      </c>
      <c r="C1384" s="51">
        <v>1.044</v>
      </c>
      <c r="D1384" s="51">
        <v>65.0</v>
      </c>
      <c r="E1384" s="52" t="s">
        <v>25</v>
      </c>
      <c r="F1384" s="52" t="s">
        <v>26</v>
      </c>
      <c r="G1384" s="53"/>
    </row>
    <row r="1385">
      <c r="A1385" s="49">
        <v>44527.10001204861</v>
      </c>
      <c r="B1385" s="50">
        <v>44527.2249840509</v>
      </c>
      <c r="C1385" s="51">
        <v>1.044</v>
      </c>
      <c r="D1385" s="51">
        <v>65.0</v>
      </c>
      <c r="E1385" s="52" t="s">
        <v>25</v>
      </c>
      <c r="F1385" s="52" t="s">
        <v>26</v>
      </c>
      <c r="G1385" s="53"/>
    </row>
    <row r="1386">
      <c r="A1386" s="49">
        <v>44527.110433842594</v>
      </c>
      <c r="B1386" s="50">
        <v>44527.2354065277</v>
      </c>
      <c r="C1386" s="51">
        <v>1.044</v>
      </c>
      <c r="D1386" s="51">
        <v>65.0</v>
      </c>
      <c r="E1386" s="52" t="s">
        <v>25</v>
      </c>
      <c r="F1386" s="52" t="s">
        <v>26</v>
      </c>
      <c r="G1386" s="53"/>
    </row>
    <row r="1387">
      <c r="A1387" s="49">
        <v>44527.12086697917</v>
      </c>
      <c r="B1387" s="50">
        <v>44527.2458401273</v>
      </c>
      <c r="C1387" s="51">
        <v>1.044</v>
      </c>
      <c r="D1387" s="51">
        <v>65.0</v>
      </c>
      <c r="E1387" s="52" t="s">
        <v>25</v>
      </c>
      <c r="F1387" s="52" t="s">
        <v>26</v>
      </c>
      <c r="G1387" s="53"/>
    </row>
    <row r="1388">
      <c r="A1388" s="49">
        <v>44527.1312787037</v>
      </c>
      <c r="B1388" s="50">
        <v>44527.2562601388</v>
      </c>
      <c r="C1388" s="51">
        <v>1.044</v>
      </c>
      <c r="D1388" s="51">
        <v>65.0</v>
      </c>
      <c r="E1388" s="52" t="s">
        <v>25</v>
      </c>
      <c r="F1388" s="52" t="s">
        <v>26</v>
      </c>
      <c r="G1388" s="53"/>
    </row>
    <row r="1389">
      <c r="A1389" s="49">
        <v>44527.14171675926</v>
      </c>
      <c r="B1389" s="50">
        <v>44527.2666940509</v>
      </c>
      <c r="C1389" s="51">
        <v>1.044</v>
      </c>
      <c r="D1389" s="51">
        <v>65.0</v>
      </c>
      <c r="E1389" s="52" t="s">
        <v>25</v>
      </c>
      <c r="F1389" s="52" t="s">
        <v>26</v>
      </c>
      <c r="G1389" s="53"/>
    </row>
    <row r="1390">
      <c r="A1390" s="49">
        <v>44527.152137268524</v>
      </c>
      <c r="B1390" s="50">
        <v>44527.2771155324</v>
      </c>
      <c r="C1390" s="51">
        <v>1.044</v>
      </c>
      <c r="D1390" s="51">
        <v>65.0</v>
      </c>
      <c r="E1390" s="52" t="s">
        <v>25</v>
      </c>
      <c r="F1390" s="52" t="s">
        <v>26</v>
      </c>
      <c r="G1390" s="53"/>
    </row>
    <row r="1391">
      <c r="A1391" s="49">
        <v>44527.162557222226</v>
      </c>
      <c r="B1391" s="50">
        <v>44527.2875368865</v>
      </c>
      <c r="C1391" s="51">
        <v>1.043</v>
      </c>
      <c r="D1391" s="51">
        <v>65.0</v>
      </c>
      <c r="E1391" s="52" t="s">
        <v>25</v>
      </c>
      <c r="F1391" s="52" t="s">
        <v>26</v>
      </c>
      <c r="G1391" s="53"/>
    </row>
    <row r="1392">
      <c r="A1392" s="49">
        <v>44527.17298189815</v>
      </c>
      <c r="B1392" s="50">
        <v>44527.2979580324</v>
      </c>
      <c r="C1392" s="51">
        <v>1.044</v>
      </c>
      <c r="D1392" s="51">
        <v>65.0</v>
      </c>
      <c r="E1392" s="52" t="s">
        <v>25</v>
      </c>
      <c r="F1392" s="52" t="s">
        <v>26</v>
      </c>
      <c r="G1392" s="53"/>
    </row>
    <row r="1393">
      <c r="A1393" s="49">
        <v>44527.18340725695</v>
      </c>
      <c r="B1393" s="50">
        <v>44527.3083789351</v>
      </c>
      <c r="C1393" s="51">
        <v>1.044</v>
      </c>
      <c r="D1393" s="51">
        <v>65.0</v>
      </c>
      <c r="E1393" s="52" t="s">
        <v>25</v>
      </c>
      <c r="F1393" s="52" t="s">
        <v>26</v>
      </c>
      <c r="G1393" s="53"/>
    </row>
    <row r="1394">
      <c r="A1394" s="49">
        <v>44527.193824525464</v>
      </c>
      <c r="B1394" s="50">
        <v>44527.3188002199</v>
      </c>
      <c r="C1394" s="51">
        <v>1.044</v>
      </c>
      <c r="D1394" s="51">
        <v>65.0</v>
      </c>
      <c r="E1394" s="52" t="s">
        <v>25</v>
      </c>
      <c r="F1394" s="52" t="s">
        <v>26</v>
      </c>
      <c r="G1394" s="53"/>
    </row>
    <row r="1395">
      <c r="A1395" s="49">
        <v>44527.20423930556</v>
      </c>
      <c r="B1395" s="50">
        <v>44527.3292211111</v>
      </c>
      <c r="C1395" s="51">
        <v>1.043</v>
      </c>
      <c r="D1395" s="51">
        <v>65.0</v>
      </c>
      <c r="E1395" s="52" t="s">
        <v>25</v>
      </c>
      <c r="F1395" s="52" t="s">
        <v>26</v>
      </c>
      <c r="G1395" s="53"/>
    </row>
    <row r="1396">
      <c r="A1396" s="49">
        <v>44527.21469084491</v>
      </c>
      <c r="B1396" s="50">
        <v>44527.3396655555</v>
      </c>
      <c r="C1396" s="51">
        <v>1.043</v>
      </c>
      <c r="D1396" s="51">
        <v>65.0</v>
      </c>
      <c r="E1396" s="52" t="s">
        <v>25</v>
      </c>
      <c r="F1396" s="52" t="s">
        <v>26</v>
      </c>
      <c r="G1396" s="53"/>
    </row>
    <row r="1397">
      <c r="A1397" s="49">
        <v>44527.225112037035</v>
      </c>
      <c r="B1397" s="50">
        <v>44527.3500870023</v>
      </c>
      <c r="C1397" s="51">
        <v>1.044</v>
      </c>
      <c r="D1397" s="51">
        <v>65.0</v>
      </c>
      <c r="E1397" s="52" t="s">
        <v>25</v>
      </c>
      <c r="F1397" s="52" t="s">
        <v>26</v>
      </c>
      <c r="G1397" s="53"/>
    </row>
    <row r="1398">
      <c r="A1398" s="49">
        <v>44527.235539305555</v>
      </c>
      <c r="B1398" s="50">
        <v>44527.360508287</v>
      </c>
      <c r="C1398" s="51">
        <v>1.044</v>
      </c>
      <c r="D1398" s="51">
        <v>65.0</v>
      </c>
      <c r="E1398" s="52" t="s">
        <v>25</v>
      </c>
      <c r="F1398" s="52" t="s">
        <v>26</v>
      </c>
      <c r="G1398" s="53"/>
    </row>
    <row r="1399">
      <c r="A1399" s="49">
        <v>44527.245968877316</v>
      </c>
      <c r="B1399" s="50">
        <v>44527.3709419328</v>
      </c>
      <c r="C1399" s="51">
        <v>1.044</v>
      </c>
      <c r="D1399" s="51">
        <v>65.0</v>
      </c>
      <c r="E1399" s="52" t="s">
        <v>25</v>
      </c>
      <c r="F1399" s="52" t="s">
        <v>26</v>
      </c>
      <c r="G1399" s="53"/>
    </row>
    <row r="1400">
      <c r="A1400" s="49">
        <v>44527.25637967592</v>
      </c>
      <c r="B1400" s="50">
        <v>44527.381364456</v>
      </c>
      <c r="C1400" s="51">
        <v>1.043</v>
      </c>
      <c r="D1400" s="51">
        <v>65.0</v>
      </c>
      <c r="E1400" s="52" t="s">
        <v>25</v>
      </c>
      <c r="F1400" s="52" t="s">
        <v>26</v>
      </c>
      <c r="G1400" s="53"/>
    </row>
    <row r="1401">
      <c r="A1401" s="49">
        <v>44527.26682290509</v>
      </c>
      <c r="B1401" s="50">
        <v>44527.3917984722</v>
      </c>
      <c r="C1401" s="51">
        <v>1.043</v>
      </c>
      <c r="D1401" s="51">
        <v>65.0</v>
      </c>
      <c r="E1401" s="52" t="s">
        <v>25</v>
      </c>
      <c r="F1401" s="52" t="s">
        <v>26</v>
      </c>
      <c r="G1401" s="53"/>
    </row>
    <row r="1402">
      <c r="A1402" s="49">
        <v>44527.27725143518</v>
      </c>
      <c r="B1402" s="50">
        <v>44527.4022197222</v>
      </c>
      <c r="C1402" s="51">
        <v>1.043</v>
      </c>
      <c r="D1402" s="51">
        <v>65.0</v>
      </c>
      <c r="E1402" s="52" t="s">
        <v>25</v>
      </c>
      <c r="F1402" s="52" t="s">
        <v>26</v>
      </c>
      <c r="G1402" s="53"/>
    </row>
    <row r="1403">
      <c r="A1403" s="49">
        <v>44527.28766832176</v>
      </c>
      <c r="B1403" s="50">
        <v>44527.4126403587</v>
      </c>
      <c r="C1403" s="51">
        <v>1.043</v>
      </c>
      <c r="D1403" s="51">
        <v>65.0</v>
      </c>
      <c r="E1403" s="52" t="s">
        <v>25</v>
      </c>
      <c r="F1403" s="52" t="s">
        <v>26</v>
      </c>
      <c r="G1403" s="53"/>
    </row>
    <row r="1404">
      <c r="A1404" s="49">
        <v>44527.29809675926</v>
      </c>
      <c r="B1404" s="50">
        <v>44527.4230626967</v>
      </c>
      <c r="C1404" s="51">
        <v>1.043</v>
      </c>
      <c r="D1404" s="51">
        <v>65.0</v>
      </c>
      <c r="E1404" s="52" t="s">
        <v>25</v>
      </c>
      <c r="F1404" s="52" t="s">
        <v>26</v>
      </c>
      <c r="G1404" s="53"/>
    </row>
    <row r="1405">
      <c r="A1405" s="49">
        <v>44527.308520590275</v>
      </c>
      <c r="B1405" s="50">
        <v>44527.4334832986</v>
      </c>
      <c r="C1405" s="51">
        <v>1.043</v>
      </c>
      <c r="D1405" s="51">
        <v>65.0</v>
      </c>
      <c r="E1405" s="52" t="s">
        <v>25</v>
      </c>
      <c r="F1405" s="52" t="s">
        <v>26</v>
      </c>
      <c r="G1405" s="53"/>
    </row>
    <row r="1406">
      <c r="A1406" s="49">
        <v>44527.318940578705</v>
      </c>
      <c r="B1406" s="50">
        <v>44527.4439058449</v>
      </c>
      <c r="C1406" s="51">
        <v>1.043</v>
      </c>
      <c r="D1406" s="51">
        <v>65.0</v>
      </c>
      <c r="E1406" s="52" t="s">
        <v>25</v>
      </c>
      <c r="F1406" s="52" t="s">
        <v>26</v>
      </c>
      <c r="G1406" s="53"/>
    </row>
    <row r="1407">
      <c r="A1407" s="49">
        <v>44527.32934894676</v>
      </c>
      <c r="B1407" s="50">
        <v>44527.4543273842</v>
      </c>
      <c r="C1407" s="51">
        <v>1.043</v>
      </c>
      <c r="D1407" s="51">
        <v>65.0</v>
      </c>
      <c r="E1407" s="52" t="s">
        <v>25</v>
      </c>
      <c r="F1407" s="52" t="s">
        <v>26</v>
      </c>
      <c r="G1407" s="53"/>
    </row>
    <row r="1408">
      <c r="A1408" s="49">
        <v>44527.33977590278</v>
      </c>
      <c r="B1408" s="50">
        <v>44527.4647467592</v>
      </c>
      <c r="C1408" s="51">
        <v>1.043</v>
      </c>
      <c r="D1408" s="51">
        <v>65.0</v>
      </c>
      <c r="E1408" s="52" t="s">
        <v>25</v>
      </c>
      <c r="F1408" s="52" t="s">
        <v>26</v>
      </c>
      <c r="G1408" s="53"/>
    </row>
    <row r="1409">
      <c r="A1409" s="49">
        <v>44527.35019991898</v>
      </c>
      <c r="B1409" s="50">
        <v>44527.4751700694</v>
      </c>
      <c r="C1409" s="51">
        <v>1.043</v>
      </c>
      <c r="D1409" s="51">
        <v>65.0</v>
      </c>
      <c r="E1409" s="52" t="s">
        <v>25</v>
      </c>
      <c r="F1409" s="52" t="s">
        <v>26</v>
      </c>
      <c r="G1409" s="53"/>
    </row>
    <row r="1410">
      <c r="A1410" s="49">
        <v>44527.36061138889</v>
      </c>
      <c r="B1410" s="50">
        <v>44527.485590949</v>
      </c>
      <c r="C1410" s="51">
        <v>1.043</v>
      </c>
      <c r="D1410" s="51">
        <v>65.0</v>
      </c>
      <c r="E1410" s="52" t="s">
        <v>25</v>
      </c>
      <c r="F1410" s="52" t="s">
        <v>26</v>
      </c>
      <c r="G1410" s="53"/>
    </row>
    <row r="1411">
      <c r="A1411" s="49">
        <v>44527.37103116898</v>
      </c>
      <c r="B1411" s="50">
        <v>44527.4960127083</v>
      </c>
      <c r="C1411" s="51">
        <v>1.043</v>
      </c>
      <c r="D1411" s="51">
        <v>65.0</v>
      </c>
      <c r="E1411" s="52" t="s">
        <v>25</v>
      </c>
      <c r="F1411" s="52" t="s">
        <v>26</v>
      </c>
      <c r="G1411" s="53"/>
    </row>
    <row r="1412">
      <c r="A1412" s="49">
        <v>44527.38145497685</v>
      </c>
      <c r="B1412" s="50">
        <v>44527.5064346874</v>
      </c>
      <c r="C1412" s="51">
        <v>1.043</v>
      </c>
      <c r="D1412" s="51">
        <v>65.0</v>
      </c>
      <c r="E1412" s="52" t="s">
        <v>25</v>
      </c>
      <c r="F1412" s="52" t="s">
        <v>26</v>
      </c>
      <c r="G1412" s="53"/>
    </row>
    <row r="1413">
      <c r="A1413" s="49">
        <v>44527.3918752662</v>
      </c>
      <c r="B1413" s="50">
        <v>44527.5168568518</v>
      </c>
      <c r="C1413" s="51">
        <v>1.043</v>
      </c>
      <c r="D1413" s="51">
        <v>65.0</v>
      </c>
      <c r="E1413" s="52" t="s">
        <v>25</v>
      </c>
      <c r="F1413" s="52" t="s">
        <v>26</v>
      </c>
      <c r="G1413" s="53"/>
    </row>
    <row r="1414">
      <c r="A1414" s="49">
        <v>44527.40230460648</v>
      </c>
      <c r="B1414" s="50">
        <v>44527.5272783796</v>
      </c>
      <c r="C1414" s="51">
        <v>1.043</v>
      </c>
      <c r="D1414" s="51">
        <v>65.0</v>
      </c>
      <c r="E1414" s="52" t="s">
        <v>25</v>
      </c>
      <c r="F1414" s="52" t="s">
        <v>26</v>
      </c>
      <c r="G1414" s="53"/>
    </row>
    <row r="1415">
      <c r="A1415" s="49">
        <v>44527.412717893516</v>
      </c>
      <c r="B1415" s="50">
        <v>44527.5376983449</v>
      </c>
      <c r="C1415" s="51">
        <v>1.043</v>
      </c>
      <c r="D1415" s="51">
        <v>65.0</v>
      </c>
      <c r="E1415" s="52" t="s">
        <v>25</v>
      </c>
      <c r="F1415" s="52" t="s">
        <v>26</v>
      </c>
      <c r="G1415" s="53"/>
    </row>
    <row r="1416">
      <c r="A1416" s="49">
        <v>44527.42313982639</v>
      </c>
      <c r="B1416" s="50">
        <v>44527.5481195254</v>
      </c>
      <c r="C1416" s="51">
        <v>1.043</v>
      </c>
      <c r="D1416" s="51">
        <v>65.0</v>
      </c>
      <c r="E1416" s="52" t="s">
        <v>25</v>
      </c>
      <c r="F1416" s="52" t="s">
        <v>26</v>
      </c>
      <c r="G1416" s="53"/>
    </row>
    <row r="1417">
      <c r="A1417" s="49">
        <v>44527.43355641204</v>
      </c>
      <c r="B1417" s="50">
        <v>44527.5585408449</v>
      </c>
      <c r="C1417" s="51">
        <v>1.043</v>
      </c>
      <c r="D1417" s="51">
        <v>65.0</v>
      </c>
      <c r="E1417" s="52" t="s">
        <v>25</v>
      </c>
      <c r="F1417" s="52" t="s">
        <v>26</v>
      </c>
      <c r="G1417" s="53"/>
    </row>
    <row r="1418">
      <c r="A1418" s="49">
        <v>44527.443984224534</v>
      </c>
      <c r="B1418" s="50">
        <v>44527.5689634953</v>
      </c>
      <c r="C1418" s="51">
        <v>1.043</v>
      </c>
      <c r="D1418" s="51">
        <v>65.0</v>
      </c>
      <c r="E1418" s="52" t="s">
        <v>25</v>
      </c>
      <c r="F1418" s="52" t="s">
        <v>26</v>
      </c>
      <c r="G1418" s="53"/>
    </row>
    <row r="1419">
      <c r="A1419" s="49">
        <v>44527.45440761574</v>
      </c>
      <c r="B1419" s="50">
        <v>44527.5793835763</v>
      </c>
      <c r="C1419" s="51">
        <v>1.043</v>
      </c>
      <c r="D1419" s="51">
        <v>65.0</v>
      </c>
      <c r="E1419" s="52" t="s">
        <v>25</v>
      </c>
      <c r="F1419" s="52" t="s">
        <v>26</v>
      </c>
      <c r="G1419" s="53"/>
    </row>
    <row r="1420">
      <c r="A1420" s="49">
        <v>44527.46482663194</v>
      </c>
      <c r="B1420" s="50">
        <v>44527.5898040162</v>
      </c>
      <c r="C1420" s="51">
        <v>1.043</v>
      </c>
      <c r="D1420" s="51">
        <v>65.0</v>
      </c>
      <c r="E1420" s="52" t="s">
        <v>25</v>
      </c>
      <c r="F1420" s="52" t="s">
        <v>26</v>
      </c>
      <c r="G1420" s="53"/>
    </row>
    <row r="1421">
      <c r="A1421" s="49">
        <v>44527.47524883102</v>
      </c>
      <c r="B1421" s="50">
        <v>44527.6002255555</v>
      </c>
      <c r="C1421" s="51">
        <v>1.043</v>
      </c>
      <c r="D1421" s="51">
        <v>65.0</v>
      </c>
      <c r="E1421" s="52" t="s">
        <v>25</v>
      </c>
      <c r="F1421" s="52" t="s">
        <v>26</v>
      </c>
      <c r="G1421" s="53"/>
    </row>
    <row r="1422">
      <c r="A1422" s="49">
        <v>44527.485672800925</v>
      </c>
      <c r="B1422" s="50">
        <v>44527.6106459953</v>
      </c>
      <c r="C1422" s="51">
        <v>1.043</v>
      </c>
      <c r="D1422" s="51">
        <v>65.0</v>
      </c>
      <c r="E1422" s="52" t="s">
        <v>25</v>
      </c>
      <c r="F1422" s="52" t="s">
        <v>26</v>
      </c>
      <c r="G1422" s="53"/>
    </row>
    <row r="1423">
      <c r="A1423" s="49">
        <v>44527.49608927083</v>
      </c>
      <c r="B1423" s="50">
        <v>44527.6210656134</v>
      </c>
      <c r="C1423" s="51">
        <v>1.043</v>
      </c>
      <c r="D1423" s="51">
        <v>65.0</v>
      </c>
      <c r="E1423" s="52" t="s">
        <v>25</v>
      </c>
      <c r="F1423" s="52" t="s">
        <v>26</v>
      </c>
      <c r="G1423" s="53"/>
    </row>
    <row r="1424">
      <c r="A1424" s="49">
        <v>44527.50651634259</v>
      </c>
      <c r="B1424" s="50">
        <v>44527.6314973148</v>
      </c>
      <c r="C1424" s="51">
        <v>1.043</v>
      </c>
      <c r="D1424" s="51">
        <v>65.0</v>
      </c>
      <c r="E1424" s="52" t="s">
        <v>25</v>
      </c>
      <c r="F1424" s="52" t="s">
        <v>26</v>
      </c>
      <c r="G1424" s="53"/>
    </row>
    <row r="1425">
      <c r="A1425" s="49">
        <v>44527.51693896991</v>
      </c>
      <c r="B1425" s="50">
        <v>44527.6419169675</v>
      </c>
      <c r="C1425" s="51">
        <v>1.043</v>
      </c>
      <c r="D1425" s="51">
        <v>65.0</v>
      </c>
      <c r="E1425" s="52" t="s">
        <v>25</v>
      </c>
      <c r="F1425" s="52" t="s">
        <v>26</v>
      </c>
      <c r="G1425" s="53"/>
    </row>
    <row r="1426">
      <c r="A1426" s="49">
        <v>44527.52735887731</v>
      </c>
      <c r="B1426" s="50">
        <v>44527.6523369907</v>
      </c>
      <c r="C1426" s="51">
        <v>1.043</v>
      </c>
      <c r="D1426" s="51">
        <v>65.0</v>
      </c>
      <c r="E1426" s="52" t="s">
        <v>25</v>
      </c>
      <c r="F1426" s="52" t="s">
        <v>26</v>
      </c>
      <c r="G1426" s="53"/>
    </row>
    <row r="1427">
      <c r="A1427" s="49">
        <v>44527.537775613426</v>
      </c>
      <c r="B1427" s="50">
        <v>44527.6627577662</v>
      </c>
      <c r="C1427" s="51">
        <v>1.043</v>
      </c>
      <c r="D1427" s="51">
        <v>65.0</v>
      </c>
      <c r="E1427" s="52" t="s">
        <v>25</v>
      </c>
      <c r="F1427" s="52" t="s">
        <v>26</v>
      </c>
      <c r="G1427" s="53"/>
    </row>
    <row r="1428">
      <c r="A1428" s="49">
        <v>44527.5481975463</v>
      </c>
      <c r="B1428" s="50">
        <v>44527.6731787963</v>
      </c>
      <c r="C1428" s="51">
        <v>1.043</v>
      </c>
      <c r="D1428" s="51">
        <v>65.0</v>
      </c>
      <c r="E1428" s="52" t="s">
        <v>25</v>
      </c>
      <c r="F1428" s="52" t="s">
        <v>26</v>
      </c>
      <c r="G1428" s="53"/>
    </row>
    <row r="1429">
      <c r="A1429" s="49">
        <v>44527.55861950231</v>
      </c>
      <c r="B1429" s="50">
        <v>44527.6835995486</v>
      </c>
      <c r="C1429" s="51">
        <v>1.043</v>
      </c>
      <c r="D1429" s="51">
        <v>65.0</v>
      </c>
      <c r="E1429" s="52" t="s">
        <v>25</v>
      </c>
      <c r="F1429" s="52" t="s">
        <v>26</v>
      </c>
      <c r="G1429" s="53"/>
    </row>
    <row r="1430">
      <c r="A1430" s="49">
        <v>44527.56904111111</v>
      </c>
      <c r="B1430" s="50">
        <v>44527.694020405</v>
      </c>
      <c r="C1430" s="51">
        <v>1.043</v>
      </c>
      <c r="D1430" s="51">
        <v>65.0</v>
      </c>
      <c r="E1430" s="52" t="s">
        <v>25</v>
      </c>
      <c r="F1430" s="52" t="s">
        <v>26</v>
      </c>
      <c r="G1430" s="53"/>
    </row>
    <row r="1431">
      <c r="A1431" s="49">
        <v>44527.579463159724</v>
      </c>
      <c r="B1431" s="50">
        <v>44527.7044406944</v>
      </c>
      <c r="C1431" s="51">
        <v>1.043</v>
      </c>
      <c r="D1431" s="51">
        <v>65.0</v>
      </c>
      <c r="E1431" s="52" t="s">
        <v>25</v>
      </c>
      <c r="F1431" s="52" t="s">
        <v>26</v>
      </c>
      <c r="G1431" s="53"/>
    </row>
    <row r="1432">
      <c r="A1432" s="49">
        <v>44527.589894930556</v>
      </c>
      <c r="B1432" s="50">
        <v>44527.714861412</v>
      </c>
      <c r="C1432" s="51">
        <v>1.043</v>
      </c>
      <c r="D1432" s="51">
        <v>65.0</v>
      </c>
      <c r="E1432" s="52" t="s">
        <v>25</v>
      </c>
      <c r="F1432" s="52" t="s">
        <v>26</v>
      </c>
      <c r="G1432" s="53"/>
    </row>
    <row r="1433">
      <c r="A1433" s="49">
        <v>44527.600316979166</v>
      </c>
      <c r="B1433" s="50">
        <v>44527.7252940162</v>
      </c>
      <c r="C1433" s="51">
        <v>1.043</v>
      </c>
      <c r="D1433" s="51">
        <v>65.0</v>
      </c>
      <c r="E1433" s="52" t="s">
        <v>25</v>
      </c>
      <c r="F1433" s="52" t="s">
        <v>26</v>
      </c>
      <c r="G1433" s="53"/>
    </row>
    <row r="1434">
      <c r="A1434" s="49">
        <v>44527.61073396991</v>
      </c>
      <c r="B1434" s="50">
        <v>44527.7357139699</v>
      </c>
      <c r="C1434" s="51">
        <v>1.043</v>
      </c>
      <c r="D1434" s="51">
        <v>65.0</v>
      </c>
      <c r="E1434" s="52" t="s">
        <v>25</v>
      </c>
      <c r="F1434" s="52" t="s">
        <v>26</v>
      </c>
      <c r="G1434" s="53"/>
    </row>
    <row r="1435">
      <c r="A1435" s="49">
        <v>44527.62117164352</v>
      </c>
      <c r="B1435" s="50">
        <v>44527.7461455555</v>
      </c>
      <c r="C1435" s="51">
        <v>1.043</v>
      </c>
      <c r="D1435" s="51">
        <v>65.0</v>
      </c>
      <c r="E1435" s="52" t="s">
        <v>25</v>
      </c>
      <c r="F1435" s="52" t="s">
        <v>26</v>
      </c>
      <c r="G1435" s="53"/>
    </row>
    <row r="1436">
      <c r="A1436" s="49">
        <v>44527.631590902776</v>
      </c>
      <c r="B1436" s="50">
        <v>44527.7565664467</v>
      </c>
      <c r="C1436" s="51">
        <v>1.043</v>
      </c>
      <c r="D1436" s="51">
        <v>65.0</v>
      </c>
      <c r="E1436" s="52" t="s">
        <v>25</v>
      </c>
      <c r="F1436" s="52" t="s">
        <v>26</v>
      </c>
      <c r="G1436" s="53"/>
    </row>
    <row r="1437">
      <c r="A1437" s="49">
        <v>44527.64201377315</v>
      </c>
      <c r="B1437" s="50">
        <v>44527.7669892245</v>
      </c>
      <c r="C1437" s="51">
        <v>1.043</v>
      </c>
      <c r="D1437" s="51">
        <v>65.0</v>
      </c>
      <c r="E1437" s="52" t="s">
        <v>25</v>
      </c>
      <c r="F1437" s="52" t="s">
        <v>26</v>
      </c>
      <c r="G1437" s="53"/>
    </row>
    <row r="1438">
      <c r="A1438" s="49">
        <v>44527.652437349534</v>
      </c>
      <c r="B1438" s="50">
        <v>44527.7774095138</v>
      </c>
      <c r="C1438" s="51">
        <v>1.043</v>
      </c>
      <c r="D1438" s="51">
        <v>65.0</v>
      </c>
      <c r="E1438" s="52" t="s">
        <v>25</v>
      </c>
      <c r="F1438" s="52" t="s">
        <v>26</v>
      </c>
      <c r="G1438" s="53"/>
    </row>
    <row r="1439">
      <c r="A1439" s="49">
        <v>44527.66286509259</v>
      </c>
      <c r="B1439" s="50">
        <v>44527.7878432291</v>
      </c>
      <c r="C1439" s="51">
        <v>1.043</v>
      </c>
      <c r="D1439" s="51">
        <v>65.0</v>
      </c>
      <c r="E1439" s="52" t="s">
        <v>25</v>
      </c>
      <c r="F1439" s="52" t="s">
        <v>26</v>
      </c>
      <c r="G1439" s="53"/>
    </row>
    <row r="1440">
      <c r="A1440" s="49">
        <v>44527.67328982639</v>
      </c>
      <c r="B1440" s="50">
        <v>44527.7982643287</v>
      </c>
      <c r="C1440" s="51">
        <v>1.043</v>
      </c>
      <c r="D1440" s="51">
        <v>65.0</v>
      </c>
      <c r="E1440" s="52" t="s">
        <v>25</v>
      </c>
      <c r="F1440" s="52" t="s">
        <v>26</v>
      </c>
      <c r="G1440" s="53"/>
    </row>
    <row r="1441">
      <c r="A1441" s="49">
        <v>44527.683709652774</v>
      </c>
      <c r="B1441" s="50">
        <v>44527.8086849074</v>
      </c>
      <c r="C1441" s="51">
        <v>1.043</v>
      </c>
      <c r="D1441" s="51">
        <v>65.0</v>
      </c>
      <c r="E1441" s="52" t="s">
        <v>25</v>
      </c>
      <c r="F1441" s="52" t="s">
        <v>26</v>
      </c>
      <c r="G1441" s="53"/>
    </row>
    <row r="1442">
      <c r="A1442" s="49">
        <v>44527.69412856481</v>
      </c>
      <c r="B1442" s="50">
        <v>44527.8191055902</v>
      </c>
      <c r="C1442" s="51">
        <v>1.043</v>
      </c>
      <c r="D1442" s="51">
        <v>65.0</v>
      </c>
      <c r="E1442" s="52" t="s">
        <v>25</v>
      </c>
      <c r="F1442" s="52" t="s">
        <v>26</v>
      </c>
      <c r="G1442" s="53"/>
    </row>
    <row r="1443">
      <c r="A1443" s="49">
        <v>44527.70458605324</v>
      </c>
      <c r="B1443" s="50">
        <v>44527.8295602893</v>
      </c>
      <c r="C1443" s="51">
        <v>1.043</v>
      </c>
      <c r="D1443" s="51">
        <v>65.0</v>
      </c>
      <c r="E1443" s="52" t="s">
        <v>25</v>
      </c>
      <c r="F1443" s="52" t="s">
        <v>26</v>
      </c>
      <c r="G1443" s="53"/>
    </row>
    <row r="1444">
      <c r="A1444" s="49">
        <v>44527.71500653935</v>
      </c>
      <c r="B1444" s="50">
        <v>44527.8399818171</v>
      </c>
      <c r="C1444" s="51">
        <v>1.043</v>
      </c>
      <c r="D1444" s="51">
        <v>65.0</v>
      </c>
      <c r="E1444" s="52" t="s">
        <v>25</v>
      </c>
      <c r="F1444" s="52" t="s">
        <v>26</v>
      </c>
      <c r="G1444" s="53"/>
    </row>
    <row r="1445">
      <c r="A1445" s="49">
        <v>44527.72546133102</v>
      </c>
      <c r="B1445" s="50">
        <v>44527.8504369791</v>
      </c>
      <c r="C1445" s="51">
        <v>1.043</v>
      </c>
      <c r="D1445" s="51">
        <v>65.0</v>
      </c>
      <c r="E1445" s="52" t="s">
        <v>25</v>
      </c>
      <c r="F1445" s="52" t="s">
        <v>26</v>
      </c>
      <c r="G1445" s="53"/>
    </row>
    <row r="1446">
      <c r="A1446" s="49">
        <v>44527.735905636575</v>
      </c>
      <c r="B1446" s="50">
        <v>44527.8608824421</v>
      </c>
      <c r="C1446" s="51">
        <v>1.043</v>
      </c>
      <c r="D1446" s="51">
        <v>65.0</v>
      </c>
      <c r="E1446" s="52" t="s">
        <v>25</v>
      </c>
      <c r="F1446" s="52" t="s">
        <v>26</v>
      </c>
      <c r="G1446" s="53"/>
    </row>
    <row r="1447">
      <c r="A1447" s="49">
        <v>44527.746332106486</v>
      </c>
      <c r="B1447" s="50">
        <v>44527.8713050578</v>
      </c>
      <c r="C1447" s="51">
        <v>1.043</v>
      </c>
      <c r="D1447" s="51">
        <v>65.0</v>
      </c>
      <c r="E1447" s="52" t="s">
        <v>25</v>
      </c>
      <c r="F1447" s="52" t="s">
        <v>26</v>
      </c>
      <c r="G1447" s="53"/>
    </row>
    <row r="1448">
      <c r="A1448" s="49">
        <v>44527.756745266204</v>
      </c>
      <c r="B1448" s="50">
        <v>44527.8817254513</v>
      </c>
      <c r="C1448" s="51">
        <v>1.043</v>
      </c>
      <c r="D1448" s="51">
        <v>65.0</v>
      </c>
      <c r="E1448" s="52" t="s">
        <v>25</v>
      </c>
      <c r="F1448" s="52" t="s">
        <v>26</v>
      </c>
      <c r="G1448" s="53"/>
    </row>
    <row r="1449">
      <c r="A1449" s="49">
        <v>44527.76718141204</v>
      </c>
      <c r="B1449" s="50">
        <v>44527.8921578472</v>
      </c>
      <c r="C1449" s="51">
        <v>1.043</v>
      </c>
      <c r="D1449" s="51">
        <v>65.0</v>
      </c>
      <c r="E1449" s="52" t="s">
        <v>25</v>
      </c>
      <c r="F1449" s="52" t="s">
        <v>26</v>
      </c>
      <c r="G1449" s="53"/>
    </row>
    <row r="1450">
      <c r="A1450" s="49">
        <v>44527.77760670139</v>
      </c>
      <c r="B1450" s="50">
        <v>44527.902580405</v>
      </c>
      <c r="C1450" s="51">
        <v>1.043</v>
      </c>
      <c r="D1450" s="51">
        <v>65.0</v>
      </c>
      <c r="E1450" s="52" t="s">
        <v>25</v>
      </c>
      <c r="F1450" s="52" t="s">
        <v>26</v>
      </c>
      <c r="G1450" s="53"/>
    </row>
    <row r="1451">
      <c r="A1451" s="49">
        <v>44527.78802547454</v>
      </c>
      <c r="B1451" s="50">
        <v>44527.9130012268</v>
      </c>
      <c r="C1451" s="51">
        <v>1.043</v>
      </c>
      <c r="D1451" s="51">
        <v>65.0</v>
      </c>
      <c r="E1451" s="52" t="s">
        <v>25</v>
      </c>
      <c r="F1451" s="52" t="s">
        <v>26</v>
      </c>
      <c r="G1451" s="53"/>
    </row>
    <row r="1452">
      <c r="A1452" s="49">
        <v>44527.79844113426</v>
      </c>
      <c r="B1452" s="50">
        <v>44527.9234231944</v>
      </c>
      <c r="C1452" s="51">
        <v>1.043</v>
      </c>
      <c r="D1452" s="51">
        <v>65.0</v>
      </c>
      <c r="E1452" s="52" t="s">
        <v>25</v>
      </c>
      <c r="F1452" s="52" t="s">
        <v>26</v>
      </c>
      <c r="G1452" s="53"/>
    </row>
    <row r="1453">
      <c r="A1453" s="49">
        <v>44527.80886547454</v>
      </c>
      <c r="B1453" s="50">
        <v>44527.9338441782</v>
      </c>
      <c r="C1453" s="51">
        <v>1.043</v>
      </c>
      <c r="D1453" s="51">
        <v>65.0</v>
      </c>
      <c r="E1453" s="52" t="s">
        <v>25</v>
      </c>
      <c r="F1453" s="52" t="s">
        <v>26</v>
      </c>
      <c r="G1453" s="53"/>
    </row>
    <row r="1454">
      <c r="A1454" s="49">
        <v>44527.81929104167</v>
      </c>
      <c r="B1454" s="50">
        <v>44527.944265</v>
      </c>
      <c r="C1454" s="51">
        <v>1.043</v>
      </c>
      <c r="D1454" s="51">
        <v>65.0</v>
      </c>
      <c r="E1454" s="52" t="s">
        <v>25</v>
      </c>
      <c r="F1454" s="52" t="s">
        <v>26</v>
      </c>
      <c r="G1454" s="53"/>
    </row>
    <row r="1455">
      <c r="A1455" s="49">
        <v>44527.82971501157</v>
      </c>
      <c r="B1455" s="50">
        <v>44527.9546874652</v>
      </c>
      <c r="C1455" s="51">
        <v>1.042</v>
      </c>
      <c r="D1455" s="51">
        <v>65.0</v>
      </c>
      <c r="E1455" s="52" t="s">
        <v>25</v>
      </c>
      <c r="F1455" s="52" t="s">
        <v>26</v>
      </c>
      <c r="G1455" s="53"/>
    </row>
    <row r="1456">
      <c r="A1456" s="49">
        <v>44527.840124421295</v>
      </c>
      <c r="B1456" s="50">
        <v>44527.9651084143</v>
      </c>
      <c r="C1456" s="51">
        <v>1.042</v>
      </c>
      <c r="D1456" s="51">
        <v>65.0</v>
      </c>
      <c r="E1456" s="52" t="s">
        <v>25</v>
      </c>
      <c r="F1456" s="52" t="s">
        <v>26</v>
      </c>
      <c r="G1456" s="53"/>
    </row>
    <row r="1457">
      <c r="A1457" s="49">
        <v>44527.850552592594</v>
      </c>
      <c r="B1457" s="50">
        <v>44527.9755306249</v>
      </c>
      <c r="C1457" s="51">
        <v>1.042</v>
      </c>
      <c r="D1457" s="51">
        <v>65.0</v>
      </c>
      <c r="E1457" s="52" t="s">
        <v>25</v>
      </c>
      <c r="F1457" s="52" t="s">
        <v>26</v>
      </c>
      <c r="G1457" s="53"/>
    </row>
    <row r="1458">
      <c r="A1458" s="49">
        <v>44527.86096600695</v>
      </c>
      <c r="B1458" s="50">
        <v>44527.9859501273</v>
      </c>
      <c r="C1458" s="51">
        <v>1.042</v>
      </c>
      <c r="D1458" s="51">
        <v>65.0</v>
      </c>
      <c r="E1458" s="52" t="s">
        <v>25</v>
      </c>
      <c r="F1458" s="52" t="s">
        <v>26</v>
      </c>
      <c r="G1458" s="53"/>
    </row>
    <row r="1459">
      <c r="A1459" s="49">
        <v>44527.87139532407</v>
      </c>
      <c r="B1459" s="50">
        <v>44527.9963723032</v>
      </c>
      <c r="C1459" s="51">
        <v>1.042</v>
      </c>
      <c r="D1459" s="51">
        <v>65.0</v>
      </c>
      <c r="E1459" s="52" t="s">
        <v>25</v>
      </c>
      <c r="F1459" s="52" t="s">
        <v>26</v>
      </c>
      <c r="G1459" s="53"/>
    </row>
    <row r="1460">
      <c r="A1460" s="49">
        <v>44527.88181436343</v>
      </c>
      <c r="B1460" s="50">
        <v>44528.0067928587</v>
      </c>
      <c r="C1460" s="51">
        <v>1.042</v>
      </c>
      <c r="D1460" s="51">
        <v>65.0</v>
      </c>
      <c r="E1460" s="52" t="s">
        <v>25</v>
      </c>
      <c r="F1460" s="52" t="s">
        <v>26</v>
      </c>
      <c r="G1460" s="53"/>
    </row>
    <row r="1461">
      <c r="A1461" s="49">
        <v>44527.89223982639</v>
      </c>
      <c r="B1461" s="50">
        <v>44528.0172144212</v>
      </c>
      <c r="C1461" s="51">
        <v>1.042</v>
      </c>
      <c r="D1461" s="51">
        <v>65.0</v>
      </c>
      <c r="E1461" s="52" t="s">
        <v>25</v>
      </c>
      <c r="F1461" s="52" t="s">
        <v>26</v>
      </c>
      <c r="G1461" s="53"/>
    </row>
    <row r="1462">
      <c r="A1462" s="49">
        <v>44527.90266487269</v>
      </c>
      <c r="B1462" s="50">
        <v>44528.0276348032</v>
      </c>
      <c r="C1462" s="51">
        <v>1.042</v>
      </c>
      <c r="D1462" s="51">
        <v>65.0</v>
      </c>
      <c r="E1462" s="52" t="s">
        <v>25</v>
      </c>
      <c r="F1462" s="52" t="s">
        <v>26</v>
      </c>
      <c r="G1462" s="53"/>
    </row>
    <row r="1463">
      <c r="A1463" s="49">
        <v>44527.91308096064</v>
      </c>
      <c r="B1463" s="50">
        <v>44528.0380549421</v>
      </c>
      <c r="C1463" s="51">
        <v>1.042</v>
      </c>
      <c r="D1463" s="51">
        <v>65.0</v>
      </c>
      <c r="E1463" s="52" t="s">
        <v>25</v>
      </c>
      <c r="F1463" s="52" t="s">
        <v>26</v>
      </c>
      <c r="G1463" s="53"/>
    </row>
    <row r="1464">
      <c r="A1464" s="49">
        <v>44527.92350074074</v>
      </c>
      <c r="B1464" s="50">
        <v>44528.04847603</v>
      </c>
      <c r="C1464" s="51">
        <v>1.042</v>
      </c>
      <c r="D1464" s="51">
        <v>65.0</v>
      </c>
      <c r="E1464" s="52" t="s">
        <v>25</v>
      </c>
      <c r="F1464" s="52" t="s">
        <v>26</v>
      </c>
      <c r="G1464" s="53"/>
    </row>
    <row r="1465">
      <c r="A1465" s="49">
        <v>44527.93392604167</v>
      </c>
      <c r="B1465" s="50">
        <v>44528.0588981597</v>
      </c>
      <c r="C1465" s="51">
        <v>1.042</v>
      </c>
      <c r="D1465" s="51">
        <v>65.0</v>
      </c>
      <c r="E1465" s="52" t="s">
        <v>25</v>
      </c>
      <c r="F1465" s="52" t="s">
        <v>26</v>
      </c>
      <c r="G1465" s="53"/>
    </row>
    <row r="1466">
      <c r="A1466" s="49">
        <v>44527.944343518524</v>
      </c>
      <c r="B1466" s="50">
        <v>44528.0693200694</v>
      </c>
      <c r="C1466" s="51">
        <v>1.042</v>
      </c>
      <c r="D1466" s="51">
        <v>65.0</v>
      </c>
      <c r="E1466" s="52" t="s">
        <v>25</v>
      </c>
      <c r="F1466" s="52" t="s">
        <v>26</v>
      </c>
      <c r="G1466" s="53"/>
    </row>
    <row r="1467">
      <c r="A1467" s="49">
        <v>44527.95476425926</v>
      </c>
      <c r="B1467" s="50">
        <v>44528.0797416203</v>
      </c>
      <c r="C1467" s="51">
        <v>1.042</v>
      </c>
      <c r="D1467" s="51">
        <v>65.0</v>
      </c>
      <c r="E1467" s="52" t="s">
        <v>25</v>
      </c>
      <c r="F1467" s="52" t="s">
        <v>26</v>
      </c>
      <c r="G1467" s="53"/>
    </row>
    <row r="1468">
      <c r="A1468" s="49">
        <v>44527.9651905787</v>
      </c>
      <c r="B1468" s="50">
        <v>44528.0901637731</v>
      </c>
      <c r="C1468" s="51">
        <v>1.042</v>
      </c>
      <c r="D1468" s="51">
        <v>65.0</v>
      </c>
      <c r="E1468" s="52" t="s">
        <v>25</v>
      </c>
      <c r="F1468" s="52" t="s">
        <v>26</v>
      </c>
      <c r="G1468" s="53"/>
    </row>
    <row r="1469">
      <c r="A1469" s="49">
        <v>44527.97560305556</v>
      </c>
      <c r="B1469" s="50">
        <v>44528.1005842129</v>
      </c>
      <c r="C1469" s="51">
        <v>1.042</v>
      </c>
      <c r="D1469" s="51">
        <v>65.0</v>
      </c>
      <c r="E1469" s="52" t="s">
        <v>25</v>
      </c>
      <c r="F1469" s="52" t="s">
        <v>26</v>
      </c>
      <c r="G1469" s="53"/>
    </row>
    <row r="1470">
      <c r="A1470" s="49">
        <v>44527.98603049769</v>
      </c>
      <c r="B1470" s="50">
        <v>44528.1110048263</v>
      </c>
      <c r="C1470" s="51">
        <v>1.042</v>
      </c>
      <c r="D1470" s="51">
        <v>65.0</v>
      </c>
      <c r="E1470" s="52" t="s">
        <v>25</v>
      </c>
      <c r="F1470" s="52" t="s">
        <v>26</v>
      </c>
      <c r="G1470" s="53"/>
    </row>
    <row r="1471">
      <c r="A1471" s="49">
        <v>44527.9964653125</v>
      </c>
      <c r="B1471" s="50">
        <v>44528.121448831</v>
      </c>
      <c r="C1471" s="51">
        <v>1.042</v>
      </c>
      <c r="D1471" s="51">
        <v>65.0</v>
      </c>
      <c r="E1471" s="52" t="s">
        <v>25</v>
      </c>
      <c r="F1471" s="52" t="s">
        <v>26</v>
      </c>
      <c r="G1471" s="53"/>
    </row>
    <row r="1472">
      <c r="A1472" s="49">
        <v>44528.00689236111</v>
      </c>
      <c r="B1472" s="50">
        <v>44528.1318704745</v>
      </c>
      <c r="C1472" s="51">
        <v>1.042</v>
      </c>
      <c r="D1472" s="51">
        <v>65.0</v>
      </c>
      <c r="E1472" s="52" t="s">
        <v>25</v>
      </c>
      <c r="F1472" s="52" t="s">
        <v>26</v>
      </c>
      <c r="G1472" s="53"/>
    </row>
    <row r="1473">
      <c r="A1473" s="49">
        <v>44528.01732758102</v>
      </c>
      <c r="B1473" s="50">
        <v>44528.1423029282</v>
      </c>
      <c r="C1473" s="51">
        <v>1.042</v>
      </c>
      <c r="D1473" s="51">
        <v>65.0</v>
      </c>
      <c r="E1473" s="52" t="s">
        <v>25</v>
      </c>
      <c r="F1473" s="52" t="s">
        <v>26</v>
      </c>
      <c r="G1473" s="53"/>
    </row>
    <row r="1474">
      <c r="A1474" s="49">
        <v>44528.027762847225</v>
      </c>
      <c r="B1474" s="50">
        <v>44528.152734537</v>
      </c>
      <c r="C1474" s="51">
        <v>1.042</v>
      </c>
      <c r="D1474" s="51">
        <v>65.0</v>
      </c>
      <c r="E1474" s="52" t="s">
        <v>25</v>
      </c>
      <c r="F1474" s="52" t="s">
        <v>26</v>
      </c>
      <c r="G1474" s="53"/>
    </row>
    <row r="1475">
      <c r="A1475" s="49">
        <v>44528.03818855324</v>
      </c>
      <c r="B1475" s="50">
        <v>44528.1631672106</v>
      </c>
      <c r="C1475" s="51">
        <v>1.042</v>
      </c>
      <c r="D1475" s="51">
        <v>65.0</v>
      </c>
      <c r="E1475" s="52" t="s">
        <v>25</v>
      </c>
      <c r="F1475" s="52" t="s">
        <v>26</v>
      </c>
      <c r="G1475" s="53"/>
    </row>
    <row r="1476">
      <c r="A1476" s="49">
        <v>44528.04862630787</v>
      </c>
      <c r="B1476" s="50">
        <v>44528.173599074</v>
      </c>
      <c r="C1476" s="51">
        <v>1.042</v>
      </c>
      <c r="D1476" s="51">
        <v>65.0</v>
      </c>
      <c r="E1476" s="52" t="s">
        <v>25</v>
      </c>
      <c r="F1476" s="52" t="s">
        <v>26</v>
      </c>
      <c r="G1476" s="53"/>
    </row>
    <row r="1477">
      <c r="A1477" s="49">
        <v>44528.059038645835</v>
      </c>
      <c r="B1477" s="50">
        <v>44528.1840188078</v>
      </c>
      <c r="C1477" s="51">
        <v>1.042</v>
      </c>
      <c r="D1477" s="51">
        <v>65.0</v>
      </c>
      <c r="E1477" s="52" t="s">
        <v>25</v>
      </c>
      <c r="F1477" s="52" t="s">
        <v>26</v>
      </c>
      <c r="G1477" s="53"/>
    </row>
    <row r="1478">
      <c r="A1478" s="49">
        <v>44528.06946399306</v>
      </c>
      <c r="B1478" s="50">
        <v>44528.1944404861</v>
      </c>
      <c r="C1478" s="51">
        <v>1.042</v>
      </c>
      <c r="D1478" s="51">
        <v>65.0</v>
      </c>
      <c r="E1478" s="52" t="s">
        <v>25</v>
      </c>
      <c r="F1478" s="52" t="s">
        <v>26</v>
      </c>
      <c r="G1478" s="53"/>
    </row>
    <row r="1479">
      <c r="A1479" s="49">
        <v>44528.07987836805</v>
      </c>
      <c r="B1479" s="50">
        <v>44528.2048599652</v>
      </c>
      <c r="C1479" s="51">
        <v>1.042</v>
      </c>
      <c r="D1479" s="51">
        <v>65.0</v>
      </c>
      <c r="E1479" s="52" t="s">
        <v>25</v>
      </c>
      <c r="F1479" s="52" t="s">
        <v>26</v>
      </c>
      <c r="G1479" s="53"/>
    </row>
    <row r="1480">
      <c r="A1480" s="49">
        <v>44528.09033384259</v>
      </c>
      <c r="B1480" s="50">
        <v>44528.215305706</v>
      </c>
      <c r="C1480" s="51">
        <v>1.042</v>
      </c>
      <c r="D1480" s="51">
        <v>65.0</v>
      </c>
      <c r="E1480" s="52" t="s">
        <v>25</v>
      </c>
      <c r="F1480" s="52" t="s">
        <v>26</v>
      </c>
      <c r="G1480" s="53"/>
    </row>
    <row r="1481">
      <c r="A1481" s="49">
        <v>44528.10075478009</v>
      </c>
      <c r="B1481" s="50">
        <v>44528.2257384837</v>
      </c>
      <c r="C1481" s="51">
        <v>1.042</v>
      </c>
      <c r="D1481" s="51">
        <v>65.0</v>
      </c>
      <c r="E1481" s="52" t="s">
        <v>25</v>
      </c>
      <c r="F1481" s="52" t="s">
        <v>26</v>
      </c>
      <c r="G1481" s="53"/>
    </row>
    <row r="1482">
      <c r="A1482" s="49">
        <v>44528.11118755787</v>
      </c>
      <c r="B1482" s="50">
        <v>44528.2361582638</v>
      </c>
      <c r="C1482" s="51">
        <v>1.042</v>
      </c>
      <c r="D1482" s="51">
        <v>65.0</v>
      </c>
      <c r="E1482" s="52" t="s">
        <v>25</v>
      </c>
      <c r="F1482" s="52" t="s">
        <v>26</v>
      </c>
      <c r="G1482" s="53"/>
    </row>
    <row r="1483">
      <c r="A1483" s="49">
        <v>44528.12160267361</v>
      </c>
      <c r="B1483" s="50">
        <v>44528.2465791319</v>
      </c>
      <c r="C1483" s="51">
        <v>1.042</v>
      </c>
      <c r="D1483" s="51">
        <v>65.0</v>
      </c>
      <c r="E1483" s="52" t="s">
        <v>25</v>
      </c>
      <c r="F1483" s="52" t="s">
        <v>26</v>
      </c>
      <c r="G1483" s="53"/>
    </row>
    <row r="1484">
      <c r="A1484" s="49">
        <v>44528.13202634259</v>
      </c>
      <c r="B1484" s="50">
        <v>44528.2569985416</v>
      </c>
      <c r="C1484" s="51">
        <v>1.042</v>
      </c>
      <c r="D1484" s="51">
        <v>65.0</v>
      </c>
      <c r="E1484" s="52" t="s">
        <v>25</v>
      </c>
      <c r="F1484" s="52" t="s">
        <v>26</v>
      </c>
      <c r="G1484" s="53"/>
    </row>
    <row r="1485">
      <c r="A1485" s="49">
        <v>44528.1424428125</v>
      </c>
      <c r="B1485" s="50">
        <v>44528.2674216898</v>
      </c>
      <c r="C1485" s="51">
        <v>1.042</v>
      </c>
      <c r="D1485" s="51">
        <v>65.0</v>
      </c>
      <c r="E1485" s="52" t="s">
        <v>25</v>
      </c>
      <c r="F1485" s="52" t="s">
        <v>26</v>
      </c>
      <c r="G1485" s="53"/>
    </row>
    <row r="1486">
      <c r="A1486" s="49">
        <v>44528.1528660301</v>
      </c>
      <c r="B1486" s="50">
        <v>44528.2778426041</v>
      </c>
      <c r="C1486" s="51">
        <v>1.042</v>
      </c>
      <c r="D1486" s="51">
        <v>65.0</v>
      </c>
      <c r="E1486" s="52" t="s">
        <v>25</v>
      </c>
      <c r="F1486" s="52" t="s">
        <v>26</v>
      </c>
      <c r="G1486" s="53"/>
    </row>
    <row r="1487">
      <c r="A1487" s="49">
        <v>44528.16328594908</v>
      </c>
      <c r="B1487" s="50">
        <v>44528.2882643171</v>
      </c>
      <c r="C1487" s="51">
        <v>1.042</v>
      </c>
      <c r="D1487" s="51">
        <v>65.0</v>
      </c>
      <c r="E1487" s="52" t="s">
        <v>25</v>
      </c>
      <c r="F1487" s="52" t="s">
        <v>26</v>
      </c>
      <c r="G1487" s="53"/>
    </row>
    <row r="1488">
      <c r="A1488" s="49">
        <v>44528.173711932875</v>
      </c>
      <c r="B1488" s="50">
        <v>44528.298684155</v>
      </c>
      <c r="C1488" s="51">
        <v>1.042</v>
      </c>
      <c r="D1488" s="51">
        <v>65.0</v>
      </c>
      <c r="E1488" s="52" t="s">
        <v>25</v>
      </c>
      <c r="F1488" s="52" t="s">
        <v>26</v>
      </c>
      <c r="G1488" s="53"/>
    </row>
    <row r="1489">
      <c r="A1489" s="49">
        <v>44528.184132152775</v>
      </c>
      <c r="B1489" s="50">
        <v>44528.3091055092</v>
      </c>
      <c r="C1489" s="51">
        <v>1.042</v>
      </c>
      <c r="D1489" s="51">
        <v>65.0</v>
      </c>
      <c r="E1489" s="52" t="s">
        <v>25</v>
      </c>
      <c r="F1489" s="52" t="s">
        <v>26</v>
      </c>
      <c r="G1489" s="53"/>
    </row>
    <row r="1490">
      <c r="A1490" s="49">
        <v>44528.194552175926</v>
      </c>
      <c r="B1490" s="50">
        <v>44528.3195262037</v>
      </c>
      <c r="C1490" s="51">
        <v>1.042</v>
      </c>
      <c r="D1490" s="51">
        <v>65.0</v>
      </c>
      <c r="E1490" s="52" t="s">
        <v>25</v>
      </c>
      <c r="F1490" s="52" t="s">
        <v>26</v>
      </c>
      <c r="G1490" s="53"/>
    </row>
    <row r="1491">
      <c r="A1491" s="49">
        <v>44528.20496459491</v>
      </c>
      <c r="B1491" s="50">
        <v>44528.3299484143</v>
      </c>
      <c r="C1491" s="51">
        <v>1.042</v>
      </c>
      <c r="D1491" s="51">
        <v>65.0</v>
      </c>
      <c r="E1491" s="52" t="s">
        <v>25</v>
      </c>
      <c r="F1491" s="52" t="s">
        <v>26</v>
      </c>
      <c r="G1491" s="53"/>
    </row>
    <row r="1492">
      <c r="A1492" s="49">
        <v>44528.21540811342</v>
      </c>
      <c r="B1492" s="50">
        <v>44528.3403822106</v>
      </c>
      <c r="C1492" s="51">
        <v>1.042</v>
      </c>
      <c r="D1492" s="51">
        <v>65.0</v>
      </c>
      <c r="E1492" s="52" t="s">
        <v>25</v>
      </c>
      <c r="F1492" s="52" t="s">
        <v>26</v>
      </c>
      <c r="G1492" s="53"/>
    </row>
    <row r="1493">
      <c r="A1493" s="49">
        <v>44528.22584293981</v>
      </c>
      <c r="B1493" s="50">
        <v>44528.3508150578</v>
      </c>
      <c r="C1493" s="51">
        <v>1.042</v>
      </c>
      <c r="D1493" s="51">
        <v>65.0</v>
      </c>
      <c r="E1493" s="52" t="s">
        <v>25</v>
      </c>
      <c r="F1493" s="52" t="s">
        <v>26</v>
      </c>
      <c r="G1493" s="53"/>
    </row>
    <row r="1494">
      <c r="A1494" s="49">
        <v>44528.23627918982</v>
      </c>
      <c r="B1494" s="50">
        <v>44528.3612491782</v>
      </c>
      <c r="C1494" s="51">
        <v>1.042</v>
      </c>
      <c r="D1494" s="51">
        <v>65.0</v>
      </c>
      <c r="E1494" s="52" t="s">
        <v>25</v>
      </c>
      <c r="F1494" s="52" t="s">
        <v>26</v>
      </c>
      <c r="G1494" s="53"/>
    </row>
    <row r="1495">
      <c r="A1495" s="49">
        <v>44528.2466963426</v>
      </c>
      <c r="B1495" s="50">
        <v>44528.3716711458</v>
      </c>
      <c r="C1495" s="51">
        <v>1.042</v>
      </c>
      <c r="D1495" s="51">
        <v>65.0</v>
      </c>
      <c r="E1495" s="52" t="s">
        <v>25</v>
      </c>
      <c r="F1495" s="52" t="s">
        <v>26</v>
      </c>
      <c r="G1495" s="53"/>
    </row>
    <row r="1496">
      <c r="A1496" s="49">
        <v>44528.25713614583</v>
      </c>
      <c r="B1496" s="50">
        <v>44528.3821157986</v>
      </c>
      <c r="C1496" s="51">
        <v>1.042</v>
      </c>
      <c r="D1496" s="51">
        <v>65.0</v>
      </c>
      <c r="E1496" s="52" t="s">
        <v>25</v>
      </c>
      <c r="F1496" s="52" t="s">
        <v>26</v>
      </c>
      <c r="G1496" s="53"/>
    </row>
    <row r="1497">
      <c r="A1497" s="49">
        <v>44528.267565902774</v>
      </c>
      <c r="B1497" s="50">
        <v>44528.3925367245</v>
      </c>
      <c r="C1497" s="51">
        <v>1.042</v>
      </c>
      <c r="D1497" s="51">
        <v>65.0</v>
      </c>
      <c r="E1497" s="52" t="s">
        <v>25</v>
      </c>
      <c r="F1497" s="52" t="s">
        <v>26</v>
      </c>
      <c r="G1497" s="53"/>
    </row>
    <row r="1498">
      <c r="A1498" s="49">
        <v>44528.27798135417</v>
      </c>
      <c r="B1498" s="50">
        <v>44528.4029571412</v>
      </c>
      <c r="C1498" s="51">
        <v>1.042</v>
      </c>
      <c r="D1498" s="51">
        <v>65.0</v>
      </c>
      <c r="E1498" s="52" t="s">
        <v>25</v>
      </c>
      <c r="F1498" s="52" t="s">
        <v>26</v>
      </c>
      <c r="G1498" s="53"/>
    </row>
    <row r="1499">
      <c r="A1499" s="49">
        <v>44528.28842</v>
      </c>
      <c r="B1499" s="50">
        <v>44528.4133895023</v>
      </c>
      <c r="C1499" s="51">
        <v>1.042</v>
      </c>
      <c r="D1499" s="51">
        <v>65.0</v>
      </c>
      <c r="E1499" s="52" t="s">
        <v>25</v>
      </c>
      <c r="F1499" s="52" t="s">
        <v>26</v>
      </c>
      <c r="G1499" s="53"/>
    </row>
    <row r="1500">
      <c r="A1500" s="49">
        <v>44528.29883398148</v>
      </c>
      <c r="B1500" s="50">
        <v>44528.4238097685</v>
      </c>
      <c r="C1500" s="51">
        <v>1.042</v>
      </c>
      <c r="D1500" s="51">
        <v>65.0</v>
      </c>
      <c r="E1500" s="52" t="s">
        <v>25</v>
      </c>
      <c r="F1500" s="52" t="s">
        <v>26</v>
      </c>
      <c r="G1500" s="53"/>
    </row>
    <row r="1501">
      <c r="A1501" s="49">
        <v>44528.30925842593</v>
      </c>
      <c r="B1501" s="50">
        <v>44528.4342309375</v>
      </c>
      <c r="C1501" s="51">
        <v>1.042</v>
      </c>
      <c r="D1501" s="51">
        <v>65.0</v>
      </c>
      <c r="E1501" s="52" t="s">
        <v>25</v>
      </c>
      <c r="F1501" s="52" t="s">
        <v>26</v>
      </c>
      <c r="G1501" s="53"/>
    </row>
    <row r="1502">
      <c r="A1502" s="49">
        <v>44528.31968513889</v>
      </c>
      <c r="B1502" s="50">
        <v>44528.4446524884</v>
      </c>
      <c r="C1502" s="51">
        <v>1.041</v>
      </c>
      <c r="D1502" s="51">
        <v>65.0</v>
      </c>
      <c r="E1502" s="52" t="s">
        <v>25</v>
      </c>
      <c r="F1502" s="52" t="s">
        <v>26</v>
      </c>
      <c r="G1502" s="53"/>
    </row>
    <row r="1503">
      <c r="A1503" s="49">
        <v>44528.33009971065</v>
      </c>
      <c r="B1503" s="50">
        <v>44528.4550735763</v>
      </c>
      <c r="C1503" s="51">
        <v>1.042</v>
      </c>
      <c r="D1503" s="51">
        <v>65.0</v>
      </c>
      <c r="E1503" s="52" t="s">
        <v>25</v>
      </c>
      <c r="F1503" s="52" t="s">
        <v>26</v>
      </c>
      <c r="G1503" s="53"/>
    </row>
    <row r="1504">
      <c r="A1504" s="49">
        <v>44528.34052550926</v>
      </c>
      <c r="B1504" s="50">
        <v>44528.4654935185</v>
      </c>
      <c r="C1504" s="51">
        <v>1.042</v>
      </c>
      <c r="D1504" s="51">
        <v>65.0</v>
      </c>
      <c r="E1504" s="52" t="s">
        <v>25</v>
      </c>
      <c r="F1504" s="52" t="s">
        <v>26</v>
      </c>
      <c r="G1504" s="53"/>
    </row>
    <row r="1505">
      <c r="A1505" s="49">
        <v>44528.35093871527</v>
      </c>
      <c r="B1505" s="50">
        <v>44528.475915243</v>
      </c>
      <c r="C1505" s="51">
        <v>1.042</v>
      </c>
      <c r="D1505" s="51">
        <v>65.0</v>
      </c>
      <c r="E1505" s="52" t="s">
        <v>25</v>
      </c>
      <c r="F1505" s="52" t="s">
        <v>26</v>
      </c>
      <c r="G1505" s="53"/>
    </row>
    <row r="1506">
      <c r="A1506" s="49">
        <v>44528.361359386574</v>
      </c>
      <c r="B1506" s="50">
        <v>44528.4863379745</v>
      </c>
      <c r="C1506" s="51">
        <v>1.041</v>
      </c>
      <c r="D1506" s="51">
        <v>65.0</v>
      </c>
      <c r="E1506" s="52" t="s">
        <v>25</v>
      </c>
      <c r="F1506" s="52" t="s">
        <v>26</v>
      </c>
      <c r="G1506" s="53"/>
    </row>
    <row r="1507">
      <c r="A1507" s="49">
        <v>44528.37178717593</v>
      </c>
      <c r="B1507" s="50">
        <v>44528.4967583564</v>
      </c>
      <c r="C1507" s="51">
        <v>1.041</v>
      </c>
      <c r="D1507" s="51">
        <v>65.0</v>
      </c>
      <c r="E1507" s="52" t="s">
        <v>25</v>
      </c>
      <c r="F1507" s="52" t="s">
        <v>26</v>
      </c>
      <c r="G1507" s="53"/>
    </row>
    <row r="1508">
      <c r="A1508" s="49">
        <v>44528.38220854166</v>
      </c>
      <c r="B1508" s="50">
        <v>44528.5071799189</v>
      </c>
      <c r="C1508" s="51">
        <v>1.041</v>
      </c>
      <c r="D1508" s="51">
        <v>65.0</v>
      </c>
      <c r="E1508" s="52" t="s">
        <v>25</v>
      </c>
      <c r="F1508" s="52" t="s">
        <v>26</v>
      </c>
      <c r="G1508" s="53"/>
    </row>
    <row r="1509">
      <c r="A1509" s="49">
        <v>44528.392657662036</v>
      </c>
      <c r="B1509" s="50">
        <v>44528.5176020254</v>
      </c>
      <c r="C1509" s="51">
        <v>1.041</v>
      </c>
      <c r="D1509" s="51">
        <v>65.0</v>
      </c>
      <c r="E1509" s="52" t="s">
        <v>25</v>
      </c>
      <c r="F1509" s="52" t="s">
        <v>26</v>
      </c>
      <c r="G1509" s="53"/>
    </row>
    <row r="1510">
      <c r="A1510" s="49">
        <v>44528.40306351852</v>
      </c>
      <c r="B1510" s="50">
        <v>44528.5280349768</v>
      </c>
      <c r="C1510" s="51">
        <v>1.041</v>
      </c>
      <c r="D1510" s="51">
        <v>65.0</v>
      </c>
      <c r="E1510" s="52" t="s">
        <v>25</v>
      </c>
      <c r="F1510" s="52" t="s">
        <v>26</v>
      </c>
      <c r="G1510" s="53"/>
    </row>
    <row r="1511">
      <c r="A1511" s="49">
        <v>44528.41349106481</v>
      </c>
      <c r="B1511" s="50">
        <v>44528.5384582291</v>
      </c>
      <c r="C1511" s="51">
        <v>1.041</v>
      </c>
      <c r="D1511" s="51">
        <v>65.0</v>
      </c>
      <c r="E1511" s="52" t="s">
        <v>25</v>
      </c>
      <c r="F1511" s="52" t="s">
        <v>26</v>
      </c>
      <c r="G1511" s="53"/>
    </row>
    <row r="1512">
      <c r="A1512" s="49">
        <v>44528.42390543981</v>
      </c>
      <c r="B1512" s="50">
        <v>44528.5488781712</v>
      </c>
      <c r="C1512" s="51">
        <v>1.041</v>
      </c>
      <c r="D1512" s="51">
        <v>65.0</v>
      </c>
      <c r="E1512" s="52" t="s">
        <v>25</v>
      </c>
      <c r="F1512" s="52" t="s">
        <v>26</v>
      </c>
      <c r="G1512" s="53"/>
    </row>
    <row r="1513">
      <c r="A1513" s="49">
        <v>44528.434331689816</v>
      </c>
      <c r="B1513" s="50">
        <v>44528.5592998032</v>
      </c>
      <c r="C1513" s="51">
        <v>1.041</v>
      </c>
      <c r="D1513" s="51">
        <v>65.0</v>
      </c>
      <c r="E1513" s="52" t="s">
        <v>25</v>
      </c>
      <c r="F1513" s="52" t="s">
        <v>26</v>
      </c>
      <c r="G1513" s="53"/>
    </row>
    <row r="1514">
      <c r="A1514" s="49">
        <v>44528.44475681713</v>
      </c>
      <c r="B1514" s="50">
        <v>44528.5697329513</v>
      </c>
      <c r="C1514" s="51">
        <v>1.041</v>
      </c>
      <c r="D1514" s="51">
        <v>65.0</v>
      </c>
      <c r="E1514" s="52" t="s">
        <v>25</v>
      </c>
      <c r="F1514" s="52" t="s">
        <v>26</v>
      </c>
      <c r="G1514" s="53"/>
    </row>
    <row r="1515">
      <c r="A1515" s="49">
        <v>44528.455198854164</v>
      </c>
      <c r="B1515" s="50">
        <v>44528.580165787</v>
      </c>
      <c r="C1515" s="51">
        <v>1.041</v>
      </c>
      <c r="D1515" s="51">
        <v>65.0</v>
      </c>
      <c r="E1515" s="52" t="s">
        <v>25</v>
      </c>
      <c r="F1515" s="52" t="s">
        <v>26</v>
      </c>
      <c r="G1515" s="53"/>
    </row>
    <row r="1516">
      <c r="A1516" s="49">
        <v>44528.46561724537</v>
      </c>
      <c r="B1516" s="50">
        <v>44528.5905874189</v>
      </c>
      <c r="C1516" s="51">
        <v>1.041</v>
      </c>
      <c r="D1516" s="51">
        <v>65.0</v>
      </c>
      <c r="E1516" s="52" t="s">
        <v>25</v>
      </c>
      <c r="F1516" s="52" t="s">
        <v>26</v>
      </c>
      <c r="G1516" s="53"/>
    </row>
    <row r="1517">
      <c r="A1517" s="49">
        <v>44528.476033125</v>
      </c>
      <c r="B1517" s="50">
        <v>44528.6010077314</v>
      </c>
      <c r="C1517" s="51">
        <v>1.041</v>
      </c>
      <c r="D1517" s="51">
        <v>65.0</v>
      </c>
      <c r="E1517" s="52" t="s">
        <v>25</v>
      </c>
      <c r="F1517" s="52" t="s">
        <v>26</v>
      </c>
      <c r="G1517" s="53"/>
    </row>
    <row r="1518">
      <c r="A1518" s="49">
        <v>44528.48645686342</v>
      </c>
      <c r="B1518" s="50">
        <v>44528.611428831</v>
      </c>
      <c r="C1518" s="51">
        <v>1.041</v>
      </c>
      <c r="D1518" s="51">
        <v>65.0</v>
      </c>
      <c r="E1518" s="52" t="s">
        <v>25</v>
      </c>
      <c r="F1518" s="52" t="s">
        <v>26</v>
      </c>
      <c r="G1518" s="53"/>
    </row>
    <row r="1519">
      <c r="A1519" s="49">
        <v>44528.496871111114</v>
      </c>
      <c r="B1519" s="50">
        <v>44528.6218500925</v>
      </c>
      <c r="C1519" s="51">
        <v>1.041</v>
      </c>
      <c r="D1519" s="51">
        <v>65.0</v>
      </c>
      <c r="E1519" s="52" t="s">
        <v>25</v>
      </c>
      <c r="F1519" s="52" t="s">
        <v>26</v>
      </c>
      <c r="G1519" s="53"/>
    </row>
    <row r="1520">
      <c r="A1520" s="49">
        <v>44528.50730457176</v>
      </c>
      <c r="B1520" s="50">
        <v>44528.6322708796</v>
      </c>
      <c r="C1520" s="51">
        <v>1.041</v>
      </c>
      <c r="D1520" s="51">
        <v>65.0</v>
      </c>
      <c r="E1520" s="52" t="s">
        <v>25</v>
      </c>
      <c r="F1520" s="52" t="s">
        <v>26</v>
      </c>
      <c r="G1520" s="53"/>
    </row>
    <row r="1521">
      <c r="A1521" s="49">
        <v>44528.51771921296</v>
      </c>
      <c r="B1521" s="50">
        <v>44528.6426915625</v>
      </c>
      <c r="C1521" s="51">
        <v>1.041</v>
      </c>
      <c r="D1521" s="51">
        <v>65.0</v>
      </c>
      <c r="E1521" s="52" t="s">
        <v>25</v>
      </c>
      <c r="F1521" s="52" t="s">
        <v>26</v>
      </c>
      <c r="G1521" s="53"/>
    </row>
    <row r="1522">
      <c r="A1522" s="49">
        <v>44528.52814314815</v>
      </c>
      <c r="B1522" s="50">
        <v>44528.6531144791</v>
      </c>
      <c r="C1522" s="51">
        <v>1.041</v>
      </c>
      <c r="D1522" s="51">
        <v>65.0</v>
      </c>
      <c r="E1522" s="52" t="s">
        <v>25</v>
      </c>
      <c r="F1522" s="52" t="s">
        <v>26</v>
      </c>
      <c r="G1522" s="53"/>
    </row>
    <row r="1523">
      <c r="A1523" s="49">
        <v>44528.53856947916</v>
      </c>
      <c r="B1523" s="50">
        <v>44528.6635359259</v>
      </c>
      <c r="C1523" s="51">
        <v>1.041</v>
      </c>
      <c r="D1523" s="51">
        <v>65.0</v>
      </c>
      <c r="E1523" s="52" t="s">
        <v>25</v>
      </c>
      <c r="F1523" s="52" t="s">
        <v>26</v>
      </c>
      <c r="G1523" s="53"/>
    </row>
    <row r="1524">
      <c r="A1524" s="49">
        <v>44528.54900327546</v>
      </c>
      <c r="B1524" s="50">
        <v>44528.6739690046</v>
      </c>
      <c r="C1524" s="51">
        <v>1.041</v>
      </c>
      <c r="D1524" s="51">
        <v>65.0</v>
      </c>
      <c r="E1524" s="52" t="s">
        <v>25</v>
      </c>
      <c r="F1524" s="52" t="s">
        <v>26</v>
      </c>
      <c r="G1524" s="53"/>
    </row>
    <row r="1525">
      <c r="A1525" s="49">
        <v>44528.559413553245</v>
      </c>
      <c r="B1525" s="50">
        <v>44528.6843910648</v>
      </c>
      <c r="C1525" s="51">
        <v>1.041</v>
      </c>
      <c r="D1525" s="51">
        <v>65.0</v>
      </c>
      <c r="E1525" s="52" t="s">
        <v>25</v>
      </c>
      <c r="F1525" s="52" t="s">
        <v>26</v>
      </c>
      <c r="G1525" s="53"/>
    </row>
    <row r="1526">
      <c r="A1526" s="49">
        <v>44528.570313414355</v>
      </c>
      <c r="B1526" s="50">
        <v>44528.6948106944</v>
      </c>
      <c r="C1526" s="51">
        <v>1.041</v>
      </c>
      <c r="D1526" s="51">
        <v>65.0</v>
      </c>
      <c r="E1526" s="52" t="s">
        <v>25</v>
      </c>
      <c r="F1526" s="52" t="s">
        <v>26</v>
      </c>
      <c r="G1526" s="53"/>
    </row>
    <row r="1527">
      <c r="A1527" s="49">
        <v>44528.580280208334</v>
      </c>
      <c r="B1527" s="50">
        <v>44528.7052433796</v>
      </c>
      <c r="C1527" s="51">
        <v>1.041</v>
      </c>
      <c r="D1527" s="51">
        <v>65.0</v>
      </c>
      <c r="E1527" s="52" t="s">
        <v>25</v>
      </c>
      <c r="F1527" s="52" t="s">
        <v>26</v>
      </c>
      <c r="G1527" s="53"/>
    </row>
    <row r="1528">
      <c r="A1528" s="49">
        <v>44528.590690972225</v>
      </c>
      <c r="B1528" s="50">
        <v>44528.7156635416</v>
      </c>
      <c r="C1528" s="51">
        <v>1.041</v>
      </c>
      <c r="D1528" s="51">
        <v>65.0</v>
      </c>
      <c r="E1528" s="52" t="s">
        <v>25</v>
      </c>
      <c r="F1528" s="52" t="s">
        <v>26</v>
      </c>
      <c r="G1528" s="53"/>
    </row>
    <row r="1529">
      <c r="A1529" s="49">
        <v>44528.601114641206</v>
      </c>
      <c r="B1529" s="50">
        <v>44528.7260848263</v>
      </c>
      <c r="C1529" s="51">
        <v>1.041</v>
      </c>
      <c r="D1529" s="51">
        <v>65.0</v>
      </c>
      <c r="E1529" s="52" t="s">
        <v>25</v>
      </c>
      <c r="F1529" s="52" t="s">
        <v>26</v>
      </c>
      <c r="G1529" s="53"/>
    </row>
    <row r="1530">
      <c r="A1530" s="49">
        <v>44528.61154533565</v>
      </c>
      <c r="B1530" s="50">
        <v>44528.7365185416</v>
      </c>
      <c r="C1530" s="51">
        <v>1.041</v>
      </c>
      <c r="D1530" s="51">
        <v>65.0</v>
      </c>
      <c r="E1530" s="52" t="s">
        <v>25</v>
      </c>
      <c r="F1530" s="52" t="s">
        <v>26</v>
      </c>
      <c r="G1530" s="53"/>
    </row>
    <row r="1531">
      <c r="A1531" s="49">
        <v>44528.621975104164</v>
      </c>
      <c r="B1531" s="50">
        <v>44528.7469409143</v>
      </c>
      <c r="C1531" s="51">
        <v>1.041</v>
      </c>
      <c r="D1531" s="51">
        <v>65.0</v>
      </c>
      <c r="E1531" s="52" t="s">
        <v>25</v>
      </c>
      <c r="F1531" s="52" t="s">
        <v>26</v>
      </c>
      <c r="G1531" s="53"/>
    </row>
    <row r="1532">
      <c r="A1532" s="49">
        <v>44528.632393113425</v>
      </c>
      <c r="B1532" s="50">
        <v>44528.7573625115</v>
      </c>
      <c r="C1532" s="51">
        <v>1.041</v>
      </c>
      <c r="D1532" s="51">
        <v>65.0</v>
      </c>
      <c r="E1532" s="52" t="s">
        <v>25</v>
      </c>
      <c r="F1532" s="52" t="s">
        <v>26</v>
      </c>
      <c r="G1532" s="53"/>
    </row>
    <row r="1533">
      <c r="A1533" s="49">
        <v>44528.64281733797</v>
      </c>
      <c r="B1533" s="50">
        <v>44528.7677850694</v>
      </c>
      <c r="C1533" s="51">
        <v>1.041</v>
      </c>
      <c r="D1533" s="51">
        <v>65.0</v>
      </c>
      <c r="E1533" s="52" t="s">
        <v>25</v>
      </c>
      <c r="F1533" s="52" t="s">
        <v>26</v>
      </c>
      <c r="G1533" s="53"/>
    </row>
    <row r="1534">
      <c r="A1534" s="49">
        <v>44528.65323611111</v>
      </c>
      <c r="B1534" s="50">
        <v>44528.7782065393</v>
      </c>
      <c r="C1534" s="51">
        <v>1.041</v>
      </c>
      <c r="D1534" s="51">
        <v>65.0</v>
      </c>
      <c r="E1534" s="52" t="s">
        <v>25</v>
      </c>
      <c r="F1534" s="52" t="s">
        <v>26</v>
      </c>
      <c r="G1534" s="53"/>
    </row>
    <row r="1535">
      <c r="A1535" s="49">
        <v>44528.66367768518</v>
      </c>
      <c r="B1535" s="50">
        <v>44528.7886527777</v>
      </c>
      <c r="C1535" s="51">
        <v>1.041</v>
      </c>
      <c r="D1535" s="51">
        <v>65.0</v>
      </c>
      <c r="E1535" s="52" t="s">
        <v>25</v>
      </c>
      <c r="F1535" s="52" t="s">
        <v>26</v>
      </c>
      <c r="G1535" s="53"/>
    </row>
    <row r="1536">
      <c r="A1536" s="49">
        <v>44528.674108391206</v>
      </c>
      <c r="B1536" s="50">
        <v>44528.7990869097</v>
      </c>
      <c r="C1536" s="51">
        <v>1.041</v>
      </c>
      <c r="D1536" s="51">
        <v>65.0</v>
      </c>
      <c r="E1536" s="52" t="s">
        <v>25</v>
      </c>
      <c r="F1536" s="52" t="s">
        <v>26</v>
      </c>
      <c r="G1536" s="53"/>
    </row>
    <row r="1537">
      <c r="A1537" s="49">
        <v>44528.684536886576</v>
      </c>
      <c r="B1537" s="50">
        <v>44528.8095080902</v>
      </c>
      <c r="C1537" s="51">
        <v>1.041</v>
      </c>
      <c r="D1537" s="51">
        <v>65.0</v>
      </c>
      <c r="E1537" s="52" t="s">
        <v>25</v>
      </c>
      <c r="F1537" s="52" t="s">
        <v>26</v>
      </c>
      <c r="G1537" s="53"/>
    </row>
    <row r="1538">
      <c r="A1538" s="49">
        <v>44528.69494646991</v>
      </c>
      <c r="B1538" s="50">
        <v>44528.819928368</v>
      </c>
      <c r="C1538" s="51">
        <v>1.041</v>
      </c>
      <c r="D1538" s="51">
        <v>65.0</v>
      </c>
      <c r="E1538" s="52" t="s">
        <v>25</v>
      </c>
      <c r="F1538" s="52" t="s">
        <v>26</v>
      </c>
      <c r="G1538" s="53"/>
    </row>
    <row r="1539">
      <c r="A1539" s="49">
        <v>44528.70537125</v>
      </c>
      <c r="B1539" s="50">
        <v>44528.83034853</v>
      </c>
      <c r="C1539" s="51">
        <v>1.041</v>
      </c>
      <c r="D1539" s="51">
        <v>65.0</v>
      </c>
      <c r="E1539" s="52" t="s">
        <v>25</v>
      </c>
      <c r="F1539" s="52" t="s">
        <v>26</v>
      </c>
      <c r="G1539" s="53"/>
    </row>
    <row r="1540">
      <c r="A1540" s="49">
        <v>44528.71579663194</v>
      </c>
      <c r="B1540" s="50">
        <v>44528.840770949</v>
      </c>
      <c r="C1540" s="51">
        <v>1.041</v>
      </c>
      <c r="D1540" s="51">
        <v>65.0</v>
      </c>
      <c r="E1540" s="52" t="s">
        <v>25</v>
      </c>
      <c r="F1540" s="52" t="s">
        <v>26</v>
      </c>
      <c r="G1540" s="53"/>
    </row>
    <row r="1541">
      <c r="A1541" s="49">
        <v>44528.72622303241</v>
      </c>
      <c r="B1541" s="50">
        <v>44528.8511938657</v>
      </c>
      <c r="C1541" s="51">
        <v>1.041</v>
      </c>
      <c r="D1541" s="51">
        <v>65.0</v>
      </c>
      <c r="E1541" s="52" t="s">
        <v>25</v>
      </c>
      <c r="F1541" s="52" t="s">
        <v>26</v>
      </c>
      <c r="G1541" s="53"/>
    </row>
    <row r="1542">
      <c r="A1542" s="49">
        <v>44528.73663890046</v>
      </c>
      <c r="B1542" s="50">
        <v>44528.861615787</v>
      </c>
      <c r="C1542" s="51">
        <v>1.041</v>
      </c>
      <c r="D1542" s="51">
        <v>65.0</v>
      </c>
      <c r="E1542" s="52" t="s">
        <v>25</v>
      </c>
      <c r="F1542" s="52" t="s">
        <v>26</v>
      </c>
      <c r="G1542" s="53"/>
    </row>
    <row r="1543">
      <c r="A1543" s="49">
        <v>44528.74705655093</v>
      </c>
      <c r="B1543" s="50">
        <v>44528.8720382754</v>
      </c>
      <c r="C1543" s="51">
        <v>1.041</v>
      </c>
      <c r="D1543" s="51">
        <v>65.0</v>
      </c>
      <c r="E1543" s="52" t="s">
        <v>25</v>
      </c>
      <c r="F1543" s="52" t="s">
        <v>26</v>
      </c>
      <c r="G1543" s="53"/>
    </row>
    <row r="1544">
      <c r="A1544" s="49">
        <v>44528.75748829861</v>
      </c>
      <c r="B1544" s="50">
        <v>44528.8824601504</v>
      </c>
      <c r="C1544" s="51">
        <v>1.041</v>
      </c>
      <c r="D1544" s="51">
        <v>65.0</v>
      </c>
      <c r="E1544" s="52" t="s">
        <v>25</v>
      </c>
      <c r="F1544" s="52" t="s">
        <v>26</v>
      </c>
      <c r="G1544" s="53"/>
    </row>
    <row r="1545">
      <c r="A1545" s="49">
        <v>44528.7679125</v>
      </c>
      <c r="B1545" s="50">
        <v>44528.8928812847</v>
      </c>
      <c r="C1545" s="51">
        <v>1.041</v>
      </c>
      <c r="D1545" s="51">
        <v>65.0</v>
      </c>
      <c r="E1545" s="52" t="s">
        <v>25</v>
      </c>
      <c r="F1545" s="52" t="s">
        <v>26</v>
      </c>
      <c r="G1545" s="53"/>
    </row>
    <row r="1546">
      <c r="A1546" s="49">
        <v>44528.778328263885</v>
      </c>
      <c r="B1546" s="50">
        <v>44528.903302199</v>
      </c>
      <c r="C1546" s="51">
        <v>1.041</v>
      </c>
      <c r="D1546" s="51">
        <v>65.0</v>
      </c>
      <c r="E1546" s="52" t="s">
        <v>25</v>
      </c>
      <c r="F1546" s="52" t="s">
        <v>26</v>
      </c>
      <c r="G1546" s="53"/>
    </row>
    <row r="1547">
      <c r="A1547" s="49">
        <v>44528.78875998843</v>
      </c>
      <c r="B1547" s="50">
        <v>44528.9137354745</v>
      </c>
      <c r="C1547" s="51">
        <v>1.041</v>
      </c>
      <c r="D1547" s="51">
        <v>65.0</v>
      </c>
      <c r="E1547" s="52" t="s">
        <v>25</v>
      </c>
      <c r="F1547" s="52" t="s">
        <v>26</v>
      </c>
      <c r="G1547" s="53"/>
    </row>
    <row r="1548">
      <c r="A1548" s="49">
        <v>44528.799176817134</v>
      </c>
      <c r="B1548" s="50">
        <v>44528.924155706</v>
      </c>
      <c r="C1548" s="51">
        <v>1.041</v>
      </c>
      <c r="D1548" s="51">
        <v>65.0</v>
      </c>
      <c r="E1548" s="52" t="s">
        <v>25</v>
      </c>
      <c r="F1548" s="52" t="s">
        <v>26</v>
      </c>
      <c r="G1548" s="53"/>
    </row>
    <row r="1549">
      <c r="A1549" s="49">
        <v>44528.80959712963</v>
      </c>
      <c r="B1549" s="50">
        <v>44528.9345781944</v>
      </c>
      <c r="C1549" s="51">
        <v>1.041</v>
      </c>
      <c r="D1549" s="51">
        <v>65.0</v>
      </c>
      <c r="E1549" s="52" t="s">
        <v>25</v>
      </c>
      <c r="F1549" s="52" t="s">
        <v>26</v>
      </c>
      <c r="G1549" s="53"/>
    </row>
    <row r="1550">
      <c r="A1550" s="49">
        <v>44528.820029780094</v>
      </c>
      <c r="B1550" s="50">
        <v>44528.9449993171</v>
      </c>
      <c r="C1550" s="51">
        <v>1.041</v>
      </c>
      <c r="D1550" s="51">
        <v>65.0</v>
      </c>
      <c r="E1550" s="52" t="s">
        <v>25</v>
      </c>
      <c r="F1550" s="52" t="s">
        <v>26</v>
      </c>
      <c r="G1550" s="53"/>
    </row>
    <row r="1551">
      <c r="A1551" s="49">
        <v>44528.83044672453</v>
      </c>
      <c r="B1551" s="50">
        <v>44528.9554208564</v>
      </c>
      <c r="C1551" s="51">
        <v>1.041</v>
      </c>
      <c r="D1551" s="51">
        <v>65.0</v>
      </c>
      <c r="E1551" s="52" t="s">
        <v>25</v>
      </c>
      <c r="F1551" s="52" t="s">
        <v>26</v>
      </c>
      <c r="G1551" s="53"/>
    </row>
    <row r="1552">
      <c r="A1552" s="49">
        <v>44528.84086304398</v>
      </c>
      <c r="B1552" s="50">
        <v>44528.9658404861</v>
      </c>
      <c r="C1552" s="51">
        <v>1.041</v>
      </c>
      <c r="D1552" s="51">
        <v>65.0</v>
      </c>
      <c r="E1552" s="52" t="s">
        <v>25</v>
      </c>
      <c r="F1552" s="52" t="s">
        <v>26</v>
      </c>
      <c r="G1552" s="53"/>
    </row>
    <row r="1553">
      <c r="A1553" s="49">
        <v>44528.8512816088</v>
      </c>
      <c r="B1553" s="50">
        <v>44528.9762620023</v>
      </c>
      <c r="C1553" s="51">
        <v>1.041</v>
      </c>
      <c r="D1553" s="51">
        <v>65.0</v>
      </c>
      <c r="E1553" s="52" t="s">
        <v>25</v>
      </c>
      <c r="F1553" s="52" t="s">
        <v>26</v>
      </c>
      <c r="G1553" s="53"/>
    </row>
    <row r="1554">
      <c r="A1554" s="49">
        <v>44528.861718252316</v>
      </c>
      <c r="B1554" s="50">
        <v>44528.9866825462</v>
      </c>
      <c r="C1554" s="51">
        <v>1.04</v>
      </c>
      <c r="D1554" s="51">
        <v>65.0</v>
      </c>
      <c r="E1554" s="52" t="s">
        <v>25</v>
      </c>
      <c r="F1554" s="52" t="s">
        <v>26</v>
      </c>
      <c r="G1554" s="53"/>
    </row>
    <row r="1555">
      <c r="A1555" s="49">
        <v>44528.872139467596</v>
      </c>
      <c r="B1555" s="50">
        <v>44528.9971151041</v>
      </c>
      <c r="C1555" s="51">
        <v>1.041</v>
      </c>
      <c r="D1555" s="51">
        <v>65.0</v>
      </c>
      <c r="E1555" s="52" t="s">
        <v>25</v>
      </c>
      <c r="F1555" s="52" t="s">
        <v>26</v>
      </c>
      <c r="G1555" s="53"/>
    </row>
    <row r="1556">
      <c r="A1556" s="49">
        <v>44528.88255498843</v>
      </c>
      <c r="B1556" s="50">
        <v>44529.00753625</v>
      </c>
      <c r="C1556" s="51">
        <v>1.041</v>
      </c>
      <c r="D1556" s="51">
        <v>65.0</v>
      </c>
      <c r="E1556" s="52" t="s">
        <v>25</v>
      </c>
      <c r="F1556" s="52" t="s">
        <v>26</v>
      </c>
      <c r="G1556" s="53"/>
    </row>
    <row r="1557">
      <c r="A1557" s="49">
        <v>44528.89299030093</v>
      </c>
      <c r="B1557" s="50">
        <v>44529.017958368</v>
      </c>
      <c r="C1557" s="51">
        <v>1.04</v>
      </c>
      <c r="D1557" s="51">
        <v>64.0</v>
      </c>
      <c r="E1557" s="52" t="s">
        <v>25</v>
      </c>
      <c r="F1557" s="52" t="s">
        <v>26</v>
      </c>
      <c r="G1557" s="53"/>
    </row>
    <row r="1558">
      <c r="A1558" s="49">
        <v>44528.90340947917</v>
      </c>
      <c r="B1558" s="50">
        <v>44529.0283795601</v>
      </c>
      <c r="C1558" s="51">
        <v>1.04</v>
      </c>
      <c r="D1558" s="51">
        <v>64.0</v>
      </c>
      <c r="E1558" s="52" t="s">
        <v>25</v>
      </c>
      <c r="F1558" s="52" t="s">
        <v>26</v>
      </c>
      <c r="G1558" s="53"/>
    </row>
    <row r="1559">
      <c r="A1559" s="49">
        <v>44528.91386085648</v>
      </c>
      <c r="B1559" s="50">
        <v>44529.0388354513</v>
      </c>
      <c r="C1559" s="51">
        <v>1.04</v>
      </c>
      <c r="D1559" s="51">
        <v>65.0</v>
      </c>
      <c r="E1559" s="52" t="s">
        <v>25</v>
      </c>
      <c r="F1559" s="52" t="s">
        <v>26</v>
      </c>
      <c r="G1559" s="53"/>
    </row>
    <row r="1560">
      <c r="A1560" s="49">
        <v>44528.92428033565</v>
      </c>
      <c r="B1560" s="50">
        <v>44529.0492573842</v>
      </c>
      <c r="C1560" s="51">
        <v>1.04</v>
      </c>
      <c r="D1560" s="51">
        <v>65.0</v>
      </c>
      <c r="E1560" s="52" t="s">
        <v>25</v>
      </c>
      <c r="F1560" s="52" t="s">
        <v>26</v>
      </c>
      <c r="G1560" s="53"/>
    </row>
    <row r="1561">
      <c r="A1561" s="49">
        <v>44528.93469995371</v>
      </c>
      <c r="B1561" s="50">
        <v>44529.0596775694</v>
      </c>
      <c r="C1561" s="51">
        <v>1.04</v>
      </c>
      <c r="D1561" s="51">
        <v>64.0</v>
      </c>
      <c r="E1561" s="52" t="s">
        <v>25</v>
      </c>
      <c r="F1561" s="52" t="s">
        <v>26</v>
      </c>
      <c r="G1561" s="53"/>
    </row>
    <row r="1562">
      <c r="A1562" s="49">
        <v>44528.94512243055</v>
      </c>
      <c r="B1562" s="50">
        <v>44529.0700989814</v>
      </c>
      <c r="C1562" s="51">
        <v>1.04</v>
      </c>
      <c r="D1562" s="51">
        <v>65.0</v>
      </c>
      <c r="E1562" s="52" t="s">
        <v>25</v>
      </c>
      <c r="F1562" s="52" t="s">
        <v>26</v>
      </c>
      <c r="G1562" s="53"/>
    </row>
    <row r="1563">
      <c r="A1563" s="49">
        <v>44528.95554519676</v>
      </c>
      <c r="B1563" s="50">
        <v>44529.0805195486</v>
      </c>
      <c r="C1563" s="51">
        <v>1.04</v>
      </c>
      <c r="D1563" s="51">
        <v>64.0</v>
      </c>
      <c r="E1563" s="52" t="s">
        <v>25</v>
      </c>
      <c r="F1563" s="52" t="s">
        <v>26</v>
      </c>
      <c r="G1563" s="53"/>
    </row>
    <row r="1564">
      <c r="A1564" s="49">
        <v>44528.96596951388</v>
      </c>
      <c r="B1564" s="50">
        <v>44529.0909422685</v>
      </c>
      <c r="C1564" s="51">
        <v>1.04</v>
      </c>
      <c r="D1564" s="51">
        <v>65.0</v>
      </c>
      <c r="E1564" s="52" t="s">
        <v>25</v>
      </c>
      <c r="F1564" s="52" t="s">
        <v>26</v>
      </c>
      <c r="G1564" s="53"/>
    </row>
    <row r="1565">
      <c r="A1565" s="49">
        <v>44528.976384305555</v>
      </c>
      <c r="B1565" s="50">
        <v>44529.1013647222</v>
      </c>
      <c r="C1565" s="51">
        <v>1.04</v>
      </c>
      <c r="D1565" s="51">
        <v>64.0</v>
      </c>
      <c r="E1565" s="52" t="s">
        <v>25</v>
      </c>
      <c r="F1565" s="52" t="s">
        <v>26</v>
      </c>
      <c r="G1565" s="53"/>
    </row>
    <row r="1566">
      <c r="A1566" s="49">
        <v>44528.98682497685</v>
      </c>
      <c r="B1566" s="50">
        <v>44529.1117870717</v>
      </c>
      <c r="C1566" s="51">
        <v>1.04</v>
      </c>
      <c r="D1566" s="51">
        <v>64.0</v>
      </c>
      <c r="E1566" s="52" t="s">
        <v>25</v>
      </c>
      <c r="F1566" s="52" t="s">
        <v>26</v>
      </c>
      <c r="G1566" s="53"/>
    </row>
    <row r="1567">
      <c r="A1567" s="49">
        <v>44528.99722734954</v>
      </c>
      <c r="B1567" s="50">
        <v>44529.1222074421</v>
      </c>
      <c r="C1567" s="51">
        <v>1.04</v>
      </c>
      <c r="D1567" s="51">
        <v>64.0</v>
      </c>
      <c r="E1567" s="52" t="s">
        <v>25</v>
      </c>
      <c r="F1567" s="52" t="s">
        <v>26</v>
      </c>
      <c r="G1567" s="53"/>
    </row>
    <row r="1568">
      <c r="A1568" s="49">
        <v>44529.007650949075</v>
      </c>
      <c r="B1568" s="50">
        <v>44529.1326285648</v>
      </c>
      <c r="C1568" s="51">
        <v>1.04</v>
      </c>
      <c r="D1568" s="51">
        <v>64.0</v>
      </c>
      <c r="E1568" s="52" t="s">
        <v>25</v>
      </c>
      <c r="F1568" s="52" t="s">
        <v>26</v>
      </c>
      <c r="G1568" s="53"/>
    </row>
    <row r="1569">
      <c r="A1569" s="49">
        <v>44529.018071134255</v>
      </c>
      <c r="B1569" s="50">
        <v>44529.1430492824</v>
      </c>
      <c r="C1569" s="51">
        <v>1.04</v>
      </c>
      <c r="D1569" s="51">
        <v>64.0</v>
      </c>
      <c r="E1569" s="52" t="s">
        <v>25</v>
      </c>
      <c r="F1569" s="52" t="s">
        <v>26</v>
      </c>
      <c r="G1569" s="53"/>
    </row>
    <row r="1570">
      <c r="A1570" s="49">
        <v>44529.02849488426</v>
      </c>
      <c r="B1570" s="50">
        <v>44529.1534705902</v>
      </c>
      <c r="C1570" s="51">
        <v>1.04</v>
      </c>
      <c r="D1570" s="51">
        <v>64.0</v>
      </c>
      <c r="E1570" s="52" t="s">
        <v>25</v>
      </c>
      <c r="F1570" s="52" t="s">
        <v>26</v>
      </c>
      <c r="G1570" s="53"/>
    </row>
    <row r="1571">
      <c r="A1571" s="49">
        <v>44529.03891076389</v>
      </c>
      <c r="B1571" s="50">
        <v>44529.1638918518</v>
      </c>
      <c r="C1571" s="51">
        <v>1.04</v>
      </c>
      <c r="D1571" s="51">
        <v>64.0</v>
      </c>
      <c r="E1571" s="52" t="s">
        <v>25</v>
      </c>
      <c r="F1571" s="52" t="s">
        <v>26</v>
      </c>
      <c r="G1571" s="53"/>
    </row>
    <row r="1572">
      <c r="A1572" s="49">
        <v>44529.04933915509</v>
      </c>
      <c r="B1572" s="50">
        <v>44529.1743144328</v>
      </c>
      <c r="C1572" s="51">
        <v>1.04</v>
      </c>
      <c r="D1572" s="51">
        <v>64.0</v>
      </c>
      <c r="E1572" s="52" t="s">
        <v>25</v>
      </c>
      <c r="F1572" s="52" t="s">
        <v>26</v>
      </c>
      <c r="G1572" s="53"/>
    </row>
    <row r="1573">
      <c r="A1573" s="49">
        <v>44529.059770810185</v>
      </c>
      <c r="B1573" s="50">
        <v>44529.18473478</v>
      </c>
      <c r="C1573" s="51">
        <v>1.04</v>
      </c>
      <c r="D1573" s="51">
        <v>64.0</v>
      </c>
      <c r="E1573" s="52" t="s">
        <v>25</v>
      </c>
      <c r="F1573" s="52" t="s">
        <v>26</v>
      </c>
      <c r="G1573" s="53"/>
    </row>
    <row r="1574">
      <c r="A1574" s="49">
        <v>44529.07018048612</v>
      </c>
      <c r="B1574" s="50">
        <v>44529.195158287</v>
      </c>
      <c r="C1574" s="51">
        <v>1.04</v>
      </c>
      <c r="D1574" s="51">
        <v>64.0</v>
      </c>
      <c r="E1574" s="52" t="s">
        <v>25</v>
      </c>
      <c r="F1574" s="52" t="s">
        <v>26</v>
      </c>
      <c r="G1574" s="53"/>
    </row>
    <row r="1575">
      <c r="A1575" s="49">
        <v>44529.08061793981</v>
      </c>
      <c r="B1575" s="50">
        <v>44529.2055919097</v>
      </c>
      <c r="C1575" s="51">
        <v>1.04</v>
      </c>
      <c r="D1575" s="51">
        <v>64.0</v>
      </c>
      <c r="E1575" s="52" t="s">
        <v>25</v>
      </c>
      <c r="F1575" s="52" t="s">
        <v>26</v>
      </c>
      <c r="G1575" s="53"/>
    </row>
    <row r="1576">
      <c r="A1576" s="49">
        <v>44529.09105847222</v>
      </c>
      <c r="B1576" s="50">
        <v>44529.2160117245</v>
      </c>
      <c r="C1576" s="51">
        <v>1.04</v>
      </c>
      <c r="D1576" s="51">
        <v>64.0</v>
      </c>
      <c r="E1576" s="52" t="s">
        <v>25</v>
      </c>
      <c r="F1576" s="52" t="s">
        <v>26</v>
      </c>
      <c r="G1576" s="53"/>
    </row>
    <row r="1577">
      <c r="A1577" s="49">
        <v>44529.101475682866</v>
      </c>
      <c r="B1577" s="50">
        <v>44529.2264315277</v>
      </c>
      <c r="C1577" s="51">
        <v>1.04</v>
      </c>
      <c r="D1577" s="51">
        <v>64.0</v>
      </c>
      <c r="E1577" s="52" t="s">
        <v>25</v>
      </c>
      <c r="F1577" s="52" t="s">
        <v>26</v>
      </c>
      <c r="G1577" s="53"/>
    </row>
    <row r="1578">
      <c r="A1578" s="49">
        <v>44529.11187390046</v>
      </c>
      <c r="B1578" s="50">
        <v>44529.2368524768</v>
      </c>
      <c r="C1578" s="51">
        <v>1.04</v>
      </c>
      <c r="D1578" s="51">
        <v>64.0</v>
      </c>
      <c r="E1578" s="52" t="s">
        <v>25</v>
      </c>
      <c r="F1578" s="52" t="s">
        <v>26</v>
      </c>
      <c r="G1578" s="53"/>
    </row>
    <row r="1579">
      <c r="A1579" s="49">
        <v>44529.12231378473</v>
      </c>
      <c r="B1579" s="50">
        <v>44529.2472840277</v>
      </c>
      <c r="C1579" s="51">
        <v>1.04</v>
      </c>
      <c r="D1579" s="51">
        <v>64.0</v>
      </c>
      <c r="E1579" s="52" t="s">
        <v>25</v>
      </c>
      <c r="F1579" s="52" t="s">
        <v>26</v>
      </c>
      <c r="G1579" s="53"/>
    </row>
    <row r="1580">
      <c r="A1580" s="49">
        <v>44529.13272708333</v>
      </c>
      <c r="B1580" s="50">
        <v>44529.2577045601</v>
      </c>
      <c r="C1580" s="51">
        <v>1.04</v>
      </c>
      <c r="D1580" s="51">
        <v>64.0</v>
      </c>
      <c r="E1580" s="52" t="s">
        <v>25</v>
      </c>
      <c r="F1580" s="52" t="s">
        <v>26</v>
      </c>
      <c r="G1580" s="53"/>
    </row>
    <row r="1581">
      <c r="A1581" s="49">
        <v>44529.14315216435</v>
      </c>
      <c r="B1581" s="50">
        <v>44529.268127905</v>
      </c>
      <c r="C1581" s="51">
        <v>1.04</v>
      </c>
      <c r="D1581" s="51">
        <v>64.0</v>
      </c>
      <c r="E1581" s="52" t="s">
        <v>25</v>
      </c>
      <c r="F1581" s="52" t="s">
        <v>26</v>
      </c>
      <c r="G1581" s="53"/>
    </row>
    <row r="1582">
      <c r="A1582" s="49">
        <v>44529.15357686343</v>
      </c>
      <c r="B1582" s="50">
        <v>44529.2785501967</v>
      </c>
      <c r="C1582" s="51">
        <v>1.04</v>
      </c>
      <c r="D1582" s="51">
        <v>64.0</v>
      </c>
      <c r="E1582" s="52" t="s">
        <v>25</v>
      </c>
      <c r="F1582" s="52" t="s">
        <v>26</v>
      </c>
      <c r="G1582" s="53"/>
    </row>
    <row r="1583">
      <c r="A1583" s="49">
        <v>44529.16400520834</v>
      </c>
      <c r="B1583" s="50">
        <v>44529.2889830555</v>
      </c>
      <c r="C1583" s="51">
        <v>1.04</v>
      </c>
      <c r="D1583" s="51">
        <v>64.0</v>
      </c>
      <c r="E1583" s="52" t="s">
        <v>25</v>
      </c>
      <c r="F1583" s="52" t="s">
        <v>26</v>
      </c>
      <c r="G1583" s="53"/>
    </row>
    <row r="1584">
      <c r="A1584" s="49">
        <v>44529.17442326389</v>
      </c>
      <c r="B1584" s="50">
        <v>44529.2994038194</v>
      </c>
      <c r="C1584" s="51">
        <v>1.04</v>
      </c>
      <c r="D1584" s="51">
        <v>64.0</v>
      </c>
      <c r="E1584" s="52" t="s">
        <v>25</v>
      </c>
      <c r="F1584" s="52" t="s">
        <v>26</v>
      </c>
      <c r="G1584" s="53"/>
    </row>
    <row r="1585">
      <c r="A1585" s="49">
        <v>44529.18484814814</v>
      </c>
      <c r="B1585" s="50">
        <v>44529.3098262037</v>
      </c>
      <c r="C1585" s="51">
        <v>1.04</v>
      </c>
      <c r="D1585" s="51">
        <v>64.0</v>
      </c>
      <c r="E1585" s="52" t="s">
        <v>25</v>
      </c>
      <c r="F1585" s="52" t="s">
        <v>26</v>
      </c>
      <c r="G1585" s="53"/>
    </row>
    <row r="1586">
      <c r="A1586" s="49">
        <v>44529.19527678241</v>
      </c>
      <c r="B1586" s="50">
        <v>44529.3202477199</v>
      </c>
      <c r="C1586" s="51">
        <v>1.04</v>
      </c>
      <c r="D1586" s="51">
        <v>64.0</v>
      </c>
      <c r="E1586" s="52" t="s">
        <v>25</v>
      </c>
      <c r="F1586" s="52" t="s">
        <v>26</v>
      </c>
      <c r="G1586" s="53"/>
    </row>
    <row r="1587">
      <c r="A1587" s="49">
        <v>44529.205698680555</v>
      </c>
      <c r="B1587" s="50">
        <v>44529.3306690856</v>
      </c>
      <c r="C1587" s="51">
        <v>1.04</v>
      </c>
      <c r="D1587" s="51">
        <v>64.0</v>
      </c>
      <c r="E1587" s="52" t="s">
        <v>25</v>
      </c>
      <c r="F1587" s="52" t="s">
        <v>26</v>
      </c>
      <c r="G1587" s="53"/>
    </row>
    <row r="1588">
      <c r="A1588" s="49">
        <v>44529.216114062496</v>
      </c>
      <c r="B1588" s="50">
        <v>44529.3410892013</v>
      </c>
      <c r="C1588" s="51">
        <v>1.04</v>
      </c>
      <c r="D1588" s="51">
        <v>64.0</v>
      </c>
      <c r="E1588" s="52" t="s">
        <v>25</v>
      </c>
      <c r="F1588" s="52" t="s">
        <v>26</v>
      </c>
      <c r="G1588" s="53"/>
    </row>
    <row r="1589">
      <c r="A1589" s="49">
        <v>44529.22653930556</v>
      </c>
      <c r="B1589" s="50">
        <v>44529.3515104398</v>
      </c>
      <c r="C1589" s="51">
        <v>1.04</v>
      </c>
      <c r="D1589" s="51">
        <v>64.0</v>
      </c>
      <c r="E1589" s="52" t="s">
        <v>25</v>
      </c>
      <c r="F1589" s="52" t="s">
        <v>26</v>
      </c>
      <c r="G1589" s="53"/>
    </row>
    <row r="1590">
      <c r="A1590" s="49">
        <v>44529.23695659722</v>
      </c>
      <c r="B1590" s="50">
        <v>44529.3619312847</v>
      </c>
      <c r="C1590" s="51">
        <v>1.04</v>
      </c>
      <c r="D1590" s="51">
        <v>64.0</v>
      </c>
      <c r="E1590" s="52" t="s">
        <v>25</v>
      </c>
      <c r="F1590" s="52" t="s">
        <v>26</v>
      </c>
      <c r="G1590" s="53"/>
    </row>
    <row r="1591">
      <c r="A1591" s="49">
        <v>44529.24738418982</v>
      </c>
      <c r="B1591" s="50">
        <v>44529.3723633101</v>
      </c>
      <c r="C1591" s="51">
        <v>1.04</v>
      </c>
      <c r="D1591" s="51">
        <v>64.0</v>
      </c>
      <c r="E1591" s="52" t="s">
        <v>25</v>
      </c>
      <c r="F1591" s="52" t="s">
        <v>26</v>
      </c>
      <c r="G1591" s="53"/>
    </row>
    <row r="1592">
      <c r="A1592" s="49">
        <v>44529.25781351852</v>
      </c>
      <c r="B1592" s="50">
        <v>44529.3827839004</v>
      </c>
      <c r="C1592" s="51">
        <v>1.04</v>
      </c>
      <c r="D1592" s="51">
        <v>64.0</v>
      </c>
      <c r="E1592" s="52" t="s">
        <v>25</v>
      </c>
      <c r="F1592" s="52" t="s">
        <v>26</v>
      </c>
      <c r="G1592" s="53"/>
    </row>
    <row r="1593">
      <c r="A1593" s="49">
        <v>44529.2682221412</v>
      </c>
      <c r="B1593" s="50">
        <v>44529.3932043402</v>
      </c>
      <c r="C1593" s="51">
        <v>1.04</v>
      </c>
      <c r="D1593" s="51">
        <v>64.0</v>
      </c>
      <c r="E1593" s="52" t="s">
        <v>25</v>
      </c>
      <c r="F1593" s="52" t="s">
        <v>26</v>
      </c>
      <c r="G1593" s="53"/>
    </row>
    <row r="1594">
      <c r="A1594" s="49">
        <v>44529.278677361115</v>
      </c>
      <c r="B1594" s="50">
        <v>44529.4036498263</v>
      </c>
      <c r="C1594" s="51">
        <v>1.04</v>
      </c>
      <c r="D1594" s="51">
        <v>64.0</v>
      </c>
      <c r="E1594" s="52" t="s">
        <v>25</v>
      </c>
      <c r="F1594" s="52" t="s">
        <v>26</v>
      </c>
      <c r="G1594" s="53"/>
    </row>
    <row r="1595">
      <c r="A1595" s="49">
        <v>44529.28908667824</v>
      </c>
      <c r="B1595" s="50">
        <v>44529.4140704282</v>
      </c>
      <c r="C1595" s="51">
        <v>1.04</v>
      </c>
      <c r="D1595" s="51">
        <v>64.0</v>
      </c>
      <c r="E1595" s="52" t="s">
        <v>25</v>
      </c>
      <c r="F1595" s="52" t="s">
        <v>26</v>
      </c>
      <c r="G1595" s="53"/>
    </row>
    <row r="1596">
      <c r="A1596" s="49">
        <v>44529.29952439815</v>
      </c>
      <c r="B1596" s="50">
        <v>44529.4245030208</v>
      </c>
      <c r="C1596" s="51">
        <v>1.04</v>
      </c>
      <c r="D1596" s="51">
        <v>64.0</v>
      </c>
      <c r="E1596" s="52" t="s">
        <v>25</v>
      </c>
      <c r="F1596" s="52" t="s">
        <v>26</v>
      </c>
      <c r="G1596" s="53"/>
    </row>
    <row r="1597">
      <c r="A1597" s="49">
        <v>44529.30995248843</v>
      </c>
      <c r="B1597" s="50">
        <v>44529.4349239814</v>
      </c>
      <c r="C1597" s="51">
        <v>1.04</v>
      </c>
      <c r="D1597" s="51">
        <v>64.0</v>
      </c>
      <c r="E1597" s="52" t="s">
        <v>25</v>
      </c>
      <c r="F1597" s="52" t="s">
        <v>26</v>
      </c>
      <c r="G1597" s="53"/>
    </row>
    <row r="1598">
      <c r="A1598" s="49">
        <v>44529.32039020833</v>
      </c>
      <c r="B1598" s="50">
        <v>44529.4453675</v>
      </c>
      <c r="C1598" s="51">
        <v>1.04</v>
      </c>
      <c r="D1598" s="51">
        <v>64.0</v>
      </c>
      <c r="E1598" s="52" t="s">
        <v>25</v>
      </c>
      <c r="F1598" s="52" t="s">
        <v>26</v>
      </c>
      <c r="G1598" s="53"/>
    </row>
    <row r="1599">
      <c r="A1599" s="49">
        <v>44529.330811493055</v>
      </c>
      <c r="B1599" s="50">
        <v>44529.4557903472</v>
      </c>
      <c r="C1599" s="51">
        <v>1.04</v>
      </c>
      <c r="D1599" s="51">
        <v>64.0</v>
      </c>
      <c r="E1599" s="52" t="s">
        <v>25</v>
      </c>
      <c r="F1599" s="52" t="s">
        <v>26</v>
      </c>
      <c r="G1599" s="53"/>
    </row>
    <row r="1600">
      <c r="A1600" s="49">
        <v>44529.3412334375</v>
      </c>
      <c r="B1600" s="50">
        <v>44529.4662115046</v>
      </c>
      <c r="C1600" s="51">
        <v>1.04</v>
      </c>
      <c r="D1600" s="51">
        <v>64.0</v>
      </c>
      <c r="E1600" s="52" t="s">
        <v>25</v>
      </c>
      <c r="F1600" s="52" t="s">
        <v>26</v>
      </c>
      <c r="G1600" s="53"/>
    </row>
    <row r="1601">
      <c r="A1601" s="49">
        <v>44529.35166060185</v>
      </c>
      <c r="B1601" s="50">
        <v>44529.4766314699</v>
      </c>
      <c r="C1601" s="51">
        <v>1.04</v>
      </c>
      <c r="D1601" s="51">
        <v>64.0</v>
      </c>
      <c r="E1601" s="52" t="s">
        <v>25</v>
      </c>
      <c r="F1601" s="52" t="s">
        <v>26</v>
      </c>
      <c r="G1601" s="53"/>
    </row>
    <row r="1602">
      <c r="A1602" s="49">
        <v>44529.36208288194</v>
      </c>
      <c r="B1602" s="50">
        <v>44529.4870531712</v>
      </c>
      <c r="C1602" s="51">
        <v>1.04</v>
      </c>
      <c r="D1602" s="51">
        <v>64.0</v>
      </c>
      <c r="E1602" s="52" t="s">
        <v>25</v>
      </c>
      <c r="F1602" s="52" t="s">
        <v>26</v>
      </c>
      <c r="G1602" s="53"/>
    </row>
    <row r="1603">
      <c r="A1603" s="49">
        <v>44529.37249409722</v>
      </c>
      <c r="B1603" s="50">
        <v>44529.4974738657</v>
      </c>
      <c r="C1603" s="51">
        <v>1.04</v>
      </c>
      <c r="D1603" s="51">
        <v>64.0</v>
      </c>
      <c r="E1603" s="52" t="s">
        <v>25</v>
      </c>
      <c r="F1603" s="52" t="s">
        <v>26</v>
      </c>
      <c r="G1603" s="53"/>
    </row>
    <row r="1604">
      <c r="A1604" s="49">
        <v>44529.3829234375</v>
      </c>
      <c r="B1604" s="50">
        <v>44529.5078959837</v>
      </c>
      <c r="C1604" s="51">
        <v>1.04</v>
      </c>
      <c r="D1604" s="51">
        <v>64.0</v>
      </c>
      <c r="E1604" s="52" t="s">
        <v>25</v>
      </c>
      <c r="F1604" s="52" t="s">
        <v>26</v>
      </c>
      <c r="G1604" s="53"/>
    </row>
    <row r="1605">
      <c r="A1605" s="49">
        <v>44529.39334164352</v>
      </c>
      <c r="B1605" s="50">
        <v>44529.5183182407</v>
      </c>
      <c r="C1605" s="51">
        <v>1.04</v>
      </c>
      <c r="D1605" s="51">
        <v>64.0</v>
      </c>
      <c r="E1605" s="52" t="s">
        <v>25</v>
      </c>
      <c r="F1605" s="52" t="s">
        <v>26</v>
      </c>
      <c r="G1605" s="53"/>
    </row>
    <row r="1606">
      <c r="A1606" s="49">
        <v>44529.40376890046</v>
      </c>
      <c r="B1606" s="50">
        <v>44529.5287406944</v>
      </c>
      <c r="C1606" s="51">
        <v>1.04</v>
      </c>
      <c r="D1606" s="51">
        <v>64.0</v>
      </c>
      <c r="E1606" s="52" t="s">
        <v>25</v>
      </c>
      <c r="F1606" s="52" t="s">
        <v>26</v>
      </c>
      <c r="G1606" s="53"/>
    </row>
    <row r="1607">
      <c r="A1607" s="49">
        <v>44529.414182974535</v>
      </c>
      <c r="B1607" s="50">
        <v>44529.5391618287</v>
      </c>
      <c r="C1607" s="51">
        <v>1.04</v>
      </c>
      <c r="D1607" s="51">
        <v>64.0</v>
      </c>
      <c r="E1607" s="52" t="s">
        <v>25</v>
      </c>
      <c r="F1607" s="52" t="s">
        <v>26</v>
      </c>
      <c r="G1607" s="53"/>
    </row>
    <row r="1608">
      <c r="A1608" s="49">
        <v>44529.424607696754</v>
      </c>
      <c r="B1608" s="50">
        <v>44529.5495822222</v>
      </c>
      <c r="C1608" s="51">
        <v>1.04</v>
      </c>
      <c r="D1608" s="51">
        <v>64.0</v>
      </c>
      <c r="E1608" s="52" t="s">
        <v>25</v>
      </c>
      <c r="F1608" s="52" t="s">
        <v>26</v>
      </c>
      <c r="G1608" s="53"/>
    </row>
    <row r="1609">
      <c r="A1609" s="49">
        <v>44529.435023495374</v>
      </c>
      <c r="B1609" s="50">
        <v>44529.5600027314</v>
      </c>
      <c r="C1609" s="51">
        <v>1.04</v>
      </c>
      <c r="D1609" s="51">
        <v>64.0</v>
      </c>
      <c r="E1609" s="52" t="s">
        <v>25</v>
      </c>
      <c r="F1609" s="52" t="s">
        <v>26</v>
      </c>
      <c r="G1609" s="53"/>
    </row>
    <row r="1610">
      <c r="A1610" s="49">
        <v>44529.44545990741</v>
      </c>
      <c r="B1610" s="50">
        <v>44529.5704363888</v>
      </c>
      <c r="C1610" s="51">
        <v>1.04</v>
      </c>
      <c r="D1610" s="51">
        <v>64.0</v>
      </c>
      <c r="E1610" s="52" t="s">
        <v>25</v>
      </c>
      <c r="F1610" s="52" t="s">
        <v>26</v>
      </c>
      <c r="G1610" s="53"/>
    </row>
    <row r="1611">
      <c r="A1611" s="49">
        <v>44529.45588869213</v>
      </c>
      <c r="B1611" s="50">
        <v>44529.5808591435</v>
      </c>
      <c r="C1611" s="51">
        <v>1.04</v>
      </c>
      <c r="D1611" s="51">
        <v>64.0</v>
      </c>
      <c r="E1611" s="52" t="s">
        <v>25</v>
      </c>
      <c r="F1611" s="52" t="s">
        <v>26</v>
      </c>
      <c r="G1611" s="53"/>
    </row>
    <row r="1612">
      <c r="A1612" s="49">
        <v>44529.46631391204</v>
      </c>
      <c r="B1612" s="50">
        <v>44529.5912916782</v>
      </c>
      <c r="C1612" s="51">
        <v>1.04</v>
      </c>
      <c r="D1612" s="51">
        <v>64.0</v>
      </c>
      <c r="E1612" s="52" t="s">
        <v>25</v>
      </c>
      <c r="F1612" s="52" t="s">
        <v>26</v>
      </c>
      <c r="G1612" s="53"/>
    </row>
    <row r="1613">
      <c r="A1613" s="49">
        <v>44529.476741342594</v>
      </c>
      <c r="B1613" s="50">
        <v>44529.6017120023</v>
      </c>
      <c r="C1613" s="51">
        <v>1.04</v>
      </c>
      <c r="D1613" s="51">
        <v>64.0</v>
      </c>
      <c r="E1613" s="52" t="s">
        <v>25</v>
      </c>
      <c r="F1613" s="52" t="s">
        <v>26</v>
      </c>
      <c r="G1613" s="53"/>
    </row>
    <row r="1614">
      <c r="A1614" s="49">
        <v>44529.4871487037</v>
      </c>
      <c r="B1614" s="50">
        <v>44529.6121307638</v>
      </c>
      <c r="C1614" s="51">
        <v>1.04</v>
      </c>
      <c r="D1614" s="51">
        <v>64.0</v>
      </c>
      <c r="E1614" s="52" t="s">
        <v>25</v>
      </c>
      <c r="F1614" s="52" t="s">
        <v>26</v>
      </c>
      <c r="G1614" s="53"/>
    </row>
    <row r="1615">
      <c r="A1615" s="49">
        <v>44529.49757717593</v>
      </c>
      <c r="B1615" s="50">
        <v>44529.6225495254</v>
      </c>
      <c r="C1615" s="51">
        <v>1.04</v>
      </c>
      <c r="D1615" s="51">
        <v>64.0</v>
      </c>
      <c r="E1615" s="52" t="s">
        <v>25</v>
      </c>
      <c r="F1615" s="52" t="s">
        <v>26</v>
      </c>
      <c r="G1615" s="53"/>
    </row>
    <row r="1616">
      <c r="A1616" s="49">
        <v>44529.50799774306</v>
      </c>
      <c r="B1616" s="50">
        <v>44529.6329707175</v>
      </c>
      <c r="C1616" s="51">
        <v>1.04</v>
      </c>
      <c r="D1616" s="51">
        <v>64.0</v>
      </c>
      <c r="E1616" s="52" t="s">
        <v>25</v>
      </c>
      <c r="F1616" s="52" t="s">
        <v>26</v>
      </c>
      <c r="G1616" s="53"/>
    </row>
    <row r="1617">
      <c r="A1617" s="49">
        <v>44529.51841784723</v>
      </c>
      <c r="B1617" s="50">
        <v>44529.6433927546</v>
      </c>
      <c r="C1617" s="51">
        <v>1.04</v>
      </c>
      <c r="D1617" s="51">
        <v>64.0</v>
      </c>
      <c r="E1617" s="52" t="s">
        <v>25</v>
      </c>
      <c r="F1617" s="52" t="s">
        <v>26</v>
      </c>
      <c r="G1617" s="53"/>
    </row>
    <row r="1618">
      <c r="A1618" s="49">
        <v>44529.528856516205</v>
      </c>
      <c r="B1618" s="50">
        <v>44529.653825706</v>
      </c>
      <c r="C1618" s="51">
        <v>1.04</v>
      </c>
      <c r="D1618" s="51">
        <v>64.0</v>
      </c>
      <c r="E1618" s="52" t="s">
        <v>25</v>
      </c>
      <c r="F1618" s="52" t="s">
        <v>26</v>
      </c>
      <c r="G1618" s="53"/>
    </row>
    <row r="1619">
      <c r="A1619" s="49">
        <v>44529.53928424769</v>
      </c>
      <c r="B1619" s="50">
        <v>44529.6642474768</v>
      </c>
      <c r="C1619" s="51">
        <v>1.04</v>
      </c>
      <c r="D1619" s="51">
        <v>64.0</v>
      </c>
      <c r="E1619" s="52" t="s">
        <v>25</v>
      </c>
      <c r="F1619" s="52" t="s">
        <v>26</v>
      </c>
      <c r="G1619" s="53"/>
    </row>
    <row r="1620">
      <c r="A1620" s="49">
        <v>44529.549702233795</v>
      </c>
      <c r="B1620" s="50">
        <v>44529.6746689004</v>
      </c>
      <c r="C1620" s="51">
        <v>1.04</v>
      </c>
      <c r="D1620" s="51">
        <v>64.0</v>
      </c>
      <c r="E1620" s="52" t="s">
        <v>25</v>
      </c>
      <c r="F1620" s="52" t="s">
        <v>26</v>
      </c>
      <c r="G1620" s="53"/>
    </row>
    <row r="1621">
      <c r="A1621" s="49">
        <v>44529.56011774305</v>
      </c>
      <c r="B1621" s="50">
        <v>44529.6850895601</v>
      </c>
      <c r="C1621" s="51">
        <v>1.04</v>
      </c>
      <c r="D1621" s="51">
        <v>64.0</v>
      </c>
      <c r="E1621" s="52" t="s">
        <v>25</v>
      </c>
      <c r="F1621" s="52" t="s">
        <v>26</v>
      </c>
      <c r="G1621" s="53"/>
    </row>
    <row r="1622">
      <c r="A1622" s="49">
        <v>44529.57054925926</v>
      </c>
      <c r="B1622" s="50">
        <v>44529.6955223032</v>
      </c>
      <c r="C1622" s="51">
        <v>1.04</v>
      </c>
      <c r="D1622" s="51">
        <v>64.0</v>
      </c>
      <c r="E1622" s="52" t="s">
        <v>25</v>
      </c>
      <c r="F1622" s="52" t="s">
        <v>26</v>
      </c>
      <c r="G1622" s="53"/>
    </row>
    <row r="1623">
      <c r="A1623" s="49">
        <v>44529.58097070602</v>
      </c>
      <c r="B1623" s="50">
        <v>44529.7059433333</v>
      </c>
      <c r="C1623" s="51">
        <v>1.04</v>
      </c>
      <c r="D1623" s="51">
        <v>64.0</v>
      </c>
      <c r="E1623" s="52" t="s">
        <v>25</v>
      </c>
      <c r="F1623" s="52" t="s">
        <v>26</v>
      </c>
      <c r="G1623" s="53"/>
    </row>
    <row r="1624">
      <c r="A1624" s="49">
        <v>44529.591403900464</v>
      </c>
      <c r="B1624" s="50">
        <v>44529.7163762615</v>
      </c>
      <c r="C1624" s="51">
        <v>1.04</v>
      </c>
      <c r="D1624" s="51">
        <v>64.0</v>
      </c>
      <c r="E1624" s="52" t="s">
        <v>25</v>
      </c>
      <c r="F1624" s="52" t="s">
        <v>26</v>
      </c>
      <c r="G1624" s="53"/>
    </row>
    <row r="1625">
      <c r="A1625" s="49">
        <v>44529.601833043984</v>
      </c>
      <c r="B1625" s="50">
        <v>44529.7268090856</v>
      </c>
      <c r="C1625" s="51">
        <v>1.04</v>
      </c>
      <c r="D1625" s="51">
        <v>64.0</v>
      </c>
      <c r="E1625" s="52" t="s">
        <v>25</v>
      </c>
      <c r="F1625" s="52" t="s">
        <v>26</v>
      </c>
      <c r="G1625" s="53"/>
    </row>
    <row r="1626">
      <c r="A1626" s="49">
        <v>44529.61225708333</v>
      </c>
      <c r="B1626" s="50">
        <v>44529.7372266898</v>
      </c>
      <c r="C1626" s="51">
        <v>1.04</v>
      </c>
      <c r="D1626" s="51">
        <v>64.0</v>
      </c>
      <c r="E1626" s="52" t="s">
        <v>25</v>
      </c>
      <c r="F1626" s="52" t="s">
        <v>26</v>
      </c>
      <c r="G1626" s="53"/>
    </row>
    <row r="1627">
      <c r="A1627" s="49">
        <v>44529.622672303245</v>
      </c>
      <c r="B1627" s="50">
        <v>44529.7476481944</v>
      </c>
      <c r="C1627" s="51">
        <v>1.04</v>
      </c>
      <c r="D1627" s="51">
        <v>64.0</v>
      </c>
      <c r="E1627" s="52" t="s">
        <v>25</v>
      </c>
      <c r="F1627" s="52" t="s">
        <v>26</v>
      </c>
      <c r="G1627" s="53"/>
    </row>
    <row r="1628">
      <c r="A1628" s="49">
        <v>44529.63309540509</v>
      </c>
      <c r="B1628" s="50">
        <v>44529.7580693055</v>
      </c>
      <c r="C1628" s="51">
        <v>1.039</v>
      </c>
      <c r="D1628" s="51">
        <v>64.0</v>
      </c>
      <c r="E1628" s="52" t="s">
        <v>25</v>
      </c>
      <c r="F1628" s="52" t="s">
        <v>26</v>
      </c>
      <c r="G1628" s="53"/>
    </row>
    <row r="1629">
      <c r="A1629" s="49">
        <v>44529.64351553241</v>
      </c>
      <c r="B1629" s="50">
        <v>44529.7684907291</v>
      </c>
      <c r="C1629" s="51">
        <v>1.039</v>
      </c>
      <c r="D1629" s="51">
        <v>64.0</v>
      </c>
      <c r="E1629" s="52" t="s">
        <v>25</v>
      </c>
      <c r="F1629" s="52" t="s">
        <v>26</v>
      </c>
      <c r="G1629" s="53"/>
    </row>
    <row r="1630">
      <c r="A1630" s="49">
        <v>44529.653940069446</v>
      </c>
      <c r="B1630" s="50">
        <v>44529.7789125925</v>
      </c>
      <c r="C1630" s="51">
        <v>1.039</v>
      </c>
      <c r="D1630" s="51">
        <v>64.0</v>
      </c>
      <c r="E1630" s="52" t="s">
        <v>25</v>
      </c>
      <c r="F1630" s="52" t="s">
        <v>26</v>
      </c>
      <c r="G1630" s="53"/>
    </row>
    <row r="1631">
      <c r="A1631" s="49">
        <v>44529.664359131944</v>
      </c>
      <c r="B1631" s="50">
        <v>44529.7893331597</v>
      </c>
      <c r="C1631" s="51">
        <v>1.039</v>
      </c>
      <c r="D1631" s="51">
        <v>64.0</v>
      </c>
      <c r="E1631" s="52" t="s">
        <v>25</v>
      </c>
      <c r="F1631" s="52" t="s">
        <v>26</v>
      </c>
      <c r="G1631" s="53"/>
    </row>
    <row r="1632">
      <c r="A1632" s="49">
        <v>44529.674783043985</v>
      </c>
      <c r="B1632" s="50">
        <v>44529.799754074</v>
      </c>
      <c r="C1632" s="51">
        <v>1.039</v>
      </c>
      <c r="D1632" s="51">
        <v>64.0</v>
      </c>
      <c r="E1632" s="52" t="s">
        <v>25</v>
      </c>
      <c r="F1632" s="52" t="s">
        <v>26</v>
      </c>
      <c r="G1632" s="53"/>
    </row>
    <row r="1633">
      <c r="A1633" s="49">
        <v>44529.68520046296</v>
      </c>
      <c r="B1633" s="50">
        <v>44529.8101753472</v>
      </c>
      <c r="C1633" s="51">
        <v>1.04</v>
      </c>
      <c r="D1633" s="51">
        <v>64.0</v>
      </c>
      <c r="E1633" s="52" t="s">
        <v>25</v>
      </c>
      <c r="F1633" s="52" t="s">
        <v>26</v>
      </c>
      <c r="G1633" s="53"/>
    </row>
    <row r="1634">
      <c r="A1634" s="49">
        <v>44529.69562491898</v>
      </c>
      <c r="B1634" s="50">
        <v>44529.8205963194</v>
      </c>
      <c r="C1634" s="51">
        <v>1.04</v>
      </c>
      <c r="D1634" s="51">
        <v>64.0</v>
      </c>
      <c r="E1634" s="52" t="s">
        <v>25</v>
      </c>
      <c r="F1634" s="52" t="s">
        <v>26</v>
      </c>
      <c r="G1634" s="53"/>
    </row>
    <row r="1635">
      <c r="A1635" s="49">
        <v>44529.70603917824</v>
      </c>
      <c r="B1635" s="50">
        <v>44529.8310168518</v>
      </c>
      <c r="C1635" s="51">
        <v>1.04</v>
      </c>
      <c r="D1635" s="51">
        <v>64.0</v>
      </c>
      <c r="E1635" s="52" t="s">
        <v>25</v>
      </c>
      <c r="F1635" s="52" t="s">
        <v>26</v>
      </c>
      <c r="G1635" s="53"/>
    </row>
    <row r="1636">
      <c r="A1636" s="49">
        <v>44529.716468032406</v>
      </c>
      <c r="B1636" s="50">
        <v>44529.8414390509</v>
      </c>
      <c r="C1636" s="51">
        <v>1.039</v>
      </c>
      <c r="D1636" s="51">
        <v>64.0</v>
      </c>
      <c r="E1636" s="52" t="s">
        <v>25</v>
      </c>
      <c r="F1636" s="52" t="s">
        <v>26</v>
      </c>
      <c r="G1636" s="53"/>
    </row>
    <row r="1637">
      <c r="A1637" s="49">
        <v>44529.72688989583</v>
      </c>
      <c r="B1637" s="50">
        <v>44529.8518595949</v>
      </c>
      <c r="C1637" s="51">
        <v>1.039</v>
      </c>
      <c r="D1637" s="51">
        <v>64.0</v>
      </c>
      <c r="E1637" s="52" t="s">
        <v>25</v>
      </c>
      <c r="F1637" s="52" t="s">
        <v>26</v>
      </c>
      <c r="G1637" s="53"/>
    </row>
    <row r="1638">
      <c r="A1638" s="49">
        <v>44529.73732857639</v>
      </c>
      <c r="B1638" s="50">
        <v>44529.862304074</v>
      </c>
      <c r="C1638" s="51">
        <v>1.039</v>
      </c>
      <c r="D1638" s="51">
        <v>64.0</v>
      </c>
      <c r="E1638" s="52" t="s">
        <v>25</v>
      </c>
      <c r="F1638" s="52" t="s">
        <v>26</v>
      </c>
      <c r="G1638" s="53"/>
    </row>
    <row r="1639">
      <c r="A1639" s="49">
        <v>44529.747752152776</v>
      </c>
      <c r="B1639" s="50">
        <v>44529.8727253124</v>
      </c>
      <c r="C1639" s="51">
        <v>1.04</v>
      </c>
      <c r="D1639" s="51">
        <v>64.0</v>
      </c>
      <c r="E1639" s="52" t="s">
        <v>25</v>
      </c>
      <c r="F1639" s="52" t="s">
        <v>26</v>
      </c>
      <c r="G1639" s="53"/>
    </row>
    <row r="1640">
      <c r="A1640" s="49">
        <v>44529.75816979167</v>
      </c>
      <c r="B1640" s="50">
        <v>44529.8831464004</v>
      </c>
      <c r="C1640" s="51">
        <v>1.04</v>
      </c>
      <c r="D1640" s="51">
        <v>64.0</v>
      </c>
      <c r="E1640" s="52" t="s">
        <v>25</v>
      </c>
      <c r="F1640" s="52" t="s">
        <v>26</v>
      </c>
      <c r="G1640" s="53"/>
    </row>
    <row r="1641">
      <c r="A1641" s="49">
        <v>44529.76860372685</v>
      </c>
      <c r="B1641" s="50">
        <v>44529.8935677199</v>
      </c>
      <c r="C1641" s="51">
        <v>1.039</v>
      </c>
      <c r="D1641" s="51">
        <v>64.0</v>
      </c>
      <c r="E1641" s="52" t="s">
        <v>25</v>
      </c>
      <c r="F1641" s="52" t="s">
        <v>26</v>
      </c>
      <c r="G1641" s="53"/>
    </row>
    <row r="1642">
      <c r="A1642" s="49">
        <v>44529.77900633102</v>
      </c>
      <c r="B1642" s="50">
        <v>44529.9039892592</v>
      </c>
      <c r="C1642" s="51">
        <v>1.039</v>
      </c>
      <c r="D1642" s="51">
        <v>64.0</v>
      </c>
      <c r="E1642" s="52" t="s">
        <v>25</v>
      </c>
      <c r="F1642" s="52" t="s">
        <v>26</v>
      </c>
      <c r="G1642" s="53"/>
    </row>
    <row r="1643">
      <c r="A1643" s="49">
        <v>44529.789436736115</v>
      </c>
      <c r="B1643" s="50">
        <v>44529.9144092245</v>
      </c>
      <c r="C1643" s="51">
        <v>1.039</v>
      </c>
      <c r="D1643" s="51">
        <v>64.0</v>
      </c>
      <c r="E1643" s="52" t="s">
        <v>25</v>
      </c>
      <c r="F1643" s="52" t="s">
        <v>26</v>
      </c>
      <c r="G1643" s="53"/>
    </row>
    <row r="1644">
      <c r="A1644" s="49">
        <v>44529.79985394676</v>
      </c>
      <c r="B1644" s="50">
        <v>44529.9248320717</v>
      </c>
      <c r="C1644" s="51">
        <v>1.039</v>
      </c>
      <c r="D1644" s="51">
        <v>64.0</v>
      </c>
      <c r="E1644" s="52" t="s">
        <v>25</v>
      </c>
      <c r="F1644" s="52" t="s">
        <v>26</v>
      </c>
      <c r="G1644" s="53"/>
    </row>
    <row r="1645">
      <c r="A1645" s="49">
        <v>44529.81027819445</v>
      </c>
      <c r="B1645" s="50">
        <v>44529.935251655</v>
      </c>
      <c r="C1645" s="51">
        <v>1.04</v>
      </c>
      <c r="D1645" s="51">
        <v>64.0</v>
      </c>
      <c r="E1645" s="52" t="s">
        <v>25</v>
      </c>
      <c r="F1645" s="52" t="s">
        <v>26</v>
      </c>
      <c r="G1645" s="53"/>
    </row>
    <row r="1646">
      <c r="A1646" s="49">
        <v>44529.82069766204</v>
      </c>
      <c r="B1646" s="50">
        <v>44529.9456743981</v>
      </c>
      <c r="C1646" s="51">
        <v>1.039</v>
      </c>
      <c r="D1646" s="51">
        <v>64.0</v>
      </c>
      <c r="E1646" s="52" t="s">
        <v>25</v>
      </c>
      <c r="F1646" s="52" t="s">
        <v>26</v>
      </c>
      <c r="G1646" s="53"/>
    </row>
    <row r="1647">
      <c r="A1647" s="49">
        <v>44529.831123298616</v>
      </c>
      <c r="B1647" s="50">
        <v>44529.9560950231</v>
      </c>
      <c r="C1647" s="51">
        <v>1.039</v>
      </c>
      <c r="D1647" s="51">
        <v>64.0</v>
      </c>
      <c r="E1647" s="52" t="s">
        <v>25</v>
      </c>
      <c r="F1647" s="52" t="s">
        <v>26</v>
      </c>
      <c r="G1647" s="53"/>
    </row>
    <row r="1648">
      <c r="A1648" s="49">
        <v>44529.841537824075</v>
      </c>
      <c r="B1648" s="50">
        <v>44529.966516412</v>
      </c>
      <c r="C1648" s="51">
        <v>1.039</v>
      </c>
      <c r="D1648" s="51">
        <v>64.0</v>
      </c>
      <c r="E1648" s="52" t="s">
        <v>25</v>
      </c>
      <c r="F1648" s="52" t="s">
        <v>26</v>
      </c>
      <c r="G1648" s="53"/>
    </row>
    <row r="1649">
      <c r="A1649" s="49">
        <v>44529.85197109954</v>
      </c>
      <c r="B1649" s="50">
        <v>44529.9769488888</v>
      </c>
      <c r="C1649" s="51">
        <v>1.039</v>
      </c>
      <c r="D1649" s="51">
        <v>64.0</v>
      </c>
      <c r="E1649" s="52" t="s">
        <v>25</v>
      </c>
      <c r="F1649" s="52" t="s">
        <v>26</v>
      </c>
      <c r="G1649" s="53"/>
    </row>
    <row r="1650">
      <c r="A1650" s="49">
        <v>44529.86239549769</v>
      </c>
      <c r="B1650" s="50">
        <v>44529.987369699</v>
      </c>
      <c r="C1650" s="51">
        <v>1.039</v>
      </c>
      <c r="D1650" s="51">
        <v>64.0</v>
      </c>
      <c r="E1650" s="52" t="s">
        <v>25</v>
      </c>
      <c r="F1650" s="52" t="s">
        <v>26</v>
      </c>
      <c r="G1650" s="53"/>
    </row>
    <row r="1651">
      <c r="A1651" s="49">
        <v>44529.87282071759</v>
      </c>
      <c r="B1651" s="50">
        <v>44529.9977906134</v>
      </c>
      <c r="C1651" s="51">
        <v>1.039</v>
      </c>
      <c r="D1651" s="51">
        <v>64.0</v>
      </c>
      <c r="E1651" s="52" t="s">
        <v>25</v>
      </c>
      <c r="F1651" s="52" t="s">
        <v>26</v>
      </c>
      <c r="G1651" s="53"/>
    </row>
    <row r="1652">
      <c r="A1652" s="49">
        <v>44529.88323827546</v>
      </c>
      <c r="B1652" s="50">
        <v>44530.0082108911</v>
      </c>
      <c r="C1652" s="51">
        <v>1.039</v>
      </c>
      <c r="D1652" s="51">
        <v>64.0</v>
      </c>
      <c r="E1652" s="52" t="s">
        <v>25</v>
      </c>
      <c r="F1652" s="52" t="s">
        <v>26</v>
      </c>
      <c r="G1652" s="53"/>
    </row>
    <row r="1653">
      <c r="A1653" s="49">
        <v>44529.89366385416</v>
      </c>
      <c r="B1653" s="50">
        <v>44530.0186431944</v>
      </c>
      <c r="C1653" s="51">
        <v>1.039</v>
      </c>
      <c r="D1653" s="51">
        <v>64.0</v>
      </c>
      <c r="E1653" s="52" t="s">
        <v>25</v>
      </c>
      <c r="F1653" s="52" t="s">
        <v>26</v>
      </c>
      <c r="G1653" s="53"/>
    </row>
    <row r="1654">
      <c r="A1654" s="49">
        <v>44529.90408635417</v>
      </c>
      <c r="B1654" s="50">
        <v>44530.0290649421</v>
      </c>
      <c r="C1654" s="51">
        <v>1.039</v>
      </c>
      <c r="D1654" s="51">
        <v>64.0</v>
      </c>
      <c r="E1654" s="52" t="s">
        <v>25</v>
      </c>
      <c r="F1654" s="52" t="s">
        <v>26</v>
      </c>
      <c r="G1654" s="53"/>
    </row>
    <row r="1655">
      <c r="A1655" s="49">
        <v>44529.91452747685</v>
      </c>
      <c r="B1655" s="50">
        <v>44530.0394984374</v>
      </c>
      <c r="C1655" s="51">
        <v>1.039</v>
      </c>
      <c r="D1655" s="51">
        <v>64.0</v>
      </c>
      <c r="E1655" s="52" t="s">
        <v>25</v>
      </c>
      <c r="F1655" s="52" t="s">
        <v>26</v>
      </c>
      <c r="G1655" s="53"/>
    </row>
    <row r="1656">
      <c r="A1656" s="49">
        <v>44529.92494753472</v>
      </c>
      <c r="B1656" s="50">
        <v>44530.0499185763</v>
      </c>
      <c r="C1656" s="51">
        <v>1.039</v>
      </c>
      <c r="D1656" s="51">
        <v>64.0</v>
      </c>
      <c r="E1656" s="52" t="s">
        <v>25</v>
      </c>
      <c r="F1656" s="52" t="s">
        <v>26</v>
      </c>
      <c r="G1656" s="53"/>
    </row>
    <row r="1657">
      <c r="A1657" s="49">
        <v>44529.935369733794</v>
      </c>
      <c r="B1657" s="50">
        <v>44530.0603393055</v>
      </c>
      <c r="C1657" s="51">
        <v>1.039</v>
      </c>
      <c r="D1657" s="51">
        <v>64.0</v>
      </c>
      <c r="E1657" s="52" t="s">
        <v>25</v>
      </c>
      <c r="F1657" s="52" t="s">
        <v>26</v>
      </c>
      <c r="G1657" s="53"/>
    </row>
    <row r="1658">
      <c r="A1658" s="49">
        <v>44529.94578545139</v>
      </c>
      <c r="B1658" s="50">
        <v>44530.0707600231</v>
      </c>
      <c r="C1658" s="51">
        <v>1.039</v>
      </c>
      <c r="D1658" s="51">
        <v>64.0</v>
      </c>
      <c r="E1658" s="52" t="s">
        <v>25</v>
      </c>
      <c r="F1658" s="52" t="s">
        <v>26</v>
      </c>
      <c r="G1658" s="53"/>
    </row>
    <row r="1659">
      <c r="A1659" s="49">
        <v>44529.95621694444</v>
      </c>
      <c r="B1659" s="50">
        <v>44530.0811819328</v>
      </c>
      <c r="C1659" s="51">
        <v>1.039</v>
      </c>
      <c r="D1659" s="51">
        <v>64.0</v>
      </c>
      <c r="E1659" s="52" t="s">
        <v>25</v>
      </c>
      <c r="F1659" s="52" t="s">
        <v>26</v>
      </c>
      <c r="G1659" s="53"/>
    </row>
    <row r="1660">
      <c r="A1660" s="49">
        <v>44529.966621238425</v>
      </c>
      <c r="B1660" s="50">
        <v>44530.0916028472</v>
      </c>
      <c r="C1660" s="51">
        <v>1.039</v>
      </c>
      <c r="D1660" s="51">
        <v>64.0</v>
      </c>
      <c r="E1660" s="52" t="s">
        <v>25</v>
      </c>
      <c r="F1660" s="52" t="s">
        <v>26</v>
      </c>
      <c r="G1660" s="53"/>
    </row>
    <row r="1661">
      <c r="A1661" s="49">
        <v>44529.9770412037</v>
      </c>
      <c r="B1661" s="50">
        <v>44530.1020230671</v>
      </c>
      <c r="C1661" s="51">
        <v>1.039</v>
      </c>
      <c r="D1661" s="51">
        <v>64.0</v>
      </c>
      <c r="E1661" s="52" t="s">
        <v>25</v>
      </c>
      <c r="F1661" s="52" t="s">
        <v>26</v>
      </c>
      <c r="G1661" s="53"/>
    </row>
    <row r="1662">
      <c r="A1662" s="49">
        <v>44529.98746984954</v>
      </c>
      <c r="B1662" s="50">
        <v>44530.1124438194</v>
      </c>
      <c r="C1662" s="51">
        <v>1.039</v>
      </c>
      <c r="D1662" s="51">
        <v>64.0</v>
      </c>
      <c r="E1662" s="52" t="s">
        <v>25</v>
      </c>
      <c r="F1662" s="52" t="s">
        <v>26</v>
      </c>
      <c r="G1662" s="53"/>
    </row>
    <row r="1663">
      <c r="A1663" s="49">
        <v>44529.99789629629</v>
      </c>
      <c r="B1663" s="50">
        <v>44530.1228658333</v>
      </c>
      <c r="C1663" s="51">
        <v>1.039</v>
      </c>
      <c r="D1663" s="51">
        <v>64.0</v>
      </c>
      <c r="E1663" s="52" t="s">
        <v>25</v>
      </c>
      <c r="F1663" s="52" t="s">
        <v>26</v>
      </c>
      <c r="G1663" s="53"/>
    </row>
    <row r="1664">
      <c r="A1664" s="49">
        <v>44530.00830918981</v>
      </c>
      <c r="B1664" s="50">
        <v>44530.1332870023</v>
      </c>
      <c r="C1664" s="51">
        <v>1.039</v>
      </c>
      <c r="D1664" s="51">
        <v>64.0</v>
      </c>
      <c r="E1664" s="52" t="s">
        <v>25</v>
      </c>
      <c r="F1664" s="52" t="s">
        <v>26</v>
      </c>
      <c r="G1664" s="53"/>
    </row>
    <row r="1665">
      <c r="A1665" s="49">
        <v>44530.018736134254</v>
      </c>
      <c r="B1665" s="50">
        <v>44530.1437080902</v>
      </c>
      <c r="C1665" s="51">
        <v>1.039</v>
      </c>
      <c r="D1665" s="51">
        <v>64.0</v>
      </c>
      <c r="E1665" s="52" t="s">
        <v>25</v>
      </c>
      <c r="F1665" s="52" t="s">
        <v>26</v>
      </c>
      <c r="G1665" s="53"/>
    </row>
    <row r="1666">
      <c r="A1666" s="49">
        <v>44530.02914783565</v>
      </c>
      <c r="B1666" s="50">
        <v>44530.154129618</v>
      </c>
      <c r="C1666" s="51">
        <v>1.039</v>
      </c>
      <c r="D1666" s="51">
        <v>64.0</v>
      </c>
      <c r="E1666" s="52" t="s">
        <v>25</v>
      </c>
      <c r="F1666" s="52" t="s">
        <v>26</v>
      </c>
      <c r="G1666" s="53"/>
    </row>
    <row r="1667">
      <c r="A1667" s="49">
        <v>44530.0395775</v>
      </c>
      <c r="B1667" s="50">
        <v>44530.1645510995</v>
      </c>
      <c r="C1667" s="51">
        <v>1.039</v>
      </c>
      <c r="D1667" s="51">
        <v>64.0</v>
      </c>
      <c r="E1667" s="52" t="s">
        <v>25</v>
      </c>
      <c r="F1667" s="52" t="s">
        <v>26</v>
      </c>
      <c r="G1667" s="53"/>
    </row>
    <row r="1668">
      <c r="A1668" s="49">
        <v>44530.050006192134</v>
      </c>
      <c r="B1668" s="50">
        <v>44530.174982743</v>
      </c>
      <c r="C1668" s="51">
        <v>1.039</v>
      </c>
      <c r="D1668" s="51">
        <v>64.0</v>
      </c>
      <c r="E1668" s="52" t="s">
        <v>25</v>
      </c>
      <c r="F1668" s="52" t="s">
        <v>26</v>
      </c>
      <c r="G1668" s="53"/>
    </row>
    <row r="1669">
      <c r="A1669" s="49">
        <v>44530.06042721064</v>
      </c>
      <c r="B1669" s="50">
        <v>44530.1854032175</v>
      </c>
      <c r="C1669" s="51">
        <v>1.039</v>
      </c>
      <c r="D1669" s="51">
        <v>64.0</v>
      </c>
      <c r="E1669" s="52" t="s">
        <v>25</v>
      </c>
      <c r="F1669" s="52" t="s">
        <v>26</v>
      </c>
      <c r="G1669" s="53"/>
    </row>
    <row r="1670">
      <c r="A1670" s="49">
        <v>44530.070841574074</v>
      </c>
      <c r="B1670" s="50">
        <v>44530.1958253935</v>
      </c>
      <c r="C1670" s="51">
        <v>1.039</v>
      </c>
      <c r="D1670" s="51">
        <v>64.0</v>
      </c>
      <c r="E1670" s="52" t="s">
        <v>25</v>
      </c>
      <c r="F1670" s="52" t="s">
        <v>26</v>
      </c>
      <c r="G1670" s="53"/>
    </row>
    <row r="1671">
      <c r="A1671" s="49">
        <v>44530.08126431713</v>
      </c>
      <c r="B1671" s="50">
        <v>44530.206247824</v>
      </c>
      <c r="C1671" s="51">
        <v>1.039</v>
      </c>
      <c r="D1671" s="51">
        <v>64.0</v>
      </c>
      <c r="E1671" s="52" t="s">
        <v>25</v>
      </c>
      <c r="F1671" s="52" t="s">
        <v>26</v>
      </c>
      <c r="G1671" s="53"/>
    </row>
    <row r="1672">
      <c r="A1672" s="49">
        <v>44530.09168917824</v>
      </c>
      <c r="B1672" s="50">
        <v>44530.2166697222</v>
      </c>
      <c r="C1672" s="51">
        <v>1.039</v>
      </c>
      <c r="D1672" s="51">
        <v>64.0</v>
      </c>
      <c r="E1672" s="52" t="s">
        <v>25</v>
      </c>
      <c r="F1672" s="52" t="s">
        <v>26</v>
      </c>
      <c r="G1672" s="53"/>
    </row>
    <row r="1673">
      <c r="A1673" s="49">
        <v>44530.10211327546</v>
      </c>
      <c r="B1673" s="50">
        <v>44530.2270897685</v>
      </c>
      <c r="C1673" s="51">
        <v>1.039</v>
      </c>
      <c r="D1673" s="51">
        <v>64.0</v>
      </c>
      <c r="E1673" s="52" t="s">
        <v>25</v>
      </c>
      <c r="F1673" s="52" t="s">
        <v>26</v>
      </c>
      <c r="G1673" s="53"/>
    </row>
    <row r="1674">
      <c r="A1674" s="49">
        <v>44530.11252826389</v>
      </c>
      <c r="B1674" s="50">
        <v>44530.2375095717</v>
      </c>
      <c r="C1674" s="51">
        <v>1.039</v>
      </c>
      <c r="D1674" s="51">
        <v>64.0</v>
      </c>
      <c r="E1674" s="52" t="s">
        <v>25</v>
      </c>
      <c r="F1674" s="52" t="s">
        <v>26</v>
      </c>
      <c r="G1674" s="53"/>
    </row>
    <row r="1675">
      <c r="A1675" s="49">
        <v>44530.122962974536</v>
      </c>
      <c r="B1675" s="50">
        <v>44530.2479429166</v>
      </c>
      <c r="C1675" s="51">
        <v>1.039</v>
      </c>
      <c r="D1675" s="51">
        <v>64.0</v>
      </c>
      <c r="E1675" s="52" t="s">
        <v>25</v>
      </c>
      <c r="F1675" s="52" t="s">
        <v>26</v>
      </c>
      <c r="G1675" s="53"/>
    </row>
    <row r="1676">
      <c r="A1676" s="49">
        <v>44530.13339042824</v>
      </c>
      <c r="B1676" s="50">
        <v>44530.2583620717</v>
      </c>
      <c r="C1676" s="51">
        <v>1.039</v>
      </c>
      <c r="D1676" s="51">
        <v>64.0</v>
      </c>
      <c r="E1676" s="52" t="s">
        <v>25</v>
      </c>
      <c r="F1676" s="52" t="s">
        <v>26</v>
      </c>
      <c r="G1676" s="53"/>
    </row>
    <row r="1677">
      <c r="A1677" s="49">
        <v>44530.14382092592</v>
      </c>
      <c r="B1677" s="50">
        <v>44530.2687964351</v>
      </c>
      <c r="C1677" s="51">
        <v>1.039</v>
      </c>
      <c r="D1677" s="51">
        <v>64.0</v>
      </c>
      <c r="E1677" s="52" t="s">
        <v>25</v>
      </c>
      <c r="F1677" s="52" t="s">
        <v>26</v>
      </c>
      <c r="G1677" s="53"/>
    </row>
    <row r="1678">
      <c r="A1678" s="49">
        <v>44530.15424471065</v>
      </c>
      <c r="B1678" s="50">
        <v>44530.2792174074</v>
      </c>
      <c r="C1678" s="51">
        <v>1.039</v>
      </c>
      <c r="D1678" s="51">
        <v>64.0</v>
      </c>
      <c r="E1678" s="52" t="s">
        <v>25</v>
      </c>
      <c r="F1678" s="52" t="s">
        <v>26</v>
      </c>
      <c r="G1678" s="53"/>
    </row>
    <row r="1679">
      <c r="A1679" s="49">
        <v>44530.1646612037</v>
      </c>
      <c r="B1679" s="50">
        <v>44530.2896380208</v>
      </c>
      <c r="C1679" s="51">
        <v>1.039</v>
      </c>
      <c r="D1679" s="51">
        <v>64.0</v>
      </c>
      <c r="E1679" s="52" t="s">
        <v>25</v>
      </c>
      <c r="F1679" s="52" t="s">
        <v>26</v>
      </c>
      <c r="G1679" s="53"/>
    </row>
    <row r="1680">
      <c r="A1680" s="49">
        <v>44530.17508681713</v>
      </c>
      <c r="B1680" s="50">
        <v>44530.3000605208</v>
      </c>
      <c r="C1680" s="51">
        <v>1.039</v>
      </c>
      <c r="D1680" s="51">
        <v>64.0</v>
      </c>
      <c r="E1680" s="52" t="s">
        <v>25</v>
      </c>
      <c r="F1680" s="52" t="s">
        <v>26</v>
      </c>
      <c r="G1680" s="53"/>
    </row>
    <row r="1681">
      <c r="A1681" s="49">
        <v>44530.18551943287</v>
      </c>
      <c r="B1681" s="50">
        <v>44530.3104919213</v>
      </c>
      <c r="C1681" s="51">
        <v>1.039</v>
      </c>
      <c r="D1681" s="51">
        <v>64.0</v>
      </c>
      <c r="E1681" s="52" t="s">
        <v>25</v>
      </c>
      <c r="F1681" s="52" t="s">
        <v>26</v>
      </c>
      <c r="G1681" s="53"/>
    </row>
    <row r="1682">
      <c r="A1682" s="49">
        <v>44530.19594315972</v>
      </c>
      <c r="B1682" s="50">
        <v>44530.3209129398</v>
      </c>
      <c r="C1682" s="51">
        <v>1.039</v>
      </c>
      <c r="D1682" s="51">
        <v>64.0</v>
      </c>
      <c r="E1682" s="52" t="s">
        <v>25</v>
      </c>
      <c r="F1682" s="52" t="s">
        <v>26</v>
      </c>
      <c r="G1682" s="53"/>
    </row>
    <row r="1683">
      <c r="A1683" s="49">
        <v>44530.20635436343</v>
      </c>
      <c r="B1683" s="50">
        <v>44530.3313351504</v>
      </c>
      <c r="C1683" s="51">
        <v>1.039</v>
      </c>
      <c r="D1683" s="51">
        <v>64.0</v>
      </c>
      <c r="E1683" s="52" t="s">
        <v>25</v>
      </c>
      <c r="F1683" s="52" t="s">
        <v>26</v>
      </c>
      <c r="G1683" s="53"/>
    </row>
    <row r="1684">
      <c r="A1684" s="49">
        <v>44530.21678021991</v>
      </c>
      <c r="B1684" s="50">
        <v>44530.3417570949</v>
      </c>
      <c r="C1684" s="51">
        <v>1.039</v>
      </c>
      <c r="D1684" s="51">
        <v>64.0</v>
      </c>
      <c r="E1684" s="52" t="s">
        <v>25</v>
      </c>
      <c r="F1684" s="52" t="s">
        <v>26</v>
      </c>
      <c r="G1684" s="53"/>
    </row>
    <row r="1685">
      <c r="A1685" s="49">
        <v>44530.22720743055</v>
      </c>
      <c r="B1685" s="50">
        <v>44530.3521788078</v>
      </c>
      <c r="C1685" s="51">
        <v>1.039</v>
      </c>
      <c r="D1685" s="51">
        <v>64.0</v>
      </c>
      <c r="E1685" s="52" t="s">
        <v>25</v>
      </c>
      <c r="F1685" s="52" t="s">
        <v>26</v>
      </c>
      <c r="G1685" s="53"/>
    </row>
    <row r="1686">
      <c r="A1686" s="49">
        <v>44530.23762717593</v>
      </c>
      <c r="B1686" s="50">
        <v>44530.3625999305</v>
      </c>
      <c r="C1686" s="51">
        <v>1.039</v>
      </c>
      <c r="D1686" s="51">
        <v>64.0</v>
      </c>
      <c r="E1686" s="52" t="s">
        <v>25</v>
      </c>
      <c r="F1686" s="52" t="s">
        <v>26</v>
      </c>
      <c r="G1686" s="53"/>
    </row>
    <row r="1687">
      <c r="A1687" s="49">
        <v>44530.24806126158</v>
      </c>
      <c r="B1687" s="50">
        <v>44530.3730325925</v>
      </c>
      <c r="C1687" s="51">
        <v>1.039</v>
      </c>
      <c r="D1687" s="51">
        <v>64.0</v>
      </c>
      <c r="E1687" s="52" t="s">
        <v>25</v>
      </c>
      <c r="F1687" s="52" t="s">
        <v>26</v>
      </c>
      <c r="G1687" s="53"/>
    </row>
    <row r="1688">
      <c r="A1688" s="49">
        <v>44530.25847741898</v>
      </c>
      <c r="B1688" s="50">
        <v>44530.3834544097</v>
      </c>
      <c r="C1688" s="51">
        <v>1.039</v>
      </c>
      <c r="D1688" s="51">
        <v>64.0</v>
      </c>
      <c r="E1688" s="52" t="s">
        <v>25</v>
      </c>
      <c r="F1688" s="52" t="s">
        <v>26</v>
      </c>
      <c r="G1688" s="53"/>
    </row>
    <row r="1689">
      <c r="A1689" s="49">
        <v>44530.26889491898</v>
      </c>
      <c r="B1689" s="50">
        <v>44530.3938764814</v>
      </c>
      <c r="C1689" s="51">
        <v>1.039</v>
      </c>
      <c r="D1689" s="51">
        <v>64.0</v>
      </c>
      <c r="E1689" s="52" t="s">
        <v>25</v>
      </c>
      <c r="F1689" s="52" t="s">
        <v>26</v>
      </c>
      <c r="G1689" s="53"/>
    </row>
    <row r="1690">
      <c r="A1690" s="49">
        <v>44530.27936011574</v>
      </c>
      <c r="B1690" s="50">
        <v>44530.4043319328</v>
      </c>
      <c r="C1690" s="51">
        <v>1.039</v>
      </c>
      <c r="D1690" s="51">
        <v>64.0</v>
      </c>
      <c r="E1690" s="52" t="s">
        <v>25</v>
      </c>
      <c r="F1690" s="52" t="s">
        <v>26</v>
      </c>
      <c r="G1690" s="53"/>
    </row>
    <row r="1691">
      <c r="A1691" s="49">
        <v>44530.289788124996</v>
      </c>
      <c r="B1691" s="50">
        <v>44530.4147640162</v>
      </c>
      <c r="C1691" s="51">
        <v>1.039</v>
      </c>
      <c r="D1691" s="51">
        <v>64.0</v>
      </c>
      <c r="E1691" s="52" t="s">
        <v>25</v>
      </c>
      <c r="F1691" s="52" t="s">
        <v>26</v>
      </c>
      <c r="G1691" s="53"/>
    </row>
    <row r="1692">
      <c r="A1692" s="49">
        <v>44530.300212511575</v>
      </c>
      <c r="B1692" s="50">
        <v>44530.425184699</v>
      </c>
      <c r="C1692" s="51">
        <v>1.039</v>
      </c>
      <c r="D1692" s="51">
        <v>64.0</v>
      </c>
      <c r="E1692" s="52" t="s">
        <v>25</v>
      </c>
      <c r="F1692" s="52" t="s">
        <v>26</v>
      </c>
      <c r="G1692" s="53"/>
    </row>
    <row r="1693">
      <c r="A1693" s="49">
        <v>44530.31064863426</v>
      </c>
      <c r="B1693" s="50">
        <v>44530.4356195717</v>
      </c>
      <c r="C1693" s="51">
        <v>1.039</v>
      </c>
      <c r="D1693" s="51">
        <v>64.0</v>
      </c>
      <c r="E1693" s="52" t="s">
        <v>25</v>
      </c>
      <c r="F1693" s="52" t="s">
        <v>26</v>
      </c>
      <c r="G1693" s="53"/>
    </row>
    <row r="1694">
      <c r="A1694" s="49">
        <v>44530.32106368056</v>
      </c>
      <c r="B1694" s="50">
        <v>44530.4460405439</v>
      </c>
      <c r="C1694" s="51">
        <v>1.039</v>
      </c>
      <c r="D1694" s="51">
        <v>64.0</v>
      </c>
      <c r="E1694" s="52" t="s">
        <v>25</v>
      </c>
      <c r="F1694" s="52" t="s">
        <v>26</v>
      </c>
      <c r="G1694" s="53"/>
    </row>
    <row r="1695">
      <c r="A1695" s="49">
        <v>44530.33148467593</v>
      </c>
      <c r="B1695" s="50">
        <v>44530.4564610416</v>
      </c>
      <c r="C1695" s="51">
        <v>1.039</v>
      </c>
      <c r="D1695" s="51">
        <v>64.0</v>
      </c>
      <c r="E1695" s="52" t="s">
        <v>25</v>
      </c>
      <c r="F1695" s="52" t="s">
        <v>26</v>
      </c>
      <c r="G1695" s="53"/>
    </row>
    <row r="1696">
      <c r="A1696" s="49">
        <v>44530.34191091435</v>
      </c>
      <c r="B1696" s="50">
        <v>44530.4668820833</v>
      </c>
      <c r="C1696" s="51">
        <v>1.039</v>
      </c>
      <c r="D1696" s="51">
        <v>64.0</v>
      </c>
      <c r="E1696" s="52" t="s">
        <v>25</v>
      </c>
      <c r="F1696" s="52" t="s">
        <v>26</v>
      </c>
      <c r="G1696" s="53"/>
    </row>
    <row r="1697">
      <c r="A1697" s="49">
        <v>44530.352325775464</v>
      </c>
      <c r="B1697" s="50">
        <v>44530.4773024189</v>
      </c>
      <c r="C1697" s="51">
        <v>1.039</v>
      </c>
      <c r="D1697" s="51">
        <v>64.0</v>
      </c>
      <c r="E1697" s="52" t="s">
        <v>25</v>
      </c>
      <c r="F1697" s="52" t="s">
        <v>26</v>
      </c>
      <c r="G1697" s="53"/>
    </row>
    <row r="1698">
      <c r="A1698" s="49">
        <v>44530.362752430556</v>
      </c>
      <c r="B1698" s="50">
        <v>44530.4877219212</v>
      </c>
      <c r="C1698" s="51">
        <v>1.039</v>
      </c>
      <c r="D1698" s="51">
        <v>64.0</v>
      </c>
      <c r="E1698" s="52" t="s">
        <v>25</v>
      </c>
      <c r="F1698" s="52" t="s">
        <v>26</v>
      </c>
      <c r="G1698" s="53"/>
    </row>
    <row r="1699">
      <c r="A1699" s="49">
        <v>44530.37316349537</v>
      </c>
      <c r="B1699" s="50">
        <v>44530.4981409259</v>
      </c>
      <c r="C1699" s="51">
        <v>1.039</v>
      </c>
      <c r="D1699" s="51">
        <v>64.0</v>
      </c>
      <c r="E1699" s="52" t="s">
        <v>25</v>
      </c>
      <c r="F1699" s="52" t="s">
        <v>26</v>
      </c>
      <c r="G1699" s="53"/>
    </row>
    <row r="1700">
      <c r="A1700" s="49">
        <v>44530.38358869213</v>
      </c>
      <c r="B1700" s="50">
        <v>44530.5085622222</v>
      </c>
      <c r="C1700" s="51">
        <v>1.039</v>
      </c>
      <c r="D1700" s="51">
        <v>64.0</v>
      </c>
      <c r="E1700" s="52" t="s">
        <v>25</v>
      </c>
      <c r="F1700" s="52" t="s">
        <v>26</v>
      </c>
      <c r="G1700" s="53"/>
    </row>
    <row r="1701">
      <c r="A1701" s="49">
        <v>44530.39400712963</v>
      </c>
      <c r="B1701" s="50">
        <v>44530.5189849884</v>
      </c>
      <c r="C1701" s="51">
        <v>1.039</v>
      </c>
      <c r="D1701" s="51">
        <v>64.0</v>
      </c>
      <c r="E1701" s="52" t="s">
        <v>25</v>
      </c>
      <c r="F1701" s="52" t="s">
        <v>26</v>
      </c>
      <c r="G1701" s="53"/>
    </row>
    <row r="1702">
      <c r="A1702" s="49">
        <v>44530.404437881945</v>
      </c>
      <c r="B1702" s="50">
        <v>44530.5294071527</v>
      </c>
      <c r="C1702" s="51">
        <v>1.039</v>
      </c>
      <c r="D1702" s="51">
        <v>64.0</v>
      </c>
      <c r="E1702" s="52" t="s">
        <v>25</v>
      </c>
      <c r="F1702" s="52" t="s">
        <v>26</v>
      </c>
      <c r="G1702" s="53"/>
    </row>
    <row r="1703">
      <c r="A1703" s="49">
        <v>44530.414850601854</v>
      </c>
      <c r="B1703" s="50">
        <v>44530.539827905</v>
      </c>
      <c r="C1703" s="51">
        <v>1.039</v>
      </c>
      <c r="D1703" s="51">
        <v>64.0</v>
      </c>
      <c r="E1703" s="52" t="s">
        <v>25</v>
      </c>
      <c r="F1703" s="52" t="s">
        <v>26</v>
      </c>
      <c r="G1703" s="53"/>
    </row>
    <row r="1704">
      <c r="A1704" s="49">
        <v>44530.42527668981</v>
      </c>
      <c r="B1704" s="50">
        <v>44530.5502499305</v>
      </c>
      <c r="C1704" s="51">
        <v>1.039</v>
      </c>
      <c r="D1704" s="51">
        <v>64.0</v>
      </c>
      <c r="E1704" s="52" t="s">
        <v>25</v>
      </c>
      <c r="F1704" s="52" t="s">
        <v>26</v>
      </c>
      <c r="G1704" s="53"/>
    </row>
    <row r="1705">
      <c r="A1705" s="49">
        <v>44530.43569762731</v>
      </c>
      <c r="B1705" s="50">
        <v>44530.560672581</v>
      </c>
      <c r="C1705" s="51">
        <v>1.039</v>
      </c>
      <c r="D1705" s="51">
        <v>64.0</v>
      </c>
      <c r="E1705" s="52" t="s">
        <v>25</v>
      </c>
      <c r="F1705" s="52" t="s">
        <v>26</v>
      </c>
      <c r="G1705" s="53"/>
    </row>
    <row r="1706">
      <c r="A1706" s="49">
        <v>44530.4461303125</v>
      </c>
      <c r="B1706" s="50">
        <v>44530.5711045833</v>
      </c>
      <c r="C1706" s="51">
        <v>1.039</v>
      </c>
      <c r="D1706" s="51">
        <v>64.0</v>
      </c>
      <c r="E1706" s="52" t="s">
        <v>25</v>
      </c>
      <c r="F1706" s="52" t="s">
        <v>26</v>
      </c>
      <c r="G1706" s="53"/>
    </row>
    <row r="1707">
      <c r="A1707" s="49">
        <v>44530.45655497685</v>
      </c>
      <c r="B1707" s="50">
        <v>44530.5815266087</v>
      </c>
      <c r="C1707" s="51">
        <v>1.039</v>
      </c>
      <c r="D1707" s="51">
        <v>64.0</v>
      </c>
      <c r="E1707" s="52" t="s">
        <v>25</v>
      </c>
      <c r="F1707" s="52" t="s">
        <v>26</v>
      </c>
      <c r="G1707" s="53"/>
    </row>
    <row r="1708">
      <c r="A1708" s="49">
        <v>44530.466971574075</v>
      </c>
      <c r="B1708" s="50">
        <v>44530.5919477662</v>
      </c>
      <c r="C1708" s="51">
        <v>1.039</v>
      </c>
      <c r="D1708" s="51">
        <v>64.0</v>
      </c>
      <c r="E1708" s="52" t="s">
        <v>25</v>
      </c>
      <c r="F1708" s="52" t="s">
        <v>26</v>
      </c>
      <c r="G1708" s="53"/>
    </row>
    <row r="1709">
      <c r="A1709" s="49">
        <v>44530.47739413194</v>
      </c>
      <c r="B1709" s="50">
        <v>44530.6023701967</v>
      </c>
      <c r="C1709" s="51">
        <v>1.039</v>
      </c>
      <c r="D1709" s="51">
        <v>64.0</v>
      </c>
      <c r="E1709" s="52" t="s">
        <v>25</v>
      </c>
      <c r="F1709" s="52" t="s">
        <v>26</v>
      </c>
      <c r="G1709" s="53"/>
    </row>
    <row r="1710">
      <c r="A1710" s="49">
        <v>44530.48782015046</v>
      </c>
      <c r="B1710" s="50">
        <v>44530.612792118</v>
      </c>
      <c r="C1710" s="51">
        <v>1.039</v>
      </c>
      <c r="D1710" s="51">
        <v>64.0</v>
      </c>
      <c r="E1710" s="52" t="s">
        <v>25</v>
      </c>
      <c r="F1710" s="52" t="s">
        <v>26</v>
      </c>
      <c r="G1710" s="53"/>
    </row>
    <row r="1711">
      <c r="A1711" s="49">
        <v>44530.49823384259</v>
      </c>
      <c r="B1711" s="50">
        <v>44530.623214618</v>
      </c>
      <c r="C1711" s="51">
        <v>1.039</v>
      </c>
      <c r="D1711" s="51">
        <v>64.0</v>
      </c>
      <c r="E1711" s="52" t="s">
        <v>25</v>
      </c>
      <c r="F1711" s="52" t="s">
        <v>26</v>
      </c>
      <c r="G1711" s="53"/>
    </row>
    <row r="1712">
      <c r="A1712" s="49">
        <v>44530.50865827546</v>
      </c>
      <c r="B1712" s="50">
        <v>44530.633634537</v>
      </c>
      <c r="C1712" s="51">
        <v>1.039</v>
      </c>
      <c r="D1712" s="51">
        <v>64.0</v>
      </c>
      <c r="E1712" s="52" t="s">
        <v>25</v>
      </c>
      <c r="F1712" s="52" t="s">
        <v>26</v>
      </c>
      <c r="G1712" s="53"/>
    </row>
    <row r="1713">
      <c r="A1713" s="49">
        <v>44530.519078425925</v>
      </c>
      <c r="B1713" s="50">
        <v>44530.6440556597</v>
      </c>
      <c r="C1713" s="51">
        <v>1.039</v>
      </c>
      <c r="D1713" s="51">
        <v>64.0</v>
      </c>
      <c r="E1713" s="52" t="s">
        <v>25</v>
      </c>
      <c r="F1713" s="52" t="s">
        <v>26</v>
      </c>
      <c r="G1713" s="53"/>
    </row>
    <row r="1714">
      <c r="A1714" s="49">
        <v>44530.529501516205</v>
      </c>
      <c r="B1714" s="50">
        <v>44530.6544769097</v>
      </c>
      <c r="C1714" s="51">
        <v>1.038</v>
      </c>
      <c r="D1714" s="51">
        <v>64.0</v>
      </c>
      <c r="E1714" s="52" t="s">
        <v>25</v>
      </c>
      <c r="F1714" s="52" t="s">
        <v>26</v>
      </c>
      <c r="G1714" s="53"/>
    </row>
    <row r="1715">
      <c r="A1715" s="49">
        <v>44530.5399154051</v>
      </c>
      <c r="B1715" s="50">
        <v>44530.6648978009</v>
      </c>
      <c r="C1715" s="51">
        <v>1.039</v>
      </c>
      <c r="D1715" s="51">
        <v>64.0</v>
      </c>
      <c r="E1715" s="52" t="s">
        <v>25</v>
      </c>
      <c r="F1715" s="52" t="s">
        <v>26</v>
      </c>
      <c r="G1715" s="53"/>
    </row>
    <row r="1716">
      <c r="A1716" s="49">
        <v>44530.550343842595</v>
      </c>
      <c r="B1716" s="50">
        <v>44530.6753181597</v>
      </c>
      <c r="C1716" s="51">
        <v>1.039</v>
      </c>
      <c r="D1716" s="51">
        <v>64.0</v>
      </c>
      <c r="E1716" s="52" t="s">
        <v>25</v>
      </c>
      <c r="F1716" s="52" t="s">
        <v>26</v>
      </c>
      <c r="G1716" s="53"/>
    </row>
    <row r="1717">
      <c r="A1717" s="49">
        <v>44530.56075909722</v>
      </c>
      <c r="B1717" s="50">
        <v>44530.685740324</v>
      </c>
      <c r="C1717" s="51">
        <v>1.038</v>
      </c>
      <c r="D1717" s="51">
        <v>64.0</v>
      </c>
      <c r="E1717" s="52" t="s">
        <v>25</v>
      </c>
      <c r="F1717" s="52" t="s">
        <v>26</v>
      </c>
      <c r="G1717" s="53"/>
    </row>
    <row r="1718">
      <c r="A1718" s="49">
        <v>44530.57118622685</v>
      </c>
      <c r="B1718" s="50">
        <v>44530.6961617129</v>
      </c>
      <c r="C1718" s="51">
        <v>1.039</v>
      </c>
      <c r="D1718" s="51">
        <v>64.0</v>
      </c>
      <c r="E1718" s="52" t="s">
        <v>25</v>
      </c>
      <c r="F1718" s="52" t="s">
        <v>26</v>
      </c>
      <c r="G1718" s="53"/>
    </row>
    <row r="1719">
      <c r="A1719" s="49">
        <v>44530.58160478009</v>
      </c>
      <c r="B1719" s="50">
        <v>44530.7065826041</v>
      </c>
      <c r="C1719" s="51">
        <v>1.038</v>
      </c>
      <c r="D1719" s="51">
        <v>64.0</v>
      </c>
      <c r="E1719" s="52" t="s">
        <v>25</v>
      </c>
      <c r="F1719" s="52" t="s">
        <v>26</v>
      </c>
      <c r="G1719" s="53"/>
    </row>
    <row r="1720">
      <c r="A1720" s="49">
        <v>44530.592030370375</v>
      </c>
      <c r="B1720" s="50">
        <v>44530.7170047569</v>
      </c>
      <c r="C1720" s="51">
        <v>1.039</v>
      </c>
      <c r="D1720" s="51">
        <v>64.0</v>
      </c>
      <c r="E1720" s="52" t="s">
        <v>25</v>
      </c>
      <c r="F1720" s="52" t="s">
        <v>26</v>
      </c>
      <c r="G1720" s="53"/>
    </row>
    <row r="1721">
      <c r="A1721" s="49">
        <v>44530.60245284722</v>
      </c>
      <c r="B1721" s="50">
        <v>44530.7274270949</v>
      </c>
      <c r="C1721" s="51">
        <v>1.039</v>
      </c>
      <c r="D1721" s="51">
        <v>64.0</v>
      </c>
      <c r="E1721" s="52" t="s">
        <v>25</v>
      </c>
      <c r="F1721" s="52" t="s">
        <v>26</v>
      </c>
      <c r="G1721" s="53"/>
    </row>
    <row r="1722">
      <c r="A1722" s="49">
        <v>44530.61287513889</v>
      </c>
      <c r="B1722" s="50">
        <v>44530.7378477893</v>
      </c>
      <c r="C1722" s="51">
        <v>1.039</v>
      </c>
      <c r="D1722" s="51">
        <v>64.0</v>
      </c>
      <c r="E1722" s="52" t="s">
        <v>25</v>
      </c>
      <c r="F1722" s="52" t="s">
        <v>26</v>
      </c>
      <c r="G1722" s="53"/>
    </row>
    <row r="1723">
      <c r="A1723" s="49">
        <v>44530.62330416667</v>
      </c>
      <c r="B1723" s="50">
        <v>44530.7482808217</v>
      </c>
      <c r="C1723" s="51">
        <v>1.039</v>
      </c>
      <c r="D1723" s="51">
        <v>64.0</v>
      </c>
      <c r="E1723" s="52" t="s">
        <v>25</v>
      </c>
      <c r="F1723" s="52" t="s">
        <v>26</v>
      </c>
      <c r="G1723" s="53"/>
    </row>
    <row r="1724">
      <c r="A1724" s="49">
        <v>44530.63372334491</v>
      </c>
      <c r="B1724" s="50">
        <v>44530.7587026273</v>
      </c>
      <c r="C1724" s="51">
        <v>1.038</v>
      </c>
      <c r="D1724" s="51">
        <v>64.0</v>
      </c>
      <c r="E1724" s="52" t="s">
        <v>25</v>
      </c>
      <c r="F1724" s="52" t="s">
        <v>26</v>
      </c>
      <c r="G1724" s="53"/>
    </row>
    <row r="1725">
      <c r="A1725" s="49">
        <v>44530.64414981482</v>
      </c>
      <c r="B1725" s="50">
        <v>44530.7691230324</v>
      </c>
      <c r="C1725" s="51">
        <v>1.038</v>
      </c>
      <c r="D1725" s="51">
        <v>64.0</v>
      </c>
      <c r="E1725" s="52" t="s">
        <v>25</v>
      </c>
      <c r="F1725" s="52" t="s">
        <v>26</v>
      </c>
      <c r="G1725" s="53"/>
    </row>
    <row r="1726">
      <c r="A1726" s="49">
        <v>44530.65456451389</v>
      </c>
      <c r="B1726" s="50">
        <v>44530.7795439467</v>
      </c>
      <c r="C1726" s="51">
        <v>1.039</v>
      </c>
      <c r="D1726" s="51">
        <v>64.0</v>
      </c>
      <c r="E1726" s="52" t="s">
        <v>25</v>
      </c>
      <c r="F1726" s="52" t="s">
        <v>26</v>
      </c>
      <c r="G1726" s="53"/>
    </row>
    <row r="1727">
      <c r="A1727" s="49">
        <v>44530.664988425924</v>
      </c>
      <c r="B1727" s="50">
        <v>44530.7899653009</v>
      </c>
      <c r="C1727" s="51">
        <v>1.038</v>
      </c>
      <c r="D1727" s="51">
        <v>64.0</v>
      </c>
      <c r="E1727" s="52" t="s">
        <v>25</v>
      </c>
      <c r="F1727" s="52" t="s">
        <v>26</v>
      </c>
      <c r="G1727" s="53"/>
    </row>
    <row r="1728">
      <c r="A1728" s="49">
        <v>44530.6754146412</v>
      </c>
      <c r="B1728" s="50">
        <v>44530.8003885185</v>
      </c>
      <c r="C1728" s="51">
        <v>1.038</v>
      </c>
      <c r="D1728" s="51">
        <v>64.0</v>
      </c>
      <c r="E1728" s="52" t="s">
        <v>25</v>
      </c>
      <c r="F1728" s="52" t="s">
        <v>26</v>
      </c>
      <c r="G1728" s="53"/>
    </row>
    <row r="1729">
      <c r="A1729" s="49">
        <v>44530.685828912036</v>
      </c>
      <c r="B1729" s="50">
        <v>44530.8108108912</v>
      </c>
      <c r="C1729" s="51">
        <v>1.038</v>
      </c>
      <c r="D1729" s="51">
        <v>64.0</v>
      </c>
      <c r="E1729" s="52" t="s">
        <v>25</v>
      </c>
      <c r="F1729" s="52" t="s">
        <v>26</v>
      </c>
      <c r="G1729" s="53"/>
    </row>
    <row r="1730">
      <c r="A1730" s="49">
        <v>44530.6962603125</v>
      </c>
      <c r="B1730" s="50">
        <v>44530.8212319675</v>
      </c>
      <c r="C1730" s="51">
        <v>1.038</v>
      </c>
      <c r="D1730" s="51">
        <v>64.0</v>
      </c>
      <c r="E1730" s="52" t="s">
        <v>25</v>
      </c>
      <c r="F1730" s="52" t="s">
        <v>26</v>
      </c>
      <c r="G1730" s="53"/>
    </row>
    <row r="1731">
      <c r="A1731" s="49">
        <v>44530.70667605324</v>
      </c>
      <c r="B1731" s="50">
        <v>44530.8316534722</v>
      </c>
      <c r="C1731" s="51">
        <v>1.039</v>
      </c>
      <c r="D1731" s="51">
        <v>64.0</v>
      </c>
      <c r="E1731" s="52" t="s">
        <v>25</v>
      </c>
      <c r="F1731" s="52" t="s">
        <v>26</v>
      </c>
      <c r="G1731" s="53"/>
    </row>
    <row r="1732">
      <c r="A1732" s="49">
        <v>44530.71709791667</v>
      </c>
      <c r="B1732" s="50">
        <v>44530.8420743171</v>
      </c>
      <c r="C1732" s="51">
        <v>1.038</v>
      </c>
      <c r="D1732" s="51">
        <v>64.0</v>
      </c>
      <c r="E1732" s="52" t="s">
        <v>25</v>
      </c>
      <c r="F1732" s="52" t="s">
        <v>26</v>
      </c>
      <c r="G1732" s="53"/>
    </row>
    <row r="1733">
      <c r="A1733" s="49">
        <v>44530.72752140046</v>
      </c>
      <c r="B1733" s="50">
        <v>44530.8524948263</v>
      </c>
      <c r="C1733" s="51">
        <v>1.038</v>
      </c>
      <c r="D1733" s="51">
        <v>64.0</v>
      </c>
      <c r="E1733" s="52" t="s">
        <v>25</v>
      </c>
      <c r="F1733" s="52" t="s">
        <v>26</v>
      </c>
      <c r="G1733" s="53"/>
    </row>
    <row r="1734">
      <c r="A1734" s="49">
        <v>44530.73794712963</v>
      </c>
      <c r="B1734" s="50">
        <v>44530.8629274652</v>
      </c>
      <c r="C1734" s="51">
        <v>1.038</v>
      </c>
      <c r="D1734" s="51">
        <v>64.0</v>
      </c>
      <c r="E1734" s="52" t="s">
        <v>25</v>
      </c>
      <c r="F1734" s="52" t="s">
        <v>26</v>
      </c>
      <c r="G1734" s="53"/>
    </row>
    <row r="1735">
      <c r="A1735" s="49">
        <v>44530.74838586806</v>
      </c>
      <c r="B1735" s="50">
        <v>44530.8733599652</v>
      </c>
      <c r="C1735" s="51">
        <v>1.038</v>
      </c>
      <c r="D1735" s="51">
        <v>64.0</v>
      </c>
      <c r="E1735" s="52" t="s">
        <v>25</v>
      </c>
      <c r="F1735" s="52" t="s">
        <v>26</v>
      </c>
      <c r="G1735" s="53"/>
    </row>
    <row r="1736">
      <c r="A1736" s="49">
        <v>44530.75880856482</v>
      </c>
      <c r="B1736" s="50">
        <v>44530.8837821527</v>
      </c>
      <c r="C1736" s="51">
        <v>1.038</v>
      </c>
      <c r="D1736" s="51">
        <v>64.0</v>
      </c>
      <c r="E1736" s="52" t="s">
        <v>25</v>
      </c>
      <c r="F1736" s="52" t="s">
        <v>26</v>
      </c>
      <c r="G1736" s="53"/>
    </row>
    <row r="1737">
      <c r="A1737" s="49">
        <v>44530.769233530096</v>
      </c>
      <c r="B1737" s="50">
        <v>44530.8942025463</v>
      </c>
      <c r="C1737" s="51">
        <v>1.038</v>
      </c>
      <c r="D1737" s="51">
        <v>64.0</v>
      </c>
      <c r="E1737" s="52" t="s">
        <v>25</v>
      </c>
      <c r="F1737" s="52" t="s">
        <v>26</v>
      </c>
      <c r="G1737" s="53"/>
    </row>
    <row r="1738">
      <c r="A1738" s="49">
        <v>44530.779656053244</v>
      </c>
      <c r="B1738" s="50">
        <v>44530.9046341666</v>
      </c>
      <c r="C1738" s="51">
        <v>1.038</v>
      </c>
      <c r="D1738" s="51">
        <v>64.0</v>
      </c>
      <c r="E1738" s="52" t="s">
        <v>25</v>
      </c>
      <c r="F1738" s="52" t="s">
        <v>26</v>
      </c>
      <c r="G1738" s="53"/>
    </row>
    <row r="1739">
      <c r="A1739" s="49">
        <v>44530.79007636574</v>
      </c>
      <c r="B1739" s="50">
        <v>44530.9150544791</v>
      </c>
      <c r="C1739" s="51">
        <v>1.038</v>
      </c>
      <c r="D1739" s="51">
        <v>64.0</v>
      </c>
      <c r="E1739" s="52" t="s">
        <v>25</v>
      </c>
      <c r="F1739" s="52" t="s">
        <v>26</v>
      </c>
      <c r="G1739" s="53"/>
    </row>
    <row r="1740">
      <c r="A1740" s="49">
        <v>44530.800508726854</v>
      </c>
      <c r="B1740" s="50">
        <v>44530.9254748726</v>
      </c>
      <c r="C1740" s="51">
        <v>1.038</v>
      </c>
      <c r="D1740" s="51">
        <v>64.0</v>
      </c>
      <c r="E1740" s="52" t="s">
        <v>25</v>
      </c>
      <c r="F1740" s="52" t="s">
        <v>26</v>
      </c>
      <c r="G1740" s="53"/>
    </row>
    <row r="1741">
      <c r="A1741" s="49">
        <v>44530.810911712964</v>
      </c>
      <c r="B1741" s="50">
        <v>44530.9358962962</v>
      </c>
      <c r="C1741" s="51">
        <v>1.038</v>
      </c>
      <c r="D1741" s="51">
        <v>64.0</v>
      </c>
      <c r="E1741" s="52" t="s">
        <v>25</v>
      </c>
      <c r="F1741" s="52" t="s">
        <v>26</v>
      </c>
      <c r="G1741" s="53"/>
    </row>
    <row r="1742">
      <c r="A1742" s="49">
        <v>44530.82133373842</v>
      </c>
      <c r="B1742" s="50">
        <v>44530.9463180902</v>
      </c>
      <c r="C1742" s="51">
        <v>1.038</v>
      </c>
      <c r="D1742" s="51">
        <v>64.0</v>
      </c>
      <c r="E1742" s="52" t="s">
        <v>25</v>
      </c>
      <c r="F1742" s="52" t="s">
        <v>26</v>
      </c>
      <c r="G1742" s="53"/>
    </row>
    <row r="1743">
      <c r="A1743" s="49">
        <v>44530.83177329861</v>
      </c>
      <c r="B1743" s="50">
        <v>44530.9567384722</v>
      </c>
      <c r="C1743" s="51">
        <v>1.038</v>
      </c>
      <c r="D1743" s="51">
        <v>64.0</v>
      </c>
      <c r="E1743" s="52" t="s">
        <v>25</v>
      </c>
      <c r="F1743" s="52" t="s">
        <v>26</v>
      </c>
      <c r="G1743" s="53"/>
    </row>
    <row r="1744">
      <c r="A1744" s="49">
        <v>44530.842191840275</v>
      </c>
      <c r="B1744" s="50">
        <v>44530.9671718981</v>
      </c>
      <c r="C1744" s="51">
        <v>1.038</v>
      </c>
      <c r="D1744" s="51">
        <v>64.0</v>
      </c>
      <c r="E1744" s="52" t="s">
        <v>25</v>
      </c>
      <c r="F1744" s="52" t="s">
        <v>26</v>
      </c>
      <c r="G1744" s="53"/>
    </row>
    <row r="1745">
      <c r="A1745" s="49">
        <v>44530.852611932874</v>
      </c>
      <c r="B1745" s="50">
        <v>44530.9775934375</v>
      </c>
      <c r="C1745" s="51">
        <v>1.038</v>
      </c>
      <c r="D1745" s="51">
        <v>64.0</v>
      </c>
      <c r="E1745" s="52" t="s">
        <v>25</v>
      </c>
      <c r="F1745" s="52" t="s">
        <v>26</v>
      </c>
      <c r="G1745" s="53"/>
    </row>
    <row r="1746">
      <c r="A1746" s="49">
        <v>44530.86307553241</v>
      </c>
      <c r="B1746" s="50">
        <v>44530.9880497453</v>
      </c>
      <c r="C1746" s="51">
        <v>1.038</v>
      </c>
      <c r="D1746" s="51">
        <v>64.0</v>
      </c>
      <c r="E1746" s="52" t="s">
        <v>25</v>
      </c>
      <c r="F1746" s="52" t="s">
        <v>26</v>
      </c>
      <c r="G1746" s="53"/>
    </row>
    <row r="1747">
      <c r="A1747" s="49">
        <v>44530.8734877199</v>
      </c>
      <c r="B1747" s="50">
        <v>44530.9984696874</v>
      </c>
      <c r="C1747" s="51">
        <v>1.038</v>
      </c>
      <c r="D1747" s="51">
        <v>64.0</v>
      </c>
      <c r="E1747" s="52" t="s">
        <v>25</v>
      </c>
      <c r="F1747" s="52" t="s">
        <v>26</v>
      </c>
      <c r="G1747" s="53"/>
    </row>
    <row r="1748">
      <c r="A1748" s="49">
        <v>44530.883908993055</v>
      </c>
      <c r="B1748" s="50">
        <v>44531.008891875</v>
      </c>
      <c r="C1748" s="51">
        <v>1.038</v>
      </c>
      <c r="D1748" s="51">
        <v>64.0</v>
      </c>
      <c r="E1748" s="52" t="s">
        <v>25</v>
      </c>
      <c r="F1748" s="52" t="s">
        <v>26</v>
      </c>
      <c r="G1748" s="53"/>
    </row>
    <row r="1749">
      <c r="A1749" s="49">
        <v>44530.894339606486</v>
      </c>
      <c r="B1749" s="50">
        <v>44531.0193111111</v>
      </c>
      <c r="C1749" s="51">
        <v>1.038</v>
      </c>
      <c r="D1749" s="51">
        <v>64.0</v>
      </c>
      <c r="E1749" s="52" t="s">
        <v>25</v>
      </c>
      <c r="F1749" s="52" t="s">
        <v>26</v>
      </c>
      <c r="G1749" s="53"/>
    </row>
    <row r="1750">
      <c r="A1750" s="49">
        <v>44530.9047693287</v>
      </c>
      <c r="B1750" s="50">
        <v>44531.0297442708</v>
      </c>
      <c r="C1750" s="51">
        <v>1.038</v>
      </c>
      <c r="D1750" s="51">
        <v>64.0</v>
      </c>
      <c r="E1750" s="52" t="s">
        <v>25</v>
      </c>
      <c r="F1750" s="52" t="s">
        <v>26</v>
      </c>
      <c r="G1750" s="53"/>
    </row>
    <row r="1751">
      <c r="A1751" s="49">
        <v>44530.91519410879</v>
      </c>
      <c r="B1751" s="50">
        <v>44531.0401663078</v>
      </c>
      <c r="C1751" s="51">
        <v>1.038</v>
      </c>
      <c r="D1751" s="51">
        <v>64.0</v>
      </c>
      <c r="E1751" s="52" t="s">
        <v>25</v>
      </c>
      <c r="F1751" s="52" t="s">
        <v>26</v>
      </c>
      <c r="G1751" s="53"/>
    </row>
    <row r="1752">
      <c r="A1752" s="49">
        <v>44530.92562505787</v>
      </c>
      <c r="B1752" s="50">
        <v>44531.0505983217</v>
      </c>
      <c r="C1752" s="51">
        <v>1.038</v>
      </c>
      <c r="D1752" s="51">
        <v>64.0</v>
      </c>
      <c r="E1752" s="52" t="s">
        <v>25</v>
      </c>
      <c r="F1752" s="52" t="s">
        <v>26</v>
      </c>
      <c r="G1752" s="53"/>
    </row>
    <row r="1753">
      <c r="A1753" s="49">
        <v>44530.93605394676</v>
      </c>
      <c r="B1753" s="50">
        <v>44531.0610187962</v>
      </c>
      <c r="C1753" s="51">
        <v>1.038</v>
      </c>
      <c r="D1753" s="51">
        <v>64.0</v>
      </c>
      <c r="E1753" s="52" t="s">
        <v>25</v>
      </c>
      <c r="F1753" s="52" t="s">
        <v>26</v>
      </c>
      <c r="G1753" s="53"/>
    </row>
    <row r="1754">
      <c r="A1754" s="49">
        <v>44530.946482569445</v>
      </c>
      <c r="B1754" s="50">
        <v>44531.0714401388</v>
      </c>
      <c r="C1754" s="51">
        <v>1.038</v>
      </c>
      <c r="D1754" s="51">
        <v>64.0</v>
      </c>
      <c r="E1754" s="52" t="s">
        <v>25</v>
      </c>
      <c r="F1754" s="52" t="s">
        <v>26</v>
      </c>
      <c r="G1754" s="53"/>
    </row>
    <row r="1755">
      <c r="A1755" s="49">
        <v>44530.956888796296</v>
      </c>
      <c r="B1755" s="50">
        <v>44531.0818614699</v>
      </c>
      <c r="C1755" s="51">
        <v>1.038</v>
      </c>
      <c r="D1755" s="51">
        <v>64.0</v>
      </c>
      <c r="E1755" s="52" t="s">
        <v>25</v>
      </c>
      <c r="F1755" s="52" t="s">
        <v>26</v>
      </c>
      <c r="G1755" s="53"/>
    </row>
    <row r="1756">
      <c r="A1756" s="49">
        <v>44530.96731172454</v>
      </c>
      <c r="B1756" s="50">
        <v>44531.0922833217</v>
      </c>
      <c r="C1756" s="51">
        <v>1.038</v>
      </c>
      <c r="D1756" s="51">
        <v>64.0</v>
      </c>
      <c r="E1756" s="52" t="s">
        <v>25</v>
      </c>
      <c r="F1756" s="52" t="s">
        <v>26</v>
      </c>
      <c r="G1756" s="53"/>
    </row>
    <row r="1757">
      <c r="A1757" s="49">
        <v>44530.97772634259</v>
      </c>
      <c r="B1757" s="50">
        <v>44531.102703287</v>
      </c>
      <c r="C1757" s="51">
        <v>1.038</v>
      </c>
      <c r="D1757" s="51">
        <v>64.0</v>
      </c>
      <c r="E1757" s="52" t="s">
        <v>25</v>
      </c>
      <c r="F1757" s="52" t="s">
        <v>26</v>
      </c>
      <c r="G1757" s="53"/>
    </row>
    <row r="1758">
      <c r="A1758" s="49">
        <v>44530.98815020833</v>
      </c>
      <c r="B1758" s="50">
        <v>44531.1131258912</v>
      </c>
      <c r="C1758" s="51">
        <v>1.038</v>
      </c>
      <c r="D1758" s="51">
        <v>64.0</v>
      </c>
      <c r="E1758" s="52" t="s">
        <v>25</v>
      </c>
      <c r="F1758" s="52" t="s">
        <v>26</v>
      </c>
      <c r="G1758" s="53"/>
    </row>
    <row r="1759">
      <c r="A1759" s="49">
        <v>44530.99857376158</v>
      </c>
      <c r="B1759" s="50">
        <v>44531.1235474305</v>
      </c>
      <c r="C1759" s="51">
        <v>1.038</v>
      </c>
      <c r="D1759" s="51">
        <v>64.0</v>
      </c>
      <c r="E1759" s="52" t="s">
        <v>25</v>
      </c>
      <c r="F1759" s="52" t="s">
        <v>26</v>
      </c>
      <c r="G1759" s="53"/>
    </row>
    <row r="1760">
      <c r="A1760" s="49">
        <v>44531.00901350695</v>
      </c>
      <c r="B1760" s="50">
        <v>44531.1339893055</v>
      </c>
      <c r="C1760" s="51">
        <v>1.038</v>
      </c>
      <c r="D1760" s="51">
        <v>64.0</v>
      </c>
      <c r="E1760" s="52" t="s">
        <v>25</v>
      </c>
      <c r="F1760" s="52" t="s">
        <v>26</v>
      </c>
      <c r="G1760" s="53"/>
    </row>
    <row r="1761">
      <c r="A1761" s="49">
        <v>44531.01943273148</v>
      </c>
      <c r="B1761" s="50">
        <v>44531.1444103703</v>
      </c>
      <c r="C1761" s="51">
        <v>1.038</v>
      </c>
      <c r="D1761" s="51">
        <v>64.0</v>
      </c>
      <c r="E1761" s="52" t="s">
        <v>25</v>
      </c>
      <c r="F1761" s="52" t="s">
        <v>26</v>
      </c>
      <c r="G1761" s="53"/>
    </row>
    <row r="1762">
      <c r="A1762" s="49">
        <v>44531.02987077546</v>
      </c>
      <c r="B1762" s="50">
        <v>44531.1548442013</v>
      </c>
      <c r="C1762" s="51">
        <v>1.038</v>
      </c>
      <c r="D1762" s="51">
        <v>64.0</v>
      </c>
      <c r="E1762" s="52" t="s">
        <v>25</v>
      </c>
      <c r="F1762" s="52" t="s">
        <v>26</v>
      </c>
      <c r="G1762" s="53"/>
    </row>
    <row r="1763">
      <c r="A1763" s="49">
        <v>44531.040289745375</v>
      </c>
      <c r="B1763" s="50">
        <v>44531.1652661342</v>
      </c>
      <c r="C1763" s="51">
        <v>1.038</v>
      </c>
      <c r="D1763" s="51">
        <v>64.0</v>
      </c>
      <c r="E1763" s="52" t="s">
        <v>25</v>
      </c>
      <c r="F1763" s="52" t="s">
        <v>26</v>
      </c>
      <c r="G1763" s="53"/>
    </row>
    <row r="1764">
      <c r="A1764" s="49">
        <v>44531.05071733796</v>
      </c>
      <c r="B1764" s="50">
        <v>44531.1756879745</v>
      </c>
      <c r="C1764" s="51">
        <v>1.038</v>
      </c>
      <c r="D1764" s="51">
        <v>64.0</v>
      </c>
      <c r="E1764" s="52" t="s">
        <v>25</v>
      </c>
      <c r="F1764" s="52" t="s">
        <v>26</v>
      </c>
      <c r="G1764" s="53"/>
    </row>
    <row r="1765">
      <c r="A1765" s="49">
        <v>44531.0611287037</v>
      </c>
      <c r="B1765" s="50">
        <v>44531.186108206</v>
      </c>
      <c r="C1765" s="51">
        <v>1.038</v>
      </c>
      <c r="D1765" s="51">
        <v>64.0</v>
      </c>
      <c r="E1765" s="52" t="s">
        <v>25</v>
      </c>
      <c r="F1765" s="52" t="s">
        <v>26</v>
      </c>
      <c r="G1765" s="53"/>
    </row>
    <row r="1766">
      <c r="A1766" s="49">
        <v>44531.071559062504</v>
      </c>
      <c r="B1766" s="50">
        <v>44531.1965403587</v>
      </c>
      <c r="C1766" s="51">
        <v>1.038</v>
      </c>
      <c r="D1766" s="51">
        <v>64.0</v>
      </c>
      <c r="E1766" s="52" t="s">
        <v>25</v>
      </c>
      <c r="F1766" s="52" t="s">
        <v>26</v>
      </c>
      <c r="G1766" s="53"/>
    </row>
    <row r="1767">
      <c r="A1767" s="49">
        <v>44531.08198386574</v>
      </c>
      <c r="B1767" s="50">
        <v>44531.2069613541</v>
      </c>
      <c r="C1767" s="51">
        <v>1.038</v>
      </c>
      <c r="D1767" s="51">
        <v>64.0</v>
      </c>
      <c r="E1767" s="52" t="s">
        <v>25</v>
      </c>
      <c r="F1767" s="52" t="s">
        <v>26</v>
      </c>
      <c r="G1767" s="53"/>
    </row>
    <row r="1768">
      <c r="A1768" s="49">
        <v>44531.09239978009</v>
      </c>
      <c r="B1768" s="50">
        <v>44531.2173832754</v>
      </c>
      <c r="C1768" s="51">
        <v>1.038</v>
      </c>
      <c r="D1768" s="51">
        <v>64.0</v>
      </c>
      <c r="E1768" s="52" t="s">
        <v>25</v>
      </c>
      <c r="F1768" s="52" t="s">
        <v>26</v>
      </c>
      <c r="G1768" s="53"/>
    </row>
    <row r="1769">
      <c r="A1769" s="49">
        <v>44531.10284471065</v>
      </c>
      <c r="B1769" s="50">
        <v>44531.2278139236</v>
      </c>
      <c r="C1769" s="51">
        <v>1.038</v>
      </c>
      <c r="D1769" s="51">
        <v>64.0</v>
      </c>
      <c r="E1769" s="52" t="s">
        <v>25</v>
      </c>
      <c r="F1769" s="52" t="s">
        <v>26</v>
      </c>
      <c r="G1769" s="53"/>
    </row>
    <row r="1770">
      <c r="A1770" s="49">
        <v>44531.113277488425</v>
      </c>
      <c r="B1770" s="50">
        <v>44531.2382469097</v>
      </c>
      <c r="C1770" s="51">
        <v>1.038</v>
      </c>
      <c r="D1770" s="51">
        <v>64.0</v>
      </c>
      <c r="E1770" s="52" t="s">
        <v>25</v>
      </c>
      <c r="F1770" s="52" t="s">
        <v>26</v>
      </c>
      <c r="G1770" s="53"/>
    </row>
    <row r="1771">
      <c r="A1771" s="49">
        <v>44531.12368445602</v>
      </c>
      <c r="B1771" s="50">
        <v>44531.2486673148</v>
      </c>
      <c r="C1771" s="51">
        <v>1.038</v>
      </c>
      <c r="D1771" s="51">
        <v>64.0</v>
      </c>
      <c r="E1771" s="52" t="s">
        <v>25</v>
      </c>
      <c r="F1771" s="52" t="s">
        <v>26</v>
      </c>
      <c r="G1771" s="53"/>
    </row>
    <row r="1772">
      <c r="A1772" s="49">
        <v>44531.13410512732</v>
      </c>
      <c r="B1772" s="50">
        <v>44531.2590877893</v>
      </c>
      <c r="C1772" s="51">
        <v>1.038</v>
      </c>
      <c r="D1772" s="51">
        <v>64.0</v>
      </c>
      <c r="E1772" s="52" t="s">
        <v>25</v>
      </c>
      <c r="F1772" s="52" t="s">
        <v>26</v>
      </c>
      <c r="G1772" s="53"/>
    </row>
    <row r="1773">
      <c r="A1773" s="49">
        <v>44531.144561215275</v>
      </c>
      <c r="B1773" s="50">
        <v>44531.2695323032</v>
      </c>
      <c r="C1773" s="51">
        <v>1.038</v>
      </c>
      <c r="D1773" s="51">
        <v>64.0</v>
      </c>
      <c r="E1773" s="52" t="s">
        <v>25</v>
      </c>
      <c r="F1773" s="52" t="s">
        <v>26</v>
      </c>
      <c r="G1773" s="53"/>
    </row>
    <row r="1774">
      <c r="A1774" s="49">
        <v>44531.15497478009</v>
      </c>
      <c r="B1774" s="50">
        <v>44531.2799535763</v>
      </c>
      <c r="C1774" s="51">
        <v>1.038</v>
      </c>
      <c r="D1774" s="51">
        <v>64.0</v>
      </c>
      <c r="E1774" s="52" t="s">
        <v>25</v>
      </c>
      <c r="F1774" s="52" t="s">
        <v>26</v>
      </c>
      <c r="G1774" s="53"/>
    </row>
    <row r="1775">
      <c r="A1775" s="49">
        <v>44531.16540195602</v>
      </c>
      <c r="B1775" s="50">
        <v>44531.2903763078</v>
      </c>
      <c r="C1775" s="51">
        <v>1.038</v>
      </c>
      <c r="D1775" s="51">
        <v>64.0</v>
      </c>
      <c r="E1775" s="52" t="s">
        <v>25</v>
      </c>
      <c r="F1775" s="52" t="s">
        <v>26</v>
      </c>
      <c r="G1775" s="53"/>
    </row>
    <row r="1776">
      <c r="A1776" s="49">
        <v>44531.175817696756</v>
      </c>
      <c r="B1776" s="50">
        <v>44531.30079728</v>
      </c>
      <c r="C1776" s="51">
        <v>1.038</v>
      </c>
      <c r="D1776" s="51">
        <v>64.0</v>
      </c>
      <c r="E1776" s="52" t="s">
        <v>25</v>
      </c>
      <c r="F1776" s="52" t="s">
        <v>26</v>
      </c>
      <c r="G1776" s="53"/>
    </row>
    <row r="1777">
      <c r="A1777" s="49">
        <v>44531.186234548615</v>
      </c>
      <c r="B1777" s="50">
        <v>44531.3112168055</v>
      </c>
      <c r="C1777" s="51">
        <v>1.038</v>
      </c>
      <c r="D1777" s="51">
        <v>64.0</v>
      </c>
      <c r="E1777" s="52" t="s">
        <v>25</v>
      </c>
      <c r="F1777" s="52" t="s">
        <v>26</v>
      </c>
      <c r="G1777" s="53"/>
    </row>
    <row r="1778">
      <c r="A1778" s="49">
        <v>44531.19666153935</v>
      </c>
      <c r="B1778" s="50">
        <v>44531.3216376736</v>
      </c>
      <c r="C1778" s="51">
        <v>1.038</v>
      </c>
      <c r="D1778" s="51">
        <v>64.0</v>
      </c>
      <c r="E1778" s="52" t="s">
        <v>25</v>
      </c>
      <c r="F1778" s="52" t="s">
        <v>26</v>
      </c>
      <c r="G1778" s="53"/>
    </row>
    <row r="1779">
      <c r="A1779" s="49">
        <v>44531.2070824074</v>
      </c>
      <c r="B1779" s="50">
        <v>44531.332059456</v>
      </c>
      <c r="C1779" s="51">
        <v>1.038</v>
      </c>
      <c r="D1779" s="51">
        <v>64.0</v>
      </c>
      <c r="E1779" s="52" t="s">
        <v>25</v>
      </c>
      <c r="F1779" s="52" t="s">
        <v>26</v>
      </c>
      <c r="G1779" s="53"/>
    </row>
    <row r="1780">
      <c r="A1780" s="49">
        <v>44531.217506886576</v>
      </c>
      <c r="B1780" s="50">
        <v>44531.3424802314</v>
      </c>
      <c r="C1780" s="51">
        <v>1.038</v>
      </c>
      <c r="D1780" s="51">
        <v>64.0</v>
      </c>
      <c r="E1780" s="52" t="s">
        <v>25</v>
      </c>
      <c r="F1780" s="52" t="s">
        <v>26</v>
      </c>
      <c r="G1780" s="53"/>
    </row>
    <row r="1781">
      <c r="A1781" s="49">
        <v>44531.22793739583</v>
      </c>
      <c r="B1781" s="50">
        <v>44531.3529016666</v>
      </c>
      <c r="C1781" s="51">
        <v>1.038</v>
      </c>
      <c r="D1781" s="51">
        <v>64.0</v>
      </c>
      <c r="E1781" s="52" t="s">
        <v>25</v>
      </c>
      <c r="F1781" s="52" t="s">
        <v>26</v>
      </c>
      <c r="G1781" s="53"/>
    </row>
    <row r="1782">
      <c r="A1782" s="49">
        <v>44531.23835309027</v>
      </c>
      <c r="B1782" s="50">
        <v>44531.3633243171</v>
      </c>
      <c r="C1782" s="51">
        <v>1.038</v>
      </c>
      <c r="D1782" s="51">
        <v>64.0</v>
      </c>
      <c r="E1782" s="52" t="s">
        <v>25</v>
      </c>
      <c r="F1782" s="52" t="s">
        <v>26</v>
      </c>
      <c r="G1782" s="53"/>
    </row>
    <row r="1783">
      <c r="A1783" s="49">
        <v>44531.24877988426</v>
      </c>
      <c r="B1783" s="50">
        <v>44531.3737448611</v>
      </c>
      <c r="C1783" s="51">
        <v>1.038</v>
      </c>
      <c r="D1783" s="51">
        <v>64.0</v>
      </c>
      <c r="E1783" s="52" t="s">
        <v>25</v>
      </c>
      <c r="F1783" s="52" t="s">
        <v>26</v>
      </c>
      <c r="G1783" s="53"/>
    </row>
    <row r="1784">
      <c r="A1784" s="49">
        <v>44531.25918518519</v>
      </c>
      <c r="B1784" s="50">
        <v>44531.3841655324</v>
      </c>
      <c r="C1784" s="51">
        <v>1.038</v>
      </c>
      <c r="D1784" s="51">
        <v>64.0</v>
      </c>
      <c r="E1784" s="52" t="s">
        <v>25</v>
      </c>
      <c r="F1784" s="52" t="s">
        <v>26</v>
      </c>
      <c r="G1784" s="53"/>
    </row>
    <row r="1785">
      <c r="A1785" s="49">
        <v>44531.269613819444</v>
      </c>
      <c r="B1785" s="50">
        <v>44531.394586655</v>
      </c>
      <c r="C1785" s="51">
        <v>1.038</v>
      </c>
      <c r="D1785" s="51">
        <v>64.0</v>
      </c>
      <c r="E1785" s="52" t="s">
        <v>25</v>
      </c>
      <c r="F1785" s="52" t="s">
        <v>26</v>
      </c>
      <c r="G1785" s="53"/>
    </row>
    <row r="1786">
      <c r="A1786" s="49">
        <v>44531.28004399306</v>
      </c>
      <c r="B1786" s="50">
        <v>44531.4050204629</v>
      </c>
      <c r="C1786" s="51">
        <v>1.038</v>
      </c>
      <c r="D1786" s="51">
        <v>64.0</v>
      </c>
      <c r="E1786" s="52" t="s">
        <v>25</v>
      </c>
      <c r="F1786" s="52" t="s">
        <v>26</v>
      </c>
      <c r="G1786" s="53"/>
    </row>
    <row r="1787">
      <c r="A1787" s="49">
        <v>44531.29047371528</v>
      </c>
      <c r="B1787" s="50">
        <v>44531.4154418055</v>
      </c>
      <c r="C1787" s="51">
        <v>1.038</v>
      </c>
      <c r="D1787" s="51">
        <v>64.0</v>
      </c>
      <c r="E1787" s="52" t="s">
        <v>25</v>
      </c>
      <c r="F1787" s="52" t="s">
        <v>26</v>
      </c>
      <c r="G1787" s="53"/>
    </row>
    <row r="1788">
      <c r="A1788" s="49">
        <v>44531.30089099537</v>
      </c>
      <c r="B1788" s="50">
        <v>44531.4258619907</v>
      </c>
      <c r="C1788" s="51">
        <v>1.038</v>
      </c>
      <c r="D1788" s="51">
        <v>64.0</v>
      </c>
      <c r="E1788" s="52" t="s">
        <v>25</v>
      </c>
      <c r="F1788" s="52" t="s">
        <v>26</v>
      </c>
      <c r="G1788" s="53"/>
    </row>
    <row r="1789">
      <c r="A1789" s="49">
        <v>44531.31130099537</v>
      </c>
      <c r="B1789" s="50">
        <v>44531.4362836921</v>
      </c>
      <c r="C1789" s="51">
        <v>1.038</v>
      </c>
      <c r="D1789" s="51">
        <v>64.0</v>
      </c>
      <c r="E1789" s="52" t="s">
        <v>25</v>
      </c>
      <c r="F1789" s="52" t="s">
        <v>26</v>
      </c>
      <c r="G1789" s="53"/>
    </row>
    <row r="1790">
      <c r="A1790" s="49">
        <v>44531.32172832176</v>
      </c>
      <c r="B1790" s="50">
        <v>44531.4467050578</v>
      </c>
      <c r="C1790" s="51">
        <v>1.038</v>
      </c>
      <c r="D1790" s="51">
        <v>64.0</v>
      </c>
      <c r="E1790" s="52" t="s">
        <v>25</v>
      </c>
      <c r="F1790" s="52" t="s">
        <v>26</v>
      </c>
      <c r="G1790" s="53"/>
    </row>
    <row r="1791">
      <c r="A1791" s="49">
        <v>44531.332150937495</v>
      </c>
      <c r="B1791" s="50">
        <v>44531.4571267476</v>
      </c>
      <c r="C1791" s="51">
        <v>1.038</v>
      </c>
      <c r="D1791" s="51">
        <v>64.0</v>
      </c>
      <c r="E1791" s="52" t="s">
        <v>25</v>
      </c>
      <c r="F1791" s="52" t="s">
        <v>26</v>
      </c>
      <c r="G1791" s="53"/>
    </row>
    <row r="1792">
      <c r="A1792" s="49">
        <v>44531.34257049768</v>
      </c>
      <c r="B1792" s="50">
        <v>44531.4675464467</v>
      </c>
      <c r="C1792" s="51">
        <v>1.038</v>
      </c>
      <c r="D1792" s="51">
        <v>64.0</v>
      </c>
      <c r="E1792" s="52" t="s">
        <v>25</v>
      </c>
      <c r="F1792" s="52" t="s">
        <v>26</v>
      </c>
      <c r="G1792" s="53"/>
    </row>
    <row r="1793">
      <c r="A1793" s="49">
        <v>44531.35300190972</v>
      </c>
      <c r="B1793" s="50">
        <v>44531.4779796064</v>
      </c>
      <c r="C1793" s="51">
        <v>1.038</v>
      </c>
      <c r="D1793" s="51">
        <v>64.0</v>
      </c>
      <c r="E1793" s="52" t="s">
        <v>25</v>
      </c>
      <c r="F1793" s="52" t="s">
        <v>26</v>
      </c>
      <c r="G1793" s="53"/>
    </row>
    <row r="1794">
      <c r="A1794" s="49">
        <v>44531.36342168981</v>
      </c>
      <c r="B1794" s="50">
        <v>44531.4884012731</v>
      </c>
      <c r="C1794" s="51">
        <v>1.038</v>
      </c>
      <c r="D1794" s="51">
        <v>64.0</v>
      </c>
      <c r="E1794" s="52" t="s">
        <v>25</v>
      </c>
      <c r="F1794" s="52" t="s">
        <v>26</v>
      </c>
      <c r="G1794" s="53"/>
    </row>
    <row r="1795">
      <c r="A1795" s="49">
        <v>44531.37384672454</v>
      </c>
      <c r="B1795" s="50">
        <v>44531.4988230324</v>
      </c>
      <c r="C1795" s="51">
        <v>1.038</v>
      </c>
      <c r="D1795" s="51">
        <v>64.0</v>
      </c>
      <c r="E1795" s="52" t="s">
        <v>25</v>
      </c>
      <c r="F1795" s="52" t="s">
        <v>26</v>
      </c>
      <c r="G1795" s="53"/>
    </row>
    <row r="1796">
      <c r="A1796" s="49">
        <v>44531.38426474537</v>
      </c>
      <c r="B1796" s="50">
        <v>44531.5092461921</v>
      </c>
      <c r="C1796" s="51">
        <v>1.038</v>
      </c>
      <c r="D1796" s="51">
        <v>64.0</v>
      </c>
      <c r="E1796" s="52" t="s">
        <v>25</v>
      </c>
      <c r="F1796" s="52" t="s">
        <v>26</v>
      </c>
      <c r="G1796" s="53"/>
    </row>
    <row r="1797">
      <c r="A1797" s="49">
        <v>44531.39469931713</v>
      </c>
      <c r="B1797" s="50">
        <v>44531.5196691088</v>
      </c>
      <c r="C1797" s="51">
        <v>1.038</v>
      </c>
      <c r="D1797" s="51">
        <v>64.0</v>
      </c>
      <c r="E1797" s="52" t="s">
        <v>25</v>
      </c>
      <c r="F1797" s="52" t="s">
        <v>26</v>
      </c>
      <c r="G1797" s="53"/>
    </row>
    <row r="1798">
      <c r="A1798" s="49">
        <v>44531.40511045139</v>
      </c>
      <c r="B1798" s="50">
        <v>44531.5300912731</v>
      </c>
      <c r="C1798" s="51">
        <v>1.038</v>
      </c>
      <c r="D1798" s="51">
        <v>64.0</v>
      </c>
      <c r="E1798" s="52" t="s">
        <v>25</v>
      </c>
      <c r="F1798" s="52" t="s">
        <v>26</v>
      </c>
      <c r="G1798" s="53"/>
    </row>
    <row r="1799">
      <c r="A1799" s="49">
        <v>44531.41554381944</v>
      </c>
      <c r="B1799" s="50">
        <v>44531.5405228009</v>
      </c>
      <c r="C1799" s="51">
        <v>1.038</v>
      </c>
      <c r="D1799" s="51">
        <v>64.0</v>
      </c>
      <c r="E1799" s="52" t="s">
        <v>25</v>
      </c>
      <c r="F1799" s="52" t="s">
        <v>26</v>
      </c>
      <c r="G1799" s="53"/>
    </row>
    <row r="1800">
      <c r="A1800" s="49">
        <v>44531.425960532404</v>
      </c>
      <c r="B1800" s="50">
        <v>44531.5509415625</v>
      </c>
      <c r="C1800" s="51">
        <v>1.038</v>
      </c>
      <c r="D1800" s="51">
        <v>64.0</v>
      </c>
      <c r="E1800" s="52" t="s">
        <v>25</v>
      </c>
      <c r="F1800" s="52" t="s">
        <v>26</v>
      </c>
      <c r="G1800" s="53"/>
    </row>
    <row r="1801">
      <c r="A1801" s="49">
        <v>44531.436388194445</v>
      </c>
      <c r="B1801" s="50">
        <v>44531.5613633217</v>
      </c>
      <c r="C1801" s="51">
        <v>1.038</v>
      </c>
      <c r="D1801" s="51">
        <v>64.0</v>
      </c>
      <c r="E1801" s="52" t="s">
        <v>25</v>
      </c>
      <c r="F1801" s="52" t="s">
        <v>26</v>
      </c>
      <c r="G1801" s="53"/>
    </row>
    <row r="1802">
      <c r="A1802" s="49">
        <v>44531.446800983795</v>
      </c>
      <c r="B1802" s="50">
        <v>44531.5717839583</v>
      </c>
      <c r="C1802" s="51">
        <v>1.038</v>
      </c>
      <c r="D1802" s="51">
        <v>64.0</v>
      </c>
      <c r="E1802" s="52" t="s">
        <v>25</v>
      </c>
      <c r="F1802" s="52" t="s">
        <v>26</v>
      </c>
      <c r="G1802" s="53"/>
    </row>
    <row r="1803">
      <c r="A1803" s="49">
        <v>44531.45723053241</v>
      </c>
      <c r="B1803" s="50">
        <v>44531.5822033449</v>
      </c>
      <c r="C1803" s="51">
        <v>1.038</v>
      </c>
      <c r="D1803" s="51">
        <v>64.0</v>
      </c>
      <c r="E1803" s="52" t="s">
        <v>25</v>
      </c>
      <c r="F1803" s="52" t="s">
        <v>26</v>
      </c>
      <c r="G1803" s="53"/>
    </row>
    <row r="1804">
      <c r="A1804" s="49">
        <v>44531.46765421296</v>
      </c>
      <c r="B1804" s="50">
        <v>44531.5926243287</v>
      </c>
      <c r="C1804" s="51">
        <v>1.038</v>
      </c>
      <c r="D1804" s="51">
        <v>64.0</v>
      </c>
      <c r="E1804" s="52" t="s">
        <v>25</v>
      </c>
      <c r="F1804" s="52" t="s">
        <v>26</v>
      </c>
      <c r="G1804" s="53"/>
    </row>
    <row r="1805">
      <c r="A1805" s="49">
        <v>44531.47806768518</v>
      </c>
      <c r="B1805" s="50">
        <v>44531.6030461921</v>
      </c>
      <c r="C1805" s="51">
        <v>1.038</v>
      </c>
      <c r="D1805" s="51">
        <v>64.0</v>
      </c>
      <c r="E1805" s="52" t="s">
        <v>25</v>
      </c>
      <c r="F1805" s="52" t="s">
        <v>26</v>
      </c>
      <c r="G1805" s="53"/>
    </row>
    <row r="1806">
      <c r="A1806" s="49">
        <v>44531.48849096065</v>
      </c>
      <c r="B1806" s="50">
        <v>44531.6134675694</v>
      </c>
      <c r="C1806" s="51">
        <v>1.038</v>
      </c>
      <c r="D1806" s="51">
        <v>64.0</v>
      </c>
      <c r="E1806" s="52" t="s">
        <v>25</v>
      </c>
      <c r="F1806" s="52" t="s">
        <v>26</v>
      </c>
      <c r="G1806" s="53"/>
    </row>
    <row r="1807">
      <c r="A1807" s="49">
        <v>44531.49893313657</v>
      </c>
      <c r="B1807" s="50">
        <v>44531.6238996296</v>
      </c>
      <c r="C1807" s="51">
        <v>1.037</v>
      </c>
      <c r="D1807" s="51">
        <v>64.0</v>
      </c>
      <c r="E1807" s="52" t="s">
        <v>25</v>
      </c>
      <c r="F1807" s="52" t="s">
        <v>26</v>
      </c>
      <c r="G1807" s="53"/>
    </row>
    <row r="1808">
      <c r="A1808" s="49">
        <v>44531.50937681713</v>
      </c>
      <c r="B1808" s="50">
        <v>44531.634343912</v>
      </c>
      <c r="C1808" s="51">
        <v>1.037</v>
      </c>
      <c r="D1808" s="51">
        <v>64.0</v>
      </c>
      <c r="E1808" s="52" t="s">
        <v>25</v>
      </c>
      <c r="F1808" s="52" t="s">
        <v>26</v>
      </c>
      <c r="G1808" s="53"/>
    </row>
    <row r="1809">
      <c r="A1809" s="49">
        <v>44531.51979359954</v>
      </c>
      <c r="B1809" s="50">
        <v>44531.6447763425</v>
      </c>
      <c r="C1809" s="51">
        <v>1.037</v>
      </c>
      <c r="D1809" s="51">
        <v>64.0</v>
      </c>
      <c r="E1809" s="52" t="s">
        <v>25</v>
      </c>
      <c r="F1809" s="52" t="s">
        <v>26</v>
      </c>
      <c r="G1809" s="53"/>
    </row>
    <row r="1810">
      <c r="A1810" s="49">
        <v>44531.53022792824</v>
      </c>
      <c r="B1810" s="50">
        <v>44531.6551979166</v>
      </c>
      <c r="C1810" s="51">
        <v>1.037</v>
      </c>
      <c r="D1810" s="51">
        <v>63.0</v>
      </c>
      <c r="E1810" s="52" t="s">
        <v>25</v>
      </c>
      <c r="F1810" s="52" t="s">
        <v>26</v>
      </c>
      <c r="G1810" s="53"/>
    </row>
    <row r="1811">
      <c r="A1811" s="49">
        <v>44531.540656770834</v>
      </c>
      <c r="B1811" s="50">
        <v>44531.6656323148</v>
      </c>
      <c r="C1811" s="51">
        <v>1.038</v>
      </c>
      <c r="D1811" s="51">
        <v>64.0</v>
      </c>
      <c r="E1811" s="52" t="s">
        <v>25</v>
      </c>
      <c r="F1811" s="52" t="s">
        <v>26</v>
      </c>
      <c r="G1811" s="53"/>
    </row>
    <row r="1812">
      <c r="A1812" s="49">
        <v>44531.55107798611</v>
      </c>
      <c r="B1812" s="50">
        <v>44531.6760515972</v>
      </c>
      <c r="C1812" s="51">
        <v>1.038</v>
      </c>
      <c r="D1812" s="51">
        <v>64.0</v>
      </c>
      <c r="E1812" s="52" t="s">
        <v>25</v>
      </c>
      <c r="F1812" s="52" t="s">
        <v>26</v>
      </c>
      <c r="G1812" s="53"/>
    </row>
    <row r="1813">
      <c r="A1813" s="49">
        <v>44531.56150862269</v>
      </c>
      <c r="B1813" s="50">
        <v>44531.6864831481</v>
      </c>
      <c r="C1813" s="51">
        <v>1.037</v>
      </c>
      <c r="D1813" s="51">
        <v>64.0</v>
      </c>
      <c r="E1813" s="52" t="s">
        <v>25</v>
      </c>
      <c r="F1813" s="52" t="s">
        <v>26</v>
      </c>
      <c r="G1813" s="53"/>
    </row>
    <row r="1814">
      <c r="A1814" s="49">
        <v>44531.571932465275</v>
      </c>
      <c r="B1814" s="50">
        <v>44531.6969048611</v>
      </c>
      <c r="C1814" s="51">
        <v>1.037</v>
      </c>
      <c r="D1814" s="51">
        <v>64.0</v>
      </c>
      <c r="E1814" s="52" t="s">
        <v>25</v>
      </c>
      <c r="F1814" s="52" t="s">
        <v>26</v>
      </c>
      <c r="G1814" s="53"/>
    </row>
    <row r="1815">
      <c r="A1815" s="49">
        <v>44531.58236288195</v>
      </c>
      <c r="B1815" s="50">
        <v>44531.7073375694</v>
      </c>
      <c r="C1815" s="51">
        <v>1.037</v>
      </c>
      <c r="D1815" s="51">
        <v>64.0</v>
      </c>
      <c r="E1815" s="52" t="s">
        <v>25</v>
      </c>
      <c r="F1815" s="52" t="s">
        <v>26</v>
      </c>
      <c r="G1815" s="53"/>
    </row>
    <row r="1816">
      <c r="A1816" s="49">
        <v>44531.5927909375</v>
      </c>
      <c r="B1816" s="50">
        <v>44531.7177696874</v>
      </c>
      <c r="C1816" s="51">
        <v>1.037</v>
      </c>
      <c r="D1816" s="51">
        <v>64.0</v>
      </c>
      <c r="E1816" s="52" t="s">
        <v>25</v>
      </c>
      <c r="F1816" s="52" t="s">
        <v>26</v>
      </c>
      <c r="G1816" s="53"/>
    </row>
    <row r="1817">
      <c r="A1817" s="49">
        <v>44531.603211932874</v>
      </c>
      <c r="B1817" s="50">
        <v>44531.7281932175</v>
      </c>
      <c r="C1817" s="51">
        <v>1.037</v>
      </c>
      <c r="D1817" s="51">
        <v>64.0</v>
      </c>
      <c r="E1817" s="52" t="s">
        <v>25</v>
      </c>
      <c r="F1817" s="52" t="s">
        <v>26</v>
      </c>
      <c r="G1817" s="53"/>
    </row>
    <row r="1818">
      <c r="A1818" s="49">
        <v>44531.61363234954</v>
      </c>
      <c r="B1818" s="50">
        <v>44531.7386133912</v>
      </c>
      <c r="C1818" s="51">
        <v>1.037</v>
      </c>
      <c r="D1818" s="51">
        <v>64.0</v>
      </c>
      <c r="E1818" s="52" t="s">
        <v>25</v>
      </c>
      <c r="F1818" s="52" t="s">
        <v>26</v>
      </c>
      <c r="G1818" s="53"/>
    </row>
    <row r="1819">
      <c r="A1819" s="49">
        <v>44531.62405886574</v>
      </c>
      <c r="B1819" s="50">
        <v>44531.7490353356</v>
      </c>
      <c r="C1819" s="51">
        <v>1.037</v>
      </c>
      <c r="D1819" s="51">
        <v>64.0</v>
      </c>
      <c r="E1819" s="52" t="s">
        <v>25</v>
      </c>
      <c r="F1819" s="52" t="s">
        <v>26</v>
      </c>
      <c r="G1819" s="53"/>
    </row>
    <row r="1820">
      <c r="A1820" s="49">
        <v>44531.634492847224</v>
      </c>
      <c r="B1820" s="50">
        <v>44531.7594686921</v>
      </c>
      <c r="C1820" s="51">
        <v>1.037</v>
      </c>
      <c r="D1820" s="51">
        <v>64.0</v>
      </c>
      <c r="E1820" s="52" t="s">
        <v>25</v>
      </c>
      <c r="F1820" s="52" t="s">
        <v>26</v>
      </c>
      <c r="G1820" s="53"/>
    </row>
    <row r="1821">
      <c r="A1821" s="49">
        <v>44531.64490895833</v>
      </c>
      <c r="B1821" s="50">
        <v>44531.7698904745</v>
      </c>
      <c r="C1821" s="51">
        <v>1.037</v>
      </c>
      <c r="D1821" s="51">
        <v>64.0</v>
      </c>
      <c r="E1821" s="52" t="s">
        <v>25</v>
      </c>
      <c r="F1821" s="52" t="s">
        <v>26</v>
      </c>
      <c r="G1821" s="53"/>
    </row>
    <row r="1822">
      <c r="A1822" s="49">
        <v>44531.65534695602</v>
      </c>
      <c r="B1822" s="50">
        <v>44531.7803230671</v>
      </c>
      <c r="C1822" s="51">
        <v>1.037</v>
      </c>
      <c r="D1822" s="51">
        <v>64.0</v>
      </c>
      <c r="E1822" s="52" t="s">
        <v>25</v>
      </c>
      <c r="F1822" s="52" t="s">
        <v>26</v>
      </c>
      <c r="G1822" s="53"/>
    </row>
    <row r="1823">
      <c r="A1823" s="49">
        <v>44531.665773726854</v>
      </c>
      <c r="B1823" s="50">
        <v>44531.7907547222</v>
      </c>
      <c r="C1823" s="51">
        <v>1.037</v>
      </c>
      <c r="D1823" s="51">
        <v>64.0</v>
      </c>
      <c r="E1823" s="52" t="s">
        <v>25</v>
      </c>
      <c r="F1823" s="52" t="s">
        <v>26</v>
      </c>
      <c r="G1823" s="53"/>
    </row>
    <row r="1824">
      <c r="A1824" s="49">
        <v>44531.67619895833</v>
      </c>
      <c r="B1824" s="50">
        <v>44531.8011743055</v>
      </c>
      <c r="C1824" s="51">
        <v>1.037</v>
      </c>
      <c r="D1824" s="51">
        <v>64.0</v>
      </c>
      <c r="E1824" s="52" t="s">
        <v>25</v>
      </c>
      <c r="F1824" s="52" t="s">
        <v>26</v>
      </c>
      <c r="G1824" s="53"/>
    </row>
    <row r="1825">
      <c r="A1825" s="49">
        <v>44531.68662628472</v>
      </c>
      <c r="B1825" s="50">
        <v>44531.8116073379</v>
      </c>
      <c r="C1825" s="51">
        <v>1.037</v>
      </c>
      <c r="D1825" s="51">
        <v>64.0</v>
      </c>
      <c r="E1825" s="52" t="s">
        <v>25</v>
      </c>
      <c r="F1825" s="52" t="s">
        <v>26</v>
      </c>
      <c r="G1825" s="53"/>
    </row>
    <row r="1826">
      <c r="A1826" s="49">
        <v>44531.697054895834</v>
      </c>
      <c r="B1826" s="50">
        <v>44531.8220292476</v>
      </c>
      <c r="C1826" s="51">
        <v>1.037</v>
      </c>
      <c r="D1826" s="51">
        <v>64.0</v>
      </c>
      <c r="E1826" s="52" t="s">
        <v>25</v>
      </c>
      <c r="F1826" s="52" t="s">
        <v>26</v>
      </c>
      <c r="G1826" s="53"/>
    </row>
    <row r="1827">
      <c r="A1827" s="49">
        <v>44531.70749431713</v>
      </c>
      <c r="B1827" s="50">
        <v>44531.8324612731</v>
      </c>
      <c r="C1827" s="51">
        <v>1.037</v>
      </c>
      <c r="D1827" s="51">
        <v>64.0</v>
      </c>
      <c r="E1827" s="52" t="s">
        <v>25</v>
      </c>
      <c r="F1827" s="52" t="s">
        <v>26</v>
      </c>
      <c r="G1827" s="53"/>
    </row>
    <row r="1828">
      <c r="A1828" s="49">
        <v>44531.717908125</v>
      </c>
      <c r="B1828" s="50">
        <v>44531.8428828703</v>
      </c>
      <c r="C1828" s="51">
        <v>1.037</v>
      </c>
      <c r="D1828" s="51">
        <v>63.0</v>
      </c>
      <c r="E1828" s="52" t="s">
        <v>25</v>
      </c>
      <c r="F1828" s="52" t="s">
        <v>26</v>
      </c>
      <c r="G1828" s="53"/>
    </row>
    <row r="1829">
      <c r="A1829" s="49">
        <v>44531.72832440972</v>
      </c>
      <c r="B1829" s="50">
        <v>44531.8533030902</v>
      </c>
      <c r="C1829" s="51">
        <v>1.037</v>
      </c>
      <c r="D1829" s="51">
        <v>64.0</v>
      </c>
      <c r="E1829" s="52" t="s">
        <v>25</v>
      </c>
      <c r="F1829" s="52" t="s">
        <v>26</v>
      </c>
      <c r="G1829" s="53"/>
    </row>
    <row r="1830">
      <c r="A1830" s="49">
        <v>44531.73874331018</v>
      </c>
      <c r="B1830" s="50">
        <v>44531.8637222916</v>
      </c>
      <c r="C1830" s="51">
        <v>1.037</v>
      </c>
      <c r="D1830" s="51">
        <v>64.0</v>
      </c>
      <c r="E1830" s="52" t="s">
        <v>25</v>
      </c>
      <c r="F1830" s="52" t="s">
        <v>26</v>
      </c>
      <c r="G1830" s="53"/>
    </row>
    <row r="1831">
      <c r="A1831" s="49">
        <v>44531.74919510417</v>
      </c>
      <c r="B1831" s="50">
        <v>44531.8741672916</v>
      </c>
      <c r="C1831" s="51">
        <v>1.037</v>
      </c>
      <c r="D1831" s="51">
        <v>64.0</v>
      </c>
      <c r="E1831" s="52" t="s">
        <v>25</v>
      </c>
      <c r="F1831" s="52" t="s">
        <v>26</v>
      </c>
      <c r="G1831" s="53"/>
    </row>
    <row r="1832">
      <c r="A1832" s="49">
        <v>44531.7596369213</v>
      </c>
      <c r="B1832" s="50">
        <v>44531.8846124305</v>
      </c>
      <c r="C1832" s="51">
        <v>1.037</v>
      </c>
      <c r="D1832" s="51">
        <v>64.0</v>
      </c>
      <c r="E1832" s="52" t="s">
        <v>25</v>
      </c>
      <c r="F1832" s="52" t="s">
        <v>26</v>
      </c>
      <c r="G1832" s="53"/>
    </row>
    <row r="1833">
      <c r="A1833" s="49">
        <v>44531.770049976854</v>
      </c>
      <c r="B1833" s="50">
        <v>44531.8950339236</v>
      </c>
      <c r="C1833" s="51">
        <v>1.037</v>
      </c>
      <c r="D1833" s="51">
        <v>64.0</v>
      </c>
      <c r="E1833" s="52" t="s">
        <v>25</v>
      </c>
      <c r="F1833" s="52" t="s">
        <v>26</v>
      </c>
      <c r="G1833" s="53"/>
    </row>
    <row r="1834">
      <c r="A1834" s="49">
        <v>44531.7804785301</v>
      </c>
      <c r="B1834" s="50">
        <v>44531.9054547222</v>
      </c>
      <c r="C1834" s="51">
        <v>1.037</v>
      </c>
      <c r="D1834" s="51">
        <v>64.0</v>
      </c>
      <c r="E1834" s="52" t="s">
        <v>25</v>
      </c>
      <c r="F1834" s="52" t="s">
        <v>26</v>
      </c>
      <c r="G1834" s="53"/>
    </row>
    <row r="1835">
      <c r="A1835" s="49">
        <v>44531.79092799769</v>
      </c>
      <c r="B1835" s="50">
        <v>44531.9159096759</v>
      </c>
      <c r="C1835" s="51">
        <v>1.037</v>
      </c>
      <c r="D1835" s="51">
        <v>63.0</v>
      </c>
      <c r="E1835" s="52" t="s">
        <v>25</v>
      </c>
      <c r="F1835" s="52" t="s">
        <v>26</v>
      </c>
      <c r="G1835" s="53"/>
    </row>
    <row r="1836">
      <c r="A1836" s="49">
        <v>44531.80137210648</v>
      </c>
      <c r="B1836" s="50">
        <v>44531.9263427083</v>
      </c>
      <c r="C1836" s="51">
        <v>1.037</v>
      </c>
      <c r="D1836" s="51">
        <v>63.0</v>
      </c>
      <c r="E1836" s="52" t="s">
        <v>25</v>
      </c>
      <c r="F1836" s="52" t="s">
        <v>26</v>
      </c>
      <c r="G1836" s="53"/>
    </row>
    <row r="1837">
      <c r="A1837" s="49">
        <v>44531.81179767361</v>
      </c>
      <c r="B1837" s="50">
        <v>44531.936763125</v>
      </c>
      <c r="C1837" s="51">
        <v>1.037</v>
      </c>
      <c r="D1837" s="51">
        <v>64.0</v>
      </c>
      <c r="E1837" s="52" t="s">
        <v>25</v>
      </c>
      <c r="F1837" s="52" t="s">
        <v>26</v>
      </c>
      <c r="G1837" s="53"/>
    </row>
    <row r="1838">
      <c r="A1838" s="49">
        <v>44531.82221915509</v>
      </c>
      <c r="B1838" s="50">
        <v>44531.9471978125</v>
      </c>
      <c r="C1838" s="51">
        <v>1.037</v>
      </c>
      <c r="D1838" s="51">
        <v>63.0</v>
      </c>
      <c r="E1838" s="52" t="s">
        <v>25</v>
      </c>
      <c r="F1838" s="52" t="s">
        <v>26</v>
      </c>
      <c r="G1838" s="53"/>
    </row>
    <row r="1839">
      <c r="A1839" s="49">
        <v>44531.83264576389</v>
      </c>
      <c r="B1839" s="50">
        <v>44531.9576190625</v>
      </c>
      <c r="C1839" s="51">
        <v>1.037</v>
      </c>
      <c r="D1839" s="51">
        <v>64.0</v>
      </c>
      <c r="E1839" s="52" t="s">
        <v>25</v>
      </c>
      <c r="F1839" s="52" t="s">
        <v>26</v>
      </c>
      <c r="G1839" s="53"/>
    </row>
    <row r="1840">
      <c r="A1840" s="49">
        <v>44531.843062569445</v>
      </c>
      <c r="B1840" s="50">
        <v>44531.9680393171</v>
      </c>
      <c r="C1840" s="51">
        <v>1.037</v>
      </c>
      <c r="D1840" s="51">
        <v>63.0</v>
      </c>
      <c r="E1840" s="52" t="s">
        <v>25</v>
      </c>
      <c r="F1840" s="52" t="s">
        <v>26</v>
      </c>
      <c r="G1840" s="53"/>
    </row>
    <row r="1841">
      <c r="A1841" s="49">
        <v>44531.853492696755</v>
      </c>
      <c r="B1841" s="50">
        <v>44531.9784719791</v>
      </c>
      <c r="C1841" s="51">
        <v>1.037</v>
      </c>
      <c r="D1841" s="51">
        <v>63.0</v>
      </c>
      <c r="E1841" s="52" t="s">
        <v>25</v>
      </c>
      <c r="F1841" s="52" t="s">
        <v>26</v>
      </c>
      <c r="G1841" s="53"/>
    </row>
    <row r="1842">
      <c r="A1842" s="49">
        <v>44531.863953113425</v>
      </c>
      <c r="B1842" s="50">
        <v>44531.9889277199</v>
      </c>
      <c r="C1842" s="51">
        <v>1.037</v>
      </c>
      <c r="D1842" s="51">
        <v>64.0</v>
      </c>
      <c r="E1842" s="52" t="s">
        <v>25</v>
      </c>
      <c r="F1842" s="52" t="s">
        <v>26</v>
      </c>
      <c r="G1842" s="53"/>
    </row>
    <row r="1843">
      <c r="A1843" s="49">
        <v>44531.874378946755</v>
      </c>
      <c r="B1843" s="50">
        <v>44531.9993494097</v>
      </c>
      <c r="C1843" s="51">
        <v>1.037</v>
      </c>
      <c r="D1843" s="51">
        <v>64.0</v>
      </c>
      <c r="E1843" s="52" t="s">
        <v>25</v>
      </c>
      <c r="F1843" s="52" t="s">
        <v>26</v>
      </c>
      <c r="G1843" s="53"/>
    </row>
    <row r="1844">
      <c r="A1844" s="49">
        <v>44531.88484575231</v>
      </c>
      <c r="B1844" s="50">
        <v>44532.0097830555</v>
      </c>
      <c r="C1844" s="51">
        <v>1.037</v>
      </c>
      <c r="D1844" s="51">
        <v>64.0</v>
      </c>
      <c r="E1844" s="52" t="s">
        <v>25</v>
      </c>
      <c r="F1844" s="52" t="s">
        <v>26</v>
      </c>
      <c r="G1844" s="53"/>
    </row>
    <row r="1845">
      <c r="A1845" s="49">
        <v>44531.895229560185</v>
      </c>
      <c r="B1845" s="50">
        <v>44532.0202041088</v>
      </c>
      <c r="C1845" s="51">
        <v>1.037</v>
      </c>
      <c r="D1845" s="51">
        <v>64.0</v>
      </c>
      <c r="E1845" s="52" t="s">
        <v>25</v>
      </c>
      <c r="F1845" s="52" t="s">
        <v>26</v>
      </c>
      <c r="G1845" s="53"/>
    </row>
    <row r="1846">
      <c r="A1846" s="49">
        <v>44531.905663784724</v>
      </c>
      <c r="B1846" s="50">
        <v>44532.0306367592</v>
      </c>
      <c r="C1846" s="51">
        <v>1.037</v>
      </c>
      <c r="D1846" s="51">
        <v>63.0</v>
      </c>
      <c r="E1846" s="52" t="s">
        <v>25</v>
      </c>
      <c r="F1846" s="52" t="s">
        <v>26</v>
      </c>
      <c r="G1846" s="53"/>
    </row>
    <row r="1847">
      <c r="A1847" s="49">
        <v>44531.91613236111</v>
      </c>
      <c r="B1847" s="50">
        <v>44532.041105949</v>
      </c>
      <c r="C1847" s="51">
        <v>1.037</v>
      </c>
      <c r="D1847" s="51">
        <v>63.0</v>
      </c>
      <c r="E1847" s="52" t="s">
        <v>25</v>
      </c>
      <c r="F1847" s="52" t="s">
        <v>26</v>
      </c>
      <c r="G1847" s="53"/>
    </row>
    <row r="1848">
      <c r="A1848" s="49">
        <v>44531.9265500926</v>
      </c>
      <c r="B1848" s="50">
        <v>44532.0515248032</v>
      </c>
      <c r="C1848" s="51">
        <v>1.037</v>
      </c>
      <c r="D1848" s="51">
        <v>64.0</v>
      </c>
      <c r="E1848" s="52" t="s">
        <v>25</v>
      </c>
      <c r="F1848" s="52" t="s">
        <v>26</v>
      </c>
      <c r="G1848" s="53"/>
    </row>
    <row r="1849">
      <c r="A1849" s="49">
        <v>44531.9369790162</v>
      </c>
      <c r="B1849" s="50">
        <v>44532.0619574999</v>
      </c>
      <c r="C1849" s="51">
        <v>1.037</v>
      </c>
      <c r="D1849" s="51">
        <v>63.0</v>
      </c>
      <c r="E1849" s="52" t="s">
        <v>25</v>
      </c>
      <c r="F1849" s="52" t="s">
        <v>26</v>
      </c>
      <c r="G1849" s="53"/>
    </row>
    <row r="1850">
      <c r="A1850" s="49">
        <v>44531.947408865744</v>
      </c>
      <c r="B1850" s="50">
        <v>44532.0723801041</v>
      </c>
      <c r="C1850" s="51">
        <v>1.037</v>
      </c>
      <c r="D1850" s="51">
        <v>64.0</v>
      </c>
      <c r="E1850" s="52" t="s">
        <v>25</v>
      </c>
      <c r="F1850" s="52" t="s">
        <v>26</v>
      </c>
      <c r="G1850" s="53"/>
    </row>
    <row r="1851">
      <c r="A1851" s="49">
        <v>44531.957832280095</v>
      </c>
      <c r="B1851" s="50">
        <v>44532.082802581</v>
      </c>
      <c r="C1851" s="51">
        <v>1.037</v>
      </c>
      <c r="D1851" s="51">
        <v>64.0</v>
      </c>
      <c r="E1851" s="52" t="s">
        <v>25</v>
      </c>
      <c r="F1851" s="52" t="s">
        <v>26</v>
      </c>
      <c r="G1851" s="53"/>
    </row>
    <row r="1852">
      <c r="A1852" s="49">
        <v>44531.96824258102</v>
      </c>
      <c r="B1852" s="50">
        <v>44532.0932238773</v>
      </c>
      <c r="C1852" s="51">
        <v>1.037</v>
      </c>
      <c r="D1852" s="51">
        <v>64.0</v>
      </c>
      <c r="E1852" s="52" t="s">
        <v>25</v>
      </c>
      <c r="F1852" s="52" t="s">
        <v>26</v>
      </c>
      <c r="G1852" s="53"/>
    </row>
    <row r="1853">
      <c r="A1853" s="49">
        <v>44531.97867439815</v>
      </c>
      <c r="B1853" s="50">
        <v>44532.1036559722</v>
      </c>
      <c r="C1853" s="51">
        <v>1.037</v>
      </c>
      <c r="D1853" s="51">
        <v>64.0</v>
      </c>
      <c r="E1853" s="52" t="s">
        <v>25</v>
      </c>
      <c r="F1853" s="52" t="s">
        <v>26</v>
      </c>
      <c r="G1853" s="53"/>
    </row>
    <row r="1854">
      <c r="A1854" s="49">
        <v>44531.98909524306</v>
      </c>
      <c r="B1854" s="50">
        <v>44532.1140774652</v>
      </c>
      <c r="C1854" s="51">
        <v>1.037</v>
      </c>
      <c r="D1854" s="51">
        <v>63.0</v>
      </c>
      <c r="E1854" s="52" t="s">
        <v>25</v>
      </c>
      <c r="F1854" s="52" t="s">
        <v>26</v>
      </c>
      <c r="G1854" s="53"/>
    </row>
    <row r="1855">
      <c r="A1855" s="49">
        <v>44531.999532002315</v>
      </c>
      <c r="B1855" s="50">
        <v>44532.1245102662</v>
      </c>
      <c r="C1855" s="51">
        <v>1.037</v>
      </c>
      <c r="D1855" s="51">
        <v>63.0</v>
      </c>
      <c r="E1855" s="52" t="s">
        <v>25</v>
      </c>
      <c r="F1855" s="52" t="s">
        <v>26</v>
      </c>
      <c r="G1855" s="53"/>
    </row>
    <row r="1856">
      <c r="A1856" s="49">
        <v>44532.00997753472</v>
      </c>
      <c r="B1856" s="50">
        <v>44532.1349539814</v>
      </c>
      <c r="C1856" s="51">
        <v>1.037</v>
      </c>
      <c r="D1856" s="51">
        <v>64.0</v>
      </c>
      <c r="E1856" s="52" t="s">
        <v>25</v>
      </c>
      <c r="F1856" s="52" t="s">
        <v>26</v>
      </c>
      <c r="G1856" s="53"/>
    </row>
    <row r="1857">
      <c r="A1857" s="49">
        <v>44532.02040011574</v>
      </c>
      <c r="B1857" s="50">
        <v>44532.1453756944</v>
      </c>
      <c r="C1857" s="51">
        <v>1.037</v>
      </c>
      <c r="D1857" s="51">
        <v>63.0</v>
      </c>
      <c r="E1857" s="52" t="s">
        <v>25</v>
      </c>
      <c r="F1857" s="52" t="s">
        <v>26</v>
      </c>
      <c r="G1857" s="53"/>
    </row>
    <row r="1858">
      <c r="A1858" s="49">
        <v>44532.03083230324</v>
      </c>
      <c r="B1858" s="50">
        <v>44532.1558080902</v>
      </c>
      <c r="C1858" s="51">
        <v>1.037</v>
      </c>
      <c r="D1858" s="51">
        <v>63.0</v>
      </c>
      <c r="E1858" s="52" t="s">
        <v>25</v>
      </c>
      <c r="F1858" s="52" t="s">
        <v>26</v>
      </c>
      <c r="G1858" s="53"/>
    </row>
    <row r="1859">
      <c r="A1859" s="49">
        <v>44532.04125520833</v>
      </c>
      <c r="B1859" s="50">
        <v>44532.1662303356</v>
      </c>
      <c r="C1859" s="51">
        <v>1.037</v>
      </c>
      <c r="D1859" s="51">
        <v>64.0</v>
      </c>
      <c r="E1859" s="52" t="s">
        <v>25</v>
      </c>
      <c r="F1859" s="52" t="s">
        <v>26</v>
      </c>
      <c r="G1859" s="53"/>
    </row>
    <row r="1860">
      <c r="A1860" s="49">
        <v>44532.05168829861</v>
      </c>
      <c r="B1860" s="50">
        <v>44532.1766614814</v>
      </c>
      <c r="C1860" s="51">
        <v>1.037</v>
      </c>
      <c r="D1860" s="51">
        <v>64.0</v>
      </c>
      <c r="E1860" s="52" t="s">
        <v>25</v>
      </c>
      <c r="F1860" s="52" t="s">
        <v>26</v>
      </c>
      <c r="G1860" s="53"/>
    </row>
    <row r="1861">
      <c r="A1861" s="49">
        <v>44532.062120636576</v>
      </c>
      <c r="B1861" s="50">
        <v>44532.1870936921</v>
      </c>
      <c r="C1861" s="51">
        <v>1.037</v>
      </c>
      <c r="D1861" s="51">
        <v>63.0</v>
      </c>
      <c r="E1861" s="52" t="s">
        <v>25</v>
      </c>
      <c r="F1861" s="52" t="s">
        <v>26</v>
      </c>
      <c r="G1861" s="53"/>
    </row>
    <row r="1862">
      <c r="A1862" s="49">
        <v>44532.07254206018</v>
      </c>
      <c r="B1862" s="50">
        <v>44532.1975159722</v>
      </c>
      <c r="C1862" s="51">
        <v>1.037</v>
      </c>
      <c r="D1862" s="51">
        <v>63.0</v>
      </c>
      <c r="E1862" s="52" t="s">
        <v>25</v>
      </c>
      <c r="F1862" s="52" t="s">
        <v>26</v>
      </c>
      <c r="G1862" s="53"/>
    </row>
    <row r="1863">
      <c r="A1863" s="49">
        <v>44532.08295951389</v>
      </c>
      <c r="B1863" s="50">
        <v>44532.20793728</v>
      </c>
      <c r="C1863" s="51">
        <v>1.037</v>
      </c>
      <c r="D1863" s="51">
        <v>63.0</v>
      </c>
      <c r="E1863" s="52" t="s">
        <v>25</v>
      </c>
      <c r="F1863" s="52" t="s">
        <v>26</v>
      </c>
      <c r="G1863" s="53"/>
    </row>
    <row r="1864">
      <c r="A1864" s="49">
        <v>44532.09338496528</v>
      </c>
      <c r="B1864" s="50">
        <v>44532.2183568865</v>
      </c>
      <c r="C1864" s="51">
        <v>1.037</v>
      </c>
      <c r="D1864" s="51">
        <v>63.0</v>
      </c>
      <c r="E1864" s="52" t="s">
        <v>25</v>
      </c>
      <c r="F1864" s="52" t="s">
        <v>26</v>
      </c>
      <c r="G1864" s="53"/>
    </row>
    <row r="1865">
      <c r="A1865" s="49">
        <v>44532.10380732639</v>
      </c>
      <c r="B1865" s="50">
        <v>44532.2287907523</v>
      </c>
      <c r="C1865" s="51">
        <v>1.037</v>
      </c>
      <c r="D1865" s="51">
        <v>63.0</v>
      </c>
      <c r="E1865" s="52" t="s">
        <v>25</v>
      </c>
      <c r="F1865" s="52" t="s">
        <v>26</v>
      </c>
      <c r="G1865" s="53"/>
    </row>
    <row r="1866">
      <c r="A1866" s="49">
        <v>44532.114233078704</v>
      </c>
      <c r="B1866" s="50">
        <v>44532.239211493</v>
      </c>
      <c r="C1866" s="51">
        <v>1.037</v>
      </c>
      <c r="D1866" s="51">
        <v>63.0</v>
      </c>
      <c r="E1866" s="52" t="s">
        <v>25</v>
      </c>
      <c r="F1866" s="52" t="s">
        <v>26</v>
      </c>
      <c r="G1866" s="53"/>
    </row>
    <row r="1867">
      <c r="A1867" s="49">
        <v>44532.12466724537</v>
      </c>
      <c r="B1867" s="50">
        <v>44532.249634456</v>
      </c>
      <c r="C1867" s="51">
        <v>1.037</v>
      </c>
      <c r="D1867" s="51">
        <v>64.0</v>
      </c>
      <c r="E1867" s="52" t="s">
        <v>25</v>
      </c>
      <c r="F1867" s="52" t="s">
        <v>26</v>
      </c>
      <c r="G1867" s="53"/>
    </row>
    <row r="1868">
      <c r="A1868" s="49">
        <v>44532.13508636574</v>
      </c>
      <c r="B1868" s="50">
        <v>44532.2600542708</v>
      </c>
      <c r="C1868" s="51">
        <v>1.037</v>
      </c>
      <c r="D1868" s="51">
        <v>63.0</v>
      </c>
      <c r="E1868" s="52" t="s">
        <v>25</v>
      </c>
      <c r="F1868" s="52" t="s">
        <v>26</v>
      </c>
      <c r="G1868" s="53"/>
    </row>
    <row r="1869">
      <c r="A1869" s="49">
        <v>44532.1455025926</v>
      </c>
      <c r="B1869" s="50">
        <v>44532.2704753124</v>
      </c>
      <c r="C1869" s="51">
        <v>1.037</v>
      </c>
      <c r="D1869" s="51">
        <v>63.0</v>
      </c>
      <c r="E1869" s="52" t="s">
        <v>25</v>
      </c>
      <c r="F1869" s="52" t="s">
        <v>26</v>
      </c>
      <c r="G1869" s="53"/>
    </row>
    <row r="1870">
      <c r="A1870" s="49">
        <v>44532.15592982639</v>
      </c>
      <c r="B1870" s="50">
        <v>44532.2809072569</v>
      </c>
      <c r="C1870" s="51">
        <v>1.037</v>
      </c>
      <c r="D1870" s="51">
        <v>63.0</v>
      </c>
      <c r="E1870" s="52" t="s">
        <v>25</v>
      </c>
      <c r="F1870" s="52" t="s">
        <v>26</v>
      </c>
      <c r="G1870" s="53"/>
    </row>
    <row r="1871">
      <c r="A1871" s="49">
        <v>44532.16635177084</v>
      </c>
      <c r="B1871" s="50">
        <v>44532.2913279745</v>
      </c>
      <c r="C1871" s="51">
        <v>1.037</v>
      </c>
      <c r="D1871" s="51">
        <v>63.0</v>
      </c>
      <c r="E1871" s="52" t="s">
        <v>25</v>
      </c>
      <c r="F1871" s="52" t="s">
        <v>26</v>
      </c>
      <c r="G1871" s="53"/>
    </row>
    <row r="1872">
      <c r="A1872" s="49">
        <v>44532.17679509259</v>
      </c>
      <c r="B1872" s="50">
        <v>44532.3017733912</v>
      </c>
      <c r="C1872" s="51">
        <v>1.037</v>
      </c>
      <c r="D1872" s="51">
        <v>63.0</v>
      </c>
      <c r="E1872" s="52" t="s">
        <v>25</v>
      </c>
      <c r="F1872" s="52" t="s">
        <v>26</v>
      </c>
      <c r="G1872" s="53"/>
    </row>
    <row r="1873">
      <c r="A1873" s="49">
        <v>44532.187235833335</v>
      </c>
      <c r="B1873" s="50">
        <v>44532.3122167592</v>
      </c>
      <c r="C1873" s="51">
        <v>1.037</v>
      </c>
      <c r="D1873" s="51">
        <v>63.0</v>
      </c>
      <c r="E1873" s="52" t="s">
        <v>25</v>
      </c>
      <c r="F1873" s="52" t="s">
        <v>26</v>
      </c>
      <c r="G1873" s="53"/>
    </row>
    <row r="1874">
      <c r="A1874" s="49">
        <v>44532.19766248843</v>
      </c>
      <c r="B1874" s="50">
        <v>44532.3226378935</v>
      </c>
      <c r="C1874" s="51">
        <v>1.037</v>
      </c>
      <c r="D1874" s="51">
        <v>63.0</v>
      </c>
      <c r="E1874" s="52" t="s">
        <v>25</v>
      </c>
      <c r="F1874" s="52" t="s">
        <v>26</v>
      </c>
      <c r="G1874" s="53"/>
    </row>
    <row r="1875">
      <c r="A1875" s="49">
        <v>44532.208081840276</v>
      </c>
      <c r="B1875" s="50">
        <v>44532.3330599421</v>
      </c>
      <c r="C1875" s="51">
        <v>1.037</v>
      </c>
      <c r="D1875" s="51">
        <v>63.0</v>
      </c>
      <c r="E1875" s="52" t="s">
        <v>25</v>
      </c>
      <c r="F1875" s="52" t="s">
        <v>26</v>
      </c>
      <c r="G1875" s="53"/>
    </row>
    <row r="1876">
      <c r="A1876" s="49">
        <v>44532.21850819445</v>
      </c>
      <c r="B1876" s="50">
        <v>44532.3434808796</v>
      </c>
      <c r="C1876" s="51">
        <v>1.036</v>
      </c>
      <c r="D1876" s="51">
        <v>63.0</v>
      </c>
      <c r="E1876" s="52" t="s">
        <v>25</v>
      </c>
      <c r="F1876" s="52" t="s">
        <v>26</v>
      </c>
      <c r="G1876" s="53"/>
    </row>
    <row r="1877">
      <c r="A1877" s="49">
        <v>44532.228950289355</v>
      </c>
      <c r="B1877" s="50">
        <v>44532.3539127546</v>
      </c>
      <c r="C1877" s="51">
        <v>1.036</v>
      </c>
      <c r="D1877" s="51">
        <v>63.0</v>
      </c>
      <c r="E1877" s="52" t="s">
        <v>25</v>
      </c>
      <c r="F1877" s="52" t="s">
        <v>26</v>
      </c>
      <c r="G1877" s="53"/>
    </row>
    <row r="1878">
      <c r="A1878" s="49">
        <v>44532.23936096065</v>
      </c>
      <c r="B1878" s="50">
        <v>44532.3643328124</v>
      </c>
      <c r="C1878" s="51">
        <v>1.037</v>
      </c>
      <c r="D1878" s="51">
        <v>63.0</v>
      </c>
      <c r="E1878" s="52" t="s">
        <v>25</v>
      </c>
      <c r="F1878" s="52" t="s">
        <v>26</v>
      </c>
      <c r="G1878" s="53"/>
    </row>
    <row r="1879">
      <c r="A1879" s="49">
        <v>44532.249795509255</v>
      </c>
      <c r="B1879" s="50">
        <v>44532.3747661342</v>
      </c>
      <c r="C1879" s="51">
        <v>1.037</v>
      </c>
      <c r="D1879" s="51">
        <v>64.0</v>
      </c>
      <c r="E1879" s="52" t="s">
        <v>25</v>
      </c>
      <c r="F1879" s="52" t="s">
        <v>26</v>
      </c>
      <c r="G1879" s="53"/>
    </row>
    <row r="1880">
      <c r="A1880" s="49">
        <v>44532.260211817134</v>
      </c>
      <c r="B1880" s="50">
        <v>44532.3851879398</v>
      </c>
      <c r="C1880" s="51">
        <v>1.036</v>
      </c>
      <c r="D1880" s="51">
        <v>64.0</v>
      </c>
      <c r="E1880" s="52" t="s">
        <v>25</v>
      </c>
      <c r="F1880" s="52" t="s">
        <v>26</v>
      </c>
      <c r="G1880" s="53"/>
    </row>
    <row r="1881">
      <c r="A1881" s="49">
        <v>44532.27063452546</v>
      </c>
      <c r="B1881" s="50">
        <v>44532.3956104861</v>
      </c>
      <c r="C1881" s="51">
        <v>1.037</v>
      </c>
      <c r="D1881" s="51">
        <v>63.0</v>
      </c>
      <c r="E1881" s="52" t="s">
        <v>25</v>
      </c>
      <c r="F1881" s="52" t="s">
        <v>26</v>
      </c>
      <c r="G1881" s="53"/>
    </row>
    <row r="1882">
      <c r="A1882" s="49">
        <v>44532.281085925926</v>
      </c>
      <c r="B1882" s="50">
        <v>44532.406055324</v>
      </c>
      <c r="C1882" s="51">
        <v>1.037</v>
      </c>
      <c r="D1882" s="51">
        <v>64.0</v>
      </c>
      <c r="E1882" s="52" t="s">
        <v>25</v>
      </c>
      <c r="F1882" s="52" t="s">
        <v>26</v>
      </c>
      <c r="G1882" s="53"/>
    </row>
    <row r="1883">
      <c r="A1883" s="49">
        <v>44532.29150327547</v>
      </c>
      <c r="B1883" s="50">
        <v>44532.4164766088</v>
      </c>
      <c r="C1883" s="51">
        <v>1.036</v>
      </c>
      <c r="D1883" s="51">
        <v>63.0</v>
      </c>
      <c r="E1883" s="52" t="s">
        <v>25</v>
      </c>
      <c r="F1883" s="52" t="s">
        <v>26</v>
      </c>
      <c r="G1883" s="53"/>
    </row>
    <row r="1884">
      <c r="A1884" s="49">
        <v>44532.30194278935</v>
      </c>
      <c r="B1884" s="50">
        <v>44532.4269110648</v>
      </c>
      <c r="C1884" s="51">
        <v>1.037</v>
      </c>
      <c r="D1884" s="51">
        <v>63.0</v>
      </c>
      <c r="E1884" s="52" t="s">
        <v>25</v>
      </c>
      <c r="F1884" s="52" t="s">
        <v>26</v>
      </c>
      <c r="G1884" s="53"/>
    </row>
    <row r="1885">
      <c r="A1885" s="49">
        <v>44532.31237219907</v>
      </c>
      <c r="B1885" s="50">
        <v>44532.4373437384</v>
      </c>
      <c r="C1885" s="51">
        <v>1.036</v>
      </c>
      <c r="D1885" s="51">
        <v>63.0</v>
      </c>
      <c r="E1885" s="52" t="s">
        <v>25</v>
      </c>
      <c r="F1885" s="52" t="s">
        <v>26</v>
      </c>
      <c r="G1885" s="53"/>
    </row>
    <row r="1886">
      <c r="A1886" s="49">
        <v>44532.322804456024</v>
      </c>
      <c r="B1886" s="50">
        <v>44532.4477772685</v>
      </c>
      <c r="C1886" s="51">
        <v>1.036</v>
      </c>
      <c r="D1886" s="51">
        <v>64.0</v>
      </c>
      <c r="E1886" s="52" t="s">
        <v>25</v>
      </c>
      <c r="F1886" s="52" t="s">
        <v>26</v>
      </c>
      <c r="G1886" s="53"/>
    </row>
    <row r="1887">
      <c r="A1887" s="49">
        <v>44532.33323078704</v>
      </c>
      <c r="B1887" s="50">
        <v>44532.4581979629</v>
      </c>
      <c r="C1887" s="51">
        <v>1.036</v>
      </c>
      <c r="D1887" s="51">
        <v>64.0</v>
      </c>
      <c r="E1887" s="52" t="s">
        <v>25</v>
      </c>
      <c r="F1887" s="52" t="s">
        <v>26</v>
      </c>
      <c r="G1887" s="53"/>
    </row>
    <row r="1888">
      <c r="A1888" s="49">
        <v>44532.343644988425</v>
      </c>
      <c r="B1888" s="50">
        <v>44532.46861853</v>
      </c>
      <c r="C1888" s="51">
        <v>1.036</v>
      </c>
      <c r="D1888" s="51">
        <v>64.0</v>
      </c>
      <c r="E1888" s="52" t="s">
        <v>25</v>
      </c>
      <c r="F1888" s="52" t="s">
        <v>26</v>
      </c>
      <c r="G1888" s="53"/>
    </row>
    <row r="1889">
      <c r="A1889" s="49">
        <v>44532.35407479167</v>
      </c>
      <c r="B1889" s="50">
        <v>44532.4790398148</v>
      </c>
      <c r="C1889" s="51">
        <v>1.036</v>
      </c>
      <c r="D1889" s="51">
        <v>63.0</v>
      </c>
      <c r="E1889" s="52" t="s">
        <v>25</v>
      </c>
      <c r="F1889" s="52" t="s">
        <v>26</v>
      </c>
      <c r="G1889" s="53"/>
    </row>
    <row r="1890">
      <c r="A1890" s="49">
        <v>44532.364510914354</v>
      </c>
      <c r="B1890" s="50">
        <v>44532.4894717476</v>
      </c>
      <c r="C1890" s="51">
        <v>1.036</v>
      </c>
      <c r="D1890" s="51">
        <v>64.0</v>
      </c>
      <c r="E1890" s="52" t="s">
        <v>25</v>
      </c>
      <c r="F1890" s="52" t="s">
        <v>26</v>
      </c>
      <c r="G1890" s="53"/>
    </row>
    <row r="1891">
      <c r="A1891" s="49">
        <v>44532.37491886574</v>
      </c>
      <c r="B1891" s="50">
        <v>44532.4998925231</v>
      </c>
      <c r="C1891" s="51">
        <v>1.036</v>
      </c>
      <c r="D1891" s="51">
        <v>64.0</v>
      </c>
      <c r="E1891" s="52" t="s">
        <v>25</v>
      </c>
      <c r="F1891" s="52" t="s">
        <v>26</v>
      </c>
      <c r="G1891" s="53"/>
    </row>
    <row r="1892">
      <c r="A1892" s="49">
        <v>44532.38535655093</v>
      </c>
      <c r="B1892" s="50">
        <v>44532.5103268634</v>
      </c>
      <c r="C1892" s="51">
        <v>1.036</v>
      </c>
      <c r="D1892" s="51">
        <v>64.0</v>
      </c>
      <c r="E1892" s="52" t="s">
        <v>25</v>
      </c>
      <c r="F1892" s="52" t="s">
        <v>26</v>
      </c>
      <c r="G1892" s="53"/>
    </row>
    <row r="1893">
      <c r="A1893" s="49">
        <v>44532.39577990741</v>
      </c>
      <c r="B1893" s="50">
        <v>44532.5207494328</v>
      </c>
      <c r="C1893" s="51">
        <v>1.036</v>
      </c>
      <c r="D1893" s="51">
        <v>64.0</v>
      </c>
      <c r="E1893" s="52" t="s">
        <v>25</v>
      </c>
      <c r="F1893" s="52" t="s">
        <v>26</v>
      </c>
      <c r="G1893" s="53"/>
    </row>
    <row r="1894">
      <c r="A1894" s="49">
        <v>44532.40619980324</v>
      </c>
      <c r="B1894" s="50">
        <v>44532.5311689351</v>
      </c>
      <c r="C1894" s="51">
        <v>1.036</v>
      </c>
      <c r="D1894" s="51">
        <v>64.0</v>
      </c>
      <c r="E1894" s="52" t="s">
        <v>25</v>
      </c>
      <c r="F1894" s="52" t="s">
        <v>26</v>
      </c>
      <c r="G1894" s="53"/>
    </row>
    <row r="1895">
      <c r="A1895" s="49">
        <v>44532.41663173611</v>
      </c>
      <c r="B1895" s="50">
        <v>44532.5415908217</v>
      </c>
      <c r="C1895" s="51">
        <v>1.036</v>
      </c>
      <c r="D1895" s="51">
        <v>64.0</v>
      </c>
      <c r="E1895" s="52" t="s">
        <v>25</v>
      </c>
      <c r="F1895" s="52" t="s">
        <v>26</v>
      </c>
      <c r="G1895" s="53"/>
    </row>
    <row r="1896">
      <c r="A1896" s="49">
        <v>44532.42704326389</v>
      </c>
      <c r="B1896" s="50">
        <v>44532.5520112615</v>
      </c>
      <c r="C1896" s="51">
        <v>1.036</v>
      </c>
      <c r="D1896" s="51">
        <v>64.0</v>
      </c>
      <c r="E1896" s="52" t="s">
        <v>25</v>
      </c>
      <c r="F1896" s="52" t="s">
        <v>26</v>
      </c>
      <c r="G1896" s="53"/>
    </row>
    <row r="1897">
      <c r="A1897" s="49">
        <v>44532.43745728009</v>
      </c>
      <c r="B1897" s="50">
        <v>44532.5624325</v>
      </c>
      <c r="C1897" s="51">
        <v>1.036</v>
      </c>
      <c r="D1897" s="51">
        <v>64.0</v>
      </c>
      <c r="E1897" s="52" t="s">
        <v>25</v>
      </c>
      <c r="F1897" s="52" t="s">
        <v>26</v>
      </c>
      <c r="G1897" s="53"/>
    </row>
    <row r="1898">
      <c r="A1898" s="49">
        <v>44532.44787949074</v>
      </c>
      <c r="B1898" s="50">
        <v>44532.5728522337</v>
      </c>
      <c r="C1898" s="51">
        <v>1.036</v>
      </c>
      <c r="D1898" s="51">
        <v>64.0</v>
      </c>
      <c r="E1898" s="52" t="s">
        <v>25</v>
      </c>
      <c r="F1898" s="52" t="s">
        <v>26</v>
      </c>
      <c r="G1898" s="53"/>
    </row>
    <row r="1899">
      <c r="A1899" s="49">
        <v>44532.45830773148</v>
      </c>
      <c r="B1899" s="50">
        <v>44532.5832737962</v>
      </c>
      <c r="C1899" s="51">
        <v>1.036</v>
      </c>
      <c r="D1899" s="51">
        <v>63.0</v>
      </c>
      <c r="E1899" s="52" t="s">
        <v>25</v>
      </c>
      <c r="F1899" s="52" t="s">
        <v>26</v>
      </c>
      <c r="G1899" s="53"/>
    </row>
    <row r="1900">
      <c r="A1900" s="49">
        <v>44532.46872561343</v>
      </c>
      <c r="B1900" s="50">
        <v>44532.5936942245</v>
      </c>
      <c r="C1900" s="51">
        <v>1.036</v>
      </c>
      <c r="D1900" s="51">
        <v>64.0</v>
      </c>
      <c r="E1900" s="52" t="s">
        <v>25</v>
      </c>
      <c r="F1900" s="52" t="s">
        <v>26</v>
      </c>
      <c r="G1900" s="53"/>
    </row>
    <row r="1901">
      <c r="A1901" s="49">
        <v>44532.47914549768</v>
      </c>
      <c r="B1901" s="50">
        <v>44532.6041170023</v>
      </c>
      <c r="C1901" s="51">
        <v>1.036</v>
      </c>
      <c r="D1901" s="51">
        <v>64.0</v>
      </c>
      <c r="E1901" s="52" t="s">
        <v>25</v>
      </c>
      <c r="F1901" s="52" t="s">
        <v>26</v>
      </c>
      <c r="G1901" s="53"/>
    </row>
    <row r="1902">
      <c r="A1902" s="49">
        <v>44532.489570324076</v>
      </c>
      <c r="B1902" s="50">
        <v>44532.6145382754</v>
      </c>
      <c r="C1902" s="51">
        <v>1.036</v>
      </c>
      <c r="D1902" s="51">
        <v>63.0</v>
      </c>
      <c r="E1902" s="52" t="s">
        <v>25</v>
      </c>
      <c r="F1902" s="52" t="s">
        <v>26</v>
      </c>
      <c r="G1902" s="53"/>
    </row>
    <row r="1903">
      <c r="A1903" s="49">
        <v>44532.49998881944</v>
      </c>
      <c r="B1903" s="50">
        <v>44532.6249579976</v>
      </c>
      <c r="C1903" s="51">
        <v>1.036</v>
      </c>
      <c r="D1903" s="51">
        <v>64.0</v>
      </c>
      <c r="E1903" s="52" t="s">
        <v>25</v>
      </c>
      <c r="F1903" s="52" t="s">
        <v>26</v>
      </c>
      <c r="G1903" s="53"/>
    </row>
    <row r="1904">
      <c r="A1904" s="49">
        <v>44532.51042623843</v>
      </c>
      <c r="B1904" s="50">
        <v>44532.6353903819</v>
      </c>
      <c r="C1904" s="51">
        <v>1.036</v>
      </c>
      <c r="D1904" s="51">
        <v>64.0</v>
      </c>
      <c r="E1904" s="52" t="s">
        <v>25</v>
      </c>
      <c r="F1904" s="52" t="s">
        <v>26</v>
      </c>
      <c r="G1904" s="53"/>
    </row>
    <row r="1905">
      <c r="A1905" s="49">
        <v>44532.52084939815</v>
      </c>
      <c r="B1905" s="50">
        <v>44532.6458139467</v>
      </c>
      <c r="C1905" s="51">
        <v>1.036</v>
      </c>
      <c r="D1905" s="51">
        <v>64.0</v>
      </c>
      <c r="E1905" s="52" t="s">
        <v>25</v>
      </c>
      <c r="F1905" s="52" t="s">
        <v>26</v>
      </c>
      <c r="G1905" s="53"/>
    </row>
    <row r="1906">
      <c r="A1906" s="49">
        <v>44532.53126857639</v>
      </c>
      <c r="B1906" s="50">
        <v>44532.6562353819</v>
      </c>
      <c r="C1906" s="51">
        <v>1.036</v>
      </c>
      <c r="D1906" s="51">
        <v>64.0</v>
      </c>
      <c r="E1906" s="52" t="s">
        <v>25</v>
      </c>
      <c r="F1906" s="52" t="s">
        <v>26</v>
      </c>
      <c r="G1906" s="53"/>
    </row>
    <row r="1907">
      <c r="A1907" s="49">
        <v>44532.541684502314</v>
      </c>
      <c r="B1907" s="50">
        <v>44532.6666570486</v>
      </c>
      <c r="C1907" s="51">
        <v>1.036</v>
      </c>
      <c r="D1907" s="51">
        <v>64.0</v>
      </c>
      <c r="E1907" s="52" t="s">
        <v>25</v>
      </c>
      <c r="F1907" s="52" t="s">
        <v>26</v>
      </c>
      <c r="G1907" s="53"/>
    </row>
    <row r="1908">
      <c r="A1908" s="49">
        <v>44532.55210303241</v>
      </c>
      <c r="B1908" s="50">
        <v>44532.6770776736</v>
      </c>
      <c r="C1908" s="51">
        <v>1.036</v>
      </c>
      <c r="D1908" s="51">
        <v>64.0</v>
      </c>
      <c r="E1908" s="52" t="s">
        <v>25</v>
      </c>
      <c r="F1908" s="52" t="s">
        <v>26</v>
      </c>
      <c r="G1908" s="53"/>
    </row>
    <row r="1909">
      <c r="A1909" s="49">
        <v>44532.56253417824</v>
      </c>
      <c r="B1909" s="50">
        <v>44532.6874984143</v>
      </c>
      <c r="C1909" s="51">
        <v>1.036</v>
      </c>
      <c r="D1909" s="51">
        <v>64.0</v>
      </c>
      <c r="E1909" s="52" t="s">
        <v>25</v>
      </c>
      <c r="F1909" s="52" t="s">
        <v>26</v>
      </c>
      <c r="G1909" s="53"/>
    </row>
    <row r="1910">
      <c r="A1910" s="49">
        <v>44532.572965046296</v>
      </c>
      <c r="B1910" s="50">
        <v>44532.6979316435</v>
      </c>
      <c r="C1910" s="51">
        <v>1.036</v>
      </c>
      <c r="D1910" s="51">
        <v>64.0</v>
      </c>
      <c r="E1910" s="52" t="s">
        <v>25</v>
      </c>
      <c r="F1910" s="52" t="s">
        <v>26</v>
      </c>
      <c r="G1910" s="53"/>
    </row>
    <row r="1911">
      <c r="A1911" s="49">
        <v>44532.58337508102</v>
      </c>
      <c r="B1911" s="50">
        <v>44532.7083536458</v>
      </c>
      <c r="C1911" s="51">
        <v>1.036</v>
      </c>
      <c r="D1911" s="51">
        <v>63.0</v>
      </c>
      <c r="E1911" s="52" t="s">
        <v>25</v>
      </c>
      <c r="F1911" s="52" t="s">
        <v>26</v>
      </c>
      <c r="G1911" s="53"/>
    </row>
    <row r="1912">
      <c r="A1912" s="49">
        <v>44532.593793622684</v>
      </c>
      <c r="B1912" s="50">
        <v>44532.7187759143</v>
      </c>
      <c r="C1912" s="51">
        <v>1.036</v>
      </c>
      <c r="D1912" s="51">
        <v>64.0</v>
      </c>
      <c r="E1912" s="52" t="s">
        <v>25</v>
      </c>
      <c r="F1912" s="52" t="s">
        <v>26</v>
      </c>
      <c r="G1912" s="53"/>
    </row>
    <row r="1913">
      <c r="A1913" s="49">
        <v>44532.60422483797</v>
      </c>
      <c r="B1913" s="50">
        <v>44532.7291969328</v>
      </c>
      <c r="C1913" s="51">
        <v>1.036</v>
      </c>
      <c r="D1913" s="51">
        <v>64.0</v>
      </c>
      <c r="E1913" s="52" t="s">
        <v>25</v>
      </c>
      <c r="F1913" s="52" t="s">
        <v>26</v>
      </c>
      <c r="G1913" s="53"/>
    </row>
    <row r="1914">
      <c r="A1914" s="49">
        <v>44532.614640960644</v>
      </c>
      <c r="B1914" s="50">
        <v>44532.739619537</v>
      </c>
      <c r="C1914" s="51">
        <v>1.036</v>
      </c>
      <c r="D1914" s="51">
        <v>64.0</v>
      </c>
      <c r="E1914" s="52" t="s">
        <v>25</v>
      </c>
      <c r="F1914" s="52" t="s">
        <v>26</v>
      </c>
      <c r="G1914" s="53"/>
    </row>
    <row r="1915">
      <c r="A1915" s="49">
        <v>44532.625077233795</v>
      </c>
      <c r="B1915" s="50">
        <v>44532.7500523263</v>
      </c>
      <c r="C1915" s="51">
        <v>1.036</v>
      </c>
      <c r="D1915" s="51">
        <v>64.0</v>
      </c>
      <c r="E1915" s="52" t="s">
        <v>25</v>
      </c>
      <c r="F1915" s="52" t="s">
        <v>26</v>
      </c>
      <c r="G1915" s="53"/>
    </row>
    <row r="1916">
      <c r="A1916" s="49">
        <v>44532.63549655092</v>
      </c>
      <c r="B1916" s="50">
        <v>44532.7604741898</v>
      </c>
      <c r="C1916" s="51">
        <v>1.036</v>
      </c>
      <c r="D1916" s="51">
        <v>64.0</v>
      </c>
      <c r="E1916" s="52" t="s">
        <v>25</v>
      </c>
      <c r="F1916" s="52" t="s">
        <v>26</v>
      </c>
      <c r="G1916" s="53"/>
    </row>
    <row r="1917">
      <c r="A1917" s="49">
        <v>44532.64591724537</v>
      </c>
      <c r="B1917" s="50">
        <v>44532.7708954166</v>
      </c>
      <c r="C1917" s="51">
        <v>1.036</v>
      </c>
      <c r="D1917" s="51">
        <v>64.0</v>
      </c>
      <c r="E1917" s="52" t="s">
        <v>25</v>
      </c>
      <c r="F1917" s="52" t="s">
        <v>26</v>
      </c>
      <c r="G1917" s="53"/>
    </row>
    <row r="1918">
      <c r="A1918" s="49">
        <v>44532.65634789351</v>
      </c>
      <c r="B1918" s="50">
        <v>44532.781329699</v>
      </c>
      <c r="C1918" s="51">
        <v>1.036</v>
      </c>
      <c r="D1918" s="51">
        <v>64.0</v>
      </c>
      <c r="E1918" s="52" t="s">
        <v>25</v>
      </c>
      <c r="F1918" s="52" t="s">
        <v>26</v>
      </c>
      <c r="G1918" s="53"/>
    </row>
    <row r="1919">
      <c r="A1919" s="49">
        <v>44532.66677715278</v>
      </c>
      <c r="B1919" s="50">
        <v>44532.7917508564</v>
      </c>
      <c r="C1919" s="51">
        <v>1.036</v>
      </c>
      <c r="D1919" s="51">
        <v>64.0</v>
      </c>
      <c r="E1919" s="52" t="s">
        <v>25</v>
      </c>
      <c r="F1919" s="52" t="s">
        <v>26</v>
      </c>
      <c r="G1919" s="53"/>
    </row>
    <row r="1920">
      <c r="A1920" s="49">
        <v>44532.677204224536</v>
      </c>
      <c r="B1920" s="50">
        <v>44532.802184618</v>
      </c>
      <c r="C1920" s="51">
        <v>1.036</v>
      </c>
      <c r="D1920" s="51">
        <v>64.0</v>
      </c>
      <c r="E1920" s="52" t="s">
        <v>25</v>
      </c>
      <c r="F1920" s="52" t="s">
        <v>26</v>
      </c>
      <c r="G1920" s="53"/>
    </row>
    <row r="1921">
      <c r="A1921" s="49">
        <v>44532.68764466435</v>
      </c>
      <c r="B1921" s="50">
        <v>44532.8126171759</v>
      </c>
      <c r="C1921" s="51">
        <v>1.036</v>
      </c>
      <c r="D1921" s="51">
        <v>64.0</v>
      </c>
      <c r="E1921" s="52" t="s">
        <v>25</v>
      </c>
      <c r="F1921" s="52" t="s">
        <v>26</v>
      </c>
      <c r="G1921" s="53"/>
    </row>
    <row r="1922">
      <c r="A1922" s="49">
        <v>44532.698058738424</v>
      </c>
      <c r="B1922" s="50">
        <v>44532.8230393518</v>
      </c>
      <c r="C1922" s="51">
        <v>1.036</v>
      </c>
      <c r="D1922" s="51">
        <v>64.0</v>
      </c>
      <c r="E1922" s="52" t="s">
        <v>25</v>
      </c>
      <c r="F1922" s="52" t="s">
        <v>26</v>
      </c>
      <c r="G1922" s="53"/>
    </row>
    <row r="1923">
      <c r="A1923" s="49">
        <v>44532.70849822917</v>
      </c>
      <c r="B1923" s="50">
        <v>44532.8334742592</v>
      </c>
      <c r="C1923" s="51">
        <v>1.036</v>
      </c>
      <c r="D1923" s="51">
        <v>64.0</v>
      </c>
      <c r="E1923" s="52" t="s">
        <v>25</v>
      </c>
      <c r="F1923" s="52" t="s">
        <v>26</v>
      </c>
      <c r="G1923" s="53"/>
    </row>
    <row r="1924">
      <c r="A1924" s="49">
        <v>44532.718932407406</v>
      </c>
      <c r="B1924" s="50">
        <v>44532.8439066782</v>
      </c>
      <c r="C1924" s="51">
        <v>1.036</v>
      </c>
      <c r="D1924" s="51">
        <v>64.0</v>
      </c>
      <c r="E1924" s="52" t="s">
        <v>25</v>
      </c>
      <c r="F1924" s="52" t="s">
        <v>26</v>
      </c>
      <c r="G1924" s="53"/>
    </row>
    <row r="1925">
      <c r="A1925" s="49">
        <v>44532.72934806713</v>
      </c>
      <c r="B1925" s="50">
        <v>44532.8543264583</v>
      </c>
      <c r="C1925" s="51">
        <v>1.036</v>
      </c>
      <c r="D1925" s="51">
        <v>64.0</v>
      </c>
      <c r="E1925" s="52" t="s">
        <v>25</v>
      </c>
      <c r="F1925" s="52" t="s">
        <v>26</v>
      </c>
      <c r="G1925" s="53"/>
    </row>
    <row r="1926">
      <c r="A1926" s="49">
        <v>44532.73977530093</v>
      </c>
      <c r="B1926" s="50">
        <v>44532.8647594328</v>
      </c>
      <c r="C1926" s="51">
        <v>1.036</v>
      </c>
      <c r="D1926" s="51">
        <v>64.0</v>
      </c>
      <c r="E1926" s="52" t="s">
        <v>25</v>
      </c>
      <c r="F1926" s="52" t="s">
        <v>26</v>
      </c>
      <c r="G1926" s="53"/>
    </row>
    <row r="1927">
      <c r="A1927" s="49">
        <v>44532.750218333334</v>
      </c>
      <c r="B1927" s="50">
        <v>44532.8751922106</v>
      </c>
      <c r="C1927" s="51">
        <v>1.036</v>
      </c>
      <c r="D1927" s="51">
        <v>64.0</v>
      </c>
      <c r="E1927" s="52" t="s">
        <v>25</v>
      </c>
      <c r="F1927" s="52" t="s">
        <v>26</v>
      </c>
      <c r="G1927" s="53"/>
    </row>
    <row r="1928">
      <c r="A1928" s="49">
        <v>44532.76064412037</v>
      </c>
      <c r="B1928" s="50">
        <v>44532.8856237152</v>
      </c>
      <c r="C1928" s="51">
        <v>1.036</v>
      </c>
      <c r="D1928" s="51">
        <v>64.0</v>
      </c>
      <c r="E1928" s="52" t="s">
        <v>25</v>
      </c>
      <c r="F1928" s="52" t="s">
        <v>26</v>
      </c>
      <c r="G1928" s="53"/>
    </row>
    <row r="1929">
      <c r="A1929" s="49">
        <v>44532.7710609375</v>
      </c>
      <c r="B1929" s="50">
        <v>44532.8960453819</v>
      </c>
      <c r="C1929" s="51">
        <v>1.036</v>
      </c>
      <c r="D1929" s="51">
        <v>64.0</v>
      </c>
      <c r="E1929" s="52" t="s">
        <v>25</v>
      </c>
      <c r="F1929" s="52" t="s">
        <v>26</v>
      </c>
      <c r="G1929" s="53"/>
    </row>
    <row r="1930">
      <c r="A1930" s="49">
        <v>44532.78149850694</v>
      </c>
      <c r="B1930" s="50">
        <v>44532.906477743</v>
      </c>
      <c r="C1930" s="51">
        <v>1.036</v>
      </c>
      <c r="D1930" s="51">
        <v>64.0</v>
      </c>
      <c r="E1930" s="52" t="s">
        <v>25</v>
      </c>
      <c r="F1930" s="52" t="s">
        <v>26</v>
      </c>
      <c r="G1930" s="53"/>
    </row>
    <row r="1931">
      <c r="A1931" s="49">
        <v>44532.79193892361</v>
      </c>
      <c r="B1931" s="50">
        <v>44532.9169107754</v>
      </c>
      <c r="C1931" s="51">
        <v>1.036</v>
      </c>
      <c r="D1931" s="51">
        <v>64.0</v>
      </c>
      <c r="E1931" s="52" t="s">
        <v>25</v>
      </c>
      <c r="F1931" s="52" t="s">
        <v>26</v>
      </c>
      <c r="G1931" s="53"/>
    </row>
    <row r="1932">
      <c r="A1932" s="49">
        <v>44532.80235028935</v>
      </c>
      <c r="B1932" s="50">
        <v>44532.927332905</v>
      </c>
      <c r="C1932" s="51">
        <v>1.036</v>
      </c>
      <c r="D1932" s="51">
        <v>64.0</v>
      </c>
      <c r="E1932" s="52" t="s">
        <v>25</v>
      </c>
      <c r="F1932" s="52" t="s">
        <v>26</v>
      </c>
      <c r="G1932" s="53"/>
    </row>
    <row r="1933">
      <c r="A1933" s="49">
        <v>44532.81276881944</v>
      </c>
      <c r="B1933" s="50">
        <v>44532.937752581</v>
      </c>
      <c r="C1933" s="51">
        <v>1.036</v>
      </c>
      <c r="D1933" s="51">
        <v>64.0</v>
      </c>
      <c r="E1933" s="52" t="s">
        <v>25</v>
      </c>
      <c r="F1933" s="52" t="s">
        <v>26</v>
      </c>
      <c r="G1933" s="53"/>
    </row>
    <row r="1934">
      <c r="A1934" s="49">
        <v>44532.823196666664</v>
      </c>
      <c r="B1934" s="50">
        <v>44532.9481745601</v>
      </c>
      <c r="C1934" s="51">
        <v>1.036</v>
      </c>
      <c r="D1934" s="51">
        <v>64.0</v>
      </c>
      <c r="E1934" s="52" t="s">
        <v>25</v>
      </c>
      <c r="F1934" s="52" t="s">
        <v>26</v>
      </c>
      <c r="G1934" s="53"/>
    </row>
    <row r="1935">
      <c r="A1935" s="49">
        <v>44532.83361768519</v>
      </c>
      <c r="B1935" s="50">
        <v>44532.9585941087</v>
      </c>
      <c r="C1935" s="51">
        <v>1.036</v>
      </c>
      <c r="D1935" s="51">
        <v>64.0</v>
      </c>
      <c r="E1935" s="52" t="s">
        <v>25</v>
      </c>
      <c r="F1935" s="52" t="s">
        <v>26</v>
      </c>
      <c r="G1935" s="53"/>
    </row>
    <row r="1936">
      <c r="A1936" s="49">
        <v>44532.84403523148</v>
      </c>
      <c r="B1936" s="50">
        <v>44532.9690148148</v>
      </c>
      <c r="C1936" s="51">
        <v>1.036</v>
      </c>
      <c r="D1936" s="51">
        <v>64.0</v>
      </c>
      <c r="E1936" s="52" t="s">
        <v>25</v>
      </c>
      <c r="F1936" s="52" t="s">
        <v>26</v>
      </c>
      <c r="G1936" s="53"/>
    </row>
    <row r="1937">
      <c r="A1937" s="49">
        <v>44532.854466261575</v>
      </c>
      <c r="B1937" s="50">
        <v>44532.9794467592</v>
      </c>
      <c r="C1937" s="51">
        <v>1.036</v>
      </c>
      <c r="D1937" s="51">
        <v>64.0</v>
      </c>
      <c r="E1937" s="52" t="s">
        <v>25</v>
      </c>
      <c r="F1937" s="52" t="s">
        <v>26</v>
      </c>
      <c r="G1937" s="53"/>
    </row>
    <row r="1938">
      <c r="A1938" s="49">
        <v>44532.8648953588</v>
      </c>
      <c r="B1938" s="50">
        <v>44532.9898689814</v>
      </c>
      <c r="C1938" s="51">
        <v>1.036</v>
      </c>
      <c r="D1938" s="51">
        <v>64.0</v>
      </c>
      <c r="E1938" s="52" t="s">
        <v>25</v>
      </c>
      <c r="F1938" s="52" t="s">
        <v>26</v>
      </c>
      <c r="G1938" s="53"/>
    </row>
    <row r="1939">
      <c r="A1939" s="49">
        <v>44532.875313854165</v>
      </c>
      <c r="B1939" s="50">
        <v>44533.0002920717</v>
      </c>
      <c r="C1939" s="51">
        <v>1.036</v>
      </c>
      <c r="D1939" s="51">
        <v>64.0</v>
      </c>
      <c r="E1939" s="52" t="s">
        <v>25</v>
      </c>
      <c r="F1939" s="52" t="s">
        <v>26</v>
      </c>
      <c r="G1939" s="53"/>
    </row>
    <row r="1940">
      <c r="A1940" s="49">
        <v>44532.8857657176</v>
      </c>
      <c r="B1940" s="50">
        <v>44533.0107487731</v>
      </c>
      <c r="C1940" s="51">
        <v>1.035</v>
      </c>
      <c r="D1940" s="51">
        <v>64.0</v>
      </c>
      <c r="E1940" s="52" t="s">
        <v>25</v>
      </c>
      <c r="F1940" s="52" t="s">
        <v>26</v>
      </c>
      <c r="G1940" s="53"/>
    </row>
    <row r="1941">
      <c r="A1941" s="49">
        <v>44532.896205937504</v>
      </c>
      <c r="B1941" s="50">
        <v>44533.0211823032</v>
      </c>
      <c r="C1941" s="51">
        <v>1.036</v>
      </c>
      <c r="D1941" s="51">
        <v>64.0</v>
      </c>
      <c r="E1941" s="52" t="s">
        <v>25</v>
      </c>
      <c r="F1941" s="52" t="s">
        <v>26</v>
      </c>
      <c r="G1941" s="53"/>
    </row>
    <row r="1942">
      <c r="A1942" s="49">
        <v>44532.90670755787</v>
      </c>
      <c r="B1942" s="50">
        <v>44533.0316840277</v>
      </c>
      <c r="C1942" s="51">
        <v>1.036</v>
      </c>
      <c r="D1942" s="51">
        <v>64.0</v>
      </c>
      <c r="E1942" s="52" t="s">
        <v>25</v>
      </c>
      <c r="F1942" s="52" t="s">
        <v>26</v>
      </c>
      <c r="G1942" s="53"/>
    </row>
    <row r="1943">
      <c r="A1943" s="49">
        <v>44532.917128263885</v>
      </c>
      <c r="B1943" s="50">
        <v>44533.0421052893</v>
      </c>
      <c r="C1943" s="51">
        <v>1.036</v>
      </c>
      <c r="D1943" s="51">
        <v>64.0</v>
      </c>
      <c r="E1943" s="52" t="s">
        <v>25</v>
      </c>
      <c r="F1943" s="52" t="s">
        <v>26</v>
      </c>
      <c r="G1943" s="53"/>
    </row>
    <row r="1944">
      <c r="A1944" s="49">
        <v>44532.92754802083</v>
      </c>
      <c r="B1944" s="50">
        <v>44533.0525250115</v>
      </c>
      <c r="C1944" s="51">
        <v>1.036</v>
      </c>
      <c r="D1944" s="51">
        <v>64.0</v>
      </c>
      <c r="E1944" s="52" t="s">
        <v>25</v>
      </c>
      <c r="F1944" s="52" t="s">
        <v>26</v>
      </c>
      <c r="G1944" s="53"/>
    </row>
    <row r="1945">
      <c r="A1945" s="49">
        <v>44532.93796902778</v>
      </c>
      <c r="B1945" s="50">
        <v>44533.0629456249</v>
      </c>
      <c r="C1945" s="51">
        <v>1.035</v>
      </c>
      <c r="D1945" s="51">
        <v>64.0</v>
      </c>
      <c r="E1945" s="52" t="s">
        <v>25</v>
      </c>
      <c r="F1945" s="52" t="s">
        <v>26</v>
      </c>
      <c r="G1945" s="53"/>
    </row>
    <row r="1946">
      <c r="A1946" s="49">
        <v>44532.94897157408</v>
      </c>
      <c r="B1946" s="50">
        <v>44533.073366331</v>
      </c>
      <c r="C1946" s="51">
        <v>1.036</v>
      </c>
      <c r="D1946" s="51">
        <v>64.0</v>
      </c>
      <c r="E1946" s="52" t="s">
        <v>25</v>
      </c>
      <c r="F1946" s="52" t="s">
        <v>26</v>
      </c>
      <c r="G1946" s="53"/>
    </row>
    <row r="1947">
      <c r="A1947" s="49">
        <v>44532.95882478009</v>
      </c>
      <c r="B1947" s="50">
        <v>44533.0837994675</v>
      </c>
      <c r="C1947" s="51">
        <v>1.036</v>
      </c>
      <c r="D1947" s="51">
        <v>64.0</v>
      </c>
      <c r="E1947" s="52" t="s">
        <v>25</v>
      </c>
      <c r="F1947" s="52" t="s">
        <v>26</v>
      </c>
      <c r="G1947" s="53"/>
    </row>
    <row r="1948">
      <c r="A1948" s="49">
        <v>44532.96923818287</v>
      </c>
      <c r="B1948" s="50">
        <v>44533.0942215509</v>
      </c>
      <c r="C1948" s="51">
        <v>1.036</v>
      </c>
      <c r="D1948" s="51">
        <v>64.0</v>
      </c>
      <c r="E1948" s="52" t="s">
        <v>25</v>
      </c>
      <c r="F1948" s="52" t="s">
        <v>26</v>
      </c>
      <c r="G1948" s="53"/>
    </row>
    <row r="1949">
      <c r="A1949" s="49">
        <v>44532.979670381945</v>
      </c>
      <c r="B1949" s="50">
        <v>44533.1046427546</v>
      </c>
      <c r="C1949" s="51">
        <v>1.035</v>
      </c>
      <c r="D1949" s="51">
        <v>64.0</v>
      </c>
      <c r="E1949" s="52" t="s">
        <v>25</v>
      </c>
      <c r="F1949" s="52" t="s">
        <v>26</v>
      </c>
      <c r="G1949" s="53"/>
    </row>
    <row r="1950">
      <c r="A1950" s="49">
        <v>44532.990094884255</v>
      </c>
      <c r="B1950" s="50">
        <v>44533.1150745023</v>
      </c>
      <c r="C1950" s="51">
        <v>1.035</v>
      </c>
      <c r="D1950" s="51">
        <v>64.0</v>
      </c>
      <c r="E1950" s="52" t="s">
        <v>25</v>
      </c>
      <c r="F1950" s="52" t="s">
        <v>26</v>
      </c>
      <c r="G1950" s="53"/>
    </row>
    <row r="1951">
      <c r="A1951" s="49">
        <v>44533.000516562504</v>
      </c>
      <c r="B1951" s="50">
        <v>44533.1254957523</v>
      </c>
      <c r="C1951" s="51">
        <v>1.035</v>
      </c>
      <c r="D1951" s="51">
        <v>64.0</v>
      </c>
      <c r="E1951" s="52" t="s">
        <v>25</v>
      </c>
      <c r="F1951" s="52" t="s">
        <v>26</v>
      </c>
      <c r="G1951" s="53"/>
    </row>
    <row r="1952">
      <c r="A1952" s="49">
        <v>44533.01094665509</v>
      </c>
      <c r="B1952" s="50">
        <v>44533.135915706</v>
      </c>
      <c r="C1952" s="51">
        <v>1.035</v>
      </c>
      <c r="D1952" s="51">
        <v>64.0</v>
      </c>
      <c r="E1952" s="52" t="s">
        <v>25</v>
      </c>
      <c r="F1952" s="52" t="s">
        <v>26</v>
      </c>
      <c r="G1952" s="53"/>
    </row>
    <row r="1953">
      <c r="A1953" s="49">
        <v>44533.0213571412</v>
      </c>
      <c r="B1953" s="50">
        <v>44533.1463376736</v>
      </c>
      <c r="C1953" s="51">
        <v>1.035</v>
      </c>
      <c r="D1953" s="51">
        <v>64.0</v>
      </c>
      <c r="E1953" s="52" t="s">
        <v>25</v>
      </c>
      <c r="F1953" s="52" t="s">
        <v>26</v>
      </c>
      <c r="G1953" s="53"/>
    </row>
    <row r="1954">
      <c r="A1954" s="49">
        <v>44533.03178802083</v>
      </c>
      <c r="B1954" s="50">
        <v>44533.1567584259</v>
      </c>
      <c r="C1954" s="51">
        <v>1.035</v>
      </c>
      <c r="D1954" s="51">
        <v>64.0</v>
      </c>
      <c r="E1954" s="52" t="s">
        <v>25</v>
      </c>
      <c r="F1954" s="52" t="s">
        <v>26</v>
      </c>
      <c r="G1954" s="53"/>
    </row>
    <row r="1955">
      <c r="A1955" s="49">
        <v>44533.042233506945</v>
      </c>
      <c r="B1955" s="50">
        <v>44533.1672120717</v>
      </c>
      <c r="C1955" s="51">
        <v>1.035</v>
      </c>
      <c r="D1955" s="51">
        <v>64.0</v>
      </c>
      <c r="E1955" s="52" t="s">
        <v>25</v>
      </c>
      <c r="F1955" s="52" t="s">
        <v>26</v>
      </c>
      <c r="G1955" s="53"/>
    </row>
    <row r="1956">
      <c r="A1956" s="49">
        <v>44533.05266505787</v>
      </c>
      <c r="B1956" s="50">
        <v>44533.177645625</v>
      </c>
      <c r="C1956" s="51">
        <v>1.035</v>
      </c>
      <c r="D1956" s="51">
        <v>64.0</v>
      </c>
      <c r="E1956" s="52" t="s">
        <v>25</v>
      </c>
      <c r="F1956" s="52" t="s">
        <v>26</v>
      </c>
      <c r="G1956" s="53"/>
    </row>
    <row r="1957">
      <c r="A1957" s="49">
        <v>44533.06311667824</v>
      </c>
      <c r="B1957" s="50">
        <v>44533.188100787</v>
      </c>
      <c r="C1957" s="51">
        <v>1.035</v>
      </c>
      <c r="D1957" s="51">
        <v>64.0</v>
      </c>
      <c r="E1957" s="52" t="s">
        <v>25</v>
      </c>
      <c r="F1957" s="52" t="s">
        <v>26</v>
      </c>
      <c r="G1957" s="53"/>
    </row>
    <row r="1958">
      <c r="A1958" s="49">
        <v>44533.07355584491</v>
      </c>
      <c r="B1958" s="50">
        <v>44533.1985227662</v>
      </c>
      <c r="C1958" s="51">
        <v>1.035</v>
      </c>
      <c r="D1958" s="51">
        <v>64.0</v>
      </c>
      <c r="E1958" s="52" t="s">
        <v>25</v>
      </c>
      <c r="F1958" s="52" t="s">
        <v>26</v>
      </c>
      <c r="G1958" s="53"/>
    </row>
    <row r="1959">
      <c r="A1959" s="49">
        <v>44533.08396762732</v>
      </c>
      <c r="B1959" s="50">
        <v>44533.2089422222</v>
      </c>
      <c r="C1959" s="51">
        <v>1.035</v>
      </c>
      <c r="D1959" s="51">
        <v>64.0</v>
      </c>
      <c r="E1959" s="52" t="s">
        <v>25</v>
      </c>
      <c r="F1959" s="52" t="s">
        <v>26</v>
      </c>
      <c r="G1959" s="53"/>
    </row>
    <row r="1960">
      <c r="A1960" s="49">
        <v>44533.094389791666</v>
      </c>
      <c r="B1960" s="50">
        <v>44533.2193624536</v>
      </c>
      <c r="C1960" s="51">
        <v>1.035</v>
      </c>
      <c r="D1960" s="51">
        <v>64.0</v>
      </c>
      <c r="E1960" s="52" t="s">
        <v>25</v>
      </c>
      <c r="F1960" s="52" t="s">
        <v>26</v>
      </c>
      <c r="G1960" s="53"/>
    </row>
    <row r="1961">
      <c r="A1961" s="49">
        <v>44533.104810624995</v>
      </c>
      <c r="B1961" s="50">
        <v>44533.2297833564</v>
      </c>
      <c r="C1961" s="51">
        <v>1.035</v>
      </c>
      <c r="D1961" s="51">
        <v>64.0</v>
      </c>
      <c r="E1961" s="52" t="s">
        <v>25</v>
      </c>
      <c r="F1961" s="52" t="s">
        <v>26</v>
      </c>
      <c r="G1961" s="53"/>
    </row>
    <row r="1962">
      <c r="A1962" s="49">
        <v>44533.11522943287</v>
      </c>
      <c r="B1962" s="50">
        <v>44533.2402051736</v>
      </c>
      <c r="C1962" s="51">
        <v>1.035</v>
      </c>
      <c r="D1962" s="51">
        <v>64.0</v>
      </c>
      <c r="E1962" s="52" t="s">
        <v>25</v>
      </c>
      <c r="F1962" s="52" t="s">
        <v>26</v>
      </c>
      <c r="G1962" s="53"/>
    </row>
    <row r="1963">
      <c r="A1963" s="49">
        <v>44533.12566230324</v>
      </c>
      <c r="B1963" s="50">
        <v>44533.2506376967</v>
      </c>
      <c r="C1963" s="51">
        <v>1.035</v>
      </c>
      <c r="D1963" s="51">
        <v>64.0</v>
      </c>
      <c r="E1963" s="52" t="s">
        <v>25</v>
      </c>
      <c r="F1963" s="52" t="s">
        <v>26</v>
      </c>
      <c r="G1963" s="53"/>
    </row>
    <row r="1964">
      <c r="A1964" s="49">
        <v>44533.13609079861</v>
      </c>
      <c r="B1964" s="50">
        <v>44533.2610694791</v>
      </c>
      <c r="C1964" s="51">
        <v>1.035</v>
      </c>
      <c r="D1964" s="51">
        <v>64.0</v>
      </c>
      <c r="E1964" s="52" t="s">
        <v>25</v>
      </c>
      <c r="F1964" s="52" t="s">
        <v>26</v>
      </c>
      <c r="G1964" s="53"/>
    </row>
    <row r="1965">
      <c r="A1965" s="49">
        <v>44533.14652072916</v>
      </c>
      <c r="B1965" s="50">
        <v>44533.2714920949</v>
      </c>
      <c r="C1965" s="51">
        <v>1.035</v>
      </c>
      <c r="D1965" s="51">
        <v>64.0</v>
      </c>
      <c r="E1965" s="52" t="s">
        <v>25</v>
      </c>
      <c r="F1965" s="52" t="s">
        <v>26</v>
      </c>
      <c r="G1965" s="53"/>
    </row>
    <row r="1966">
      <c r="A1966" s="49">
        <v>44533.15696108797</v>
      </c>
      <c r="B1966" s="50">
        <v>44533.2819367129</v>
      </c>
      <c r="C1966" s="51">
        <v>1.035</v>
      </c>
      <c r="D1966" s="51">
        <v>64.0</v>
      </c>
      <c r="E1966" s="52" t="s">
        <v>25</v>
      </c>
      <c r="F1966" s="52" t="s">
        <v>26</v>
      </c>
      <c r="G1966" s="53"/>
    </row>
    <row r="1967">
      <c r="A1967" s="49">
        <v>44533.16739163194</v>
      </c>
      <c r="B1967" s="50">
        <v>44533.2923571759</v>
      </c>
      <c r="C1967" s="51">
        <v>1.035</v>
      </c>
      <c r="D1967" s="51">
        <v>64.0</v>
      </c>
      <c r="E1967" s="52" t="s">
        <v>25</v>
      </c>
      <c r="F1967" s="52" t="s">
        <v>26</v>
      </c>
      <c r="G1967" s="53"/>
    </row>
    <row r="1968">
      <c r="A1968" s="49">
        <v>44533.177809166664</v>
      </c>
      <c r="B1968" s="50">
        <v>44533.3027784722</v>
      </c>
      <c r="C1968" s="51">
        <v>1.035</v>
      </c>
      <c r="D1968" s="51">
        <v>64.0</v>
      </c>
      <c r="E1968" s="52" t="s">
        <v>25</v>
      </c>
      <c r="F1968" s="52" t="s">
        <v>26</v>
      </c>
      <c r="G1968" s="53"/>
    </row>
    <row r="1969">
      <c r="A1969" s="49">
        <v>44533.188229074076</v>
      </c>
      <c r="B1969" s="50">
        <v>44533.313199537</v>
      </c>
      <c r="C1969" s="51">
        <v>1.035</v>
      </c>
      <c r="D1969" s="51">
        <v>64.0</v>
      </c>
      <c r="E1969" s="52" t="s">
        <v>25</v>
      </c>
      <c r="F1969" s="52" t="s">
        <v>26</v>
      </c>
      <c r="G1969" s="53"/>
    </row>
    <row r="1970">
      <c r="A1970" s="49">
        <v>44533.198650763894</v>
      </c>
      <c r="B1970" s="50">
        <v>44533.3236311111</v>
      </c>
      <c r="C1970" s="51">
        <v>1.035</v>
      </c>
      <c r="D1970" s="51">
        <v>64.0</v>
      </c>
      <c r="E1970" s="52" t="s">
        <v>25</v>
      </c>
      <c r="F1970" s="52" t="s">
        <v>26</v>
      </c>
      <c r="G1970" s="53"/>
    </row>
    <row r="1971">
      <c r="A1971" s="49">
        <v>44533.209095694445</v>
      </c>
      <c r="B1971" s="50">
        <v>44533.3340621064</v>
      </c>
      <c r="C1971" s="51">
        <v>1.035</v>
      </c>
      <c r="D1971" s="51">
        <v>64.0</v>
      </c>
      <c r="E1971" s="52" t="s">
        <v>25</v>
      </c>
      <c r="F1971" s="52" t="s">
        <v>26</v>
      </c>
      <c r="G1971" s="53"/>
    </row>
    <row r="1972">
      <c r="A1972" s="49">
        <v>44533.219516736106</v>
      </c>
      <c r="B1972" s="50">
        <v>44533.344495081</v>
      </c>
      <c r="C1972" s="51">
        <v>1.035</v>
      </c>
      <c r="D1972" s="51">
        <v>64.0</v>
      </c>
      <c r="E1972" s="52" t="s">
        <v>25</v>
      </c>
      <c r="F1972" s="52" t="s">
        <v>26</v>
      </c>
      <c r="G1972" s="53"/>
    </row>
    <row r="1973">
      <c r="A1973" s="49">
        <v>44533.22998701389</v>
      </c>
      <c r="B1973" s="50">
        <v>44533.3549161226</v>
      </c>
      <c r="C1973" s="51">
        <v>1.035</v>
      </c>
      <c r="D1973" s="51">
        <v>64.0</v>
      </c>
      <c r="E1973" s="52" t="s">
        <v>25</v>
      </c>
      <c r="F1973" s="52" t="s">
        <v>26</v>
      </c>
      <c r="G1973" s="53"/>
    </row>
    <row r="1974">
      <c r="A1974" s="49">
        <v>44533.24040200231</v>
      </c>
      <c r="B1974" s="50">
        <v>44533.3653730092</v>
      </c>
      <c r="C1974" s="51">
        <v>1.035</v>
      </c>
      <c r="D1974" s="51">
        <v>64.0</v>
      </c>
      <c r="E1974" s="52" t="s">
        <v>25</v>
      </c>
      <c r="F1974" s="52" t="s">
        <v>26</v>
      </c>
      <c r="G1974" s="53"/>
    </row>
    <row r="1975">
      <c r="A1975" s="49">
        <v>44533.25082075231</v>
      </c>
      <c r="B1975" s="50">
        <v>44533.3757934027</v>
      </c>
      <c r="C1975" s="51">
        <v>1.035</v>
      </c>
      <c r="D1975" s="51">
        <v>64.0</v>
      </c>
      <c r="E1975" s="52" t="s">
        <v>25</v>
      </c>
      <c r="F1975" s="52" t="s">
        <v>26</v>
      </c>
      <c r="G1975" s="53"/>
    </row>
    <row r="1976">
      <c r="A1976" s="49">
        <v>44533.26124474537</v>
      </c>
      <c r="B1976" s="50">
        <v>44533.3862160995</v>
      </c>
      <c r="C1976" s="51">
        <v>1.035</v>
      </c>
      <c r="D1976" s="51">
        <v>64.0</v>
      </c>
      <c r="E1976" s="52" t="s">
        <v>25</v>
      </c>
      <c r="F1976" s="52" t="s">
        <v>26</v>
      </c>
      <c r="G1976" s="53"/>
    </row>
    <row r="1977">
      <c r="A1977" s="49">
        <v>44533.2716669213</v>
      </c>
      <c r="B1977" s="50">
        <v>44533.3966359375</v>
      </c>
      <c r="C1977" s="51">
        <v>1.035</v>
      </c>
      <c r="D1977" s="51">
        <v>64.0</v>
      </c>
      <c r="E1977" s="52" t="s">
        <v>25</v>
      </c>
      <c r="F1977" s="52" t="s">
        <v>26</v>
      </c>
      <c r="G1977" s="53"/>
    </row>
    <row r="1978">
      <c r="A1978" s="49">
        <v>44533.2820864699</v>
      </c>
      <c r="B1978" s="50">
        <v>44533.4070562615</v>
      </c>
      <c r="C1978" s="51">
        <v>1.035</v>
      </c>
      <c r="D1978" s="51">
        <v>64.0</v>
      </c>
      <c r="E1978" s="52" t="s">
        <v>25</v>
      </c>
      <c r="F1978" s="52" t="s">
        <v>26</v>
      </c>
      <c r="G1978" s="53"/>
    </row>
    <row r="1979">
      <c r="A1979" s="49">
        <v>44533.292500254625</v>
      </c>
      <c r="B1979" s="50">
        <v>44533.4174774768</v>
      </c>
      <c r="C1979" s="51">
        <v>1.035</v>
      </c>
      <c r="D1979" s="51">
        <v>64.0</v>
      </c>
      <c r="E1979" s="52" t="s">
        <v>25</v>
      </c>
      <c r="F1979" s="52" t="s">
        <v>26</v>
      </c>
      <c r="G1979" s="53"/>
    </row>
    <row r="1980">
      <c r="A1980" s="49">
        <v>44533.3029432176</v>
      </c>
      <c r="B1980" s="50">
        <v>44533.4278990856</v>
      </c>
      <c r="C1980" s="51">
        <v>1.035</v>
      </c>
      <c r="D1980" s="51">
        <v>64.0</v>
      </c>
      <c r="E1980" s="52" t="s">
        <v>25</v>
      </c>
      <c r="F1980" s="52" t="s">
        <v>26</v>
      </c>
      <c r="G1980" s="53"/>
    </row>
    <row r="1981">
      <c r="A1981" s="49">
        <v>44533.31334649306</v>
      </c>
      <c r="B1981" s="50">
        <v>44533.4383225115</v>
      </c>
      <c r="C1981" s="51">
        <v>1.035</v>
      </c>
      <c r="D1981" s="51">
        <v>64.0</v>
      </c>
      <c r="E1981" s="52" t="s">
        <v>25</v>
      </c>
      <c r="F1981" s="52" t="s">
        <v>26</v>
      </c>
      <c r="G1981" s="53"/>
    </row>
    <row r="1982">
      <c r="A1982" s="49">
        <v>44533.32378983796</v>
      </c>
      <c r="B1982" s="50">
        <v>44533.4487663657</v>
      </c>
      <c r="C1982" s="51">
        <v>1.035</v>
      </c>
      <c r="D1982" s="51">
        <v>64.0</v>
      </c>
      <c r="E1982" s="52" t="s">
        <v>25</v>
      </c>
      <c r="F1982" s="52" t="s">
        <v>26</v>
      </c>
      <c r="G1982" s="53"/>
    </row>
    <row r="1983">
      <c r="A1983" s="49">
        <v>44533.33420590278</v>
      </c>
      <c r="B1983" s="50">
        <v>44533.4591869675</v>
      </c>
      <c r="C1983" s="51">
        <v>1.035</v>
      </c>
      <c r="D1983" s="51">
        <v>64.0</v>
      </c>
      <c r="E1983" s="52" t="s">
        <v>25</v>
      </c>
      <c r="F1983" s="52" t="s">
        <v>26</v>
      </c>
      <c r="G1983" s="53"/>
    </row>
    <row r="1984">
      <c r="A1984" s="49">
        <v>44533.34463748842</v>
      </c>
      <c r="B1984" s="50">
        <v>44533.4696081018</v>
      </c>
      <c r="C1984" s="51">
        <v>1.035</v>
      </c>
      <c r="D1984" s="51">
        <v>64.0</v>
      </c>
      <c r="E1984" s="52" t="s">
        <v>25</v>
      </c>
      <c r="F1984" s="52" t="s">
        <v>26</v>
      </c>
      <c r="G1984" s="53"/>
    </row>
    <row r="1985">
      <c r="A1985" s="49">
        <v>44533.35505673611</v>
      </c>
      <c r="B1985" s="50">
        <v>44533.4800286921</v>
      </c>
      <c r="C1985" s="51">
        <v>1.035</v>
      </c>
      <c r="D1985" s="51">
        <v>64.0</v>
      </c>
      <c r="E1985" s="52" t="s">
        <v>25</v>
      </c>
      <c r="F1985" s="52" t="s">
        <v>26</v>
      </c>
      <c r="G1985" s="53"/>
    </row>
    <row r="1986">
      <c r="A1986" s="49">
        <v>44533.36547899306</v>
      </c>
      <c r="B1986" s="50">
        <v>44533.4904506249</v>
      </c>
      <c r="C1986" s="51">
        <v>1.035</v>
      </c>
      <c r="D1986" s="51">
        <v>64.0</v>
      </c>
      <c r="E1986" s="52" t="s">
        <v>25</v>
      </c>
      <c r="F1986" s="52" t="s">
        <v>26</v>
      </c>
      <c r="G1986" s="53"/>
    </row>
    <row r="1987">
      <c r="A1987" s="49">
        <v>44533.37590597222</v>
      </c>
      <c r="B1987" s="50">
        <v>44533.5008732291</v>
      </c>
      <c r="C1987" s="51">
        <v>1.035</v>
      </c>
      <c r="D1987" s="51">
        <v>64.0</v>
      </c>
      <c r="E1987" s="52" t="s">
        <v>25</v>
      </c>
      <c r="F1987" s="52" t="s">
        <v>26</v>
      </c>
      <c r="G1987" s="53"/>
    </row>
    <row r="1988">
      <c r="A1988" s="49">
        <v>44533.38632625</v>
      </c>
      <c r="B1988" s="50">
        <v>44533.5113074421</v>
      </c>
      <c r="C1988" s="51">
        <v>1.035</v>
      </c>
      <c r="D1988" s="51">
        <v>64.0</v>
      </c>
      <c r="E1988" s="52" t="s">
        <v>25</v>
      </c>
      <c r="F1988" s="52" t="s">
        <v>26</v>
      </c>
      <c r="G1988" s="53"/>
    </row>
    <row r="1989">
      <c r="A1989" s="49">
        <v>44533.39675439815</v>
      </c>
      <c r="B1989" s="50">
        <v>44533.5217263773</v>
      </c>
      <c r="C1989" s="51">
        <v>1.035</v>
      </c>
      <c r="D1989" s="51">
        <v>64.0</v>
      </c>
      <c r="E1989" s="52" t="s">
        <v>25</v>
      </c>
      <c r="F1989" s="52" t="s">
        <v>26</v>
      </c>
      <c r="G1989" s="53"/>
    </row>
    <row r="1990">
      <c r="A1990" s="49">
        <v>44533.407198333334</v>
      </c>
      <c r="B1990" s="50">
        <v>44533.5321699189</v>
      </c>
      <c r="C1990" s="51">
        <v>1.035</v>
      </c>
      <c r="D1990" s="51">
        <v>64.0</v>
      </c>
      <c r="E1990" s="52" t="s">
        <v>25</v>
      </c>
      <c r="F1990" s="52" t="s">
        <v>26</v>
      </c>
      <c r="G1990" s="53"/>
    </row>
    <row r="1991">
      <c r="A1991" s="49">
        <v>44533.41761746528</v>
      </c>
      <c r="B1991" s="50">
        <v>44533.5425923379</v>
      </c>
      <c r="C1991" s="51">
        <v>1.035</v>
      </c>
      <c r="D1991" s="51">
        <v>64.0</v>
      </c>
      <c r="E1991" s="52" t="s">
        <v>25</v>
      </c>
      <c r="F1991" s="52" t="s">
        <v>26</v>
      </c>
      <c r="G1991" s="53"/>
    </row>
    <row r="1992">
      <c r="A1992" s="49">
        <v>44533.42803738426</v>
      </c>
      <c r="B1992" s="50">
        <v>44533.5530143402</v>
      </c>
      <c r="C1992" s="51">
        <v>1.035</v>
      </c>
      <c r="D1992" s="51">
        <v>64.0</v>
      </c>
      <c r="E1992" s="52" t="s">
        <v>25</v>
      </c>
      <c r="F1992" s="52" t="s">
        <v>26</v>
      </c>
      <c r="G1992" s="53"/>
    </row>
    <row r="1993">
      <c r="A1993" s="49">
        <v>44533.43846369213</v>
      </c>
      <c r="B1993" s="50">
        <v>44533.5634357407</v>
      </c>
      <c r="C1993" s="51">
        <v>1.035</v>
      </c>
      <c r="D1993" s="51">
        <v>64.0</v>
      </c>
      <c r="E1993" s="52" t="s">
        <v>25</v>
      </c>
      <c r="F1993" s="52" t="s">
        <v>26</v>
      </c>
      <c r="G1993" s="53"/>
    </row>
    <row r="1994">
      <c r="A1994" s="49">
        <v>44533.44888011574</v>
      </c>
      <c r="B1994" s="50">
        <v>44533.5738578472</v>
      </c>
      <c r="C1994" s="51">
        <v>1.035</v>
      </c>
      <c r="D1994" s="51">
        <v>64.0</v>
      </c>
      <c r="E1994" s="52" t="s">
        <v>25</v>
      </c>
      <c r="F1994" s="52" t="s">
        <v>26</v>
      </c>
      <c r="G1994" s="53"/>
    </row>
    <row r="1995">
      <c r="A1995" s="49">
        <v>44533.45930300926</v>
      </c>
      <c r="B1995" s="50">
        <v>44533.5842784606</v>
      </c>
      <c r="C1995" s="51">
        <v>1.035</v>
      </c>
      <c r="D1995" s="51">
        <v>64.0</v>
      </c>
      <c r="E1995" s="52" t="s">
        <v>25</v>
      </c>
      <c r="F1995" s="52" t="s">
        <v>26</v>
      </c>
      <c r="G1995" s="53"/>
    </row>
    <row r="1996">
      <c r="A1996" s="49">
        <v>44533.46972900463</v>
      </c>
      <c r="B1996" s="50">
        <v>44533.5947000463</v>
      </c>
      <c r="C1996" s="51">
        <v>1.035</v>
      </c>
      <c r="D1996" s="51">
        <v>64.0</v>
      </c>
      <c r="E1996" s="52" t="s">
        <v>25</v>
      </c>
      <c r="F1996" s="52" t="s">
        <v>26</v>
      </c>
      <c r="G1996" s="53"/>
    </row>
    <row r="1997">
      <c r="A1997" s="49">
        <v>44533.48016651621</v>
      </c>
      <c r="B1997" s="50">
        <v>44533.6051327314</v>
      </c>
      <c r="C1997" s="51">
        <v>1.035</v>
      </c>
      <c r="D1997" s="51">
        <v>64.0</v>
      </c>
      <c r="E1997" s="52" t="s">
        <v>25</v>
      </c>
      <c r="F1997" s="52" t="s">
        <v>26</v>
      </c>
      <c r="G1997" s="53"/>
    </row>
    <row r="1998">
      <c r="A1998" s="49">
        <v>44533.490573958334</v>
      </c>
      <c r="B1998" s="50">
        <v>44533.6155564583</v>
      </c>
      <c r="C1998" s="51">
        <v>1.035</v>
      </c>
      <c r="D1998" s="51">
        <v>64.0</v>
      </c>
      <c r="E1998" s="52" t="s">
        <v>25</v>
      </c>
      <c r="F1998" s="52" t="s">
        <v>26</v>
      </c>
      <c r="G1998" s="53"/>
    </row>
    <row r="1999">
      <c r="A1999" s="49">
        <v>44533.50103204861</v>
      </c>
      <c r="B1999" s="50">
        <v>44533.6260013541</v>
      </c>
      <c r="C1999" s="51">
        <v>1.035</v>
      </c>
      <c r="D1999" s="51">
        <v>64.0</v>
      </c>
      <c r="E1999" s="52" t="s">
        <v>25</v>
      </c>
      <c r="F1999" s="52" t="s">
        <v>26</v>
      </c>
      <c r="G1999" s="53"/>
    </row>
    <row r="2000">
      <c r="A2000" s="49">
        <v>44533.51147107639</v>
      </c>
      <c r="B2000" s="50">
        <v>44533.6364445023</v>
      </c>
      <c r="C2000" s="51">
        <v>1.035</v>
      </c>
      <c r="D2000" s="51">
        <v>64.0</v>
      </c>
      <c r="E2000" s="52" t="s">
        <v>25</v>
      </c>
      <c r="F2000" s="52" t="s">
        <v>26</v>
      </c>
      <c r="G2000" s="53"/>
    </row>
    <row r="2001">
      <c r="A2001" s="49">
        <v>44533.521905625</v>
      </c>
      <c r="B2001" s="50">
        <v>44533.6468781828</v>
      </c>
      <c r="C2001" s="51">
        <v>1.035</v>
      </c>
      <c r="D2001" s="51">
        <v>64.0</v>
      </c>
      <c r="E2001" s="52" t="s">
        <v>25</v>
      </c>
      <c r="F2001" s="52" t="s">
        <v>26</v>
      </c>
      <c r="G2001" s="53"/>
    </row>
    <row r="2002">
      <c r="A2002" s="49">
        <v>44533.532340624995</v>
      </c>
      <c r="B2002" s="50">
        <v>44533.6573105671</v>
      </c>
      <c r="C2002" s="51">
        <v>1.035</v>
      </c>
      <c r="D2002" s="51">
        <v>64.0</v>
      </c>
      <c r="E2002" s="52" t="s">
        <v>25</v>
      </c>
      <c r="F2002" s="52" t="s">
        <v>26</v>
      </c>
      <c r="G2002" s="53"/>
    </row>
    <row r="2003">
      <c r="A2003" s="49">
        <v>44533.54275681713</v>
      </c>
      <c r="B2003" s="50">
        <v>44533.667732199</v>
      </c>
      <c r="C2003" s="51">
        <v>1.035</v>
      </c>
      <c r="D2003" s="51">
        <v>64.0</v>
      </c>
      <c r="E2003" s="52" t="s">
        <v>25</v>
      </c>
      <c r="F2003" s="52" t="s">
        <v>26</v>
      </c>
      <c r="G2003" s="53"/>
    </row>
    <row r="2004">
      <c r="A2004" s="49">
        <v>44533.55318045139</v>
      </c>
      <c r="B2004" s="50">
        <v>44533.6781541087</v>
      </c>
      <c r="C2004" s="51">
        <v>1.035</v>
      </c>
      <c r="D2004" s="51">
        <v>64.0</v>
      </c>
      <c r="E2004" s="52" t="s">
        <v>25</v>
      </c>
      <c r="F2004" s="52" t="s">
        <v>26</v>
      </c>
      <c r="G2004" s="53"/>
    </row>
    <row r="2005">
      <c r="A2005" s="49">
        <v>44533.563609942124</v>
      </c>
      <c r="B2005" s="50">
        <v>44533.6885873032</v>
      </c>
      <c r="C2005" s="51">
        <v>1.035</v>
      </c>
      <c r="D2005" s="51">
        <v>64.0</v>
      </c>
      <c r="E2005" s="52" t="s">
        <v>25</v>
      </c>
      <c r="F2005" s="52" t="s">
        <v>26</v>
      </c>
      <c r="G2005" s="53"/>
    </row>
    <row r="2006">
      <c r="A2006" s="49">
        <v>44533.57405008102</v>
      </c>
      <c r="B2006" s="50">
        <v>44533.6990190393</v>
      </c>
      <c r="C2006" s="51">
        <v>1.035</v>
      </c>
      <c r="D2006" s="51">
        <v>64.0</v>
      </c>
      <c r="E2006" s="52" t="s">
        <v>25</v>
      </c>
      <c r="F2006" s="52" t="s">
        <v>26</v>
      </c>
      <c r="G2006" s="53"/>
    </row>
    <row r="2007">
      <c r="A2007" s="49">
        <v>44533.5844640625</v>
      </c>
      <c r="B2007" s="50">
        <v>44533.7094399768</v>
      </c>
      <c r="C2007" s="51">
        <v>1.035</v>
      </c>
      <c r="D2007" s="51">
        <v>64.0</v>
      </c>
      <c r="E2007" s="52" t="s">
        <v>25</v>
      </c>
      <c r="F2007" s="52" t="s">
        <v>26</v>
      </c>
      <c r="G2007" s="53"/>
    </row>
    <row r="2008">
      <c r="A2008" s="49">
        <v>44533.59488827546</v>
      </c>
      <c r="B2008" s="50">
        <v>44533.7198610879</v>
      </c>
      <c r="C2008" s="51">
        <v>1.035</v>
      </c>
      <c r="D2008" s="51">
        <v>64.0</v>
      </c>
      <c r="E2008" s="52" t="s">
        <v>25</v>
      </c>
      <c r="F2008" s="52" t="s">
        <v>26</v>
      </c>
      <c r="G2008" s="53"/>
    </row>
    <row r="2009">
      <c r="A2009" s="49">
        <v>44533.60530483796</v>
      </c>
      <c r="B2009" s="50">
        <v>44533.7302815162</v>
      </c>
      <c r="C2009" s="51">
        <v>1.035</v>
      </c>
      <c r="D2009" s="51">
        <v>64.0</v>
      </c>
      <c r="E2009" s="52" t="s">
        <v>25</v>
      </c>
      <c r="F2009" s="52" t="s">
        <v>26</v>
      </c>
      <c r="G2009" s="53"/>
    </row>
    <row r="2010">
      <c r="A2010" s="49">
        <v>44533.61573081018</v>
      </c>
      <c r="B2010" s="50">
        <v>44533.7407137615</v>
      </c>
      <c r="C2010" s="51">
        <v>1.035</v>
      </c>
      <c r="D2010" s="51">
        <v>64.0</v>
      </c>
      <c r="E2010" s="52" t="s">
        <v>25</v>
      </c>
      <c r="F2010" s="52" t="s">
        <v>26</v>
      </c>
      <c r="G2010" s="53"/>
    </row>
    <row r="2011">
      <c r="A2011" s="49">
        <v>44533.6261603125</v>
      </c>
      <c r="B2011" s="50">
        <v>44533.7511344328</v>
      </c>
      <c r="C2011" s="51">
        <v>1.035</v>
      </c>
      <c r="D2011" s="51">
        <v>64.0</v>
      </c>
      <c r="E2011" s="52" t="s">
        <v>25</v>
      </c>
      <c r="F2011" s="52" t="s">
        <v>26</v>
      </c>
      <c r="G2011" s="53"/>
    </row>
    <row r="2012">
      <c r="A2012" s="49">
        <v>44533.63658831018</v>
      </c>
      <c r="B2012" s="50">
        <v>44533.7615556018</v>
      </c>
      <c r="C2012" s="51">
        <v>1.035</v>
      </c>
      <c r="D2012" s="51">
        <v>64.0</v>
      </c>
      <c r="E2012" s="52" t="s">
        <v>25</v>
      </c>
      <c r="F2012" s="52" t="s">
        <v>26</v>
      </c>
      <c r="G2012" s="53"/>
    </row>
    <row r="2013">
      <c r="A2013" s="49">
        <v>44533.64701450232</v>
      </c>
      <c r="B2013" s="50">
        <v>44533.7719780902</v>
      </c>
      <c r="C2013" s="51">
        <v>1.035</v>
      </c>
      <c r="D2013" s="51">
        <v>64.0</v>
      </c>
      <c r="E2013" s="52" t="s">
        <v>25</v>
      </c>
      <c r="F2013" s="52" t="s">
        <v>26</v>
      </c>
      <c r="G2013" s="53"/>
    </row>
    <row r="2014">
      <c r="A2014" s="49">
        <v>44533.657427303246</v>
      </c>
      <c r="B2014" s="50">
        <v>44533.7823994097</v>
      </c>
      <c r="C2014" s="51">
        <v>1.035</v>
      </c>
      <c r="D2014" s="51">
        <v>64.0</v>
      </c>
      <c r="E2014" s="52" t="s">
        <v>25</v>
      </c>
      <c r="F2014" s="52" t="s">
        <v>26</v>
      </c>
      <c r="G2014" s="53"/>
    </row>
    <row r="2015">
      <c r="A2015" s="49">
        <v>44533.66785208334</v>
      </c>
      <c r="B2015" s="50">
        <v>44533.7928220023</v>
      </c>
      <c r="C2015" s="51">
        <v>1.035</v>
      </c>
      <c r="D2015" s="51">
        <v>64.0</v>
      </c>
      <c r="E2015" s="52" t="s">
        <v>25</v>
      </c>
      <c r="F2015" s="52" t="s">
        <v>26</v>
      </c>
      <c r="G2015" s="53"/>
    </row>
    <row r="2016">
      <c r="A2016" s="49">
        <v>44533.678269780095</v>
      </c>
      <c r="B2016" s="50">
        <v>44533.8032428819</v>
      </c>
      <c r="C2016" s="51">
        <v>1.034</v>
      </c>
      <c r="D2016" s="51">
        <v>64.0</v>
      </c>
      <c r="E2016" s="52" t="s">
        <v>25</v>
      </c>
      <c r="F2016" s="52" t="s">
        <v>26</v>
      </c>
      <c r="G2016" s="53"/>
    </row>
    <row r="2017">
      <c r="A2017" s="49">
        <v>44533.68868777777</v>
      </c>
      <c r="B2017" s="50">
        <v>44533.8136648611</v>
      </c>
      <c r="C2017" s="51">
        <v>1.035</v>
      </c>
      <c r="D2017" s="51">
        <v>64.0</v>
      </c>
      <c r="E2017" s="52" t="s">
        <v>25</v>
      </c>
      <c r="F2017" s="52" t="s">
        <v>26</v>
      </c>
      <c r="G2017" s="53"/>
    </row>
    <row r="2018">
      <c r="A2018" s="49">
        <v>44533.6991124537</v>
      </c>
      <c r="B2018" s="50">
        <v>44533.8240871874</v>
      </c>
      <c r="C2018" s="51">
        <v>1.034</v>
      </c>
      <c r="D2018" s="51">
        <v>64.0</v>
      </c>
      <c r="E2018" s="52" t="s">
        <v>25</v>
      </c>
      <c r="F2018" s="52" t="s">
        <v>26</v>
      </c>
      <c r="G2018" s="53"/>
    </row>
    <row r="2019">
      <c r="A2019" s="49">
        <v>44533.70955810185</v>
      </c>
      <c r="B2019" s="50">
        <v>44533.8345325</v>
      </c>
      <c r="C2019" s="51">
        <v>1.034</v>
      </c>
      <c r="D2019" s="51">
        <v>64.0</v>
      </c>
      <c r="E2019" s="52" t="s">
        <v>25</v>
      </c>
      <c r="F2019" s="52" t="s">
        <v>26</v>
      </c>
      <c r="G2019" s="53"/>
    </row>
    <row r="2020">
      <c r="A2020" s="49">
        <v>44533.71999923611</v>
      </c>
      <c r="B2020" s="50">
        <v>44533.8449658912</v>
      </c>
      <c r="C2020" s="51">
        <v>1.034</v>
      </c>
      <c r="D2020" s="51">
        <v>64.0</v>
      </c>
      <c r="E2020" s="52" t="s">
        <v>25</v>
      </c>
      <c r="F2020" s="52" t="s">
        <v>26</v>
      </c>
      <c r="G2020" s="53"/>
    </row>
    <row r="2021">
      <c r="A2021" s="49">
        <v>44533.73040482639</v>
      </c>
      <c r="B2021" s="50">
        <v>44533.8553868055</v>
      </c>
      <c r="C2021" s="51">
        <v>1.034</v>
      </c>
      <c r="D2021" s="51">
        <v>64.0</v>
      </c>
      <c r="E2021" s="52" t="s">
        <v>25</v>
      </c>
      <c r="F2021" s="52" t="s">
        <v>26</v>
      </c>
      <c r="G2021" s="53"/>
    </row>
    <row r="2022">
      <c r="A2022" s="49">
        <v>44533.74084359954</v>
      </c>
      <c r="B2022" s="50">
        <v>44533.8658201851</v>
      </c>
      <c r="C2022" s="51">
        <v>1.034</v>
      </c>
      <c r="D2022" s="51">
        <v>64.0</v>
      </c>
      <c r="E2022" s="52" t="s">
        <v>25</v>
      </c>
      <c r="F2022" s="52" t="s">
        <v>26</v>
      </c>
      <c r="G2022" s="53"/>
    </row>
    <row r="2023">
      <c r="A2023" s="49">
        <v>44533.75126506944</v>
      </c>
      <c r="B2023" s="50">
        <v>44533.8762414004</v>
      </c>
      <c r="C2023" s="51">
        <v>1.034</v>
      </c>
      <c r="D2023" s="51">
        <v>64.0</v>
      </c>
      <c r="E2023" s="52" t="s">
        <v>25</v>
      </c>
      <c r="F2023" s="52" t="s">
        <v>26</v>
      </c>
      <c r="G2023" s="53"/>
    </row>
    <row r="2024">
      <c r="A2024" s="49">
        <v>44533.76168728009</v>
      </c>
      <c r="B2024" s="50">
        <v>44533.8866623379</v>
      </c>
      <c r="C2024" s="51">
        <v>1.034</v>
      </c>
      <c r="D2024" s="51">
        <v>64.0</v>
      </c>
      <c r="E2024" s="52" t="s">
        <v>25</v>
      </c>
      <c r="F2024" s="52" t="s">
        <v>26</v>
      </c>
      <c r="G2024" s="53"/>
    </row>
    <row r="2025">
      <c r="A2025" s="49">
        <v>44533.77213232639</v>
      </c>
      <c r="B2025" s="50">
        <v>44533.8971074999</v>
      </c>
      <c r="C2025" s="51">
        <v>1.034</v>
      </c>
      <c r="D2025" s="51">
        <v>64.0</v>
      </c>
      <c r="E2025" s="52" t="s">
        <v>25</v>
      </c>
      <c r="F2025" s="52" t="s">
        <v>26</v>
      </c>
      <c r="G2025" s="53"/>
    </row>
    <row r="2026">
      <c r="A2026" s="49">
        <v>44533.78255590278</v>
      </c>
      <c r="B2026" s="50">
        <v>44533.9075394097</v>
      </c>
      <c r="C2026" s="51">
        <v>1.034</v>
      </c>
      <c r="D2026" s="51">
        <v>64.0</v>
      </c>
      <c r="E2026" s="52" t="s">
        <v>25</v>
      </c>
      <c r="F2026" s="52" t="s">
        <v>26</v>
      </c>
      <c r="G2026" s="53"/>
    </row>
    <row r="2027">
      <c r="A2027" s="49">
        <v>44533.79298475695</v>
      </c>
      <c r="B2027" s="50">
        <v>44533.9179596064</v>
      </c>
      <c r="C2027" s="51">
        <v>1.034</v>
      </c>
      <c r="D2027" s="51">
        <v>64.0</v>
      </c>
      <c r="E2027" s="52" t="s">
        <v>25</v>
      </c>
      <c r="F2027" s="52" t="s">
        <v>26</v>
      </c>
      <c r="G2027" s="53"/>
    </row>
    <row r="2028">
      <c r="A2028" s="49">
        <v>44533.8034028588</v>
      </c>
      <c r="B2028" s="50">
        <v>44533.9283816087</v>
      </c>
      <c r="C2028" s="51">
        <v>1.034</v>
      </c>
      <c r="D2028" s="51">
        <v>64.0</v>
      </c>
      <c r="E2028" s="52" t="s">
        <v>25</v>
      </c>
      <c r="F2028" s="52" t="s">
        <v>26</v>
      </c>
      <c r="G2028" s="53"/>
    </row>
    <row r="2029">
      <c r="A2029" s="49">
        <v>44533.813828796294</v>
      </c>
      <c r="B2029" s="50">
        <v>44533.9388031597</v>
      </c>
      <c r="C2029" s="51">
        <v>1.034</v>
      </c>
      <c r="D2029" s="51">
        <v>64.0</v>
      </c>
      <c r="E2029" s="52" t="s">
        <v>25</v>
      </c>
      <c r="F2029" s="52" t="s">
        <v>26</v>
      </c>
      <c r="G2029" s="53"/>
    </row>
    <row r="2030">
      <c r="A2030" s="49">
        <v>44533.82425118056</v>
      </c>
      <c r="B2030" s="50">
        <v>44533.9492236689</v>
      </c>
      <c r="C2030" s="51">
        <v>1.034</v>
      </c>
      <c r="D2030" s="51">
        <v>64.0</v>
      </c>
      <c r="E2030" s="52" t="s">
        <v>25</v>
      </c>
      <c r="F2030" s="52" t="s">
        <v>26</v>
      </c>
      <c r="G2030" s="53"/>
    </row>
    <row r="2031">
      <c r="A2031" s="49">
        <v>44533.83466930556</v>
      </c>
      <c r="B2031" s="50">
        <v>44533.9596436805</v>
      </c>
      <c r="C2031" s="51">
        <v>1.034</v>
      </c>
      <c r="D2031" s="51">
        <v>64.0</v>
      </c>
      <c r="E2031" s="52" t="s">
        <v>25</v>
      </c>
      <c r="F2031" s="52" t="s">
        <v>26</v>
      </c>
      <c r="G2031" s="53"/>
    </row>
    <row r="2032">
      <c r="A2032" s="49">
        <v>44533.845086932866</v>
      </c>
      <c r="B2032" s="50">
        <v>44533.9700649189</v>
      </c>
      <c r="C2032" s="51">
        <v>1.034</v>
      </c>
      <c r="D2032" s="51">
        <v>64.0</v>
      </c>
      <c r="E2032" s="52" t="s">
        <v>25</v>
      </c>
      <c r="F2032" s="52" t="s">
        <v>26</v>
      </c>
      <c r="G2032" s="53"/>
    </row>
    <row r="2033">
      <c r="A2033" s="49">
        <v>44533.85551684028</v>
      </c>
      <c r="B2033" s="50">
        <v>44533.9804982638</v>
      </c>
      <c r="C2033" s="51">
        <v>1.034</v>
      </c>
      <c r="D2033" s="51">
        <v>64.0</v>
      </c>
      <c r="E2033" s="52" t="s">
        <v>25</v>
      </c>
      <c r="F2033" s="52" t="s">
        <v>26</v>
      </c>
      <c r="G2033" s="53"/>
    </row>
    <row r="2034">
      <c r="A2034" s="49">
        <v>44533.86594559028</v>
      </c>
      <c r="B2034" s="50">
        <v>44533.9909191319</v>
      </c>
      <c r="C2034" s="51">
        <v>1.034</v>
      </c>
      <c r="D2034" s="51">
        <v>64.0</v>
      </c>
      <c r="E2034" s="52" t="s">
        <v>25</v>
      </c>
      <c r="F2034" s="52" t="s">
        <v>26</v>
      </c>
      <c r="G2034" s="53"/>
    </row>
    <row r="2035">
      <c r="A2035" s="49">
        <v>44533.87637653935</v>
      </c>
      <c r="B2035" s="50">
        <v>44534.0013506365</v>
      </c>
      <c r="C2035" s="51">
        <v>1.034</v>
      </c>
      <c r="D2035" s="51">
        <v>64.0</v>
      </c>
      <c r="E2035" s="52" t="s">
        <v>25</v>
      </c>
      <c r="F2035" s="52" t="s">
        <v>26</v>
      </c>
      <c r="G2035" s="53"/>
    </row>
    <row r="2036">
      <c r="A2036" s="49">
        <v>44533.88681321759</v>
      </c>
      <c r="B2036" s="50">
        <v>44534.011781956</v>
      </c>
      <c r="C2036" s="51">
        <v>1.034</v>
      </c>
      <c r="D2036" s="51">
        <v>64.0</v>
      </c>
      <c r="E2036" s="52" t="s">
        <v>25</v>
      </c>
      <c r="F2036" s="52" t="s">
        <v>26</v>
      </c>
      <c r="G2036" s="53"/>
    </row>
    <row r="2037">
      <c r="A2037" s="49">
        <v>44533.89722608797</v>
      </c>
      <c r="B2037" s="50">
        <v>44534.0222033217</v>
      </c>
      <c r="C2037" s="51">
        <v>1.034</v>
      </c>
      <c r="D2037" s="51">
        <v>64.0</v>
      </c>
      <c r="E2037" s="52" t="s">
        <v>25</v>
      </c>
      <c r="F2037" s="52" t="s">
        <v>26</v>
      </c>
      <c r="G2037" s="53"/>
    </row>
    <row r="2038">
      <c r="A2038" s="49">
        <v>44533.90764798611</v>
      </c>
      <c r="B2038" s="50">
        <v>44534.0326244791</v>
      </c>
      <c r="C2038" s="51">
        <v>1.034</v>
      </c>
      <c r="D2038" s="51">
        <v>64.0</v>
      </c>
      <c r="E2038" s="52" t="s">
        <v>25</v>
      </c>
      <c r="F2038" s="52" t="s">
        <v>26</v>
      </c>
      <c r="G2038" s="53"/>
    </row>
    <row r="2039">
      <c r="A2039" s="49">
        <v>44533.91807943287</v>
      </c>
      <c r="B2039" s="50">
        <v>44534.0430588773</v>
      </c>
      <c r="C2039" s="51">
        <v>1.034</v>
      </c>
      <c r="D2039" s="51">
        <v>64.0</v>
      </c>
      <c r="E2039" s="52" t="s">
        <v>25</v>
      </c>
      <c r="F2039" s="52" t="s">
        <v>26</v>
      </c>
      <c r="G2039" s="53"/>
    </row>
    <row r="2040">
      <c r="A2040" s="49">
        <v>44533.92850743055</v>
      </c>
      <c r="B2040" s="50">
        <v>44534.0534805671</v>
      </c>
      <c r="C2040" s="51">
        <v>1.034</v>
      </c>
      <c r="D2040" s="51">
        <v>64.0</v>
      </c>
      <c r="E2040" s="52" t="s">
        <v>25</v>
      </c>
      <c r="F2040" s="52" t="s">
        <v>26</v>
      </c>
      <c r="G2040" s="53"/>
    </row>
    <row r="2041">
      <c r="A2041" s="49">
        <v>44533.93893072917</v>
      </c>
      <c r="B2041" s="50">
        <v>44534.0639016435</v>
      </c>
      <c r="C2041" s="51">
        <v>1.034</v>
      </c>
      <c r="D2041" s="51">
        <v>64.0</v>
      </c>
      <c r="E2041" s="52" t="s">
        <v>25</v>
      </c>
      <c r="F2041" s="52" t="s">
        <v>26</v>
      </c>
      <c r="G2041" s="53"/>
    </row>
    <row r="2042">
      <c r="A2042" s="49">
        <v>44533.94934975695</v>
      </c>
      <c r="B2042" s="50">
        <v>44534.0743231481</v>
      </c>
      <c r="C2042" s="51">
        <v>1.034</v>
      </c>
      <c r="D2042" s="51">
        <v>64.0</v>
      </c>
      <c r="E2042" s="52" t="s">
        <v>25</v>
      </c>
      <c r="F2042" s="52" t="s">
        <v>26</v>
      </c>
      <c r="G2042" s="53"/>
    </row>
    <row r="2043">
      <c r="A2043" s="49">
        <v>44533.95976452546</v>
      </c>
      <c r="B2043" s="50">
        <v>44534.0847447453</v>
      </c>
      <c r="C2043" s="51">
        <v>1.034</v>
      </c>
      <c r="D2043" s="51">
        <v>64.0</v>
      </c>
      <c r="E2043" s="52" t="s">
        <v>25</v>
      </c>
      <c r="F2043" s="52" t="s">
        <v>26</v>
      </c>
      <c r="G2043" s="53"/>
    </row>
    <row r="2044">
      <c r="A2044" s="49">
        <v>44533.97021703704</v>
      </c>
      <c r="B2044" s="50">
        <v>44534.0951884374</v>
      </c>
      <c r="C2044" s="51">
        <v>1.034</v>
      </c>
      <c r="D2044" s="51">
        <v>64.0</v>
      </c>
      <c r="E2044" s="52" t="s">
        <v>25</v>
      </c>
      <c r="F2044" s="52" t="s">
        <v>26</v>
      </c>
      <c r="G2044" s="53"/>
    </row>
    <row r="2045">
      <c r="A2045" s="49">
        <v>44533.98063131944</v>
      </c>
      <c r="B2045" s="50">
        <v>44534.1056088194</v>
      </c>
      <c r="C2045" s="51">
        <v>1.034</v>
      </c>
      <c r="D2045" s="51">
        <v>64.0</v>
      </c>
      <c r="E2045" s="52" t="s">
        <v>25</v>
      </c>
      <c r="F2045" s="52" t="s">
        <v>26</v>
      </c>
      <c r="G2045" s="53"/>
    </row>
    <row r="2046">
      <c r="A2046" s="49">
        <v>44533.991047766205</v>
      </c>
      <c r="B2046" s="50">
        <v>44534.1160313425</v>
      </c>
      <c r="C2046" s="51">
        <v>1.034</v>
      </c>
      <c r="D2046" s="51">
        <v>64.0</v>
      </c>
      <c r="E2046" s="52" t="s">
        <v>25</v>
      </c>
      <c r="F2046" s="52" t="s">
        <v>26</v>
      </c>
      <c r="G2046" s="53"/>
    </row>
    <row r="2047">
      <c r="A2047" s="49">
        <v>44534.00148957176</v>
      </c>
      <c r="B2047" s="50">
        <v>44534.126465949</v>
      </c>
      <c r="C2047" s="51">
        <v>1.034</v>
      </c>
      <c r="D2047" s="51">
        <v>64.0</v>
      </c>
      <c r="E2047" s="52" t="s">
        <v>25</v>
      </c>
      <c r="F2047" s="52" t="s">
        <v>26</v>
      </c>
      <c r="G2047" s="53"/>
    </row>
    <row r="2048">
      <c r="A2048" s="49">
        <v>44534.011910138885</v>
      </c>
      <c r="B2048" s="50">
        <v>44534.1368881944</v>
      </c>
      <c r="C2048" s="51">
        <v>1.034</v>
      </c>
      <c r="D2048" s="51">
        <v>64.0</v>
      </c>
      <c r="E2048" s="52" t="s">
        <v>25</v>
      </c>
      <c r="F2048" s="52" t="s">
        <v>26</v>
      </c>
      <c r="G2048" s="53"/>
    </row>
    <row r="2049">
      <c r="A2049" s="49">
        <v>44534.022347175924</v>
      </c>
      <c r="B2049" s="50">
        <v>44534.1473218634</v>
      </c>
      <c r="C2049" s="51">
        <v>1.034</v>
      </c>
      <c r="D2049" s="51">
        <v>64.0</v>
      </c>
      <c r="E2049" s="52" t="s">
        <v>25</v>
      </c>
      <c r="F2049" s="52" t="s">
        <v>26</v>
      </c>
      <c r="G2049" s="53"/>
    </row>
    <row r="2050">
      <c r="A2050" s="49">
        <v>44534.03278015046</v>
      </c>
      <c r="B2050" s="50">
        <v>44534.1577554745</v>
      </c>
      <c r="C2050" s="51">
        <v>1.034</v>
      </c>
      <c r="D2050" s="51">
        <v>64.0</v>
      </c>
      <c r="E2050" s="52" t="s">
        <v>25</v>
      </c>
      <c r="F2050" s="52" t="s">
        <v>26</v>
      </c>
      <c r="G2050" s="53"/>
    </row>
    <row r="2051">
      <c r="A2051" s="49">
        <v>44534.043200740736</v>
      </c>
      <c r="B2051" s="50">
        <v>44534.1681778587</v>
      </c>
      <c r="C2051" s="51">
        <v>1.034</v>
      </c>
      <c r="D2051" s="51">
        <v>64.0</v>
      </c>
      <c r="E2051" s="52" t="s">
        <v>25</v>
      </c>
      <c r="F2051" s="52" t="s">
        <v>26</v>
      </c>
      <c r="G2051" s="53"/>
    </row>
    <row r="2052">
      <c r="A2052" s="49">
        <v>44534.05363918981</v>
      </c>
      <c r="B2052" s="50">
        <v>44534.1786114351</v>
      </c>
      <c r="C2052" s="51">
        <v>1.034</v>
      </c>
      <c r="D2052" s="51">
        <v>64.0</v>
      </c>
      <c r="E2052" s="52" t="s">
        <v>25</v>
      </c>
      <c r="F2052" s="52" t="s">
        <v>26</v>
      </c>
      <c r="G2052" s="53"/>
    </row>
    <row r="2053">
      <c r="A2053" s="49">
        <v>44534.06406179398</v>
      </c>
      <c r="B2053" s="50">
        <v>44534.1890331597</v>
      </c>
      <c r="C2053" s="51">
        <v>1.034</v>
      </c>
      <c r="D2053" s="51">
        <v>64.0</v>
      </c>
      <c r="E2053" s="52" t="s">
        <v>25</v>
      </c>
      <c r="F2053" s="52" t="s">
        <v>26</v>
      </c>
      <c r="G2053" s="53"/>
    </row>
    <row r="2054">
      <c r="A2054" s="49">
        <v>44534.07448048611</v>
      </c>
      <c r="B2054" s="50">
        <v>44534.1994549189</v>
      </c>
      <c r="C2054" s="51">
        <v>1.034</v>
      </c>
      <c r="D2054" s="51">
        <v>64.0</v>
      </c>
      <c r="E2054" s="52" t="s">
        <v>25</v>
      </c>
      <c r="F2054" s="52" t="s">
        <v>26</v>
      </c>
      <c r="G2054" s="53"/>
    </row>
    <row r="2055">
      <c r="A2055" s="49">
        <v>44534.08491480324</v>
      </c>
      <c r="B2055" s="50">
        <v>44534.2098887268</v>
      </c>
      <c r="C2055" s="51">
        <v>1.034</v>
      </c>
      <c r="D2055" s="51">
        <v>64.0</v>
      </c>
      <c r="E2055" s="52" t="s">
        <v>25</v>
      </c>
      <c r="F2055" s="52" t="s">
        <v>26</v>
      </c>
      <c r="G2055" s="53"/>
    </row>
    <row r="2056">
      <c r="A2056" s="49">
        <v>44534.09534849537</v>
      </c>
      <c r="B2056" s="50">
        <v>44534.2203231481</v>
      </c>
      <c r="C2056" s="51">
        <v>1.034</v>
      </c>
      <c r="D2056" s="51">
        <v>64.0</v>
      </c>
      <c r="E2056" s="52" t="s">
        <v>25</v>
      </c>
      <c r="F2056" s="52" t="s">
        <v>26</v>
      </c>
      <c r="G2056" s="53"/>
    </row>
    <row r="2057">
      <c r="A2057" s="49">
        <v>44534.10576258102</v>
      </c>
      <c r="B2057" s="50">
        <v>44534.2307434143</v>
      </c>
      <c r="C2057" s="51">
        <v>1.034</v>
      </c>
      <c r="D2057" s="51">
        <v>64.0</v>
      </c>
      <c r="E2057" s="52" t="s">
        <v>25</v>
      </c>
      <c r="F2057" s="52" t="s">
        <v>26</v>
      </c>
      <c r="G2057" s="53"/>
    </row>
    <row r="2058">
      <c r="A2058" s="49">
        <v>44534.11620701389</v>
      </c>
      <c r="B2058" s="50">
        <v>44534.2411869212</v>
      </c>
      <c r="C2058" s="51">
        <v>1.034</v>
      </c>
      <c r="D2058" s="51">
        <v>64.0</v>
      </c>
      <c r="E2058" s="52" t="s">
        <v>25</v>
      </c>
      <c r="F2058" s="52" t="s">
        <v>26</v>
      </c>
      <c r="G2058" s="53"/>
    </row>
    <row r="2059">
      <c r="A2059" s="49">
        <v>44534.12663439815</v>
      </c>
      <c r="B2059" s="50">
        <v>44534.2516063078</v>
      </c>
      <c r="C2059" s="51">
        <v>1.034</v>
      </c>
      <c r="D2059" s="51">
        <v>64.0</v>
      </c>
      <c r="E2059" s="52" t="s">
        <v>25</v>
      </c>
      <c r="F2059" s="52" t="s">
        <v>26</v>
      </c>
      <c r="G2059" s="53"/>
    </row>
    <row r="2060">
      <c r="A2060" s="49">
        <v>44534.137047199074</v>
      </c>
      <c r="B2060" s="50">
        <v>44534.2620248032</v>
      </c>
      <c r="C2060" s="51">
        <v>1.034</v>
      </c>
      <c r="D2060" s="51">
        <v>64.0</v>
      </c>
      <c r="E2060" s="52" t="s">
        <v>25</v>
      </c>
      <c r="F2060" s="52" t="s">
        <v>26</v>
      </c>
      <c r="G2060" s="53"/>
    </row>
    <row r="2061">
      <c r="A2061" s="49">
        <v>44534.1474795949</v>
      </c>
      <c r="B2061" s="50">
        <v>44534.2724594907</v>
      </c>
      <c r="C2061" s="51">
        <v>1.034</v>
      </c>
      <c r="D2061" s="51">
        <v>64.0</v>
      </c>
      <c r="E2061" s="52" t="s">
        <v>25</v>
      </c>
      <c r="F2061" s="52" t="s">
        <v>26</v>
      </c>
      <c r="G2061" s="53"/>
    </row>
    <row r="2062">
      <c r="A2062" s="49">
        <v>44534.157898958336</v>
      </c>
      <c r="B2062" s="50">
        <v>44534.2828798263</v>
      </c>
      <c r="C2062" s="51">
        <v>1.034</v>
      </c>
      <c r="D2062" s="51">
        <v>64.0</v>
      </c>
      <c r="E2062" s="52" t="s">
        <v>25</v>
      </c>
      <c r="F2062" s="52" t="s">
        <v>26</v>
      </c>
      <c r="G2062" s="53"/>
    </row>
    <row r="2063">
      <c r="A2063" s="49">
        <v>44534.168328784726</v>
      </c>
      <c r="B2063" s="50">
        <v>44534.2933018865</v>
      </c>
      <c r="C2063" s="51">
        <v>1.034</v>
      </c>
      <c r="D2063" s="51">
        <v>64.0</v>
      </c>
      <c r="E2063" s="52" t="s">
        <v>25</v>
      </c>
      <c r="F2063" s="52" t="s">
        <v>26</v>
      </c>
      <c r="G2063" s="53"/>
    </row>
    <row r="2064">
      <c r="A2064" s="49">
        <v>44534.178750266205</v>
      </c>
      <c r="B2064" s="50">
        <v>44534.303721956</v>
      </c>
      <c r="C2064" s="51">
        <v>1.034</v>
      </c>
      <c r="D2064" s="51">
        <v>64.0</v>
      </c>
      <c r="E2064" s="52" t="s">
        <v>25</v>
      </c>
      <c r="F2064" s="52" t="s">
        <v>26</v>
      </c>
      <c r="G2064" s="53"/>
    </row>
    <row r="2065">
      <c r="A2065" s="49">
        <v>44534.18917467592</v>
      </c>
      <c r="B2065" s="50">
        <v>44534.3141550115</v>
      </c>
      <c r="C2065" s="51">
        <v>1.034</v>
      </c>
      <c r="D2065" s="51">
        <v>64.0</v>
      </c>
      <c r="E2065" s="52" t="s">
        <v>25</v>
      </c>
      <c r="F2065" s="52" t="s">
        <v>26</v>
      </c>
      <c r="G2065" s="53"/>
    </row>
    <row r="2066">
      <c r="A2066" s="49">
        <v>44534.19959210648</v>
      </c>
      <c r="B2066" s="50">
        <v>44534.3245745254</v>
      </c>
      <c r="C2066" s="51">
        <v>1.034</v>
      </c>
      <c r="D2066" s="51">
        <v>64.0</v>
      </c>
      <c r="E2066" s="52" t="s">
        <v>25</v>
      </c>
      <c r="F2066" s="52" t="s">
        <v>26</v>
      </c>
      <c r="G2066" s="53"/>
    </row>
    <row r="2067">
      <c r="A2067" s="49">
        <v>44534.21002496528</v>
      </c>
      <c r="B2067" s="50">
        <v>44534.3349958217</v>
      </c>
      <c r="C2067" s="51">
        <v>1.034</v>
      </c>
      <c r="D2067" s="51">
        <v>64.0</v>
      </c>
      <c r="E2067" s="52" t="s">
        <v>25</v>
      </c>
      <c r="F2067" s="52" t="s">
        <v>26</v>
      </c>
      <c r="G2067" s="53"/>
    </row>
    <row r="2068">
      <c r="A2068" s="49">
        <v>44534.22045738426</v>
      </c>
      <c r="B2068" s="50">
        <v>44534.3454281944</v>
      </c>
      <c r="C2068" s="51">
        <v>1.034</v>
      </c>
      <c r="D2068" s="51">
        <v>64.0</v>
      </c>
      <c r="E2068" s="52" t="s">
        <v>25</v>
      </c>
      <c r="F2068" s="52" t="s">
        <v>26</v>
      </c>
      <c r="G2068" s="53"/>
    </row>
    <row r="2069">
      <c r="A2069" s="49">
        <v>44534.23088377315</v>
      </c>
      <c r="B2069" s="50">
        <v>44534.3558606597</v>
      </c>
      <c r="C2069" s="51">
        <v>1.034</v>
      </c>
      <c r="D2069" s="51">
        <v>64.0</v>
      </c>
      <c r="E2069" s="52" t="s">
        <v>25</v>
      </c>
      <c r="F2069" s="52" t="s">
        <v>26</v>
      </c>
      <c r="G2069" s="53"/>
    </row>
    <row r="2070">
      <c r="A2070" s="49">
        <v>44534.24130206018</v>
      </c>
      <c r="B2070" s="50">
        <v>44534.3662820138</v>
      </c>
      <c r="C2070" s="51">
        <v>1.034</v>
      </c>
      <c r="D2070" s="51">
        <v>64.0</v>
      </c>
      <c r="E2070" s="52" t="s">
        <v>25</v>
      </c>
      <c r="F2070" s="52" t="s">
        <v>26</v>
      </c>
      <c r="G2070" s="53"/>
    </row>
    <row r="2071">
      <c r="A2071" s="49">
        <v>44534.251733321755</v>
      </c>
      <c r="B2071" s="50">
        <v>44534.3767033564</v>
      </c>
      <c r="C2071" s="51">
        <v>1.034</v>
      </c>
      <c r="D2071" s="51">
        <v>64.0</v>
      </c>
      <c r="E2071" s="52" t="s">
        <v>25</v>
      </c>
      <c r="F2071" s="52" t="s">
        <v>26</v>
      </c>
      <c r="G2071" s="53"/>
    </row>
    <row r="2072">
      <c r="A2072" s="49">
        <v>44534.26215033565</v>
      </c>
      <c r="B2072" s="50">
        <v>44534.3871242824</v>
      </c>
      <c r="C2072" s="51">
        <v>1.034</v>
      </c>
      <c r="D2072" s="51">
        <v>64.0</v>
      </c>
      <c r="E2072" s="52" t="s">
        <v>25</v>
      </c>
      <c r="F2072" s="52" t="s">
        <v>26</v>
      </c>
      <c r="G2072" s="53"/>
    </row>
    <row r="2073">
      <c r="A2073" s="49">
        <v>44534.27257915509</v>
      </c>
      <c r="B2073" s="50">
        <v>44534.3975558912</v>
      </c>
      <c r="C2073" s="51">
        <v>1.034</v>
      </c>
      <c r="D2073" s="51">
        <v>64.0</v>
      </c>
      <c r="E2073" s="52" t="s">
        <v>25</v>
      </c>
      <c r="F2073" s="52" t="s">
        <v>26</v>
      </c>
      <c r="G2073" s="53"/>
    </row>
    <row r="2074">
      <c r="A2074" s="49">
        <v>44534.28299865741</v>
      </c>
      <c r="B2074" s="50">
        <v>44534.4079772569</v>
      </c>
      <c r="C2074" s="51">
        <v>1.034</v>
      </c>
      <c r="D2074" s="51">
        <v>64.0</v>
      </c>
      <c r="E2074" s="52" t="s">
        <v>25</v>
      </c>
      <c r="F2074" s="52" t="s">
        <v>26</v>
      </c>
      <c r="G2074" s="53"/>
    </row>
    <row r="2075">
      <c r="A2075" s="49">
        <v>44534.29344605324</v>
      </c>
      <c r="B2075" s="50">
        <v>44534.4184117476</v>
      </c>
      <c r="C2075" s="51">
        <v>1.034</v>
      </c>
      <c r="D2075" s="51">
        <v>64.0</v>
      </c>
      <c r="E2075" s="52" t="s">
        <v>25</v>
      </c>
      <c r="F2075" s="52" t="s">
        <v>26</v>
      </c>
      <c r="G2075" s="53"/>
    </row>
    <row r="2076">
      <c r="A2076" s="49">
        <v>44534.303874062505</v>
      </c>
      <c r="B2076" s="50">
        <v>44534.4288444675</v>
      </c>
      <c r="C2076" s="51">
        <v>1.034</v>
      </c>
      <c r="D2076" s="51">
        <v>64.0</v>
      </c>
      <c r="E2076" s="52" t="s">
        <v>25</v>
      </c>
      <c r="F2076" s="52" t="s">
        <v>26</v>
      </c>
      <c r="G2076" s="53"/>
    </row>
    <row r="2077">
      <c r="A2077" s="49">
        <v>44534.314288194444</v>
      </c>
      <c r="B2077" s="50">
        <v>44534.4392671643</v>
      </c>
      <c r="C2077" s="51">
        <v>1.033</v>
      </c>
      <c r="D2077" s="51">
        <v>64.0</v>
      </c>
      <c r="E2077" s="52" t="s">
        <v>25</v>
      </c>
      <c r="F2077" s="52" t="s">
        <v>26</v>
      </c>
      <c r="G2077" s="53"/>
    </row>
    <row r="2078">
      <c r="A2078" s="49">
        <v>44534.32472188657</v>
      </c>
      <c r="B2078" s="50">
        <v>44534.449687037</v>
      </c>
      <c r="C2078" s="51">
        <v>1.034</v>
      </c>
      <c r="D2078" s="51">
        <v>64.0</v>
      </c>
      <c r="E2078" s="52" t="s">
        <v>25</v>
      </c>
      <c r="F2078" s="52" t="s">
        <v>26</v>
      </c>
      <c r="G2078" s="53"/>
    </row>
    <row r="2079">
      <c r="A2079" s="49">
        <v>44534.335153541666</v>
      </c>
      <c r="B2079" s="50">
        <v>44534.4601314351</v>
      </c>
      <c r="C2079" s="51">
        <v>1.034</v>
      </c>
      <c r="D2079" s="51">
        <v>64.0</v>
      </c>
      <c r="E2079" s="52" t="s">
        <v>25</v>
      </c>
      <c r="F2079" s="52" t="s">
        <v>26</v>
      </c>
      <c r="G2079" s="53"/>
    </row>
    <row r="2080">
      <c r="A2080" s="49">
        <v>44534.345575914354</v>
      </c>
      <c r="B2080" s="50">
        <v>44534.4705535069</v>
      </c>
      <c r="C2080" s="51">
        <v>1.034</v>
      </c>
      <c r="D2080" s="51">
        <v>64.0</v>
      </c>
      <c r="E2080" s="52" t="s">
        <v>25</v>
      </c>
      <c r="F2080" s="52" t="s">
        <v>26</v>
      </c>
      <c r="G2080" s="53"/>
    </row>
    <row r="2081">
      <c r="A2081" s="49">
        <v>44534.35600733796</v>
      </c>
      <c r="B2081" s="50">
        <v>44534.4809867245</v>
      </c>
      <c r="C2081" s="51">
        <v>1.034</v>
      </c>
      <c r="D2081" s="51">
        <v>64.0</v>
      </c>
      <c r="E2081" s="52" t="s">
        <v>25</v>
      </c>
      <c r="F2081" s="52" t="s">
        <v>26</v>
      </c>
      <c r="G2081" s="53"/>
    </row>
    <row r="2082">
      <c r="A2082" s="49">
        <v>44534.366437743054</v>
      </c>
      <c r="B2082" s="50">
        <v>44534.4914074537</v>
      </c>
      <c r="C2082" s="51">
        <v>1.034</v>
      </c>
      <c r="D2082" s="51">
        <v>64.0</v>
      </c>
      <c r="E2082" s="52" t="s">
        <v>25</v>
      </c>
      <c r="F2082" s="52" t="s">
        <v>26</v>
      </c>
      <c r="G2082" s="53"/>
    </row>
    <row r="2083">
      <c r="A2083" s="49">
        <v>44534.37687059028</v>
      </c>
      <c r="B2083" s="50">
        <v>44534.5018426851</v>
      </c>
      <c r="C2083" s="51">
        <v>1.034</v>
      </c>
      <c r="D2083" s="51">
        <v>64.0</v>
      </c>
      <c r="E2083" s="52" t="s">
        <v>25</v>
      </c>
      <c r="F2083" s="52" t="s">
        <v>26</v>
      </c>
      <c r="G2083" s="53"/>
    </row>
    <row r="2084">
      <c r="A2084" s="49">
        <v>44534.3872853125</v>
      </c>
      <c r="B2084" s="50">
        <v>44534.5122644791</v>
      </c>
      <c r="C2084" s="51">
        <v>1.034</v>
      </c>
      <c r="D2084" s="51">
        <v>64.0</v>
      </c>
      <c r="E2084" s="52" t="s">
        <v>25</v>
      </c>
      <c r="F2084" s="52" t="s">
        <v>26</v>
      </c>
      <c r="G2084" s="53"/>
    </row>
    <row r="2085">
      <c r="A2085" s="49">
        <v>44534.39775640046</v>
      </c>
      <c r="B2085" s="50">
        <v>44534.522732037</v>
      </c>
      <c r="C2085" s="51">
        <v>1.034</v>
      </c>
      <c r="D2085" s="51">
        <v>64.0</v>
      </c>
      <c r="E2085" s="52" t="s">
        <v>25</v>
      </c>
      <c r="F2085" s="52" t="s">
        <v>26</v>
      </c>
      <c r="G2085" s="53"/>
    </row>
    <row r="2086">
      <c r="A2086" s="49">
        <v>44534.408180451384</v>
      </c>
      <c r="B2086" s="50">
        <v>44534.5331526388</v>
      </c>
      <c r="C2086" s="51">
        <v>1.034</v>
      </c>
      <c r="D2086" s="51">
        <v>64.0</v>
      </c>
      <c r="E2086" s="52" t="s">
        <v>25</v>
      </c>
      <c r="F2086" s="52" t="s">
        <v>26</v>
      </c>
      <c r="G2086" s="53"/>
    </row>
    <row r="2087">
      <c r="A2087" s="49">
        <v>44534.41862231481</v>
      </c>
      <c r="B2087" s="50">
        <v>44534.5435866782</v>
      </c>
      <c r="C2087" s="51">
        <v>1.034</v>
      </c>
      <c r="D2087" s="51">
        <v>64.0</v>
      </c>
      <c r="E2087" s="52" t="s">
        <v>25</v>
      </c>
      <c r="F2087" s="52" t="s">
        <v>26</v>
      </c>
      <c r="G2087" s="53"/>
    </row>
    <row r="2088">
      <c r="A2088" s="49">
        <v>44534.42903782407</v>
      </c>
      <c r="B2088" s="50">
        <v>44534.554005162</v>
      </c>
      <c r="C2088" s="51">
        <v>1.033</v>
      </c>
      <c r="D2088" s="51">
        <v>64.0</v>
      </c>
      <c r="E2088" s="52" t="s">
        <v>25</v>
      </c>
      <c r="F2088" s="52" t="s">
        <v>26</v>
      </c>
      <c r="G2088" s="53"/>
    </row>
    <row r="2089">
      <c r="A2089" s="49">
        <v>44534.43945826389</v>
      </c>
      <c r="B2089" s="50">
        <v>44534.5644251736</v>
      </c>
      <c r="C2089" s="51">
        <v>1.033</v>
      </c>
      <c r="D2089" s="51">
        <v>64.0</v>
      </c>
      <c r="E2089" s="52" t="s">
        <v>25</v>
      </c>
      <c r="F2089" s="52" t="s">
        <v>26</v>
      </c>
      <c r="G2089" s="53"/>
    </row>
    <row r="2090">
      <c r="A2090" s="49">
        <v>44534.449891226854</v>
      </c>
      <c r="B2090" s="50">
        <v>44534.5748567592</v>
      </c>
      <c r="C2090" s="51">
        <v>1.034</v>
      </c>
      <c r="D2090" s="51">
        <v>64.0</v>
      </c>
      <c r="E2090" s="52" t="s">
        <v>25</v>
      </c>
      <c r="F2090" s="52" t="s">
        <v>26</v>
      </c>
      <c r="G2090" s="53"/>
    </row>
    <row r="2091">
      <c r="A2091" s="49">
        <v>44534.46031657407</v>
      </c>
      <c r="B2091" s="50">
        <v>44534.5852786689</v>
      </c>
      <c r="C2091" s="51">
        <v>1.033</v>
      </c>
      <c r="D2091" s="51">
        <v>64.0</v>
      </c>
      <c r="E2091" s="52" t="s">
        <v>25</v>
      </c>
      <c r="F2091" s="52" t="s">
        <v>26</v>
      </c>
      <c r="G2091" s="53"/>
    </row>
    <row r="2092">
      <c r="A2092" s="49">
        <v>44534.47072868056</v>
      </c>
      <c r="B2092" s="50">
        <v>44534.5956994444</v>
      </c>
      <c r="C2092" s="51">
        <v>1.033</v>
      </c>
      <c r="D2092" s="51">
        <v>64.0</v>
      </c>
      <c r="E2092" s="52" t="s">
        <v>25</v>
      </c>
      <c r="F2092" s="52" t="s">
        <v>26</v>
      </c>
      <c r="G2092" s="53"/>
    </row>
    <row r="2093">
      <c r="A2093" s="49">
        <v>44534.481159953706</v>
      </c>
      <c r="B2093" s="50">
        <v>44534.6061305208</v>
      </c>
      <c r="C2093" s="51">
        <v>1.033</v>
      </c>
      <c r="D2093" s="51">
        <v>64.0</v>
      </c>
      <c r="E2093" s="52" t="s">
        <v>25</v>
      </c>
      <c r="F2093" s="52" t="s">
        <v>26</v>
      </c>
      <c r="G2093" s="53"/>
    </row>
    <row r="2094">
      <c r="A2094" s="49">
        <v>44534.491586296295</v>
      </c>
      <c r="B2094" s="50">
        <v>44534.61656375</v>
      </c>
      <c r="C2094" s="51">
        <v>1.033</v>
      </c>
      <c r="D2094" s="51">
        <v>64.0</v>
      </c>
      <c r="E2094" s="52" t="s">
        <v>25</v>
      </c>
      <c r="F2094" s="52" t="s">
        <v>26</v>
      </c>
      <c r="G2094" s="53"/>
    </row>
    <row r="2095">
      <c r="A2095" s="49">
        <v>44534.502046932874</v>
      </c>
      <c r="B2095" s="50">
        <v>44534.6270198148</v>
      </c>
      <c r="C2095" s="51">
        <v>1.033</v>
      </c>
      <c r="D2095" s="51">
        <v>64.0</v>
      </c>
      <c r="E2095" s="52" t="s">
        <v>25</v>
      </c>
      <c r="F2095" s="52" t="s">
        <v>26</v>
      </c>
      <c r="G2095" s="53"/>
    </row>
    <row r="2096">
      <c r="A2096" s="49">
        <v>44534.51248233796</v>
      </c>
      <c r="B2096" s="50">
        <v>44534.6374539583</v>
      </c>
      <c r="C2096" s="51">
        <v>1.033</v>
      </c>
      <c r="D2096" s="51">
        <v>64.0</v>
      </c>
      <c r="E2096" s="52" t="s">
        <v>25</v>
      </c>
      <c r="F2096" s="52" t="s">
        <v>26</v>
      </c>
      <c r="G2096" s="53"/>
    </row>
    <row r="2097">
      <c r="A2097" s="49">
        <v>44534.52290157408</v>
      </c>
      <c r="B2097" s="50">
        <v>44534.6478767129</v>
      </c>
      <c r="C2097" s="51">
        <v>1.033</v>
      </c>
      <c r="D2097" s="51">
        <v>64.0</v>
      </c>
      <c r="E2097" s="52" t="s">
        <v>25</v>
      </c>
      <c r="F2097" s="52" t="s">
        <v>26</v>
      </c>
      <c r="G2097" s="53"/>
    </row>
    <row r="2098">
      <c r="A2098" s="49">
        <v>44534.53333451389</v>
      </c>
      <c r="B2098" s="50">
        <v>44534.6583101157</v>
      </c>
      <c r="C2098" s="51">
        <v>1.033</v>
      </c>
      <c r="D2098" s="51">
        <v>64.0</v>
      </c>
      <c r="E2098" s="52" t="s">
        <v>25</v>
      </c>
      <c r="F2098" s="52" t="s">
        <v>26</v>
      </c>
      <c r="G2098" s="53"/>
    </row>
    <row r="2099">
      <c r="A2099" s="49">
        <v>44534.54375332176</v>
      </c>
      <c r="B2099" s="50">
        <v>44534.668730625</v>
      </c>
      <c r="C2099" s="51">
        <v>1.033</v>
      </c>
      <c r="D2099" s="51">
        <v>64.0</v>
      </c>
      <c r="E2099" s="52" t="s">
        <v>25</v>
      </c>
      <c r="F2099" s="52" t="s">
        <v>26</v>
      </c>
      <c r="G2099" s="53"/>
    </row>
    <row r="2100">
      <c r="A2100" s="49">
        <v>44534.55418172454</v>
      </c>
      <c r="B2100" s="50">
        <v>44534.6791644791</v>
      </c>
      <c r="C2100" s="51">
        <v>1.033</v>
      </c>
      <c r="D2100" s="51">
        <v>64.0</v>
      </c>
      <c r="E2100" s="52" t="s">
        <v>25</v>
      </c>
      <c r="F2100" s="52" t="s">
        <v>26</v>
      </c>
      <c r="G2100" s="53"/>
    </row>
    <row r="2101">
      <c r="A2101" s="49">
        <v>44534.56461313658</v>
      </c>
      <c r="B2101" s="50">
        <v>44534.6895839583</v>
      </c>
      <c r="C2101" s="51">
        <v>1.033</v>
      </c>
      <c r="D2101" s="51">
        <v>64.0</v>
      </c>
      <c r="E2101" s="52" t="s">
        <v>25</v>
      </c>
      <c r="F2101" s="52" t="s">
        <v>26</v>
      </c>
      <c r="G2101" s="53"/>
    </row>
    <row r="2102">
      <c r="A2102" s="49">
        <v>44534.57502881944</v>
      </c>
      <c r="B2102" s="50">
        <v>44534.7000045486</v>
      </c>
      <c r="C2102" s="51">
        <v>1.033</v>
      </c>
      <c r="D2102" s="51">
        <v>64.0</v>
      </c>
      <c r="E2102" s="52" t="s">
        <v>25</v>
      </c>
      <c r="F2102" s="52" t="s">
        <v>26</v>
      </c>
      <c r="G2102" s="53"/>
    </row>
    <row r="2103">
      <c r="A2103" s="49">
        <v>44534.58546028935</v>
      </c>
      <c r="B2103" s="50">
        <v>44534.710435868</v>
      </c>
      <c r="C2103" s="51">
        <v>1.033</v>
      </c>
      <c r="D2103" s="51">
        <v>64.0</v>
      </c>
      <c r="E2103" s="52" t="s">
        <v>25</v>
      </c>
      <c r="F2103" s="52" t="s">
        <v>26</v>
      </c>
      <c r="G2103" s="53"/>
    </row>
    <row r="2104">
      <c r="A2104" s="49">
        <v>44534.595878692126</v>
      </c>
      <c r="B2104" s="50">
        <v>44534.7208557638</v>
      </c>
      <c r="C2104" s="51">
        <v>1.033</v>
      </c>
      <c r="D2104" s="51">
        <v>64.0</v>
      </c>
      <c r="E2104" s="52" t="s">
        <v>25</v>
      </c>
      <c r="F2104" s="52" t="s">
        <v>26</v>
      </c>
      <c r="G2104" s="53"/>
    </row>
    <row r="2105">
      <c r="A2105" s="49">
        <v>44534.6063018287</v>
      </c>
      <c r="B2105" s="50">
        <v>44534.7312767245</v>
      </c>
      <c r="C2105" s="51">
        <v>1.033</v>
      </c>
      <c r="D2105" s="51">
        <v>64.0</v>
      </c>
      <c r="E2105" s="52" t="s">
        <v>25</v>
      </c>
      <c r="F2105" s="52" t="s">
        <v>26</v>
      </c>
      <c r="G2105" s="53"/>
    </row>
    <row r="2106">
      <c r="A2106" s="49">
        <v>44534.61674081019</v>
      </c>
      <c r="B2106" s="50">
        <v>44534.7417200694</v>
      </c>
      <c r="C2106" s="51">
        <v>1.033</v>
      </c>
      <c r="D2106" s="51">
        <v>64.0</v>
      </c>
      <c r="E2106" s="52" t="s">
        <v>25</v>
      </c>
      <c r="F2106" s="52" t="s">
        <v>26</v>
      </c>
      <c r="G2106" s="53"/>
    </row>
    <row r="2107">
      <c r="A2107" s="49">
        <v>44534.627173796296</v>
      </c>
      <c r="B2107" s="50">
        <v>44534.7521539467</v>
      </c>
      <c r="C2107" s="51">
        <v>1.033</v>
      </c>
      <c r="D2107" s="51">
        <v>64.0</v>
      </c>
      <c r="E2107" s="52" t="s">
        <v>25</v>
      </c>
      <c r="F2107" s="52" t="s">
        <v>26</v>
      </c>
      <c r="G2107" s="53"/>
    </row>
    <row r="2108">
      <c r="A2108" s="49">
        <v>44534.6376028588</v>
      </c>
      <c r="B2108" s="50">
        <v>44534.7625850115</v>
      </c>
      <c r="C2108" s="51">
        <v>1.033</v>
      </c>
      <c r="D2108" s="51">
        <v>64.0</v>
      </c>
      <c r="E2108" s="52" t="s">
        <v>25</v>
      </c>
      <c r="F2108" s="52" t="s">
        <v>26</v>
      </c>
      <c r="G2108" s="53"/>
    </row>
    <row r="2109">
      <c r="A2109" s="49">
        <v>44534.64803314814</v>
      </c>
      <c r="B2109" s="50">
        <v>44534.7730080439</v>
      </c>
      <c r="C2109" s="51">
        <v>1.033</v>
      </c>
      <c r="D2109" s="51">
        <v>64.0</v>
      </c>
      <c r="E2109" s="52" t="s">
        <v>25</v>
      </c>
      <c r="F2109" s="52" t="s">
        <v>26</v>
      </c>
      <c r="G2109" s="53"/>
    </row>
    <row r="2110">
      <c r="A2110" s="49">
        <v>44534.658454097225</v>
      </c>
      <c r="B2110" s="50">
        <v>44534.7834294907</v>
      </c>
      <c r="C2110" s="51">
        <v>1.033</v>
      </c>
      <c r="D2110" s="51">
        <v>64.0</v>
      </c>
      <c r="E2110" s="52" t="s">
        <v>25</v>
      </c>
      <c r="F2110" s="52" t="s">
        <v>26</v>
      </c>
      <c r="G2110" s="53"/>
    </row>
    <row r="2111">
      <c r="A2111" s="49">
        <v>44534.66888375</v>
      </c>
      <c r="B2111" s="50">
        <v>44534.7938622916</v>
      </c>
      <c r="C2111" s="51">
        <v>1.033</v>
      </c>
      <c r="D2111" s="51">
        <v>64.0</v>
      </c>
      <c r="E2111" s="52" t="s">
        <v>25</v>
      </c>
      <c r="F2111" s="52" t="s">
        <v>26</v>
      </c>
      <c r="G2111" s="53"/>
    </row>
    <row r="2112">
      <c r="A2112" s="49">
        <v>44534.67930877315</v>
      </c>
      <c r="B2112" s="50">
        <v>44534.8042836805</v>
      </c>
      <c r="C2112" s="51">
        <v>1.033</v>
      </c>
      <c r="D2112" s="51">
        <v>64.0</v>
      </c>
      <c r="E2112" s="52" t="s">
        <v>25</v>
      </c>
      <c r="F2112" s="52" t="s">
        <v>26</v>
      </c>
      <c r="G2112" s="53"/>
    </row>
    <row r="2113">
      <c r="A2113" s="49">
        <v>44534.68974137731</v>
      </c>
      <c r="B2113" s="50">
        <v>44534.8147164467</v>
      </c>
      <c r="C2113" s="51">
        <v>1.033</v>
      </c>
      <c r="D2113" s="51">
        <v>64.0</v>
      </c>
      <c r="E2113" s="52" t="s">
        <v>25</v>
      </c>
      <c r="F2113" s="52" t="s">
        <v>26</v>
      </c>
      <c r="G2113" s="53"/>
    </row>
    <row r="2114">
      <c r="A2114" s="49">
        <v>44534.70017627315</v>
      </c>
      <c r="B2114" s="50">
        <v>44534.825147824</v>
      </c>
      <c r="C2114" s="51">
        <v>1.033</v>
      </c>
      <c r="D2114" s="51">
        <v>64.0</v>
      </c>
      <c r="E2114" s="52" t="s">
        <v>25</v>
      </c>
      <c r="F2114" s="52" t="s">
        <v>26</v>
      </c>
      <c r="G2114" s="53"/>
    </row>
    <row r="2115">
      <c r="A2115" s="49">
        <v>44534.71060721065</v>
      </c>
      <c r="B2115" s="50">
        <v>44534.8355791319</v>
      </c>
      <c r="C2115" s="51">
        <v>1.033</v>
      </c>
      <c r="D2115" s="51">
        <v>64.0</v>
      </c>
      <c r="E2115" s="52" t="s">
        <v>25</v>
      </c>
      <c r="F2115" s="52" t="s">
        <v>26</v>
      </c>
      <c r="G2115" s="53"/>
    </row>
    <row r="2116">
      <c r="A2116" s="49">
        <v>44534.721020902776</v>
      </c>
      <c r="B2116" s="50">
        <v>44534.8460012847</v>
      </c>
      <c r="C2116" s="51">
        <v>1.033</v>
      </c>
      <c r="D2116" s="51">
        <v>64.0</v>
      </c>
      <c r="E2116" s="52" t="s">
        <v>25</v>
      </c>
      <c r="F2116" s="52" t="s">
        <v>26</v>
      </c>
      <c r="G2116" s="53"/>
    </row>
    <row r="2117">
      <c r="A2117" s="49">
        <v>44534.73144145834</v>
      </c>
      <c r="B2117" s="50">
        <v>44534.8564213194</v>
      </c>
      <c r="C2117" s="51">
        <v>1.033</v>
      </c>
      <c r="D2117" s="51">
        <v>64.0</v>
      </c>
      <c r="E2117" s="52" t="s">
        <v>25</v>
      </c>
      <c r="F2117" s="52" t="s">
        <v>26</v>
      </c>
      <c r="G2117" s="53"/>
    </row>
    <row r="2118">
      <c r="A2118" s="49">
        <v>44534.741861620365</v>
      </c>
      <c r="B2118" s="50">
        <v>44534.8668405786</v>
      </c>
      <c r="C2118" s="51">
        <v>1.033</v>
      </c>
      <c r="D2118" s="51">
        <v>64.0</v>
      </c>
      <c r="E2118" s="52" t="s">
        <v>25</v>
      </c>
      <c r="F2118" s="52" t="s">
        <v>26</v>
      </c>
      <c r="G2118" s="53"/>
    </row>
    <row r="2119">
      <c r="A2119" s="49">
        <v>44534.75228509259</v>
      </c>
      <c r="B2119" s="50">
        <v>44534.8772613657</v>
      </c>
      <c r="C2119" s="51">
        <v>1.033</v>
      </c>
      <c r="D2119" s="51">
        <v>64.0</v>
      </c>
      <c r="E2119" s="52" t="s">
        <v>25</v>
      </c>
      <c r="F2119" s="52" t="s">
        <v>26</v>
      </c>
      <c r="G2119" s="53"/>
    </row>
    <row r="2120">
      <c r="A2120" s="49">
        <v>44534.76270774305</v>
      </c>
      <c r="B2120" s="50">
        <v>44534.8876810069</v>
      </c>
      <c r="C2120" s="51">
        <v>1.033</v>
      </c>
      <c r="D2120" s="51">
        <v>64.0</v>
      </c>
      <c r="E2120" s="52" t="s">
        <v>25</v>
      </c>
      <c r="F2120" s="52" t="s">
        <v>26</v>
      </c>
      <c r="G2120" s="53"/>
    </row>
    <row r="2121">
      <c r="A2121" s="49">
        <v>44534.77312747685</v>
      </c>
      <c r="B2121" s="50">
        <v>44534.898100868</v>
      </c>
      <c r="C2121" s="51">
        <v>1.033</v>
      </c>
      <c r="D2121" s="51">
        <v>64.0</v>
      </c>
      <c r="E2121" s="52" t="s">
        <v>25</v>
      </c>
      <c r="F2121" s="52" t="s">
        <v>26</v>
      </c>
      <c r="G2121" s="53"/>
    </row>
    <row r="2122">
      <c r="A2122" s="49">
        <v>44534.783545</v>
      </c>
      <c r="B2122" s="50">
        <v>44534.9085221412</v>
      </c>
      <c r="C2122" s="51">
        <v>1.033</v>
      </c>
      <c r="D2122" s="51">
        <v>64.0</v>
      </c>
      <c r="E2122" s="52" t="s">
        <v>25</v>
      </c>
      <c r="F2122" s="52" t="s">
        <v>26</v>
      </c>
      <c r="G2122" s="53"/>
    </row>
    <row r="2123">
      <c r="A2123" s="49">
        <v>44534.79395866898</v>
      </c>
      <c r="B2123" s="50">
        <v>44534.9189411921</v>
      </c>
      <c r="C2123" s="51">
        <v>1.033</v>
      </c>
      <c r="D2123" s="51">
        <v>64.0</v>
      </c>
      <c r="E2123" s="52" t="s">
        <v>25</v>
      </c>
      <c r="F2123" s="52" t="s">
        <v>26</v>
      </c>
      <c r="G2123" s="53"/>
    </row>
    <row r="2124">
      <c r="A2124" s="49">
        <v>44534.80438202547</v>
      </c>
      <c r="B2124" s="50">
        <v>44534.9293626388</v>
      </c>
      <c r="C2124" s="51">
        <v>1.033</v>
      </c>
      <c r="D2124" s="51">
        <v>64.0</v>
      </c>
      <c r="E2124" s="52" t="s">
        <v>25</v>
      </c>
      <c r="F2124" s="52" t="s">
        <v>26</v>
      </c>
      <c r="G2124" s="53"/>
    </row>
    <row r="2125">
      <c r="A2125" s="49">
        <v>44534.814807118055</v>
      </c>
      <c r="B2125" s="50">
        <v>44534.939786412</v>
      </c>
      <c r="C2125" s="51">
        <v>1.033</v>
      </c>
      <c r="D2125" s="51">
        <v>64.0</v>
      </c>
      <c r="E2125" s="52" t="s">
        <v>25</v>
      </c>
      <c r="F2125" s="52" t="s">
        <v>26</v>
      </c>
      <c r="G2125" s="53"/>
    </row>
    <row r="2126">
      <c r="A2126" s="49">
        <v>44534.82525430556</v>
      </c>
      <c r="B2126" s="50">
        <v>44534.9502305092</v>
      </c>
      <c r="C2126" s="51">
        <v>1.033</v>
      </c>
      <c r="D2126" s="51">
        <v>64.0</v>
      </c>
      <c r="E2126" s="52" t="s">
        <v>25</v>
      </c>
      <c r="F2126" s="52" t="s">
        <v>26</v>
      </c>
      <c r="G2126" s="53"/>
    </row>
    <row r="2127">
      <c r="A2127" s="49">
        <v>44534.83567101852</v>
      </c>
      <c r="B2127" s="50">
        <v>44534.9606520833</v>
      </c>
      <c r="C2127" s="51">
        <v>1.033</v>
      </c>
      <c r="D2127" s="51">
        <v>64.0</v>
      </c>
      <c r="E2127" s="52" t="s">
        <v>25</v>
      </c>
      <c r="F2127" s="52" t="s">
        <v>26</v>
      </c>
      <c r="G2127" s="53"/>
    </row>
    <row r="2128">
      <c r="A2128" s="49">
        <v>44534.846110729166</v>
      </c>
      <c r="B2128" s="50">
        <v>44534.9710837615</v>
      </c>
      <c r="C2128" s="51">
        <v>1.033</v>
      </c>
      <c r="D2128" s="51">
        <v>64.0</v>
      </c>
      <c r="E2128" s="52" t="s">
        <v>25</v>
      </c>
      <c r="F2128" s="52" t="s">
        <v>26</v>
      </c>
      <c r="G2128" s="53"/>
    </row>
    <row r="2129">
      <c r="A2129" s="49">
        <v>44534.856543263886</v>
      </c>
      <c r="B2129" s="50">
        <v>44534.9815165625</v>
      </c>
      <c r="C2129" s="51">
        <v>1.033</v>
      </c>
      <c r="D2129" s="51">
        <v>64.0</v>
      </c>
      <c r="E2129" s="52" t="s">
        <v>25</v>
      </c>
      <c r="F2129" s="52" t="s">
        <v>26</v>
      </c>
      <c r="G2129" s="53"/>
    </row>
    <row r="2130">
      <c r="A2130" s="49">
        <v>44534.866963900466</v>
      </c>
      <c r="B2130" s="50">
        <v>44534.991938449</v>
      </c>
      <c r="C2130" s="51">
        <v>1.033</v>
      </c>
      <c r="D2130" s="51">
        <v>64.0</v>
      </c>
      <c r="E2130" s="52" t="s">
        <v>25</v>
      </c>
      <c r="F2130" s="52" t="s">
        <v>26</v>
      </c>
      <c r="G2130" s="53"/>
    </row>
    <row r="2131">
      <c r="A2131" s="49">
        <v>44534.87739505787</v>
      </c>
      <c r="B2131" s="50">
        <v>44535.0023731944</v>
      </c>
      <c r="C2131" s="51">
        <v>1.033</v>
      </c>
      <c r="D2131" s="51">
        <v>64.0</v>
      </c>
      <c r="E2131" s="52" t="s">
        <v>25</v>
      </c>
      <c r="F2131" s="52" t="s">
        <v>26</v>
      </c>
      <c r="G2131" s="53"/>
    </row>
    <row r="2132">
      <c r="A2132" s="49">
        <v>44534.887844108795</v>
      </c>
      <c r="B2132" s="50">
        <v>44535.0128177893</v>
      </c>
      <c r="C2132" s="51">
        <v>1.033</v>
      </c>
      <c r="D2132" s="51">
        <v>64.0</v>
      </c>
      <c r="E2132" s="52" t="s">
        <v>25</v>
      </c>
      <c r="F2132" s="52" t="s">
        <v>26</v>
      </c>
      <c r="G2132" s="53"/>
    </row>
    <row r="2133">
      <c r="A2133" s="49">
        <v>44534.89827277778</v>
      </c>
      <c r="B2133" s="50">
        <v>44535.0232501967</v>
      </c>
      <c r="C2133" s="51">
        <v>1.033</v>
      </c>
      <c r="D2133" s="51">
        <v>64.0</v>
      </c>
      <c r="E2133" s="52" t="s">
        <v>25</v>
      </c>
      <c r="F2133" s="52" t="s">
        <v>26</v>
      </c>
      <c r="G2133" s="53"/>
    </row>
    <row r="2134">
      <c r="A2134" s="49">
        <v>44534.908691944445</v>
      </c>
      <c r="B2134" s="50">
        <v>44535.0336707407</v>
      </c>
      <c r="C2134" s="51">
        <v>1.033</v>
      </c>
      <c r="D2134" s="51">
        <v>64.0</v>
      </c>
      <c r="E2134" s="52" t="s">
        <v>25</v>
      </c>
      <c r="F2134" s="52" t="s">
        <v>26</v>
      </c>
      <c r="G2134" s="53"/>
    </row>
    <row r="2135">
      <c r="A2135" s="49">
        <v>44534.91911998842</v>
      </c>
      <c r="B2135" s="50">
        <v>44535.0441022569</v>
      </c>
      <c r="C2135" s="51">
        <v>1.033</v>
      </c>
      <c r="D2135" s="51">
        <v>64.0</v>
      </c>
      <c r="E2135" s="52" t="s">
        <v>25</v>
      </c>
      <c r="F2135" s="52" t="s">
        <v>26</v>
      </c>
      <c r="G2135" s="53"/>
    </row>
    <row r="2136">
      <c r="A2136" s="49">
        <v>44534.92953837963</v>
      </c>
      <c r="B2136" s="50">
        <v>44535.0545223726</v>
      </c>
      <c r="C2136" s="51">
        <v>1.033</v>
      </c>
      <c r="D2136" s="51">
        <v>64.0</v>
      </c>
      <c r="E2136" s="52" t="s">
        <v>25</v>
      </c>
      <c r="F2136" s="52" t="s">
        <v>26</v>
      </c>
      <c r="G2136" s="53"/>
    </row>
    <row r="2137">
      <c r="A2137" s="49">
        <v>44534.93996767361</v>
      </c>
      <c r="B2137" s="50">
        <v>44535.0649446759</v>
      </c>
      <c r="C2137" s="51">
        <v>1.033</v>
      </c>
      <c r="D2137" s="51">
        <v>64.0</v>
      </c>
      <c r="E2137" s="52" t="s">
        <v>25</v>
      </c>
      <c r="F2137" s="52" t="s">
        <v>26</v>
      </c>
      <c r="G2137" s="53"/>
    </row>
    <row r="2138">
      <c r="A2138" s="49">
        <v>44534.950401967595</v>
      </c>
      <c r="B2138" s="50">
        <v>44535.0753774421</v>
      </c>
      <c r="C2138" s="51">
        <v>1.033</v>
      </c>
      <c r="D2138" s="51">
        <v>64.0</v>
      </c>
      <c r="E2138" s="52" t="s">
        <v>25</v>
      </c>
      <c r="F2138" s="52" t="s">
        <v>26</v>
      </c>
      <c r="G2138" s="53"/>
    </row>
    <row r="2139">
      <c r="A2139" s="49">
        <v>44534.96081917824</v>
      </c>
      <c r="B2139" s="50">
        <v>44535.0857995023</v>
      </c>
      <c r="C2139" s="51">
        <v>1.033</v>
      </c>
      <c r="D2139" s="51">
        <v>64.0</v>
      </c>
      <c r="E2139" s="52" t="s">
        <v>25</v>
      </c>
      <c r="F2139" s="52" t="s">
        <v>26</v>
      </c>
      <c r="G2139" s="53"/>
    </row>
    <row r="2140">
      <c r="A2140" s="49">
        <v>44534.97123596065</v>
      </c>
      <c r="B2140" s="50">
        <v>44535.0962213888</v>
      </c>
      <c r="C2140" s="51">
        <v>1.033</v>
      </c>
      <c r="D2140" s="51">
        <v>64.0</v>
      </c>
      <c r="E2140" s="52" t="s">
        <v>25</v>
      </c>
      <c r="F2140" s="52" t="s">
        <v>26</v>
      </c>
      <c r="G2140" s="53"/>
    </row>
    <row r="2141">
      <c r="A2141" s="49">
        <v>44534.981675636576</v>
      </c>
      <c r="B2141" s="50">
        <v>44535.1066542245</v>
      </c>
      <c r="C2141" s="51">
        <v>1.033</v>
      </c>
      <c r="D2141" s="51">
        <v>64.0</v>
      </c>
      <c r="E2141" s="52" t="s">
        <v>25</v>
      </c>
      <c r="F2141" s="52" t="s">
        <v>26</v>
      </c>
      <c r="G2141" s="53"/>
    </row>
    <row r="2142">
      <c r="A2142" s="49">
        <v>44534.99210693287</v>
      </c>
      <c r="B2142" s="50">
        <v>44535.1170868402</v>
      </c>
      <c r="C2142" s="51">
        <v>1.033</v>
      </c>
      <c r="D2142" s="51">
        <v>64.0</v>
      </c>
      <c r="E2142" s="52" t="s">
        <v>25</v>
      </c>
      <c r="F2142" s="52" t="s">
        <v>26</v>
      </c>
      <c r="G2142" s="53"/>
    </row>
    <row r="2143">
      <c r="A2143" s="49">
        <v>44535.00255902778</v>
      </c>
      <c r="B2143" s="50">
        <v>44535.1275422222</v>
      </c>
      <c r="C2143" s="51">
        <v>1.033</v>
      </c>
      <c r="D2143" s="51">
        <v>64.0</v>
      </c>
      <c r="E2143" s="52" t="s">
        <v>25</v>
      </c>
      <c r="F2143" s="52" t="s">
        <v>26</v>
      </c>
      <c r="G2143" s="53"/>
    </row>
    <row r="2144">
      <c r="A2144" s="49">
        <v>44535.01302209491</v>
      </c>
      <c r="B2144" s="50">
        <v>44535.1379991319</v>
      </c>
      <c r="C2144" s="51">
        <v>1.033</v>
      </c>
      <c r="D2144" s="51">
        <v>64.0</v>
      </c>
      <c r="E2144" s="52" t="s">
        <v>25</v>
      </c>
      <c r="F2144" s="52" t="s">
        <v>26</v>
      </c>
      <c r="G2144" s="53"/>
    </row>
    <row r="2145">
      <c r="A2145" s="49">
        <v>44535.0234559838</v>
      </c>
      <c r="B2145" s="50">
        <v>44535.1484313194</v>
      </c>
      <c r="C2145" s="51">
        <v>1.033</v>
      </c>
      <c r="D2145" s="51">
        <v>64.0</v>
      </c>
      <c r="E2145" s="52" t="s">
        <v>25</v>
      </c>
      <c r="F2145" s="52" t="s">
        <v>26</v>
      </c>
      <c r="G2145" s="53"/>
    </row>
    <row r="2146">
      <c r="A2146" s="49">
        <v>44535.033869074075</v>
      </c>
      <c r="B2146" s="50">
        <v>44535.158852905</v>
      </c>
      <c r="C2146" s="51">
        <v>1.033</v>
      </c>
      <c r="D2146" s="51">
        <v>64.0</v>
      </c>
      <c r="E2146" s="52" t="s">
        <v>25</v>
      </c>
      <c r="F2146" s="52" t="s">
        <v>26</v>
      </c>
      <c r="G2146" s="53"/>
    </row>
    <row r="2147">
      <c r="A2147" s="49">
        <v>44535.04430761574</v>
      </c>
      <c r="B2147" s="50">
        <v>44535.1692842476</v>
      </c>
      <c r="C2147" s="51">
        <v>1.033</v>
      </c>
      <c r="D2147" s="51">
        <v>64.0</v>
      </c>
      <c r="E2147" s="52" t="s">
        <v>25</v>
      </c>
      <c r="F2147" s="52" t="s">
        <v>26</v>
      </c>
      <c r="G2147" s="53"/>
    </row>
    <row r="2148">
      <c r="A2148" s="49">
        <v>44535.05473105324</v>
      </c>
      <c r="B2148" s="50">
        <v>44535.1797053472</v>
      </c>
      <c r="C2148" s="51">
        <v>1.033</v>
      </c>
      <c r="D2148" s="51">
        <v>64.0</v>
      </c>
      <c r="E2148" s="52" t="s">
        <v>25</v>
      </c>
      <c r="F2148" s="52" t="s">
        <v>26</v>
      </c>
      <c r="G2148" s="53"/>
    </row>
    <row r="2149">
      <c r="A2149" s="49">
        <v>44535.065154375</v>
      </c>
      <c r="B2149" s="50">
        <v>44535.1901255787</v>
      </c>
      <c r="C2149" s="51">
        <v>1.033</v>
      </c>
      <c r="D2149" s="51">
        <v>64.0</v>
      </c>
      <c r="E2149" s="52" t="s">
        <v>25</v>
      </c>
      <c r="F2149" s="52" t="s">
        <v>26</v>
      </c>
      <c r="G2149" s="53"/>
    </row>
    <row r="2150">
      <c r="A2150" s="49">
        <v>44535.07558795139</v>
      </c>
      <c r="B2150" s="50">
        <v>44535.2005596412</v>
      </c>
      <c r="C2150" s="51">
        <v>1.032</v>
      </c>
      <c r="D2150" s="51">
        <v>64.0</v>
      </c>
      <c r="E2150" s="52" t="s">
        <v>25</v>
      </c>
      <c r="F2150" s="52" t="s">
        <v>26</v>
      </c>
      <c r="G2150" s="53"/>
    </row>
    <row r="2151">
      <c r="A2151" s="49">
        <v>44535.08602081018</v>
      </c>
      <c r="B2151" s="50">
        <v>44535.2109931597</v>
      </c>
      <c r="C2151" s="51">
        <v>1.032</v>
      </c>
      <c r="D2151" s="51">
        <v>64.0</v>
      </c>
      <c r="E2151" s="52" t="s">
        <v>25</v>
      </c>
      <c r="F2151" s="52" t="s">
        <v>26</v>
      </c>
      <c r="G2151" s="53"/>
    </row>
    <row r="2152">
      <c r="A2152" s="49">
        <v>44535.09644392361</v>
      </c>
      <c r="B2152" s="50">
        <v>44535.2214237847</v>
      </c>
      <c r="C2152" s="51">
        <v>1.032</v>
      </c>
      <c r="D2152" s="51">
        <v>64.0</v>
      </c>
      <c r="E2152" s="52" t="s">
        <v>25</v>
      </c>
      <c r="F2152" s="52" t="s">
        <v>26</v>
      </c>
      <c r="G2152" s="53"/>
    </row>
    <row r="2153">
      <c r="A2153" s="49">
        <v>44535.10686325232</v>
      </c>
      <c r="B2153" s="50">
        <v>44535.2318446643</v>
      </c>
      <c r="C2153" s="51">
        <v>1.032</v>
      </c>
      <c r="D2153" s="51">
        <v>64.0</v>
      </c>
      <c r="E2153" s="52" t="s">
        <v>25</v>
      </c>
      <c r="F2153" s="52" t="s">
        <v>26</v>
      </c>
      <c r="G2153" s="53"/>
    </row>
    <row r="2154">
      <c r="A2154" s="49">
        <v>44535.117282499996</v>
      </c>
      <c r="B2154" s="50">
        <v>44535.2422655787</v>
      </c>
      <c r="C2154" s="51">
        <v>1.033</v>
      </c>
      <c r="D2154" s="51">
        <v>64.0</v>
      </c>
      <c r="E2154" s="52" t="s">
        <v>25</v>
      </c>
      <c r="F2154" s="52" t="s">
        <v>26</v>
      </c>
      <c r="G2154" s="53"/>
    </row>
    <row r="2155">
      <c r="A2155" s="49">
        <v>44535.12770791667</v>
      </c>
      <c r="B2155" s="50">
        <v>44535.252688287</v>
      </c>
      <c r="C2155" s="51">
        <v>1.032</v>
      </c>
      <c r="D2155" s="51">
        <v>64.0</v>
      </c>
      <c r="E2155" s="52" t="s">
        <v>25</v>
      </c>
      <c r="F2155" s="52" t="s">
        <v>26</v>
      </c>
      <c r="G2155" s="53"/>
    </row>
    <row r="2156">
      <c r="A2156" s="49">
        <v>44535.138128506944</v>
      </c>
      <c r="B2156" s="50">
        <v>44535.2631112962</v>
      </c>
      <c r="C2156" s="51">
        <v>1.032</v>
      </c>
      <c r="D2156" s="51">
        <v>64.0</v>
      </c>
      <c r="E2156" s="52" t="s">
        <v>25</v>
      </c>
      <c r="F2156" s="52" t="s">
        <v>26</v>
      </c>
      <c r="G2156" s="53"/>
    </row>
    <row r="2157">
      <c r="A2157" s="49">
        <v>44535.148562222224</v>
      </c>
      <c r="B2157" s="50">
        <v>44535.2735325231</v>
      </c>
      <c r="C2157" s="51">
        <v>1.032</v>
      </c>
      <c r="D2157" s="51">
        <v>64.0</v>
      </c>
      <c r="E2157" s="52" t="s">
        <v>25</v>
      </c>
      <c r="F2157" s="52" t="s">
        <v>26</v>
      </c>
      <c r="G2157" s="53"/>
    </row>
    <row r="2158">
      <c r="A2158" s="49">
        <v>44535.158992453704</v>
      </c>
      <c r="B2158" s="50">
        <v>44535.2839663194</v>
      </c>
      <c r="C2158" s="51">
        <v>1.033</v>
      </c>
      <c r="D2158" s="51">
        <v>64.0</v>
      </c>
      <c r="E2158" s="52" t="s">
        <v>25</v>
      </c>
      <c r="F2158" s="52" t="s">
        <v>26</v>
      </c>
      <c r="G2158" s="53"/>
    </row>
    <row r="2159">
      <c r="A2159" s="49">
        <v>44535.16941598379</v>
      </c>
      <c r="B2159" s="50">
        <v>44535.2943884143</v>
      </c>
      <c r="C2159" s="51">
        <v>1.032</v>
      </c>
      <c r="D2159" s="51">
        <v>64.0</v>
      </c>
      <c r="E2159" s="52" t="s">
        <v>25</v>
      </c>
      <c r="F2159" s="52" t="s">
        <v>26</v>
      </c>
      <c r="G2159" s="53"/>
    </row>
    <row r="2160">
      <c r="A2160" s="49">
        <v>44535.17985019676</v>
      </c>
      <c r="B2160" s="50">
        <v>44535.304820324</v>
      </c>
      <c r="C2160" s="51">
        <v>1.032</v>
      </c>
      <c r="D2160" s="51">
        <v>64.0</v>
      </c>
      <c r="E2160" s="52" t="s">
        <v>25</v>
      </c>
      <c r="F2160" s="52" t="s">
        <v>26</v>
      </c>
      <c r="G2160" s="53"/>
    </row>
    <row r="2161">
      <c r="A2161" s="49">
        <v>44535.19026549769</v>
      </c>
      <c r="B2161" s="50">
        <v>44535.3152426851</v>
      </c>
      <c r="C2161" s="51">
        <v>1.032</v>
      </c>
      <c r="D2161" s="51">
        <v>64.0</v>
      </c>
      <c r="E2161" s="52" t="s">
        <v>25</v>
      </c>
      <c r="F2161" s="52" t="s">
        <v>26</v>
      </c>
      <c r="G2161" s="53"/>
    </row>
    <row r="2162">
      <c r="A2162" s="49">
        <v>44535.20068700232</v>
      </c>
      <c r="B2162" s="50">
        <v>44535.3256640162</v>
      </c>
      <c r="C2162" s="51">
        <v>1.032</v>
      </c>
      <c r="D2162" s="51">
        <v>64.0</v>
      </c>
      <c r="E2162" s="52" t="s">
        <v>25</v>
      </c>
      <c r="F2162" s="52" t="s">
        <v>26</v>
      </c>
      <c r="G2162" s="53"/>
    </row>
    <row r="2163">
      <c r="A2163" s="49">
        <v>44535.21111747685</v>
      </c>
      <c r="B2163" s="50">
        <v>44535.3360978009</v>
      </c>
      <c r="C2163" s="51">
        <v>1.032</v>
      </c>
      <c r="D2163" s="51">
        <v>64.0</v>
      </c>
      <c r="E2163" s="52" t="s">
        <v>25</v>
      </c>
      <c r="F2163" s="52" t="s">
        <v>26</v>
      </c>
      <c r="G2163" s="53"/>
    </row>
    <row r="2164">
      <c r="A2164" s="49">
        <v>44535.22155894676</v>
      </c>
      <c r="B2164" s="50">
        <v>44535.3465323032</v>
      </c>
      <c r="C2164" s="51">
        <v>1.032</v>
      </c>
      <c r="D2164" s="51">
        <v>64.0</v>
      </c>
      <c r="E2164" s="52" t="s">
        <v>25</v>
      </c>
      <c r="F2164" s="52" t="s">
        <v>26</v>
      </c>
      <c r="G2164" s="53"/>
    </row>
    <row r="2165">
      <c r="A2165" s="49">
        <v>44535.231988831016</v>
      </c>
      <c r="B2165" s="50">
        <v>44535.356963993</v>
      </c>
      <c r="C2165" s="51">
        <v>1.032</v>
      </c>
      <c r="D2165" s="51">
        <v>64.0</v>
      </c>
      <c r="E2165" s="52" t="s">
        <v>25</v>
      </c>
      <c r="F2165" s="52" t="s">
        <v>26</v>
      </c>
      <c r="G2165" s="53"/>
    </row>
    <row r="2166">
      <c r="A2166" s="49">
        <v>44535.24240413195</v>
      </c>
      <c r="B2166" s="50">
        <v>44535.3673834837</v>
      </c>
      <c r="C2166" s="51">
        <v>1.032</v>
      </c>
      <c r="D2166" s="51">
        <v>64.0</v>
      </c>
      <c r="E2166" s="52" t="s">
        <v>25</v>
      </c>
      <c r="F2166" s="52" t="s">
        <v>26</v>
      </c>
      <c r="G2166" s="53"/>
    </row>
    <row r="2167">
      <c r="A2167" s="49">
        <v>44535.252821319446</v>
      </c>
      <c r="B2167" s="50">
        <v>44535.3778037268</v>
      </c>
      <c r="C2167" s="51">
        <v>1.032</v>
      </c>
      <c r="D2167" s="51">
        <v>64.0</v>
      </c>
      <c r="E2167" s="52" t="s">
        <v>25</v>
      </c>
      <c r="F2167" s="52" t="s">
        <v>26</v>
      </c>
      <c r="G2167" s="53"/>
    </row>
    <row r="2168">
      <c r="A2168" s="49">
        <v>44535.263273993056</v>
      </c>
      <c r="B2168" s="50">
        <v>44535.3882481712</v>
      </c>
      <c r="C2168" s="51">
        <v>1.032</v>
      </c>
      <c r="D2168" s="51">
        <v>64.0</v>
      </c>
      <c r="E2168" s="52" t="s">
        <v>25</v>
      </c>
      <c r="F2168" s="52" t="s">
        <v>26</v>
      </c>
      <c r="G2168" s="53"/>
    </row>
    <row r="2169">
      <c r="A2169" s="49">
        <v>44535.27369140046</v>
      </c>
      <c r="B2169" s="50">
        <v>44535.3986694444</v>
      </c>
      <c r="C2169" s="51">
        <v>1.032</v>
      </c>
      <c r="D2169" s="51">
        <v>64.0</v>
      </c>
      <c r="E2169" s="52" t="s">
        <v>25</v>
      </c>
      <c r="F2169" s="52" t="s">
        <v>26</v>
      </c>
      <c r="G2169" s="53"/>
    </row>
    <row r="2170">
      <c r="A2170" s="49">
        <v>44535.284107569445</v>
      </c>
      <c r="B2170" s="50">
        <v>44535.409089456</v>
      </c>
      <c r="C2170" s="51">
        <v>1.032</v>
      </c>
      <c r="D2170" s="51">
        <v>64.0</v>
      </c>
      <c r="E2170" s="52" t="s">
        <v>25</v>
      </c>
      <c r="F2170" s="52" t="s">
        <v>26</v>
      </c>
      <c r="G2170" s="53"/>
    </row>
    <row r="2171">
      <c r="A2171" s="49">
        <v>44535.29452835648</v>
      </c>
      <c r="B2171" s="50">
        <v>44535.419510949</v>
      </c>
      <c r="C2171" s="51">
        <v>1.032</v>
      </c>
      <c r="D2171" s="51">
        <v>64.0</v>
      </c>
      <c r="E2171" s="52" t="s">
        <v>25</v>
      </c>
      <c r="F2171" s="52" t="s">
        <v>26</v>
      </c>
      <c r="G2171" s="53"/>
    </row>
    <row r="2172">
      <c r="A2172" s="49">
        <v>44535.304975127314</v>
      </c>
      <c r="B2172" s="50">
        <v>44535.4299440393</v>
      </c>
      <c r="C2172" s="51">
        <v>1.032</v>
      </c>
      <c r="D2172" s="51">
        <v>64.0</v>
      </c>
      <c r="E2172" s="52" t="s">
        <v>25</v>
      </c>
      <c r="F2172" s="52" t="s">
        <v>26</v>
      </c>
      <c r="G2172" s="53"/>
    </row>
    <row r="2173">
      <c r="A2173" s="49">
        <v>44535.31539717593</v>
      </c>
      <c r="B2173" s="50">
        <v>44535.4403771643</v>
      </c>
      <c r="C2173" s="51">
        <v>1.032</v>
      </c>
      <c r="D2173" s="51">
        <v>64.0</v>
      </c>
      <c r="E2173" s="52" t="s">
        <v>25</v>
      </c>
      <c r="F2173" s="52" t="s">
        <v>26</v>
      </c>
      <c r="G2173" s="53"/>
    </row>
    <row r="2174">
      <c r="A2174" s="49">
        <v>44535.32583233796</v>
      </c>
      <c r="B2174" s="50">
        <v>44535.4508106018</v>
      </c>
      <c r="C2174" s="51">
        <v>1.032</v>
      </c>
      <c r="D2174" s="51">
        <v>64.0</v>
      </c>
      <c r="E2174" s="52" t="s">
        <v>25</v>
      </c>
      <c r="F2174" s="52" t="s">
        <v>26</v>
      </c>
      <c r="G2174" s="53"/>
    </row>
    <row r="2175">
      <c r="A2175" s="49">
        <v>44535.33625766204</v>
      </c>
      <c r="B2175" s="50">
        <v>44535.4612312037</v>
      </c>
      <c r="C2175" s="51">
        <v>1.032</v>
      </c>
      <c r="D2175" s="51">
        <v>64.0</v>
      </c>
      <c r="E2175" s="52" t="s">
        <v>25</v>
      </c>
      <c r="F2175" s="52" t="s">
        <v>26</v>
      </c>
      <c r="G2175" s="53"/>
    </row>
    <row r="2176">
      <c r="A2176" s="49">
        <v>44535.346688391204</v>
      </c>
      <c r="B2176" s="50">
        <v>44535.4716639351</v>
      </c>
      <c r="C2176" s="51">
        <v>1.032</v>
      </c>
      <c r="D2176" s="51">
        <v>64.0</v>
      </c>
      <c r="E2176" s="52" t="s">
        <v>25</v>
      </c>
      <c r="F2176" s="52" t="s">
        <v>26</v>
      </c>
      <c r="G2176" s="53"/>
    </row>
    <row r="2177">
      <c r="A2177" s="49">
        <v>44535.35710255787</v>
      </c>
      <c r="B2177" s="50">
        <v>44535.4820854861</v>
      </c>
      <c r="C2177" s="51">
        <v>1.032</v>
      </c>
      <c r="D2177" s="51">
        <v>64.0</v>
      </c>
      <c r="E2177" s="52" t="s">
        <v>25</v>
      </c>
      <c r="F2177" s="52" t="s">
        <v>26</v>
      </c>
      <c r="G2177" s="53"/>
    </row>
    <row r="2178">
      <c r="A2178" s="49">
        <v>44535.36752021991</v>
      </c>
      <c r="B2178" s="50">
        <v>44535.4925044791</v>
      </c>
      <c r="C2178" s="51">
        <v>1.032</v>
      </c>
      <c r="D2178" s="51">
        <v>64.0</v>
      </c>
      <c r="E2178" s="52" t="s">
        <v>25</v>
      </c>
      <c r="F2178" s="52" t="s">
        <v>26</v>
      </c>
      <c r="G2178" s="53"/>
    </row>
    <row r="2179">
      <c r="A2179" s="49">
        <v>44535.3779678125</v>
      </c>
      <c r="B2179" s="50">
        <v>44535.5029382407</v>
      </c>
      <c r="C2179" s="51">
        <v>1.032</v>
      </c>
      <c r="D2179" s="51">
        <v>64.0</v>
      </c>
      <c r="E2179" s="52" t="s">
        <v>25</v>
      </c>
      <c r="F2179" s="52" t="s">
        <v>26</v>
      </c>
      <c r="G2179" s="53"/>
    </row>
    <row r="2180">
      <c r="A2180" s="49">
        <v>44535.388401435186</v>
      </c>
      <c r="B2180" s="50">
        <v>44535.5133837152</v>
      </c>
      <c r="C2180" s="51">
        <v>1.032</v>
      </c>
      <c r="D2180" s="51">
        <v>64.0</v>
      </c>
      <c r="E2180" s="52" t="s">
        <v>25</v>
      </c>
      <c r="F2180" s="52" t="s">
        <v>26</v>
      </c>
      <c r="G2180" s="53"/>
    </row>
    <row r="2181">
      <c r="A2181" s="49">
        <v>44535.39882263889</v>
      </c>
      <c r="B2181" s="50">
        <v>44535.5238047338</v>
      </c>
      <c r="C2181" s="51">
        <v>1.032</v>
      </c>
      <c r="D2181" s="51">
        <v>64.0</v>
      </c>
      <c r="E2181" s="52" t="s">
        <v>25</v>
      </c>
      <c r="F2181" s="52" t="s">
        <v>26</v>
      </c>
      <c r="G2181" s="53"/>
    </row>
    <row r="2182">
      <c r="A2182" s="49">
        <v>44535.40925118055</v>
      </c>
      <c r="B2182" s="50">
        <v>44535.534225868</v>
      </c>
      <c r="C2182" s="51">
        <v>1.032</v>
      </c>
      <c r="D2182" s="51">
        <v>64.0</v>
      </c>
      <c r="E2182" s="52" t="s">
        <v>25</v>
      </c>
      <c r="F2182" s="52" t="s">
        <v>26</v>
      </c>
      <c r="G2182" s="53"/>
    </row>
    <row r="2183">
      <c r="A2183" s="49">
        <v>44535.41968042824</v>
      </c>
      <c r="B2183" s="50">
        <v>44535.5446584143</v>
      </c>
      <c r="C2183" s="51">
        <v>1.032</v>
      </c>
      <c r="D2183" s="51">
        <v>64.0</v>
      </c>
      <c r="E2183" s="52" t="s">
        <v>25</v>
      </c>
      <c r="F2183" s="52" t="s">
        <v>26</v>
      </c>
      <c r="G2183" s="53"/>
    </row>
    <row r="2184">
      <c r="A2184" s="49">
        <v>44535.43011255787</v>
      </c>
      <c r="B2184" s="50">
        <v>44535.5550912615</v>
      </c>
      <c r="C2184" s="51">
        <v>1.032</v>
      </c>
      <c r="D2184" s="51">
        <v>64.0</v>
      </c>
      <c r="E2184" s="52" t="s">
        <v>25</v>
      </c>
      <c r="F2184" s="52" t="s">
        <v>26</v>
      </c>
      <c r="G2184" s="53"/>
    </row>
    <row r="2185">
      <c r="A2185" s="49">
        <v>44535.44053337963</v>
      </c>
      <c r="B2185" s="50">
        <v>44535.5655131018</v>
      </c>
      <c r="C2185" s="51">
        <v>1.032</v>
      </c>
      <c r="D2185" s="51">
        <v>64.0</v>
      </c>
      <c r="E2185" s="52" t="s">
        <v>25</v>
      </c>
      <c r="F2185" s="52" t="s">
        <v>26</v>
      </c>
      <c r="G2185" s="53"/>
    </row>
    <row r="2186">
      <c r="A2186" s="49">
        <v>44535.45096383102</v>
      </c>
      <c r="B2186" s="50">
        <v>44535.5759461805</v>
      </c>
      <c r="C2186" s="51">
        <v>1.032</v>
      </c>
      <c r="D2186" s="51">
        <v>64.0</v>
      </c>
      <c r="E2186" s="52" t="s">
        <v>25</v>
      </c>
      <c r="F2186" s="52" t="s">
        <v>26</v>
      </c>
      <c r="G2186" s="53"/>
    </row>
    <row r="2187">
      <c r="A2187" s="49">
        <v>44535.46139359954</v>
      </c>
      <c r="B2187" s="50">
        <v>44535.5863687847</v>
      </c>
      <c r="C2187" s="51">
        <v>1.032</v>
      </c>
      <c r="D2187" s="51">
        <v>64.0</v>
      </c>
      <c r="E2187" s="52" t="s">
        <v>25</v>
      </c>
      <c r="F2187" s="52" t="s">
        <v>26</v>
      </c>
      <c r="G2187" s="53"/>
    </row>
    <row r="2188">
      <c r="A2188" s="49">
        <v>44535.471833194446</v>
      </c>
      <c r="B2188" s="50">
        <v>44535.5968138194</v>
      </c>
      <c r="C2188" s="51">
        <v>1.032</v>
      </c>
      <c r="D2188" s="51">
        <v>64.0</v>
      </c>
      <c r="E2188" s="52" t="s">
        <v>25</v>
      </c>
      <c r="F2188" s="52" t="s">
        <v>26</v>
      </c>
      <c r="G2188" s="53"/>
    </row>
    <row r="2189">
      <c r="A2189" s="49">
        <v>44535.482250636574</v>
      </c>
      <c r="B2189" s="50">
        <v>44535.6072353587</v>
      </c>
      <c r="C2189" s="51">
        <v>1.032</v>
      </c>
      <c r="D2189" s="51">
        <v>64.0</v>
      </c>
      <c r="E2189" s="52" t="s">
        <v>25</v>
      </c>
      <c r="F2189" s="52" t="s">
        <v>26</v>
      </c>
      <c r="G2189" s="53"/>
    </row>
    <row r="2190">
      <c r="A2190" s="49">
        <v>44535.49268253472</v>
      </c>
      <c r="B2190" s="50">
        <v>44535.6176558796</v>
      </c>
      <c r="C2190" s="51">
        <v>1.032</v>
      </c>
      <c r="D2190" s="51">
        <v>64.0</v>
      </c>
      <c r="E2190" s="52" t="s">
        <v>25</v>
      </c>
      <c r="F2190" s="52" t="s">
        <v>26</v>
      </c>
      <c r="G2190" s="53"/>
    </row>
    <row r="2191">
      <c r="A2191" s="49">
        <v>44535.50311340278</v>
      </c>
      <c r="B2191" s="50">
        <v>44535.6280750578</v>
      </c>
      <c r="C2191" s="51">
        <v>1.032</v>
      </c>
      <c r="D2191" s="51">
        <v>64.0</v>
      </c>
      <c r="E2191" s="52" t="s">
        <v>25</v>
      </c>
      <c r="F2191" s="52" t="s">
        <v>26</v>
      </c>
      <c r="G2191" s="53"/>
    </row>
    <row r="2192">
      <c r="A2192" s="49">
        <v>44535.51351653935</v>
      </c>
      <c r="B2192" s="50">
        <v>44535.6384941087</v>
      </c>
      <c r="C2192" s="51">
        <v>1.032</v>
      </c>
      <c r="D2192" s="51">
        <v>64.0</v>
      </c>
      <c r="E2192" s="52" t="s">
        <v>25</v>
      </c>
      <c r="F2192" s="52" t="s">
        <v>26</v>
      </c>
      <c r="G2192" s="53"/>
    </row>
    <row r="2193">
      <c r="A2193" s="49">
        <v>44535.5239465162</v>
      </c>
      <c r="B2193" s="50">
        <v>44535.6489265046</v>
      </c>
      <c r="C2193" s="51">
        <v>1.032</v>
      </c>
      <c r="D2193" s="51">
        <v>64.0</v>
      </c>
      <c r="E2193" s="52" t="s">
        <v>25</v>
      </c>
      <c r="F2193" s="52" t="s">
        <v>26</v>
      </c>
      <c r="G2193" s="53"/>
    </row>
    <row r="2194">
      <c r="A2194" s="49">
        <v>44535.53436976852</v>
      </c>
      <c r="B2194" s="50">
        <v>44535.6593482523</v>
      </c>
      <c r="C2194" s="51">
        <v>1.032</v>
      </c>
      <c r="D2194" s="51">
        <v>64.0</v>
      </c>
      <c r="E2194" s="52" t="s">
        <v>25</v>
      </c>
      <c r="F2194" s="52" t="s">
        <v>26</v>
      </c>
      <c r="G2194" s="53"/>
    </row>
    <row r="2195">
      <c r="A2195" s="49">
        <v>44535.54479013889</v>
      </c>
      <c r="B2195" s="50">
        <v>44535.6697714004</v>
      </c>
      <c r="C2195" s="51">
        <v>1.032</v>
      </c>
      <c r="D2195" s="51">
        <v>64.0</v>
      </c>
      <c r="E2195" s="52" t="s">
        <v>25</v>
      </c>
      <c r="F2195" s="52" t="s">
        <v>26</v>
      </c>
      <c r="G2195" s="53"/>
    </row>
    <row r="2196">
      <c r="A2196" s="49">
        <v>44535.55521215277</v>
      </c>
      <c r="B2196" s="50">
        <v>44535.6801936111</v>
      </c>
      <c r="C2196" s="51">
        <v>1.032</v>
      </c>
      <c r="D2196" s="51">
        <v>64.0</v>
      </c>
      <c r="E2196" s="52" t="s">
        <v>25</v>
      </c>
      <c r="F2196" s="52" t="s">
        <v>26</v>
      </c>
      <c r="G2196" s="53"/>
    </row>
    <row r="2197">
      <c r="A2197" s="49">
        <v>44535.56564170139</v>
      </c>
      <c r="B2197" s="50">
        <v>44535.6906147106</v>
      </c>
      <c r="C2197" s="51">
        <v>1.032</v>
      </c>
      <c r="D2197" s="51">
        <v>64.0</v>
      </c>
      <c r="E2197" s="52" t="s">
        <v>25</v>
      </c>
      <c r="F2197" s="52" t="s">
        <v>26</v>
      </c>
      <c r="G2197" s="53"/>
    </row>
    <row r="2198">
      <c r="A2198" s="49">
        <v>44535.57605953704</v>
      </c>
      <c r="B2198" s="50">
        <v>44535.7010342592</v>
      </c>
      <c r="C2198" s="51">
        <v>1.032</v>
      </c>
      <c r="D2198" s="51">
        <v>64.0</v>
      </c>
      <c r="E2198" s="52" t="s">
        <v>25</v>
      </c>
      <c r="F2198" s="52" t="s">
        <v>26</v>
      </c>
      <c r="G2198" s="53"/>
    </row>
    <row r="2199">
      <c r="A2199" s="49">
        <v>44535.58647891204</v>
      </c>
      <c r="B2199" s="50">
        <v>44535.711455162</v>
      </c>
      <c r="C2199" s="51">
        <v>1.032</v>
      </c>
      <c r="D2199" s="51">
        <v>64.0</v>
      </c>
      <c r="E2199" s="52" t="s">
        <v>25</v>
      </c>
      <c r="F2199" s="52" t="s">
        <v>26</v>
      </c>
      <c r="G2199" s="53"/>
    </row>
    <row r="2200">
      <c r="A2200" s="49">
        <v>44535.59691115741</v>
      </c>
      <c r="B2200" s="50">
        <v>44535.7218861689</v>
      </c>
      <c r="C2200" s="51">
        <v>1.032</v>
      </c>
      <c r="D2200" s="51">
        <v>64.0</v>
      </c>
      <c r="E2200" s="52" t="s">
        <v>25</v>
      </c>
      <c r="F2200" s="52" t="s">
        <v>26</v>
      </c>
      <c r="G2200" s="53"/>
    </row>
    <row r="2201">
      <c r="A2201" s="49">
        <v>44535.60732309028</v>
      </c>
      <c r="B2201" s="50">
        <v>44535.73230625</v>
      </c>
      <c r="C2201" s="51">
        <v>1.032</v>
      </c>
      <c r="D2201" s="51">
        <v>64.0</v>
      </c>
      <c r="E2201" s="52" t="s">
        <v>25</v>
      </c>
      <c r="F2201" s="52" t="s">
        <v>26</v>
      </c>
      <c r="G2201" s="53"/>
    </row>
    <row r="2202">
      <c r="A2202" s="49">
        <v>44535.61775957176</v>
      </c>
      <c r="B2202" s="50">
        <v>44535.7427389814</v>
      </c>
      <c r="C2202" s="51">
        <v>1.032</v>
      </c>
      <c r="D2202" s="51">
        <v>64.0</v>
      </c>
      <c r="E2202" s="52" t="s">
        <v>25</v>
      </c>
      <c r="F2202" s="52" t="s">
        <v>26</v>
      </c>
      <c r="G2202" s="53"/>
    </row>
    <row r="2203">
      <c r="A2203" s="49">
        <v>44535.62818193287</v>
      </c>
      <c r="B2203" s="50">
        <v>44535.7531606134</v>
      </c>
      <c r="C2203" s="51">
        <v>1.032</v>
      </c>
      <c r="D2203" s="51">
        <v>64.0</v>
      </c>
      <c r="E2203" s="52" t="s">
        <v>25</v>
      </c>
      <c r="F2203" s="52" t="s">
        <v>26</v>
      </c>
      <c r="G2203" s="53"/>
    </row>
    <row r="2204">
      <c r="A2204" s="49">
        <v>44535.63860576389</v>
      </c>
      <c r="B2204" s="50">
        <v>44535.7635831018</v>
      </c>
      <c r="C2204" s="51">
        <v>1.032</v>
      </c>
      <c r="D2204" s="51">
        <v>64.0</v>
      </c>
      <c r="E2204" s="52" t="s">
        <v>25</v>
      </c>
      <c r="F2204" s="52" t="s">
        <v>26</v>
      </c>
      <c r="G2204" s="53"/>
    </row>
    <row r="2205">
      <c r="A2205" s="49">
        <v>44535.64904369213</v>
      </c>
      <c r="B2205" s="50">
        <v>44535.7740171412</v>
      </c>
      <c r="C2205" s="51">
        <v>1.032</v>
      </c>
      <c r="D2205" s="51">
        <v>64.0</v>
      </c>
      <c r="E2205" s="52" t="s">
        <v>25</v>
      </c>
      <c r="F2205" s="52" t="s">
        <v>26</v>
      </c>
      <c r="G2205" s="53"/>
    </row>
    <row r="2206">
      <c r="A2206" s="49">
        <v>44535.65947032407</v>
      </c>
      <c r="B2206" s="50">
        <v>44535.7844485069</v>
      </c>
      <c r="C2206" s="51">
        <v>1.032</v>
      </c>
      <c r="D2206" s="51">
        <v>64.0</v>
      </c>
      <c r="E2206" s="52" t="s">
        <v>25</v>
      </c>
      <c r="F2206" s="52" t="s">
        <v>26</v>
      </c>
      <c r="G2206" s="53"/>
    </row>
    <row r="2207">
      <c r="A2207" s="49">
        <v>44535.669905601855</v>
      </c>
      <c r="B2207" s="50">
        <v>44535.7948819444</v>
      </c>
      <c r="C2207" s="51">
        <v>1.032</v>
      </c>
      <c r="D2207" s="51">
        <v>64.0</v>
      </c>
      <c r="E2207" s="52" t="s">
        <v>25</v>
      </c>
      <c r="F2207" s="52" t="s">
        <v>26</v>
      </c>
      <c r="G2207" s="53"/>
    </row>
    <row r="2208">
      <c r="A2208" s="49">
        <v>44535.68032508102</v>
      </c>
      <c r="B2208" s="50">
        <v>44535.805302037</v>
      </c>
      <c r="C2208" s="51">
        <v>1.032</v>
      </c>
      <c r="D2208" s="51">
        <v>64.0</v>
      </c>
      <c r="E2208" s="52" t="s">
        <v>25</v>
      </c>
      <c r="F2208" s="52" t="s">
        <v>26</v>
      </c>
      <c r="G2208" s="53"/>
    </row>
    <row r="2209">
      <c r="A2209" s="49">
        <v>44535.69074959491</v>
      </c>
      <c r="B2209" s="50">
        <v>44535.8157247453</v>
      </c>
      <c r="C2209" s="51">
        <v>1.032</v>
      </c>
      <c r="D2209" s="51">
        <v>64.0</v>
      </c>
      <c r="E2209" s="52" t="s">
        <v>25</v>
      </c>
      <c r="F2209" s="52" t="s">
        <v>26</v>
      </c>
      <c r="G2209" s="53"/>
    </row>
    <row r="2210">
      <c r="A2210" s="49">
        <v>44535.701190023145</v>
      </c>
      <c r="B2210" s="50">
        <v>44535.8261564467</v>
      </c>
      <c r="C2210" s="51">
        <v>1.032</v>
      </c>
      <c r="D2210" s="51">
        <v>64.0</v>
      </c>
      <c r="E2210" s="52" t="s">
        <v>25</v>
      </c>
      <c r="F2210" s="52" t="s">
        <v>26</v>
      </c>
      <c r="G2210" s="53"/>
    </row>
    <row r="2211">
      <c r="A2211" s="49">
        <v>44535.71161484954</v>
      </c>
      <c r="B2211" s="50">
        <v>44535.83658853</v>
      </c>
      <c r="C2211" s="51">
        <v>1.032</v>
      </c>
      <c r="D2211" s="51">
        <v>64.0</v>
      </c>
      <c r="E2211" s="52" t="s">
        <v>25</v>
      </c>
      <c r="F2211" s="52" t="s">
        <v>26</v>
      </c>
      <c r="G2211" s="53"/>
    </row>
    <row r="2212">
      <c r="A2212" s="49">
        <v>44535.722049108794</v>
      </c>
      <c r="B2212" s="50">
        <v>44535.8470209027</v>
      </c>
      <c r="C2212" s="51">
        <v>1.032</v>
      </c>
      <c r="D2212" s="51">
        <v>64.0</v>
      </c>
      <c r="E2212" s="52" t="s">
        <v>25</v>
      </c>
      <c r="F2212" s="52" t="s">
        <v>26</v>
      </c>
      <c r="G2212" s="53"/>
    </row>
    <row r="2213">
      <c r="A2213" s="49">
        <v>44535.732475</v>
      </c>
      <c r="B2213" s="50">
        <v>44535.8574533333</v>
      </c>
      <c r="C2213" s="51">
        <v>1.032</v>
      </c>
      <c r="D2213" s="51">
        <v>64.0</v>
      </c>
      <c r="E2213" s="52" t="s">
        <v>25</v>
      </c>
      <c r="F2213" s="52" t="s">
        <v>26</v>
      </c>
      <c r="G2213" s="53"/>
    </row>
    <row r="2214">
      <c r="A2214" s="49">
        <v>44535.74290001157</v>
      </c>
      <c r="B2214" s="50">
        <v>44535.8678739351</v>
      </c>
      <c r="C2214" s="51">
        <v>1.032</v>
      </c>
      <c r="D2214" s="51">
        <v>64.0</v>
      </c>
      <c r="E2214" s="52" t="s">
        <v>25</v>
      </c>
      <c r="F2214" s="52" t="s">
        <v>26</v>
      </c>
      <c r="G2214" s="53"/>
    </row>
    <row r="2215">
      <c r="A2215" s="49">
        <v>44535.75332142361</v>
      </c>
      <c r="B2215" s="50">
        <v>44535.8783049884</v>
      </c>
      <c r="C2215" s="51">
        <v>1.032</v>
      </c>
      <c r="D2215" s="51">
        <v>64.0</v>
      </c>
      <c r="E2215" s="52" t="s">
        <v>25</v>
      </c>
      <c r="F2215" s="52" t="s">
        <v>26</v>
      </c>
      <c r="G2215" s="53"/>
    </row>
    <row r="2216">
      <c r="A2216" s="49">
        <v>44535.763764386575</v>
      </c>
      <c r="B2216" s="50">
        <v>44535.8887369097</v>
      </c>
      <c r="C2216" s="51">
        <v>1.032</v>
      </c>
      <c r="D2216" s="51">
        <v>64.0</v>
      </c>
      <c r="E2216" s="52" t="s">
        <v>25</v>
      </c>
      <c r="F2216" s="52" t="s">
        <v>26</v>
      </c>
      <c r="G2216" s="53"/>
    </row>
    <row r="2217">
      <c r="A2217" s="49">
        <v>44535.774184699076</v>
      </c>
      <c r="B2217" s="50">
        <v>44535.8991601388</v>
      </c>
      <c r="C2217" s="51">
        <v>1.032</v>
      </c>
      <c r="D2217" s="51">
        <v>64.0</v>
      </c>
      <c r="E2217" s="52" t="s">
        <v>25</v>
      </c>
      <c r="F2217" s="52" t="s">
        <v>26</v>
      </c>
      <c r="G2217" s="53"/>
    </row>
    <row r="2218">
      <c r="A2218" s="49">
        <v>44535.784610613424</v>
      </c>
      <c r="B2218" s="50">
        <v>44535.9095814351</v>
      </c>
      <c r="C2218" s="51">
        <v>1.032</v>
      </c>
      <c r="D2218" s="51">
        <v>64.0</v>
      </c>
      <c r="E2218" s="52" t="s">
        <v>25</v>
      </c>
      <c r="F2218" s="52" t="s">
        <v>26</v>
      </c>
      <c r="G2218" s="53"/>
    </row>
    <row r="2219">
      <c r="A2219" s="49">
        <v>44535.79503979167</v>
      </c>
      <c r="B2219" s="50">
        <v>44535.9200135995</v>
      </c>
      <c r="C2219" s="51">
        <v>1.032</v>
      </c>
      <c r="D2219" s="51">
        <v>64.0</v>
      </c>
      <c r="E2219" s="52" t="s">
        <v>25</v>
      </c>
      <c r="F2219" s="52" t="s">
        <v>26</v>
      </c>
      <c r="G2219" s="53"/>
    </row>
    <row r="2220">
      <c r="A2220" s="49">
        <v>44535.80545576389</v>
      </c>
      <c r="B2220" s="50">
        <v>44535.9304351851</v>
      </c>
      <c r="C2220" s="51">
        <v>1.032</v>
      </c>
      <c r="D2220" s="51">
        <v>64.0</v>
      </c>
      <c r="E2220" s="52" t="s">
        <v>25</v>
      </c>
      <c r="F2220" s="52" t="s">
        <v>26</v>
      </c>
      <c r="G2220" s="53"/>
    </row>
    <row r="2221">
      <c r="A2221" s="49">
        <v>44535.81587103009</v>
      </c>
      <c r="B2221" s="50">
        <v>44535.9408552314</v>
      </c>
      <c r="C2221" s="51">
        <v>1.032</v>
      </c>
      <c r="D2221" s="51">
        <v>64.0</v>
      </c>
      <c r="E2221" s="52" t="s">
        <v>25</v>
      </c>
      <c r="F2221" s="52" t="s">
        <v>26</v>
      </c>
      <c r="G2221" s="53"/>
    </row>
    <row r="2222">
      <c r="A2222" s="49">
        <v>44535.82631597223</v>
      </c>
      <c r="B2222" s="50">
        <v>44535.9512867824</v>
      </c>
      <c r="C2222" s="51">
        <v>1.032</v>
      </c>
      <c r="D2222" s="51">
        <v>64.0</v>
      </c>
      <c r="E2222" s="52" t="s">
        <v>25</v>
      </c>
      <c r="F2222" s="52" t="s">
        <v>26</v>
      </c>
      <c r="G2222" s="53"/>
    </row>
    <row r="2223">
      <c r="A2223" s="49">
        <v>44535.836745555556</v>
      </c>
      <c r="B2223" s="50">
        <v>44535.9617195601</v>
      </c>
      <c r="C2223" s="51">
        <v>1.032</v>
      </c>
      <c r="D2223" s="51">
        <v>64.0</v>
      </c>
      <c r="E2223" s="52" t="s">
        <v>25</v>
      </c>
      <c r="F2223" s="52" t="s">
        <v>26</v>
      </c>
      <c r="G2223" s="53"/>
    </row>
    <row r="2224">
      <c r="A2224" s="49">
        <v>44535.84716777778</v>
      </c>
      <c r="B2224" s="50">
        <v>44535.9721404976</v>
      </c>
      <c r="C2224" s="51">
        <v>1.032</v>
      </c>
      <c r="D2224" s="51">
        <v>64.0</v>
      </c>
      <c r="E2224" s="52" t="s">
        <v>25</v>
      </c>
      <c r="F2224" s="52" t="s">
        <v>26</v>
      </c>
      <c r="G2224" s="53"/>
    </row>
    <row r="2225">
      <c r="A2225" s="49">
        <v>44535.8575852662</v>
      </c>
      <c r="B2225" s="50">
        <v>44535.9825614583</v>
      </c>
      <c r="C2225" s="51">
        <v>1.032</v>
      </c>
      <c r="D2225" s="51">
        <v>64.0</v>
      </c>
      <c r="E2225" s="52" t="s">
        <v>25</v>
      </c>
      <c r="F2225" s="52" t="s">
        <v>26</v>
      </c>
      <c r="G2225" s="53"/>
    </row>
    <row r="2226">
      <c r="A2226" s="49">
        <v>44535.868015370375</v>
      </c>
      <c r="B2226" s="50">
        <v>44535.9929842129</v>
      </c>
      <c r="C2226" s="51">
        <v>1.031</v>
      </c>
      <c r="D2226" s="51">
        <v>64.0</v>
      </c>
      <c r="E2226" s="52" t="s">
        <v>25</v>
      </c>
      <c r="F2226" s="52" t="s">
        <v>26</v>
      </c>
      <c r="G2226" s="53"/>
    </row>
    <row r="2227">
      <c r="A2227" s="49">
        <v>44535.87842934028</v>
      </c>
      <c r="B2227" s="50">
        <v>44536.0034068634</v>
      </c>
      <c r="C2227" s="51">
        <v>1.032</v>
      </c>
      <c r="D2227" s="51">
        <v>64.0</v>
      </c>
      <c r="E2227" s="52" t="s">
        <v>25</v>
      </c>
      <c r="F2227" s="52" t="s">
        <v>26</v>
      </c>
      <c r="G2227" s="53"/>
    </row>
    <row r="2228">
      <c r="A2228" s="49">
        <v>44535.88885497685</v>
      </c>
      <c r="B2228" s="50">
        <v>44536.0138287268</v>
      </c>
      <c r="C2228" s="51">
        <v>1.032</v>
      </c>
      <c r="D2228" s="51">
        <v>64.0</v>
      </c>
      <c r="E2228" s="52" t="s">
        <v>25</v>
      </c>
      <c r="F2228" s="52" t="s">
        <v>26</v>
      </c>
      <c r="G2228" s="53"/>
    </row>
    <row r="2229">
      <c r="A2229" s="49">
        <v>44535.89927678241</v>
      </c>
      <c r="B2229" s="50">
        <v>44536.0242490393</v>
      </c>
      <c r="C2229" s="51">
        <v>1.031</v>
      </c>
      <c r="D2229" s="51">
        <v>64.0</v>
      </c>
      <c r="E2229" s="52" t="s">
        <v>25</v>
      </c>
      <c r="F2229" s="52" t="s">
        <v>26</v>
      </c>
      <c r="G2229" s="53"/>
    </row>
    <row r="2230">
      <c r="A2230" s="49">
        <v>44535.90972309028</v>
      </c>
      <c r="B2230" s="50">
        <v>44536.0347059259</v>
      </c>
      <c r="C2230" s="51">
        <v>1.031</v>
      </c>
      <c r="D2230" s="51">
        <v>64.0</v>
      </c>
      <c r="E2230" s="52" t="s">
        <v>25</v>
      </c>
      <c r="F2230" s="52" t="s">
        <v>26</v>
      </c>
      <c r="G2230" s="53"/>
    </row>
    <row r="2231">
      <c r="A2231" s="49">
        <v>44535.920161145834</v>
      </c>
      <c r="B2231" s="50">
        <v>44536.045140162</v>
      </c>
      <c r="C2231" s="51">
        <v>1.031</v>
      </c>
      <c r="D2231" s="51">
        <v>64.0</v>
      </c>
      <c r="E2231" s="52" t="s">
        <v>25</v>
      </c>
      <c r="F2231" s="52" t="s">
        <v>26</v>
      </c>
      <c r="G2231" s="53"/>
    </row>
    <row r="2232">
      <c r="A2232" s="49">
        <v>44535.93061967593</v>
      </c>
      <c r="B2232" s="50">
        <v>44536.0555957986</v>
      </c>
      <c r="C2232" s="51">
        <v>1.031</v>
      </c>
      <c r="D2232" s="51">
        <v>64.0</v>
      </c>
      <c r="E2232" s="52" t="s">
        <v>25</v>
      </c>
      <c r="F2232" s="52" t="s">
        <v>26</v>
      </c>
      <c r="G2232" s="53"/>
    </row>
    <row r="2233">
      <c r="A2233" s="49">
        <v>44535.94106107639</v>
      </c>
      <c r="B2233" s="50">
        <v>44536.0660275694</v>
      </c>
      <c r="C2233" s="51">
        <v>1.031</v>
      </c>
      <c r="D2233" s="51">
        <v>64.0</v>
      </c>
      <c r="E2233" s="52" t="s">
        <v>25</v>
      </c>
      <c r="F2233" s="52" t="s">
        <v>26</v>
      </c>
      <c r="G2233" s="53"/>
    </row>
    <row r="2234">
      <c r="A2234" s="49">
        <v>44535.95146920139</v>
      </c>
      <c r="B2234" s="50">
        <v>44536.0764471064</v>
      </c>
      <c r="C2234" s="51">
        <v>1.031</v>
      </c>
      <c r="D2234" s="51">
        <v>64.0</v>
      </c>
      <c r="E2234" s="52" t="s">
        <v>25</v>
      </c>
      <c r="F2234" s="52" t="s">
        <v>26</v>
      </c>
      <c r="G2234" s="53"/>
    </row>
    <row r="2235">
      <c r="A2235" s="49">
        <v>44535.96191731481</v>
      </c>
      <c r="B2235" s="50">
        <v>44536.0868911458</v>
      </c>
      <c r="C2235" s="51">
        <v>1.031</v>
      </c>
      <c r="D2235" s="51">
        <v>64.0</v>
      </c>
      <c r="E2235" s="52" t="s">
        <v>25</v>
      </c>
      <c r="F2235" s="52" t="s">
        <v>26</v>
      </c>
      <c r="G2235" s="53"/>
    </row>
    <row r="2236">
      <c r="A2236" s="49">
        <v>44535.97233696759</v>
      </c>
      <c r="B2236" s="50">
        <v>44536.0973120717</v>
      </c>
      <c r="C2236" s="51">
        <v>1.031</v>
      </c>
      <c r="D2236" s="51">
        <v>64.0</v>
      </c>
      <c r="E2236" s="52" t="s">
        <v>25</v>
      </c>
      <c r="F2236" s="52" t="s">
        <v>26</v>
      </c>
      <c r="G2236" s="53"/>
    </row>
    <row r="2237">
      <c r="A2237" s="49">
        <v>44535.98276100695</v>
      </c>
      <c r="B2237" s="50">
        <v>44536.1077441666</v>
      </c>
      <c r="C2237" s="51">
        <v>1.031</v>
      </c>
      <c r="D2237" s="51">
        <v>64.0</v>
      </c>
      <c r="E2237" s="52" t="s">
        <v>25</v>
      </c>
      <c r="F2237" s="52" t="s">
        <v>26</v>
      </c>
      <c r="G2237" s="53"/>
    </row>
    <row r="2238">
      <c r="A2238" s="49">
        <v>44535.99319787037</v>
      </c>
      <c r="B2238" s="50">
        <v>44536.1181779745</v>
      </c>
      <c r="C2238" s="51">
        <v>1.031</v>
      </c>
      <c r="D2238" s="51">
        <v>64.0</v>
      </c>
      <c r="E2238" s="52" t="s">
        <v>25</v>
      </c>
      <c r="F2238" s="52" t="s">
        <v>26</v>
      </c>
      <c r="G2238" s="53"/>
    </row>
    <row r="2239">
      <c r="A2239" s="49">
        <v>44536.003636168985</v>
      </c>
      <c r="B2239" s="50">
        <v>44536.128609074</v>
      </c>
      <c r="C2239" s="51">
        <v>1.031</v>
      </c>
      <c r="D2239" s="51">
        <v>64.0</v>
      </c>
      <c r="E2239" s="52" t="s">
        <v>25</v>
      </c>
      <c r="F2239" s="52" t="s">
        <v>26</v>
      </c>
      <c r="G2239" s="53"/>
    </row>
    <row r="2240">
      <c r="A2240" s="49">
        <v>44536.01404571759</v>
      </c>
      <c r="B2240" s="50">
        <v>44536.1390299768</v>
      </c>
      <c r="C2240" s="51">
        <v>1.031</v>
      </c>
      <c r="D2240" s="51">
        <v>64.0</v>
      </c>
      <c r="E2240" s="52" t="s">
        <v>25</v>
      </c>
      <c r="F2240" s="52" t="s">
        <v>26</v>
      </c>
      <c r="G2240" s="53"/>
    </row>
    <row r="2241">
      <c r="A2241" s="49">
        <v>44536.02447833333</v>
      </c>
      <c r="B2241" s="50">
        <v>44536.149452743</v>
      </c>
      <c r="C2241" s="51">
        <v>1.031</v>
      </c>
      <c r="D2241" s="51">
        <v>64.0</v>
      </c>
      <c r="E2241" s="52" t="s">
        <v>25</v>
      </c>
      <c r="F2241" s="52" t="s">
        <v>26</v>
      </c>
      <c r="G2241" s="53"/>
    </row>
    <row r="2242">
      <c r="A2242" s="49">
        <v>44536.034900300925</v>
      </c>
      <c r="B2242" s="50">
        <v>44536.1598735416</v>
      </c>
      <c r="C2242" s="51">
        <v>1.031</v>
      </c>
      <c r="D2242" s="51">
        <v>64.0</v>
      </c>
      <c r="E2242" s="52" t="s">
        <v>25</v>
      </c>
      <c r="F2242" s="52" t="s">
        <v>26</v>
      </c>
      <c r="G2242" s="53"/>
    </row>
    <row r="2243">
      <c r="A2243" s="49">
        <v>44536.04532783564</v>
      </c>
      <c r="B2243" s="50">
        <v>44536.1703062847</v>
      </c>
      <c r="C2243" s="51">
        <v>1.031</v>
      </c>
      <c r="D2243" s="51">
        <v>64.0</v>
      </c>
      <c r="E2243" s="52" t="s">
        <v>25</v>
      </c>
      <c r="F2243" s="52" t="s">
        <v>26</v>
      </c>
      <c r="G2243" s="53"/>
    </row>
    <row r="2244">
      <c r="A2244" s="49">
        <v>44536.05575733796</v>
      </c>
      <c r="B2244" s="50">
        <v>44536.1807280555</v>
      </c>
      <c r="C2244" s="51">
        <v>1.031</v>
      </c>
      <c r="D2244" s="51">
        <v>64.0</v>
      </c>
      <c r="E2244" s="52" t="s">
        <v>25</v>
      </c>
      <c r="F2244" s="52" t="s">
        <v>26</v>
      </c>
      <c r="G2244" s="53"/>
    </row>
    <row r="2245">
      <c r="A2245" s="49">
        <v>44536.06616983796</v>
      </c>
      <c r="B2245" s="50">
        <v>44536.1911492939</v>
      </c>
      <c r="C2245" s="51">
        <v>1.031</v>
      </c>
      <c r="D2245" s="51">
        <v>64.0</v>
      </c>
      <c r="E2245" s="52" t="s">
        <v>25</v>
      </c>
      <c r="F2245" s="52" t="s">
        <v>26</v>
      </c>
      <c r="G2245" s="53"/>
    </row>
    <row r="2246">
      <c r="A2246" s="49">
        <v>44536.07661078704</v>
      </c>
      <c r="B2246" s="50">
        <v>44536.2015825925</v>
      </c>
      <c r="C2246" s="51">
        <v>1.031</v>
      </c>
      <c r="D2246" s="51">
        <v>64.0</v>
      </c>
      <c r="E2246" s="52" t="s">
        <v>25</v>
      </c>
      <c r="F2246" s="52" t="s">
        <v>26</v>
      </c>
      <c r="G2246" s="53"/>
    </row>
    <row r="2247">
      <c r="A2247" s="49">
        <v>44536.08704091435</v>
      </c>
      <c r="B2247" s="50">
        <v>44536.2120157291</v>
      </c>
      <c r="C2247" s="51">
        <v>1.031</v>
      </c>
      <c r="D2247" s="51">
        <v>64.0</v>
      </c>
      <c r="E2247" s="52" t="s">
        <v>25</v>
      </c>
      <c r="F2247" s="52" t="s">
        <v>26</v>
      </c>
      <c r="G2247" s="53"/>
    </row>
    <row r="2248">
      <c r="A2248" s="49">
        <v>44536.09746001157</v>
      </c>
      <c r="B2248" s="50">
        <v>44536.2224376041</v>
      </c>
      <c r="C2248" s="51">
        <v>1.031</v>
      </c>
      <c r="D2248" s="51">
        <v>64.0</v>
      </c>
      <c r="E2248" s="52" t="s">
        <v>25</v>
      </c>
      <c r="F2248" s="52" t="s">
        <v>26</v>
      </c>
      <c r="G2248" s="53"/>
    </row>
    <row r="2249">
      <c r="A2249" s="49">
        <v>44536.107879375</v>
      </c>
      <c r="B2249" s="50">
        <v>44536.2328601967</v>
      </c>
      <c r="C2249" s="51">
        <v>1.031</v>
      </c>
      <c r="D2249" s="51">
        <v>64.0</v>
      </c>
      <c r="E2249" s="52" t="s">
        <v>25</v>
      </c>
      <c r="F2249" s="52" t="s">
        <v>26</v>
      </c>
      <c r="G2249" s="53"/>
    </row>
    <row r="2250">
      <c r="A2250" s="49">
        <v>44536.11829961806</v>
      </c>
      <c r="B2250" s="50">
        <v>44536.2432817129</v>
      </c>
      <c r="C2250" s="51">
        <v>1.031</v>
      </c>
      <c r="D2250" s="51">
        <v>64.0</v>
      </c>
      <c r="E2250" s="52" t="s">
        <v>25</v>
      </c>
      <c r="F2250" s="52" t="s">
        <v>26</v>
      </c>
      <c r="G2250" s="53"/>
    </row>
    <row r="2251">
      <c r="A2251" s="49">
        <v>44536.12872296297</v>
      </c>
      <c r="B2251" s="50">
        <v>44536.2537026041</v>
      </c>
      <c r="C2251" s="51">
        <v>1.031</v>
      </c>
      <c r="D2251" s="51">
        <v>64.0</v>
      </c>
      <c r="E2251" s="52" t="s">
        <v>25</v>
      </c>
      <c r="F2251" s="52" t="s">
        <v>26</v>
      </c>
      <c r="G2251" s="53"/>
    </row>
    <row r="2252">
      <c r="A2252" s="49">
        <v>44536.139161875</v>
      </c>
      <c r="B2252" s="50">
        <v>44536.2641359722</v>
      </c>
      <c r="C2252" s="51">
        <v>1.031</v>
      </c>
      <c r="D2252" s="51">
        <v>64.0</v>
      </c>
      <c r="E2252" s="52" t="s">
        <v>25</v>
      </c>
      <c r="F2252" s="52" t="s">
        <v>26</v>
      </c>
      <c r="G2252" s="53"/>
    </row>
    <row r="2253">
      <c r="A2253" s="49">
        <v>44536.149583935185</v>
      </c>
      <c r="B2253" s="50">
        <v>44536.274558368</v>
      </c>
      <c r="C2253" s="51">
        <v>1.031</v>
      </c>
      <c r="D2253" s="51">
        <v>64.0</v>
      </c>
      <c r="E2253" s="52" t="s">
        <v>25</v>
      </c>
      <c r="F2253" s="52" t="s">
        <v>26</v>
      </c>
      <c r="G2253" s="53"/>
    </row>
    <row r="2254">
      <c r="A2254" s="49">
        <v>44536.16000395833</v>
      </c>
      <c r="B2254" s="50">
        <v>44536.2849792361</v>
      </c>
      <c r="C2254" s="51">
        <v>1.031</v>
      </c>
      <c r="D2254" s="51">
        <v>64.0</v>
      </c>
      <c r="E2254" s="52" t="s">
        <v>25</v>
      </c>
      <c r="F2254" s="52" t="s">
        <v>26</v>
      </c>
      <c r="G2254" s="53"/>
    </row>
    <row r="2255">
      <c r="A2255" s="49">
        <v>44536.170434768515</v>
      </c>
      <c r="B2255" s="50">
        <v>44536.2954120833</v>
      </c>
      <c r="C2255" s="51">
        <v>1.031</v>
      </c>
      <c r="D2255" s="51">
        <v>64.0</v>
      </c>
      <c r="E2255" s="52" t="s">
        <v>25</v>
      </c>
      <c r="F2255" s="52" t="s">
        <v>26</v>
      </c>
      <c r="G2255" s="53"/>
    </row>
    <row r="2256">
      <c r="A2256" s="49">
        <v>44536.18088716435</v>
      </c>
      <c r="B2256" s="50">
        <v>44536.3058687268</v>
      </c>
      <c r="C2256" s="51">
        <v>1.031</v>
      </c>
      <c r="D2256" s="51">
        <v>64.0</v>
      </c>
      <c r="E2256" s="52" t="s">
        <v>25</v>
      </c>
      <c r="F2256" s="52" t="s">
        <v>26</v>
      </c>
      <c r="G2256" s="53"/>
    </row>
    <row r="2257">
      <c r="A2257" s="49">
        <v>44536.19130957176</v>
      </c>
      <c r="B2257" s="50">
        <v>44536.3162895601</v>
      </c>
      <c r="C2257" s="51">
        <v>1.031</v>
      </c>
      <c r="D2257" s="51">
        <v>64.0</v>
      </c>
      <c r="E2257" s="52" t="s">
        <v>25</v>
      </c>
      <c r="F2257" s="52" t="s">
        <v>26</v>
      </c>
      <c r="G2257" s="53"/>
    </row>
    <row r="2258">
      <c r="A2258" s="49">
        <v>44536.20174038195</v>
      </c>
      <c r="B2258" s="50">
        <v>44536.3267223611</v>
      </c>
      <c r="C2258" s="51">
        <v>1.031</v>
      </c>
      <c r="D2258" s="51">
        <v>64.0</v>
      </c>
      <c r="E2258" s="52" t="s">
        <v>25</v>
      </c>
      <c r="F2258" s="52" t="s">
        <v>26</v>
      </c>
      <c r="G2258" s="53"/>
    </row>
    <row r="2259">
      <c r="A2259" s="49">
        <v>44536.212163715274</v>
      </c>
      <c r="B2259" s="50">
        <v>44536.3371423495</v>
      </c>
      <c r="C2259" s="51">
        <v>1.031</v>
      </c>
      <c r="D2259" s="51">
        <v>64.0</v>
      </c>
      <c r="E2259" s="52" t="s">
        <v>25</v>
      </c>
      <c r="F2259" s="52" t="s">
        <v>26</v>
      </c>
      <c r="G2259" s="53"/>
    </row>
    <row r="2260">
      <c r="A2260" s="49">
        <v>44536.22258318287</v>
      </c>
      <c r="B2260" s="50">
        <v>44536.3475632523</v>
      </c>
      <c r="C2260" s="51">
        <v>1.031</v>
      </c>
      <c r="D2260" s="51">
        <v>64.0</v>
      </c>
      <c r="E2260" s="52" t="s">
        <v>25</v>
      </c>
      <c r="F2260" s="52" t="s">
        <v>26</v>
      </c>
      <c r="G2260" s="53"/>
    </row>
    <row r="2261">
      <c r="A2261" s="49">
        <v>44536.23305231481</v>
      </c>
      <c r="B2261" s="50">
        <v>44536.3580311111</v>
      </c>
      <c r="C2261" s="51">
        <v>1.031</v>
      </c>
      <c r="D2261" s="51">
        <v>64.0</v>
      </c>
      <c r="E2261" s="52" t="s">
        <v>25</v>
      </c>
      <c r="F2261" s="52" t="s">
        <v>26</v>
      </c>
      <c r="G2261" s="53"/>
    </row>
    <row r="2262">
      <c r="A2262" s="49">
        <v>44536.24354435185</v>
      </c>
      <c r="B2262" s="50">
        <v>44536.3684541319</v>
      </c>
      <c r="C2262" s="51">
        <v>1.031</v>
      </c>
      <c r="D2262" s="51">
        <v>64.0</v>
      </c>
      <c r="E2262" s="52" t="s">
        <v>25</v>
      </c>
      <c r="F2262" s="52" t="s">
        <v>26</v>
      </c>
      <c r="G2262" s="53"/>
    </row>
    <row r="2263">
      <c r="A2263" s="49">
        <v>44536.25404859954</v>
      </c>
      <c r="B2263" s="50">
        <v>44536.3788761111</v>
      </c>
      <c r="C2263" s="51">
        <v>1.031</v>
      </c>
      <c r="D2263" s="51">
        <v>64.0</v>
      </c>
      <c r="E2263" s="52" t="s">
        <v>25</v>
      </c>
      <c r="F2263" s="52" t="s">
        <v>26</v>
      </c>
      <c r="G2263" s="53"/>
    </row>
    <row r="2264">
      <c r="A2264" s="49">
        <v>44536.26432665509</v>
      </c>
      <c r="B2264" s="50">
        <v>44536.3892955787</v>
      </c>
      <c r="C2264" s="51">
        <v>1.031</v>
      </c>
      <c r="D2264" s="51">
        <v>64.0</v>
      </c>
      <c r="E2264" s="52" t="s">
        <v>25</v>
      </c>
      <c r="F2264" s="52" t="s">
        <v>26</v>
      </c>
      <c r="G2264" s="53"/>
    </row>
    <row r="2265">
      <c r="A2265" s="49">
        <v>44536.274751122684</v>
      </c>
      <c r="B2265" s="50">
        <v>44536.3997169675</v>
      </c>
      <c r="C2265" s="51">
        <v>1.031</v>
      </c>
      <c r="D2265" s="51">
        <v>64.0</v>
      </c>
      <c r="E2265" s="52" t="s">
        <v>25</v>
      </c>
      <c r="F2265" s="52" t="s">
        <v>26</v>
      </c>
      <c r="G2265" s="53"/>
    </row>
    <row r="2266">
      <c r="A2266" s="49">
        <v>44536.28517261574</v>
      </c>
      <c r="B2266" s="50">
        <v>44536.4101496412</v>
      </c>
      <c r="C2266" s="51">
        <v>1.031</v>
      </c>
      <c r="D2266" s="51">
        <v>64.0</v>
      </c>
      <c r="E2266" s="52" t="s">
        <v>25</v>
      </c>
      <c r="F2266" s="52" t="s">
        <v>26</v>
      </c>
      <c r="G2266" s="53"/>
    </row>
    <row r="2267">
      <c r="A2267" s="49">
        <v>44536.2956111574</v>
      </c>
      <c r="B2267" s="50">
        <v>44536.4205837615</v>
      </c>
      <c r="C2267" s="51">
        <v>1.031</v>
      </c>
      <c r="D2267" s="51">
        <v>64.0</v>
      </c>
      <c r="E2267" s="52" t="s">
        <v>25</v>
      </c>
      <c r="F2267" s="52" t="s">
        <v>26</v>
      </c>
      <c r="G2267" s="53"/>
    </row>
    <row r="2268">
      <c r="A2268" s="49">
        <v>44536.306060636576</v>
      </c>
      <c r="B2268" s="50">
        <v>44536.4310292708</v>
      </c>
      <c r="C2268" s="51">
        <v>1.031</v>
      </c>
      <c r="D2268" s="51">
        <v>64.0</v>
      </c>
      <c r="E2268" s="52" t="s">
        <v>25</v>
      </c>
      <c r="F2268" s="52" t="s">
        <v>26</v>
      </c>
      <c r="G2268" s="53"/>
    </row>
    <row r="2269">
      <c r="A2269" s="49">
        <v>44536.31648094907</v>
      </c>
      <c r="B2269" s="50">
        <v>44536.4414505671</v>
      </c>
      <c r="C2269" s="51">
        <v>1.031</v>
      </c>
      <c r="D2269" s="51">
        <v>64.0</v>
      </c>
      <c r="E2269" s="52" t="s">
        <v>25</v>
      </c>
      <c r="F2269" s="52" t="s">
        <v>26</v>
      </c>
      <c r="G2269" s="53"/>
    </row>
    <row r="2270">
      <c r="A2270" s="49">
        <v>44536.32691423611</v>
      </c>
      <c r="B2270" s="50">
        <v>44536.4518837268</v>
      </c>
      <c r="C2270" s="51">
        <v>1.031</v>
      </c>
      <c r="D2270" s="51">
        <v>64.0</v>
      </c>
      <c r="E2270" s="52" t="s">
        <v>25</v>
      </c>
      <c r="F2270" s="52" t="s">
        <v>26</v>
      </c>
      <c r="G2270" s="53"/>
    </row>
    <row r="2271">
      <c r="A2271" s="49">
        <v>44536.33732855324</v>
      </c>
      <c r="B2271" s="50">
        <v>44536.4623031018</v>
      </c>
      <c r="C2271" s="51">
        <v>1.031</v>
      </c>
      <c r="D2271" s="51">
        <v>64.0</v>
      </c>
      <c r="E2271" s="52" t="s">
        <v>25</v>
      </c>
      <c r="F2271" s="52" t="s">
        <v>26</v>
      </c>
      <c r="G2271" s="53"/>
    </row>
    <row r="2272">
      <c r="A2272" s="49">
        <v>44536.34774354167</v>
      </c>
      <c r="B2272" s="50">
        <v>44536.472723993</v>
      </c>
      <c r="C2272" s="51">
        <v>1.031</v>
      </c>
      <c r="D2272" s="51">
        <v>64.0</v>
      </c>
      <c r="E2272" s="52" t="s">
        <v>25</v>
      </c>
      <c r="F2272" s="52" t="s">
        <v>26</v>
      </c>
      <c r="G2272" s="53"/>
    </row>
    <row r="2273">
      <c r="A2273" s="49">
        <v>44536.358182233795</v>
      </c>
      <c r="B2273" s="50">
        <v>44536.4831564236</v>
      </c>
      <c r="C2273" s="51">
        <v>1.031</v>
      </c>
      <c r="D2273" s="51">
        <v>64.0</v>
      </c>
      <c r="E2273" s="52" t="s">
        <v>25</v>
      </c>
      <c r="F2273" s="52" t="s">
        <v>26</v>
      </c>
      <c r="G2273" s="53"/>
    </row>
    <row r="2274">
      <c r="A2274" s="49">
        <v>44536.36860894676</v>
      </c>
      <c r="B2274" s="50">
        <v>44536.4935784375</v>
      </c>
      <c r="C2274" s="51">
        <v>1.031</v>
      </c>
      <c r="D2274" s="51">
        <v>64.0</v>
      </c>
      <c r="E2274" s="52" t="s">
        <v>25</v>
      </c>
      <c r="F2274" s="52" t="s">
        <v>26</v>
      </c>
      <c r="G2274" s="53"/>
    </row>
    <row r="2275">
      <c r="A2275" s="49">
        <v>44536.37902305556</v>
      </c>
      <c r="B2275" s="50">
        <v>44536.5039970949</v>
      </c>
      <c r="C2275" s="51">
        <v>1.031</v>
      </c>
      <c r="D2275" s="51">
        <v>64.0</v>
      </c>
      <c r="E2275" s="52" t="s">
        <v>25</v>
      </c>
      <c r="F2275" s="52" t="s">
        <v>26</v>
      </c>
      <c r="G2275" s="53"/>
    </row>
    <row r="2276">
      <c r="A2276" s="49">
        <v>44536.38945792824</v>
      </c>
      <c r="B2276" s="50">
        <v>44536.5144300231</v>
      </c>
      <c r="C2276" s="51">
        <v>1.031</v>
      </c>
      <c r="D2276" s="51">
        <v>64.0</v>
      </c>
      <c r="E2276" s="52" t="s">
        <v>25</v>
      </c>
      <c r="F2276" s="52" t="s">
        <v>26</v>
      </c>
      <c r="G2276" s="53"/>
    </row>
    <row r="2277">
      <c r="A2277" s="49">
        <v>44536.39988012731</v>
      </c>
      <c r="B2277" s="50">
        <v>44536.5248512731</v>
      </c>
      <c r="C2277" s="51">
        <v>1.031</v>
      </c>
      <c r="D2277" s="51">
        <v>64.0</v>
      </c>
      <c r="E2277" s="52" t="s">
        <v>25</v>
      </c>
      <c r="F2277" s="52" t="s">
        <v>26</v>
      </c>
      <c r="G2277" s="53"/>
    </row>
    <row r="2278">
      <c r="A2278" s="49">
        <v>44536.410296331014</v>
      </c>
      <c r="B2278" s="50">
        <v>44536.5352709374</v>
      </c>
      <c r="C2278" s="51">
        <v>1.031</v>
      </c>
      <c r="D2278" s="51">
        <v>64.0</v>
      </c>
      <c r="E2278" s="52" t="s">
        <v>25</v>
      </c>
      <c r="F2278" s="52" t="s">
        <v>26</v>
      </c>
      <c r="G2278" s="53"/>
    </row>
    <row r="2279">
      <c r="A2279" s="49">
        <v>44536.42072666666</v>
      </c>
      <c r="B2279" s="50">
        <v>44536.5456922338</v>
      </c>
      <c r="C2279" s="51">
        <v>1.031</v>
      </c>
      <c r="D2279" s="51">
        <v>64.0</v>
      </c>
      <c r="E2279" s="52" t="s">
        <v>25</v>
      </c>
      <c r="F2279" s="52" t="s">
        <v>26</v>
      </c>
      <c r="G2279" s="53"/>
    </row>
    <row r="2280">
      <c r="A2280" s="49">
        <v>44536.43113197917</v>
      </c>
      <c r="B2280" s="50">
        <v>44536.5561125347</v>
      </c>
      <c r="C2280" s="51">
        <v>1.031</v>
      </c>
      <c r="D2280" s="51">
        <v>64.0</v>
      </c>
      <c r="E2280" s="52" t="s">
        <v>25</v>
      </c>
      <c r="F2280" s="52" t="s">
        <v>26</v>
      </c>
      <c r="G2280" s="53"/>
    </row>
    <row r="2281">
      <c r="A2281" s="49">
        <v>44536.441558391205</v>
      </c>
      <c r="B2281" s="50">
        <v>44536.5665332638</v>
      </c>
      <c r="C2281" s="51">
        <v>1.031</v>
      </c>
      <c r="D2281" s="51">
        <v>64.0</v>
      </c>
      <c r="E2281" s="52" t="s">
        <v>25</v>
      </c>
      <c r="F2281" s="52" t="s">
        <v>26</v>
      </c>
      <c r="G2281" s="53"/>
    </row>
    <row r="2282">
      <c r="A2282" s="49">
        <v>44536.451993993054</v>
      </c>
      <c r="B2282" s="50">
        <v>44536.5769660648</v>
      </c>
      <c r="C2282" s="51">
        <v>1.031</v>
      </c>
      <c r="D2282" s="51">
        <v>64.0</v>
      </c>
      <c r="E2282" s="52" t="s">
        <v>25</v>
      </c>
      <c r="F2282" s="52" t="s">
        <v>26</v>
      </c>
      <c r="G2282" s="53"/>
    </row>
    <row r="2283">
      <c r="A2283" s="49">
        <v>44536.46266942129</v>
      </c>
      <c r="B2283" s="50">
        <v>44536.5874106481</v>
      </c>
      <c r="C2283" s="51">
        <v>1.031</v>
      </c>
      <c r="D2283" s="51">
        <v>64.0</v>
      </c>
      <c r="E2283" s="52" t="s">
        <v>25</v>
      </c>
      <c r="F2283" s="52" t="s">
        <v>26</v>
      </c>
      <c r="G2283" s="53"/>
    </row>
    <row r="2284">
      <c r="A2284" s="49">
        <v>44536.47285319444</v>
      </c>
      <c r="B2284" s="50">
        <v>44536.5978305439</v>
      </c>
      <c r="C2284" s="51">
        <v>1.031</v>
      </c>
      <c r="D2284" s="51">
        <v>64.0</v>
      </c>
      <c r="E2284" s="52" t="s">
        <v>25</v>
      </c>
      <c r="F2284" s="52" t="s">
        <v>26</v>
      </c>
      <c r="G2284" s="53"/>
    </row>
    <row r="2285">
      <c r="A2285" s="49">
        <v>44536.483281064815</v>
      </c>
      <c r="B2285" s="50">
        <v>44536.6082517361</v>
      </c>
      <c r="C2285" s="51">
        <v>1.031</v>
      </c>
      <c r="D2285" s="51">
        <v>64.0</v>
      </c>
      <c r="E2285" s="52" t="s">
        <v>25</v>
      </c>
      <c r="F2285" s="52" t="s">
        <v>26</v>
      </c>
      <c r="G2285" s="53"/>
    </row>
    <row r="2286">
      <c r="A2286" s="49">
        <v>44536.493712118056</v>
      </c>
      <c r="B2286" s="50">
        <v>44536.6186731481</v>
      </c>
      <c r="C2286" s="51">
        <v>1.031</v>
      </c>
      <c r="D2286" s="51">
        <v>64.0</v>
      </c>
      <c r="E2286" s="52" t="s">
        <v>25</v>
      </c>
      <c r="F2286" s="52" t="s">
        <v>26</v>
      </c>
      <c r="G2286" s="53"/>
    </row>
    <row r="2287">
      <c r="A2287" s="49">
        <v>44536.50411967593</v>
      </c>
      <c r="B2287" s="50">
        <v>44536.6290944328</v>
      </c>
      <c r="C2287" s="51">
        <v>1.031</v>
      </c>
      <c r="D2287" s="51">
        <v>64.0</v>
      </c>
      <c r="E2287" s="52" t="s">
        <v>25</v>
      </c>
      <c r="F2287" s="52" t="s">
        <v>26</v>
      </c>
      <c r="G2287" s="53"/>
    </row>
    <row r="2288">
      <c r="A2288" s="49">
        <v>44536.5145471875</v>
      </c>
      <c r="B2288" s="50">
        <v>44536.6395145601</v>
      </c>
      <c r="C2288" s="51">
        <v>1.031</v>
      </c>
      <c r="D2288" s="51">
        <v>64.0</v>
      </c>
      <c r="E2288" s="52" t="s">
        <v>25</v>
      </c>
      <c r="F2288" s="52" t="s">
        <v>26</v>
      </c>
      <c r="G2288" s="53"/>
    </row>
    <row r="2289">
      <c r="A2289" s="49">
        <v>44536.524953761575</v>
      </c>
      <c r="B2289" s="50">
        <v>44536.6499349189</v>
      </c>
      <c r="C2289" s="51">
        <v>1.031</v>
      </c>
      <c r="D2289" s="51">
        <v>64.0</v>
      </c>
      <c r="E2289" s="52" t="s">
        <v>25</v>
      </c>
      <c r="F2289" s="52" t="s">
        <v>26</v>
      </c>
      <c r="G2289" s="53"/>
    </row>
    <row r="2290">
      <c r="A2290" s="49">
        <v>44536.53537291667</v>
      </c>
      <c r="B2290" s="50">
        <v>44536.6603560069</v>
      </c>
      <c r="C2290" s="51">
        <v>1.031</v>
      </c>
      <c r="D2290" s="51">
        <v>64.0</v>
      </c>
      <c r="E2290" s="52" t="s">
        <v>25</v>
      </c>
      <c r="F2290" s="52" t="s">
        <v>26</v>
      </c>
      <c r="G2290" s="53"/>
    </row>
    <row r="2291">
      <c r="A2291" s="49">
        <v>44536.54580039352</v>
      </c>
      <c r="B2291" s="50">
        <v>44536.670775706</v>
      </c>
      <c r="C2291" s="51">
        <v>1.031</v>
      </c>
      <c r="D2291" s="51">
        <v>64.0</v>
      </c>
      <c r="E2291" s="52" t="s">
        <v>25</v>
      </c>
      <c r="F2291" s="52" t="s">
        <v>26</v>
      </c>
      <c r="G2291" s="53"/>
    </row>
    <row r="2292">
      <c r="A2292" s="49">
        <v>44536.556225671295</v>
      </c>
      <c r="B2292" s="50">
        <v>44536.6812073958</v>
      </c>
      <c r="C2292" s="51">
        <v>1.031</v>
      </c>
      <c r="D2292" s="51">
        <v>64.0</v>
      </c>
      <c r="E2292" s="52" t="s">
        <v>25</v>
      </c>
      <c r="F2292" s="52" t="s">
        <v>26</v>
      </c>
      <c r="G2292" s="53"/>
    </row>
    <row r="2293">
      <c r="A2293" s="49">
        <v>44536.5666612037</v>
      </c>
      <c r="B2293" s="50">
        <v>44536.6916292245</v>
      </c>
      <c r="C2293" s="51">
        <v>1.031</v>
      </c>
      <c r="D2293" s="51">
        <v>64.0</v>
      </c>
      <c r="E2293" s="52" t="s">
        <v>25</v>
      </c>
      <c r="F2293" s="52" t="s">
        <v>26</v>
      </c>
      <c r="G2293" s="53"/>
    </row>
    <row r="2294">
      <c r="A2294" s="49">
        <v>44536.57708054398</v>
      </c>
      <c r="B2294" s="50">
        <v>44536.70204875</v>
      </c>
      <c r="C2294" s="51">
        <v>1.031</v>
      </c>
      <c r="D2294" s="51">
        <v>64.0</v>
      </c>
      <c r="E2294" s="52" t="s">
        <v>25</v>
      </c>
      <c r="F2294" s="52" t="s">
        <v>26</v>
      </c>
      <c r="G2294" s="53"/>
    </row>
    <row r="2295">
      <c r="A2295" s="49">
        <v>44536.58749634259</v>
      </c>
      <c r="B2295" s="50">
        <v>44536.7124700231</v>
      </c>
      <c r="C2295" s="51">
        <v>1.031</v>
      </c>
      <c r="D2295" s="51">
        <v>64.0</v>
      </c>
      <c r="E2295" s="52" t="s">
        <v>25</v>
      </c>
      <c r="F2295" s="52" t="s">
        <v>26</v>
      </c>
      <c r="G2295" s="53"/>
    </row>
    <row r="2296">
      <c r="A2296" s="49">
        <v>44536.597920844906</v>
      </c>
      <c r="B2296" s="50">
        <v>44536.7228903356</v>
      </c>
      <c r="C2296" s="51">
        <v>1.031</v>
      </c>
      <c r="D2296" s="51">
        <v>64.0</v>
      </c>
      <c r="E2296" s="52" t="s">
        <v>25</v>
      </c>
      <c r="F2296" s="52" t="s">
        <v>26</v>
      </c>
      <c r="G2296" s="53"/>
    </row>
    <row r="2297">
      <c r="A2297" s="49">
        <v>44536.60837427083</v>
      </c>
      <c r="B2297" s="50">
        <v>44536.7333442361</v>
      </c>
      <c r="C2297" s="51">
        <v>1.031</v>
      </c>
      <c r="D2297" s="51">
        <v>64.0</v>
      </c>
      <c r="E2297" s="52" t="s">
        <v>25</v>
      </c>
      <c r="F2297" s="52" t="s">
        <v>26</v>
      </c>
      <c r="G2297" s="53"/>
    </row>
    <row r="2298">
      <c r="A2298" s="49">
        <v>44536.61878958333</v>
      </c>
      <c r="B2298" s="50">
        <v>44536.743765243</v>
      </c>
      <c r="C2298" s="51">
        <v>1.031</v>
      </c>
      <c r="D2298" s="51">
        <v>64.0</v>
      </c>
      <c r="E2298" s="52" t="s">
        <v>25</v>
      </c>
      <c r="F2298" s="52" t="s">
        <v>26</v>
      </c>
      <c r="G2298" s="53"/>
    </row>
    <row r="2299">
      <c r="A2299" s="49">
        <v>44537.07764422454</v>
      </c>
      <c r="B2299" s="50">
        <v>44537.2026058449</v>
      </c>
      <c r="C2299" s="51">
        <v>1.03</v>
      </c>
      <c r="D2299" s="51">
        <v>64.0</v>
      </c>
      <c r="E2299" s="52" t="s">
        <v>25</v>
      </c>
      <c r="F2299" s="52" t="s">
        <v>26</v>
      </c>
      <c r="G2299" s="53"/>
    </row>
    <row r="2300">
      <c r="A2300" s="49">
        <v>44537.088093275466</v>
      </c>
      <c r="B2300" s="50">
        <v>44537.2130380902</v>
      </c>
      <c r="C2300" s="51">
        <v>1.03</v>
      </c>
      <c r="D2300" s="51">
        <v>64.0</v>
      </c>
      <c r="E2300" s="52" t="s">
        <v>25</v>
      </c>
      <c r="F2300" s="52" t="s">
        <v>26</v>
      </c>
      <c r="G2300" s="53"/>
    </row>
    <row r="2301">
      <c r="A2301" s="49">
        <v>44537.098499155094</v>
      </c>
      <c r="B2301" s="50">
        <v>44537.2234712847</v>
      </c>
      <c r="C2301" s="51">
        <v>1.03</v>
      </c>
      <c r="D2301" s="51">
        <v>64.0</v>
      </c>
      <c r="E2301" s="52" t="s">
        <v>25</v>
      </c>
      <c r="F2301" s="52" t="s">
        <v>26</v>
      </c>
      <c r="G2301" s="53"/>
    </row>
    <row r="2302">
      <c r="A2302" s="49">
        <v>44537.1089152662</v>
      </c>
      <c r="B2302" s="50">
        <v>44537.233892118</v>
      </c>
      <c r="C2302" s="51">
        <v>1.03</v>
      </c>
      <c r="D2302" s="51">
        <v>64.0</v>
      </c>
      <c r="E2302" s="52" t="s">
        <v>25</v>
      </c>
      <c r="F2302" s="52" t="s">
        <v>26</v>
      </c>
      <c r="G2302" s="53"/>
    </row>
    <row r="2303">
      <c r="A2303" s="49">
        <v>44537.119354490744</v>
      </c>
      <c r="B2303" s="50">
        <v>44537.2443239351</v>
      </c>
      <c r="C2303" s="51">
        <v>1.03</v>
      </c>
      <c r="D2303" s="51">
        <v>64.0</v>
      </c>
      <c r="E2303" s="52" t="s">
        <v>25</v>
      </c>
      <c r="F2303" s="52" t="s">
        <v>26</v>
      </c>
      <c r="G2303" s="53"/>
    </row>
    <row r="2304">
      <c r="A2304" s="49">
        <v>44537.12978487268</v>
      </c>
      <c r="B2304" s="50">
        <v>44537.2547552777</v>
      </c>
      <c r="C2304" s="51">
        <v>1.03</v>
      </c>
      <c r="D2304" s="51">
        <v>64.0</v>
      </c>
      <c r="E2304" s="52" t="s">
        <v>25</v>
      </c>
      <c r="F2304" s="52" t="s">
        <v>26</v>
      </c>
      <c r="G2304" s="53"/>
    </row>
    <row r="2305">
      <c r="A2305" s="49">
        <v>44537.14020552083</v>
      </c>
      <c r="B2305" s="50">
        <v>44537.2651748032</v>
      </c>
      <c r="C2305" s="51">
        <v>1.03</v>
      </c>
      <c r="D2305" s="51">
        <v>64.0</v>
      </c>
      <c r="E2305" s="52" t="s">
        <v>25</v>
      </c>
      <c r="F2305" s="52" t="s">
        <v>26</v>
      </c>
      <c r="G2305" s="53"/>
    </row>
    <row r="2306">
      <c r="A2306" s="49">
        <v>44537.15064006945</v>
      </c>
      <c r="B2306" s="50">
        <v>44537.2756079398</v>
      </c>
      <c r="C2306" s="51">
        <v>1.03</v>
      </c>
      <c r="D2306" s="51">
        <v>64.0</v>
      </c>
      <c r="E2306" s="52" t="s">
        <v>25</v>
      </c>
      <c r="F2306" s="52" t="s">
        <v>26</v>
      </c>
      <c r="G2306" s="53"/>
    </row>
    <row r="2307">
      <c r="A2307" s="49">
        <v>44537.161065277774</v>
      </c>
      <c r="B2307" s="50">
        <v>44537.2860400231</v>
      </c>
      <c r="C2307" s="51">
        <v>1.03</v>
      </c>
      <c r="D2307" s="51">
        <v>64.0</v>
      </c>
      <c r="E2307" s="52" t="s">
        <v>25</v>
      </c>
      <c r="F2307" s="52" t="s">
        <v>26</v>
      </c>
      <c r="G2307" s="53"/>
    </row>
    <row r="2308">
      <c r="A2308" s="49">
        <v>44537.171498599535</v>
      </c>
      <c r="B2308" s="50">
        <v>44537.2964731597</v>
      </c>
      <c r="C2308" s="51">
        <v>1.03</v>
      </c>
      <c r="D2308" s="51">
        <v>64.0</v>
      </c>
      <c r="E2308" s="52" t="s">
        <v>25</v>
      </c>
      <c r="F2308" s="52" t="s">
        <v>26</v>
      </c>
      <c r="G2308" s="53"/>
    </row>
    <row r="2309">
      <c r="A2309" s="49">
        <v>44537.18192001157</v>
      </c>
      <c r="B2309" s="50">
        <v>44537.306895243</v>
      </c>
      <c r="C2309" s="51">
        <v>1.03</v>
      </c>
      <c r="D2309" s="51">
        <v>64.0</v>
      </c>
      <c r="E2309" s="52" t="s">
        <v>25</v>
      </c>
      <c r="F2309" s="52" t="s">
        <v>26</v>
      </c>
      <c r="G2309" s="53"/>
    </row>
    <row r="2310">
      <c r="A2310" s="49">
        <v>44537.192344641204</v>
      </c>
      <c r="B2310" s="50">
        <v>44537.3173153703</v>
      </c>
      <c r="C2310" s="51">
        <v>1.03</v>
      </c>
      <c r="D2310" s="51">
        <v>64.0</v>
      </c>
      <c r="E2310" s="52" t="s">
        <v>25</v>
      </c>
      <c r="F2310" s="52" t="s">
        <v>26</v>
      </c>
      <c r="G2310" s="53"/>
    </row>
    <row r="2311">
      <c r="A2311" s="49">
        <v>44537.20275778935</v>
      </c>
      <c r="B2311" s="50">
        <v>44537.327736331</v>
      </c>
      <c r="C2311" s="51">
        <v>1.03</v>
      </c>
      <c r="D2311" s="51">
        <v>64.0</v>
      </c>
      <c r="E2311" s="52" t="s">
        <v>25</v>
      </c>
      <c r="F2311" s="52" t="s">
        <v>26</v>
      </c>
      <c r="G2311" s="53"/>
    </row>
    <row r="2312">
      <c r="A2312" s="49">
        <v>44537.213183831016</v>
      </c>
      <c r="B2312" s="50">
        <v>44537.3381579513</v>
      </c>
      <c r="C2312" s="51">
        <v>1.03</v>
      </c>
      <c r="D2312" s="51">
        <v>64.0</v>
      </c>
      <c r="E2312" s="52" t="s">
        <v>25</v>
      </c>
      <c r="F2312" s="52" t="s">
        <v>26</v>
      </c>
      <c r="G2312" s="53"/>
    </row>
    <row r="2313">
      <c r="A2313" s="49">
        <v>44537.223617627315</v>
      </c>
      <c r="B2313" s="50">
        <v>44537.3485788194</v>
      </c>
      <c r="C2313" s="51">
        <v>1.03</v>
      </c>
      <c r="D2313" s="51">
        <v>64.0</v>
      </c>
      <c r="E2313" s="52" t="s">
        <v>25</v>
      </c>
      <c r="F2313" s="52" t="s">
        <v>26</v>
      </c>
      <c r="G2313" s="53"/>
    </row>
    <row r="2314">
      <c r="A2314" s="49">
        <v>44537.23402258102</v>
      </c>
      <c r="B2314" s="50">
        <v>44537.3589983564</v>
      </c>
      <c r="C2314" s="51">
        <v>1.03</v>
      </c>
      <c r="D2314" s="51">
        <v>64.0</v>
      </c>
      <c r="E2314" s="52" t="s">
        <v>25</v>
      </c>
      <c r="F2314" s="52" t="s">
        <v>26</v>
      </c>
      <c r="G2314" s="53"/>
    </row>
    <row r="2315">
      <c r="A2315" s="49">
        <v>44537.2444430787</v>
      </c>
      <c r="B2315" s="50">
        <v>44537.3694193865</v>
      </c>
      <c r="C2315" s="51">
        <v>1.03</v>
      </c>
      <c r="D2315" s="51">
        <v>64.0</v>
      </c>
      <c r="E2315" s="52" t="s">
        <v>25</v>
      </c>
      <c r="F2315" s="52" t="s">
        <v>26</v>
      </c>
      <c r="G2315" s="53"/>
    </row>
    <row r="2316">
      <c r="A2316" s="49">
        <v>44537.25486364584</v>
      </c>
      <c r="B2316" s="50">
        <v>44537.3798406018</v>
      </c>
      <c r="C2316" s="51">
        <v>1.03</v>
      </c>
      <c r="D2316" s="51">
        <v>64.0</v>
      </c>
      <c r="E2316" s="52" t="s">
        <v>25</v>
      </c>
      <c r="F2316" s="52" t="s">
        <v>26</v>
      </c>
      <c r="G2316" s="53"/>
    </row>
    <row r="2317">
      <c r="A2317" s="49">
        <v>44537.26530762731</v>
      </c>
      <c r="B2317" s="50">
        <v>44537.3902724074</v>
      </c>
      <c r="C2317" s="51">
        <v>1.03</v>
      </c>
      <c r="D2317" s="51">
        <v>64.0</v>
      </c>
      <c r="E2317" s="52" t="s">
        <v>25</v>
      </c>
      <c r="F2317" s="52" t="s">
        <v>26</v>
      </c>
      <c r="G2317" s="53"/>
    </row>
    <row r="2318">
      <c r="A2318" s="49">
        <v>44537.275748182874</v>
      </c>
      <c r="B2318" s="50">
        <v>44537.4007173611</v>
      </c>
      <c r="C2318" s="51">
        <v>1.03</v>
      </c>
      <c r="D2318" s="51">
        <v>64.0</v>
      </c>
      <c r="E2318" s="52" t="s">
        <v>25</v>
      </c>
      <c r="F2318" s="52" t="s">
        <v>26</v>
      </c>
      <c r="G2318" s="53"/>
    </row>
    <row r="2319">
      <c r="A2319" s="49">
        <v>44537.28616604167</v>
      </c>
      <c r="B2319" s="50">
        <v>44537.4111370949</v>
      </c>
      <c r="C2319" s="51">
        <v>1.03</v>
      </c>
      <c r="D2319" s="51">
        <v>64.0</v>
      </c>
      <c r="E2319" s="52" t="s">
        <v>25</v>
      </c>
      <c r="F2319" s="52" t="s">
        <v>26</v>
      </c>
      <c r="G2319" s="53"/>
    </row>
    <row r="2320">
      <c r="A2320" s="49">
        <v>44537.296596064814</v>
      </c>
      <c r="B2320" s="50">
        <v>44537.4215591782</v>
      </c>
      <c r="C2320" s="51">
        <v>1.03</v>
      </c>
      <c r="D2320" s="51">
        <v>64.0</v>
      </c>
      <c r="E2320" s="52" t="s">
        <v>25</v>
      </c>
      <c r="F2320" s="52" t="s">
        <v>26</v>
      </c>
      <c r="G2320" s="53"/>
    </row>
    <row r="2321">
      <c r="A2321" s="49">
        <v>44537.30701578704</v>
      </c>
      <c r="B2321" s="50">
        <v>44537.4319824768</v>
      </c>
      <c r="C2321" s="51">
        <v>1.03</v>
      </c>
      <c r="D2321" s="51">
        <v>64.0</v>
      </c>
      <c r="E2321" s="52" t="s">
        <v>25</v>
      </c>
      <c r="F2321" s="52" t="s">
        <v>26</v>
      </c>
      <c r="G2321" s="53"/>
    </row>
    <row r="2322">
      <c r="A2322" s="49">
        <v>44537.31743105324</v>
      </c>
      <c r="B2322" s="50">
        <v>44537.4424034375</v>
      </c>
      <c r="C2322" s="51">
        <v>1.03</v>
      </c>
      <c r="D2322" s="51">
        <v>64.0</v>
      </c>
      <c r="E2322" s="52" t="s">
        <v>25</v>
      </c>
      <c r="F2322" s="52" t="s">
        <v>26</v>
      </c>
      <c r="G2322" s="53"/>
    </row>
    <row r="2323">
      <c r="A2323" s="49">
        <v>44537.32786238426</v>
      </c>
      <c r="B2323" s="50">
        <v>44537.4528354976</v>
      </c>
      <c r="C2323" s="51">
        <v>1.03</v>
      </c>
      <c r="D2323" s="51">
        <v>64.0</v>
      </c>
      <c r="E2323" s="52" t="s">
        <v>25</v>
      </c>
      <c r="F2323" s="52" t="s">
        <v>26</v>
      </c>
      <c r="G2323" s="53"/>
    </row>
    <row r="2324">
      <c r="A2324" s="49">
        <v>44537.338302777775</v>
      </c>
      <c r="B2324" s="50">
        <v>44537.4632686574</v>
      </c>
      <c r="C2324" s="51">
        <v>1.03</v>
      </c>
      <c r="D2324" s="51">
        <v>64.0</v>
      </c>
      <c r="E2324" s="52" t="s">
        <v>25</v>
      </c>
      <c r="F2324" s="52" t="s">
        <v>26</v>
      </c>
      <c r="G2324" s="53"/>
    </row>
    <row r="2325">
      <c r="A2325" s="49">
        <v>44537.34872101852</v>
      </c>
      <c r="B2325" s="50">
        <v>44537.4736886689</v>
      </c>
      <c r="C2325" s="51">
        <v>1.03</v>
      </c>
      <c r="D2325" s="51">
        <v>64.0</v>
      </c>
      <c r="E2325" s="52" t="s">
        <v>25</v>
      </c>
      <c r="F2325" s="52" t="s">
        <v>26</v>
      </c>
      <c r="G2325" s="53"/>
    </row>
    <row r="2326">
      <c r="A2326" s="49">
        <v>44537.35918414352</v>
      </c>
      <c r="B2326" s="50">
        <v>44537.4841443402</v>
      </c>
      <c r="C2326" s="51">
        <v>1.03</v>
      </c>
      <c r="D2326" s="51">
        <v>64.0</v>
      </c>
      <c r="E2326" s="52" t="s">
        <v>25</v>
      </c>
      <c r="F2326" s="52" t="s">
        <v>26</v>
      </c>
      <c r="G2326" s="53"/>
    </row>
    <row r="2327">
      <c r="A2327" s="49">
        <v>44537.369613773146</v>
      </c>
      <c r="B2327" s="50">
        <v>44537.4945653472</v>
      </c>
      <c r="C2327" s="51">
        <v>1.03</v>
      </c>
      <c r="D2327" s="51">
        <v>64.0</v>
      </c>
      <c r="E2327" s="52" t="s">
        <v>25</v>
      </c>
      <c r="F2327" s="52" t="s">
        <v>26</v>
      </c>
      <c r="G2327" s="53"/>
    </row>
    <row r="2328">
      <c r="A2328" s="49">
        <v>44537.380016192124</v>
      </c>
      <c r="B2328" s="50">
        <v>44537.5049874305</v>
      </c>
      <c r="C2328" s="51">
        <v>1.03</v>
      </c>
      <c r="D2328" s="51">
        <v>64.0</v>
      </c>
      <c r="E2328" s="52" t="s">
        <v>25</v>
      </c>
      <c r="F2328" s="52" t="s">
        <v>26</v>
      </c>
      <c r="G2328" s="53"/>
    </row>
    <row r="2329">
      <c r="A2329" s="49">
        <v>44537.3904554051</v>
      </c>
      <c r="B2329" s="50">
        <v>44537.5154310416</v>
      </c>
      <c r="C2329" s="51">
        <v>1.03</v>
      </c>
      <c r="D2329" s="51">
        <v>64.0</v>
      </c>
      <c r="E2329" s="52" t="s">
        <v>25</v>
      </c>
      <c r="F2329" s="52" t="s">
        <v>26</v>
      </c>
      <c r="G2329" s="53"/>
    </row>
    <row r="2330">
      <c r="A2330" s="49">
        <v>44537.40087564815</v>
      </c>
      <c r="B2330" s="50">
        <v>44537.5258517013</v>
      </c>
      <c r="C2330" s="51">
        <v>1.03</v>
      </c>
      <c r="D2330" s="51">
        <v>64.0</v>
      </c>
      <c r="E2330" s="52" t="s">
        <v>25</v>
      </c>
      <c r="F2330" s="52" t="s">
        <v>26</v>
      </c>
      <c r="G2330" s="53"/>
    </row>
    <row r="2331">
      <c r="A2331" s="49">
        <v>44537.411310625</v>
      </c>
      <c r="B2331" s="50">
        <v>44537.5362736226</v>
      </c>
      <c r="C2331" s="51">
        <v>1.03</v>
      </c>
      <c r="D2331" s="51">
        <v>64.0</v>
      </c>
      <c r="E2331" s="52" t="s">
        <v>25</v>
      </c>
      <c r="F2331" s="52" t="s">
        <v>26</v>
      </c>
      <c r="G2331" s="53"/>
    </row>
    <row r="2332">
      <c r="A2332" s="49">
        <v>44537.421759502315</v>
      </c>
      <c r="B2332" s="50">
        <v>44537.546729074</v>
      </c>
      <c r="C2332" s="51">
        <v>1.03</v>
      </c>
      <c r="D2332" s="51">
        <v>64.0</v>
      </c>
      <c r="E2332" s="52" t="s">
        <v>25</v>
      </c>
      <c r="F2332" s="52" t="s">
        <v>26</v>
      </c>
      <c r="G2332" s="53"/>
    </row>
    <row r="2333">
      <c r="A2333" s="49">
        <v>44537.43217859954</v>
      </c>
      <c r="B2333" s="50">
        <v>44537.5571505092</v>
      </c>
      <c r="C2333" s="51">
        <v>1.03</v>
      </c>
      <c r="D2333" s="51">
        <v>64.0</v>
      </c>
      <c r="E2333" s="52" t="s">
        <v>25</v>
      </c>
      <c r="F2333" s="52" t="s">
        <v>26</v>
      </c>
      <c r="G2333" s="53"/>
    </row>
    <row r="2334">
      <c r="A2334" s="49">
        <v>44537.44260130787</v>
      </c>
      <c r="B2334" s="50">
        <v>44537.567573206</v>
      </c>
      <c r="C2334" s="51">
        <v>1.03</v>
      </c>
      <c r="D2334" s="51">
        <v>64.0</v>
      </c>
      <c r="E2334" s="52" t="s">
        <v>25</v>
      </c>
      <c r="F2334" s="52" t="s">
        <v>26</v>
      </c>
      <c r="G2334" s="53"/>
    </row>
    <row r="2335">
      <c r="A2335" s="49">
        <v>44537.45302065973</v>
      </c>
      <c r="B2335" s="50">
        <v>44537.5779944328</v>
      </c>
      <c r="C2335" s="51">
        <v>1.03</v>
      </c>
      <c r="D2335" s="51">
        <v>64.0</v>
      </c>
      <c r="E2335" s="52" t="s">
        <v>25</v>
      </c>
      <c r="F2335" s="52" t="s">
        <v>26</v>
      </c>
      <c r="G2335" s="53"/>
    </row>
    <row r="2336">
      <c r="A2336" s="49">
        <v>44537.46344313657</v>
      </c>
      <c r="B2336" s="50">
        <v>44537.588413449</v>
      </c>
      <c r="C2336" s="51">
        <v>1.03</v>
      </c>
      <c r="D2336" s="51">
        <v>64.0</v>
      </c>
      <c r="E2336" s="52" t="s">
        <v>25</v>
      </c>
      <c r="F2336" s="52" t="s">
        <v>26</v>
      </c>
      <c r="G2336" s="53"/>
    </row>
    <row r="2337">
      <c r="A2337" s="49">
        <v>44537.47385993056</v>
      </c>
      <c r="B2337" s="50">
        <v>44537.5988340856</v>
      </c>
      <c r="C2337" s="51">
        <v>1.03</v>
      </c>
      <c r="D2337" s="51">
        <v>64.0</v>
      </c>
      <c r="E2337" s="52" t="s">
        <v>25</v>
      </c>
      <c r="F2337" s="52" t="s">
        <v>26</v>
      </c>
      <c r="G2337" s="53"/>
    </row>
    <row r="2338">
      <c r="A2338" s="49">
        <v>44537.48429908565</v>
      </c>
      <c r="B2338" s="50">
        <v>44537.6092656597</v>
      </c>
      <c r="C2338" s="51">
        <v>1.03</v>
      </c>
      <c r="D2338" s="51">
        <v>64.0</v>
      </c>
      <c r="E2338" s="52" t="s">
        <v>25</v>
      </c>
      <c r="F2338" s="52" t="s">
        <v>26</v>
      </c>
      <c r="G2338" s="53"/>
    </row>
    <row r="2339">
      <c r="A2339" s="49">
        <v>44537.49470952546</v>
      </c>
      <c r="B2339" s="50">
        <v>44537.6196875925</v>
      </c>
      <c r="C2339" s="51">
        <v>1.03</v>
      </c>
      <c r="D2339" s="51">
        <v>64.0</v>
      </c>
      <c r="E2339" s="52" t="s">
        <v>25</v>
      </c>
      <c r="F2339" s="52" t="s">
        <v>26</v>
      </c>
      <c r="G2339" s="53"/>
    </row>
    <row r="2340">
      <c r="A2340" s="49">
        <v>44537.50514228009</v>
      </c>
      <c r="B2340" s="50">
        <v>44537.6301101504</v>
      </c>
      <c r="C2340" s="51">
        <v>1.03</v>
      </c>
      <c r="D2340" s="51">
        <v>64.0</v>
      </c>
      <c r="E2340" s="52" t="s">
        <v>25</v>
      </c>
      <c r="F2340" s="52" t="s">
        <v>26</v>
      </c>
      <c r="G2340" s="53"/>
    </row>
    <row r="2341">
      <c r="A2341" s="49">
        <v>44537.51558425926</v>
      </c>
      <c r="B2341" s="50">
        <v>44537.640555081</v>
      </c>
      <c r="C2341" s="51">
        <v>1.03</v>
      </c>
      <c r="D2341" s="51">
        <v>64.0</v>
      </c>
      <c r="E2341" s="52" t="s">
        <v>25</v>
      </c>
      <c r="F2341" s="52" t="s">
        <v>26</v>
      </c>
      <c r="G2341" s="53"/>
    </row>
    <row r="2342">
      <c r="A2342" s="49">
        <v>44537.525994895834</v>
      </c>
      <c r="B2342" s="50">
        <v>44537.6509751967</v>
      </c>
      <c r="C2342" s="51">
        <v>1.03</v>
      </c>
      <c r="D2342" s="51">
        <v>64.0</v>
      </c>
      <c r="E2342" s="52" t="s">
        <v>25</v>
      </c>
      <c r="F2342" s="52" t="s">
        <v>26</v>
      </c>
      <c r="G2342" s="53"/>
    </row>
    <row r="2343">
      <c r="A2343" s="49">
        <v>44537.53646451389</v>
      </c>
      <c r="B2343" s="50">
        <v>44537.6614312615</v>
      </c>
      <c r="C2343" s="51">
        <v>1.03</v>
      </c>
      <c r="D2343" s="51">
        <v>64.0</v>
      </c>
      <c r="E2343" s="52" t="s">
        <v>25</v>
      </c>
      <c r="F2343" s="52" t="s">
        <v>26</v>
      </c>
      <c r="G2343" s="53"/>
    </row>
    <row r="2344">
      <c r="A2344" s="49">
        <v>44537.546881689814</v>
      </c>
      <c r="B2344" s="50">
        <v>44537.6718527661</v>
      </c>
      <c r="C2344" s="51">
        <v>1.03</v>
      </c>
      <c r="D2344" s="51">
        <v>64.0</v>
      </c>
      <c r="E2344" s="52" t="s">
        <v>25</v>
      </c>
      <c r="F2344" s="52" t="s">
        <v>26</v>
      </c>
      <c r="G2344" s="53"/>
    </row>
    <row r="2345">
      <c r="A2345" s="49">
        <v>44537.55730596065</v>
      </c>
      <c r="B2345" s="50">
        <v>44537.6822849189</v>
      </c>
      <c r="C2345" s="51">
        <v>1.03</v>
      </c>
      <c r="D2345" s="51">
        <v>64.0</v>
      </c>
      <c r="E2345" s="52" t="s">
        <v>25</v>
      </c>
      <c r="F2345" s="52" t="s">
        <v>26</v>
      </c>
      <c r="G2345" s="53"/>
    </row>
    <row r="2346">
      <c r="A2346" s="49">
        <v>44537.56773033565</v>
      </c>
      <c r="B2346" s="50">
        <v>44537.6927094907</v>
      </c>
      <c r="C2346" s="51">
        <v>1.029</v>
      </c>
      <c r="D2346" s="51">
        <v>64.0</v>
      </c>
      <c r="E2346" s="52" t="s">
        <v>25</v>
      </c>
      <c r="F2346" s="52" t="s">
        <v>26</v>
      </c>
      <c r="G2346" s="53"/>
    </row>
    <row r="2347">
      <c r="A2347" s="49">
        <v>44537.57816009259</v>
      </c>
      <c r="B2347" s="50">
        <v>44537.7031418749</v>
      </c>
      <c r="C2347" s="51">
        <v>1.029</v>
      </c>
      <c r="D2347" s="51">
        <v>64.0</v>
      </c>
      <c r="E2347" s="52" t="s">
        <v>25</v>
      </c>
      <c r="F2347" s="52" t="s">
        <v>26</v>
      </c>
      <c r="G2347" s="53"/>
    </row>
    <row r="2348">
      <c r="A2348" s="49">
        <v>44537.5885946875</v>
      </c>
      <c r="B2348" s="50">
        <v>44537.7135733912</v>
      </c>
      <c r="C2348" s="51">
        <v>1.03</v>
      </c>
      <c r="D2348" s="51">
        <v>64.0</v>
      </c>
      <c r="E2348" s="52" t="s">
        <v>25</v>
      </c>
      <c r="F2348" s="52" t="s">
        <v>26</v>
      </c>
      <c r="G2348" s="53"/>
    </row>
    <row r="2349">
      <c r="A2349" s="49">
        <v>44537.59901909722</v>
      </c>
      <c r="B2349" s="50">
        <v>44537.7239948842</v>
      </c>
      <c r="C2349" s="51">
        <v>1.029</v>
      </c>
      <c r="D2349" s="51">
        <v>64.0</v>
      </c>
      <c r="E2349" s="52" t="s">
        <v>25</v>
      </c>
      <c r="F2349" s="52" t="s">
        <v>26</v>
      </c>
      <c r="G2349" s="53"/>
    </row>
    <row r="2350">
      <c r="A2350" s="49">
        <v>44537.60943488426</v>
      </c>
      <c r="B2350" s="50">
        <v>44537.7344155902</v>
      </c>
      <c r="C2350" s="51">
        <v>1.029</v>
      </c>
      <c r="D2350" s="51">
        <v>64.0</v>
      </c>
      <c r="E2350" s="52" t="s">
        <v>25</v>
      </c>
      <c r="F2350" s="52" t="s">
        <v>26</v>
      </c>
      <c r="G2350" s="53"/>
    </row>
    <row r="2351">
      <c r="A2351" s="49">
        <v>44537.61985641204</v>
      </c>
      <c r="B2351" s="50">
        <v>44537.7448348379</v>
      </c>
      <c r="C2351" s="51">
        <v>1.03</v>
      </c>
      <c r="D2351" s="51">
        <v>64.0</v>
      </c>
      <c r="E2351" s="52" t="s">
        <v>25</v>
      </c>
      <c r="F2351" s="52" t="s">
        <v>26</v>
      </c>
      <c r="G2351" s="53"/>
    </row>
    <row r="2352">
      <c r="A2352" s="49">
        <v>44537.630280428246</v>
      </c>
      <c r="B2352" s="50">
        <v>44537.7552543402</v>
      </c>
      <c r="C2352" s="51">
        <v>1.029</v>
      </c>
      <c r="D2352" s="51">
        <v>64.0</v>
      </c>
      <c r="E2352" s="52" t="s">
        <v>25</v>
      </c>
      <c r="F2352" s="52" t="s">
        <v>26</v>
      </c>
      <c r="G2352" s="53"/>
    </row>
    <row r="2353">
      <c r="A2353" s="49">
        <v>44537.640703240744</v>
      </c>
      <c r="B2353" s="50">
        <v>44537.7656778935</v>
      </c>
      <c r="C2353" s="51">
        <v>1.03</v>
      </c>
      <c r="D2353" s="51">
        <v>64.0</v>
      </c>
      <c r="E2353" s="52" t="s">
        <v>25</v>
      </c>
      <c r="F2353" s="52" t="s">
        <v>26</v>
      </c>
      <c r="G2353" s="53"/>
    </row>
    <row r="2354">
      <c r="A2354" s="49">
        <v>44537.651139525464</v>
      </c>
      <c r="B2354" s="50">
        <v>44537.7761098263</v>
      </c>
      <c r="C2354" s="51">
        <v>1.03</v>
      </c>
      <c r="D2354" s="51">
        <v>64.0</v>
      </c>
      <c r="E2354" s="52" t="s">
        <v>25</v>
      </c>
      <c r="F2354" s="52" t="s">
        <v>26</v>
      </c>
      <c r="G2354" s="53"/>
    </row>
    <row r="2355">
      <c r="A2355" s="49">
        <v>44537.661555439816</v>
      </c>
      <c r="B2355" s="50">
        <v>44537.7865309143</v>
      </c>
      <c r="C2355" s="51">
        <v>1.03</v>
      </c>
      <c r="D2355" s="51">
        <v>64.0</v>
      </c>
      <c r="E2355" s="52" t="s">
        <v>25</v>
      </c>
      <c r="F2355" s="52" t="s">
        <v>26</v>
      </c>
      <c r="G2355" s="53"/>
    </row>
    <row r="2356">
      <c r="A2356" s="49">
        <v>44537.67202209491</v>
      </c>
      <c r="B2356" s="50">
        <v>44537.7969630092</v>
      </c>
      <c r="C2356" s="51">
        <v>1.03</v>
      </c>
      <c r="D2356" s="51">
        <v>64.0</v>
      </c>
      <c r="E2356" s="52" t="s">
        <v>25</v>
      </c>
      <c r="F2356" s="52" t="s">
        <v>26</v>
      </c>
      <c r="G2356" s="53"/>
    </row>
    <row r="2357">
      <c r="A2357" s="49">
        <v>44537.682401909726</v>
      </c>
      <c r="B2357" s="50">
        <v>44537.8073843749</v>
      </c>
      <c r="C2357" s="51">
        <v>1.029</v>
      </c>
      <c r="D2357" s="51">
        <v>64.0</v>
      </c>
      <c r="E2357" s="52" t="s">
        <v>25</v>
      </c>
      <c r="F2357" s="52" t="s">
        <v>26</v>
      </c>
      <c r="G2357" s="53"/>
    </row>
    <row r="2358">
      <c r="A2358" s="49">
        <v>44537.69284600695</v>
      </c>
      <c r="B2358" s="50">
        <v>44537.8178185069</v>
      </c>
      <c r="C2358" s="51">
        <v>1.029</v>
      </c>
      <c r="D2358" s="51">
        <v>64.0</v>
      </c>
      <c r="E2358" s="52" t="s">
        <v>25</v>
      </c>
      <c r="F2358" s="52" t="s">
        <v>26</v>
      </c>
      <c r="G2358" s="53"/>
    </row>
    <row r="2359">
      <c r="A2359" s="49">
        <v>44537.70326284722</v>
      </c>
      <c r="B2359" s="50">
        <v>44537.8282389583</v>
      </c>
      <c r="C2359" s="51">
        <v>1.029</v>
      </c>
      <c r="D2359" s="51">
        <v>64.0</v>
      </c>
      <c r="E2359" s="52" t="s">
        <v>25</v>
      </c>
      <c r="F2359" s="52" t="s">
        <v>26</v>
      </c>
      <c r="G2359" s="53"/>
    </row>
    <row r="2360">
      <c r="A2360" s="49">
        <v>44537.71368086805</v>
      </c>
      <c r="B2360" s="50">
        <v>44537.8386595717</v>
      </c>
      <c r="C2360" s="51">
        <v>1.029</v>
      </c>
      <c r="D2360" s="51">
        <v>64.0</v>
      </c>
      <c r="E2360" s="52" t="s">
        <v>25</v>
      </c>
      <c r="F2360" s="52" t="s">
        <v>26</v>
      </c>
      <c r="G2360" s="53"/>
    </row>
    <row r="2361">
      <c r="A2361" s="49">
        <v>44537.72411112269</v>
      </c>
      <c r="B2361" s="50">
        <v>44537.8490918981</v>
      </c>
      <c r="C2361" s="51">
        <v>1.029</v>
      </c>
      <c r="D2361" s="51">
        <v>64.0</v>
      </c>
      <c r="E2361" s="52" t="s">
        <v>25</v>
      </c>
      <c r="F2361" s="52" t="s">
        <v>26</v>
      </c>
      <c r="G2361" s="53"/>
    </row>
    <row r="2362">
      <c r="A2362" s="49">
        <v>44537.73454284722</v>
      </c>
      <c r="B2362" s="50">
        <v>44537.85952228</v>
      </c>
      <c r="C2362" s="51">
        <v>1.029</v>
      </c>
      <c r="D2362" s="51">
        <v>64.0</v>
      </c>
      <c r="E2362" s="52" t="s">
        <v>25</v>
      </c>
      <c r="F2362" s="52" t="s">
        <v>26</v>
      </c>
      <c r="G2362" s="53"/>
    </row>
    <row r="2363">
      <c r="A2363" s="49">
        <v>44537.74497554398</v>
      </c>
      <c r="B2363" s="50">
        <v>44537.8699535185</v>
      </c>
      <c r="C2363" s="51">
        <v>1.029</v>
      </c>
      <c r="D2363" s="51">
        <v>64.0</v>
      </c>
      <c r="E2363" s="52" t="s">
        <v>25</v>
      </c>
      <c r="F2363" s="52" t="s">
        <v>26</v>
      </c>
      <c r="G2363" s="53"/>
    </row>
    <row r="2364">
      <c r="A2364" s="49">
        <v>44537.75539810186</v>
      </c>
      <c r="B2364" s="50">
        <v>44537.8803766666</v>
      </c>
      <c r="C2364" s="51">
        <v>1.029</v>
      </c>
      <c r="D2364" s="51">
        <v>64.0</v>
      </c>
      <c r="E2364" s="52" t="s">
        <v>25</v>
      </c>
      <c r="F2364" s="52" t="s">
        <v>26</v>
      </c>
      <c r="G2364" s="53"/>
    </row>
    <row r="2365">
      <c r="A2365" s="49">
        <v>44537.76581752315</v>
      </c>
      <c r="B2365" s="50">
        <v>44537.8907967592</v>
      </c>
      <c r="C2365" s="51">
        <v>1.029</v>
      </c>
      <c r="D2365" s="51">
        <v>64.0</v>
      </c>
      <c r="E2365" s="52" t="s">
        <v>25</v>
      </c>
      <c r="F2365" s="52" t="s">
        <v>26</v>
      </c>
      <c r="G2365" s="53"/>
    </row>
    <row r="2366">
      <c r="A2366" s="49">
        <v>44537.776251030096</v>
      </c>
      <c r="B2366" s="50">
        <v>44537.9012305787</v>
      </c>
      <c r="C2366" s="51">
        <v>1.029</v>
      </c>
      <c r="D2366" s="51">
        <v>64.0</v>
      </c>
      <c r="E2366" s="52" t="s">
        <v>25</v>
      </c>
      <c r="F2366" s="52" t="s">
        <v>26</v>
      </c>
      <c r="G2366" s="53"/>
    </row>
    <row r="2367">
      <c r="A2367" s="49">
        <v>44537.78668561342</v>
      </c>
      <c r="B2367" s="50">
        <v>44537.9116530555</v>
      </c>
      <c r="C2367" s="51">
        <v>1.029</v>
      </c>
      <c r="D2367" s="51">
        <v>64.0</v>
      </c>
      <c r="E2367" s="52" t="s">
        <v>25</v>
      </c>
      <c r="F2367" s="52" t="s">
        <v>26</v>
      </c>
      <c r="G2367" s="53"/>
    </row>
    <row r="2368">
      <c r="A2368" s="49">
        <v>44537.797098854164</v>
      </c>
      <c r="B2368" s="50">
        <v>44537.9220750694</v>
      </c>
      <c r="C2368" s="51">
        <v>1.029</v>
      </c>
      <c r="D2368" s="51">
        <v>64.0</v>
      </c>
      <c r="E2368" s="52" t="s">
        <v>25</v>
      </c>
      <c r="F2368" s="52" t="s">
        <v>26</v>
      </c>
      <c r="G2368" s="53"/>
    </row>
    <row r="2369">
      <c r="A2369" s="49">
        <v>44537.80752912037</v>
      </c>
      <c r="B2369" s="50">
        <v>44537.9325079861</v>
      </c>
      <c r="C2369" s="51">
        <v>1.029</v>
      </c>
      <c r="D2369" s="51">
        <v>64.0</v>
      </c>
      <c r="E2369" s="52" t="s">
        <v>25</v>
      </c>
      <c r="F2369" s="52" t="s">
        <v>26</v>
      </c>
      <c r="G2369" s="53"/>
    </row>
    <row r="2370">
      <c r="A2370" s="49">
        <v>44537.81797099537</v>
      </c>
      <c r="B2370" s="50">
        <v>44537.942954074</v>
      </c>
      <c r="C2370" s="51">
        <v>1.029</v>
      </c>
      <c r="D2370" s="51">
        <v>64.0</v>
      </c>
      <c r="E2370" s="52" t="s">
        <v>25</v>
      </c>
      <c r="F2370" s="52" t="s">
        <v>26</v>
      </c>
      <c r="G2370" s="53"/>
    </row>
    <row r="2371">
      <c r="A2371" s="49">
        <v>44537.828393090276</v>
      </c>
      <c r="B2371" s="50">
        <v>44537.9533755439</v>
      </c>
      <c r="C2371" s="51">
        <v>1.029</v>
      </c>
      <c r="D2371" s="51">
        <v>64.0</v>
      </c>
      <c r="E2371" s="52" t="s">
        <v>25</v>
      </c>
      <c r="F2371" s="52" t="s">
        <v>26</v>
      </c>
      <c r="G2371" s="53"/>
    </row>
    <row r="2372">
      <c r="A2372" s="49">
        <v>44537.83881451389</v>
      </c>
      <c r="B2372" s="50">
        <v>44537.9637951504</v>
      </c>
      <c r="C2372" s="51">
        <v>1.029</v>
      </c>
      <c r="D2372" s="51">
        <v>64.0</v>
      </c>
      <c r="E2372" s="52" t="s">
        <v>25</v>
      </c>
      <c r="F2372" s="52" t="s">
        <v>26</v>
      </c>
      <c r="G2372" s="53"/>
    </row>
    <row r="2373">
      <c r="A2373" s="49">
        <v>44537.84924606481</v>
      </c>
      <c r="B2373" s="50">
        <v>44537.9742277546</v>
      </c>
      <c r="C2373" s="51">
        <v>1.029</v>
      </c>
      <c r="D2373" s="51">
        <v>64.0</v>
      </c>
      <c r="E2373" s="52" t="s">
        <v>25</v>
      </c>
      <c r="F2373" s="52" t="s">
        <v>26</v>
      </c>
      <c r="G2373" s="53"/>
    </row>
    <row r="2374">
      <c r="A2374" s="49">
        <v>44537.85968857638</v>
      </c>
      <c r="B2374" s="50">
        <v>44537.9846598726</v>
      </c>
      <c r="C2374" s="51">
        <v>1.029</v>
      </c>
      <c r="D2374" s="51">
        <v>64.0</v>
      </c>
      <c r="E2374" s="52" t="s">
        <v>25</v>
      </c>
      <c r="F2374" s="52" t="s">
        <v>26</v>
      </c>
      <c r="G2374" s="53"/>
    </row>
    <row r="2375">
      <c r="A2375" s="49">
        <v>44537.870116875</v>
      </c>
      <c r="B2375" s="50">
        <v>44537.9950918171</v>
      </c>
      <c r="C2375" s="51">
        <v>1.029</v>
      </c>
      <c r="D2375" s="51">
        <v>64.0</v>
      </c>
      <c r="E2375" s="52" t="s">
        <v>25</v>
      </c>
      <c r="F2375" s="52" t="s">
        <v>26</v>
      </c>
      <c r="G2375" s="53"/>
    </row>
    <row r="2376">
      <c r="A2376" s="49">
        <v>44537.88053692129</v>
      </c>
      <c r="B2376" s="50">
        <v>44538.0055134375</v>
      </c>
      <c r="C2376" s="51">
        <v>1.029</v>
      </c>
      <c r="D2376" s="51">
        <v>64.0</v>
      </c>
      <c r="E2376" s="52" t="s">
        <v>25</v>
      </c>
      <c r="F2376" s="52" t="s">
        <v>26</v>
      </c>
      <c r="G2376" s="53"/>
    </row>
    <row r="2377">
      <c r="A2377" s="49">
        <v>44537.89095719907</v>
      </c>
      <c r="B2377" s="50">
        <v>44538.0159335648</v>
      </c>
      <c r="C2377" s="51">
        <v>1.029</v>
      </c>
      <c r="D2377" s="51">
        <v>64.0</v>
      </c>
      <c r="E2377" s="52" t="s">
        <v>25</v>
      </c>
      <c r="F2377" s="52" t="s">
        <v>26</v>
      </c>
      <c r="G2377" s="53"/>
    </row>
    <row r="2378">
      <c r="A2378" s="49">
        <v>44537.90137828704</v>
      </c>
      <c r="B2378" s="50">
        <v>44538.0263557986</v>
      </c>
      <c r="C2378" s="51">
        <v>1.029</v>
      </c>
      <c r="D2378" s="51">
        <v>64.0</v>
      </c>
      <c r="E2378" s="52" t="s">
        <v>25</v>
      </c>
      <c r="F2378" s="52" t="s">
        <v>26</v>
      </c>
      <c r="G2378" s="53"/>
    </row>
    <row r="2379">
      <c r="A2379" s="49">
        <v>44537.9118075463</v>
      </c>
      <c r="B2379" s="50">
        <v>44538.0367891666</v>
      </c>
      <c r="C2379" s="51">
        <v>1.029</v>
      </c>
      <c r="D2379" s="51">
        <v>64.0</v>
      </c>
      <c r="E2379" s="52" t="s">
        <v>25</v>
      </c>
      <c r="F2379" s="52" t="s">
        <v>26</v>
      </c>
      <c r="G2379" s="53"/>
    </row>
    <row r="2380">
      <c r="A2380" s="49">
        <v>44537.92222635417</v>
      </c>
      <c r="B2380" s="50">
        <v>44538.0472079398</v>
      </c>
      <c r="C2380" s="51">
        <v>1.029</v>
      </c>
      <c r="D2380" s="51">
        <v>64.0</v>
      </c>
      <c r="E2380" s="52" t="s">
        <v>25</v>
      </c>
      <c r="F2380" s="52" t="s">
        <v>26</v>
      </c>
      <c r="G2380" s="53"/>
    </row>
    <row r="2381">
      <c r="A2381" s="49">
        <v>44537.93265112268</v>
      </c>
      <c r="B2381" s="50">
        <v>44538.057629375</v>
      </c>
      <c r="C2381" s="51">
        <v>1.029</v>
      </c>
      <c r="D2381" s="51">
        <v>64.0</v>
      </c>
      <c r="E2381" s="52" t="s">
        <v>25</v>
      </c>
      <c r="F2381" s="52" t="s">
        <v>26</v>
      </c>
      <c r="G2381" s="53"/>
    </row>
    <row r="2382">
      <c r="A2382" s="49">
        <v>44537.94307570602</v>
      </c>
      <c r="B2382" s="50">
        <v>44538.0680508796</v>
      </c>
      <c r="C2382" s="51">
        <v>1.029</v>
      </c>
      <c r="D2382" s="51">
        <v>64.0</v>
      </c>
      <c r="E2382" s="52" t="s">
        <v>25</v>
      </c>
      <c r="F2382" s="52" t="s">
        <v>26</v>
      </c>
      <c r="G2382" s="53"/>
    </row>
    <row r="2383">
      <c r="A2383" s="49">
        <v>44537.95350844908</v>
      </c>
      <c r="B2383" s="50">
        <v>44538.0784823379</v>
      </c>
      <c r="C2383" s="51">
        <v>1.03</v>
      </c>
      <c r="D2383" s="51">
        <v>64.0</v>
      </c>
      <c r="E2383" s="52" t="s">
        <v>25</v>
      </c>
      <c r="F2383" s="52" t="s">
        <v>26</v>
      </c>
      <c r="G2383" s="53"/>
    </row>
    <row r="2384">
      <c r="A2384" s="49">
        <v>44537.96392146991</v>
      </c>
      <c r="B2384" s="50">
        <v>44538.0889020138</v>
      </c>
      <c r="C2384" s="51">
        <v>1.029</v>
      </c>
      <c r="D2384" s="51">
        <v>64.0</v>
      </c>
      <c r="E2384" s="52" t="s">
        <v>25</v>
      </c>
      <c r="F2384" s="52" t="s">
        <v>26</v>
      </c>
      <c r="G2384" s="53"/>
    </row>
    <row r="2385">
      <c r="A2385" s="49">
        <v>44537.97434162037</v>
      </c>
      <c r="B2385" s="50">
        <v>44538.0993232291</v>
      </c>
      <c r="C2385" s="51">
        <v>1.029</v>
      </c>
      <c r="D2385" s="51">
        <v>64.0</v>
      </c>
      <c r="E2385" s="52" t="s">
        <v>25</v>
      </c>
      <c r="F2385" s="52" t="s">
        <v>26</v>
      </c>
      <c r="G2385" s="53"/>
    </row>
    <row r="2386">
      <c r="A2386" s="49">
        <v>44537.98478056713</v>
      </c>
      <c r="B2386" s="50">
        <v>44538.1097559837</v>
      </c>
      <c r="C2386" s="51">
        <v>1.029</v>
      </c>
      <c r="D2386" s="51">
        <v>64.0</v>
      </c>
      <c r="E2386" s="52" t="s">
        <v>25</v>
      </c>
      <c r="F2386" s="52" t="s">
        <v>26</v>
      </c>
      <c r="G2386" s="53"/>
    </row>
    <row r="2387">
      <c r="A2387" s="49">
        <v>44537.9951915625</v>
      </c>
      <c r="B2387" s="50">
        <v>44538.1201759143</v>
      </c>
      <c r="C2387" s="51">
        <v>1.029</v>
      </c>
      <c r="D2387" s="51">
        <v>64.0</v>
      </c>
      <c r="E2387" s="52" t="s">
        <v>25</v>
      </c>
      <c r="F2387" s="52" t="s">
        <v>26</v>
      </c>
      <c r="G2387" s="53"/>
    </row>
    <row r="2388">
      <c r="A2388" s="49">
        <v>44538.00562115741</v>
      </c>
      <c r="B2388" s="50">
        <v>44538.1305958101</v>
      </c>
      <c r="C2388" s="51">
        <v>1.029</v>
      </c>
      <c r="D2388" s="51">
        <v>64.0</v>
      </c>
      <c r="E2388" s="52" t="s">
        <v>25</v>
      </c>
      <c r="F2388" s="52" t="s">
        <v>26</v>
      </c>
      <c r="G2388" s="53"/>
    </row>
    <row r="2389">
      <c r="A2389" s="49">
        <v>44538.01605268518</v>
      </c>
      <c r="B2389" s="50">
        <v>44538.1410279629</v>
      </c>
      <c r="C2389" s="51">
        <v>1.029</v>
      </c>
      <c r="D2389" s="51">
        <v>64.0</v>
      </c>
      <c r="E2389" s="52" t="s">
        <v>25</v>
      </c>
      <c r="F2389" s="52" t="s">
        <v>26</v>
      </c>
      <c r="G2389" s="53"/>
    </row>
    <row r="2390">
      <c r="A2390" s="49">
        <v>44538.02648826389</v>
      </c>
      <c r="B2390" s="50">
        <v>44538.151460405</v>
      </c>
      <c r="C2390" s="51">
        <v>1.029</v>
      </c>
      <c r="D2390" s="51">
        <v>64.0</v>
      </c>
      <c r="E2390" s="52" t="s">
        <v>25</v>
      </c>
      <c r="F2390" s="52" t="s">
        <v>26</v>
      </c>
      <c r="G2390" s="53"/>
    </row>
    <row r="2391">
      <c r="A2391" s="49">
        <v>44538.036903217595</v>
      </c>
      <c r="B2391" s="50">
        <v>44538.1618801736</v>
      </c>
      <c r="C2391" s="51">
        <v>1.029</v>
      </c>
      <c r="D2391" s="51">
        <v>64.0</v>
      </c>
      <c r="E2391" s="52" t="s">
        <v>25</v>
      </c>
      <c r="F2391" s="52" t="s">
        <v>26</v>
      </c>
      <c r="G2391" s="53"/>
    </row>
    <row r="2392">
      <c r="A2392" s="49">
        <v>44538.04732229166</v>
      </c>
      <c r="B2392" s="50">
        <v>44538.172301875</v>
      </c>
      <c r="C2392" s="51">
        <v>1.029</v>
      </c>
      <c r="D2392" s="51">
        <v>64.0</v>
      </c>
      <c r="E2392" s="52" t="s">
        <v>25</v>
      </c>
      <c r="F2392" s="52" t="s">
        <v>26</v>
      </c>
      <c r="G2392" s="53"/>
    </row>
    <row r="2393">
      <c r="A2393" s="49">
        <v>44538.057758553245</v>
      </c>
      <c r="B2393" s="50">
        <v>44538.1827348263</v>
      </c>
      <c r="C2393" s="51">
        <v>1.029</v>
      </c>
      <c r="D2393" s="51">
        <v>64.0</v>
      </c>
      <c r="E2393" s="52" t="s">
        <v>25</v>
      </c>
      <c r="F2393" s="52" t="s">
        <v>26</v>
      </c>
      <c r="G2393" s="53"/>
    </row>
    <row r="2394">
      <c r="A2394" s="49">
        <v>44538.06818876158</v>
      </c>
      <c r="B2394" s="50">
        <v>44538.193168912</v>
      </c>
      <c r="C2394" s="51">
        <v>1.029</v>
      </c>
      <c r="D2394" s="51">
        <v>63.0</v>
      </c>
      <c r="E2394" s="52" t="s">
        <v>25</v>
      </c>
      <c r="F2394" s="52" t="s">
        <v>26</v>
      </c>
      <c r="G2394" s="53"/>
    </row>
    <row r="2395">
      <c r="A2395" s="49">
        <v>44538.07862827546</v>
      </c>
      <c r="B2395" s="50">
        <v>44538.2036004745</v>
      </c>
      <c r="C2395" s="51">
        <v>1.029</v>
      </c>
      <c r="D2395" s="51">
        <v>63.0</v>
      </c>
      <c r="E2395" s="52" t="s">
        <v>25</v>
      </c>
      <c r="F2395" s="52" t="s">
        <v>26</v>
      </c>
      <c r="G2395" s="53"/>
    </row>
    <row r="2396">
      <c r="A2396" s="49">
        <v>44538.08905686343</v>
      </c>
      <c r="B2396" s="50">
        <v>44538.2140332754</v>
      </c>
      <c r="C2396" s="51">
        <v>1.029</v>
      </c>
      <c r="D2396" s="51">
        <v>63.0</v>
      </c>
      <c r="E2396" s="52" t="s">
        <v>25</v>
      </c>
      <c r="F2396" s="52" t="s">
        <v>26</v>
      </c>
      <c r="G2396" s="53"/>
    </row>
    <row r="2397">
      <c r="A2397" s="49">
        <v>44538.0994753125</v>
      </c>
      <c r="B2397" s="50">
        <v>44538.2244538888</v>
      </c>
      <c r="C2397" s="51">
        <v>1.029</v>
      </c>
      <c r="D2397" s="51">
        <v>64.0</v>
      </c>
      <c r="E2397" s="52" t="s">
        <v>25</v>
      </c>
      <c r="F2397" s="52" t="s">
        <v>26</v>
      </c>
      <c r="G2397" s="53"/>
    </row>
    <row r="2398">
      <c r="A2398" s="49">
        <v>44538.10989561342</v>
      </c>
      <c r="B2398" s="50">
        <v>44538.2348751157</v>
      </c>
      <c r="C2398" s="51">
        <v>1.029</v>
      </c>
      <c r="D2398" s="51">
        <v>64.0</v>
      </c>
      <c r="E2398" s="52" t="s">
        <v>25</v>
      </c>
      <c r="F2398" s="52" t="s">
        <v>26</v>
      </c>
      <c r="G2398" s="53"/>
    </row>
    <row r="2399">
      <c r="A2399" s="49">
        <v>44538.12032768519</v>
      </c>
      <c r="B2399" s="50">
        <v>44538.2453074537</v>
      </c>
      <c r="C2399" s="51">
        <v>1.029</v>
      </c>
      <c r="D2399" s="51">
        <v>64.0</v>
      </c>
      <c r="E2399" s="52" t="s">
        <v>25</v>
      </c>
      <c r="F2399" s="52" t="s">
        <v>26</v>
      </c>
      <c r="G2399" s="53"/>
    </row>
    <row r="2400">
      <c r="A2400" s="49">
        <v>44538.13075409722</v>
      </c>
      <c r="B2400" s="50">
        <v>44538.255727905</v>
      </c>
      <c r="C2400" s="51">
        <v>1.029</v>
      </c>
      <c r="D2400" s="51">
        <v>63.0</v>
      </c>
      <c r="E2400" s="52" t="s">
        <v>25</v>
      </c>
      <c r="F2400" s="52" t="s">
        <v>26</v>
      </c>
      <c r="G2400" s="53"/>
    </row>
    <row r="2401">
      <c r="A2401" s="49">
        <v>44538.1411715625</v>
      </c>
      <c r="B2401" s="50">
        <v>44538.2661484259</v>
      </c>
      <c r="C2401" s="51">
        <v>1.029</v>
      </c>
      <c r="D2401" s="51">
        <v>63.0</v>
      </c>
      <c r="E2401" s="52" t="s">
        <v>25</v>
      </c>
      <c r="F2401" s="52" t="s">
        <v>26</v>
      </c>
      <c r="G2401" s="53"/>
    </row>
    <row r="2402">
      <c r="A2402" s="49">
        <v>44538.15161371528</v>
      </c>
      <c r="B2402" s="50">
        <v>44538.2765937152</v>
      </c>
      <c r="C2402" s="51">
        <v>1.029</v>
      </c>
      <c r="D2402" s="51">
        <v>63.0</v>
      </c>
      <c r="E2402" s="52" t="s">
        <v>25</v>
      </c>
      <c r="F2402" s="52" t="s">
        <v>26</v>
      </c>
      <c r="G2402" s="53"/>
    </row>
    <row r="2403">
      <c r="A2403" s="49">
        <v>44538.162044745375</v>
      </c>
      <c r="B2403" s="50">
        <v>44538.2870249884</v>
      </c>
      <c r="C2403" s="51">
        <v>1.029</v>
      </c>
      <c r="D2403" s="51">
        <v>63.0</v>
      </c>
      <c r="E2403" s="52" t="s">
        <v>25</v>
      </c>
      <c r="F2403" s="52" t="s">
        <v>26</v>
      </c>
      <c r="G2403" s="53"/>
    </row>
    <row r="2404">
      <c r="A2404" s="49">
        <v>44538.17247902778</v>
      </c>
      <c r="B2404" s="50">
        <v>44538.2974570023</v>
      </c>
      <c r="C2404" s="51">
        <v>1.029</v>
      </c>
      <c r="D2404" s="51">
        <v>63.0</v>
      </c>
      <c r="E2404" s="52" t="s">
        <v>25</v>
      </c>
      <c r="F2404" s="52" t="s">
        <v>26</v>
      </c>
      <c r="G2404" s="53"/>
    </row>
    <row r="2405">
      <c r="A2405" s="49">
        <v>44538.18291741898</v>
      </c>
      <c r="B2405" s="50">
        <v>44538.3078893171</v>
      </c>
      <c r="C2405" s="51">
        <v>1.029</v>
      </c>
      <c r="D2405" s="51">
        <v>63.0</v>
      </c>
      <c r="E2405" s="52" t="s">
        <v>25</v>
      </c>
      <c r="F2405" s="52" t="s">
        <v>26</v>
      </c>
      <c r="G2405" s="53"/>
    </row>
    <row r="2406">
      <c r="A2406" s="49">
        <v>44538.19333173611</v>
      </c>
      <c r="B2406" s="50">
        <v>44538.3183114351</v>
      </c>
      <c r="C2406" s="51">
        <v>1.029</v>
      </c>
      <c r="D2406" s="51">
        <v>64.0</v>
      </c>
      <c r="E2406" s="52" t="s">
        <v>25</v>
      </c>
      <c r="F2406" s="52" t="s">
        <v>26</v>
      </c>
      <c r="G2406" s="53"/>
    </row>
    <row r="2407">
      <c r="A2407" s="49">
        <v>44538.20376440972</v>
      </c>
      <c r="B2407" s="50">
        <v>44538.3287342939</v>
      </c>
      <c r="C2407" s="51">
        <v>1.029</v>
      </c>
      <c r="D2407" s="51">
        <v>63.0</v>
      </c>
      <c r="E2407" s="52" t="s">
        <v>25</v>
      </c>
      <c r="F2407" s="52" t="s">
        <v>26</v>
      </c>
      <c r="G2407" s="53"/>
    </row>
    <row r="2408">
      <c r="A2408" s="49">
        <v>44538.21418555555</v>
      </c>
      <c r="B2408" s="50">
        <v>44538.339154618</v>
      </c>
      <c r="C2408" s="51">
        <v>1.029</v>
      </c>
      <c r="D2408" s="51">
        <v>64.0</v>
      </c>
      <c r="E2408" s="52" t="s">
        <v>25</v>
      </c>
      <c r="F2408" s="52" t="s">
        <v>26</v>
      </c>
      <c r="G2408" s="53"/>
    </row>
    <row r="2409">
      <c r="A2409" s="49">
        <v>44538.22460930556</v>
      </c>
      <c r="B2409" s="50">
        <v>44538.3495761458</v>
      </c>
      <c r="C2409" s="51">
        <v>1.029</v>
      </c>
      <c r="D2409" s="51">
        <v>63.0</v>
      </c>
      <c r="E2409" s="52" t="s">
        <v>25</v>
      </c>
      <c r="F2409" s="52" t="s">
        <v>26</v>
      </c>
      <c r="G2409" s="53"/>
    </row>
    <row r="2410">
      <c r="A2410" s="49">
        <v>44538.2350482176</v>
      </c>
      <c r="B2410" s="50">
        <v>44538.3600213425</v>
      </c>
      <c r="C2410" s="51">
        <v>1.029</v>
      </c>
      <c r="D2410" s="51">
        <v>63.0</v>
      </c>
      <c r="E2410" s="52" t="s">
        <v>25</v>
      </c>
      <c r="F2410" s="52" t="s">
        <v>26</v>
      </c>
      <c r="G2410" s="53"/>
    </row>
    <row r="2411">
      <c r="A2411" s="49">
        <v>44538.24546993055</v>
      </c>
      <c r="B2411" s="50">
        <v>44538.3704428587</v>
      </c>
      <c r="C2411" s="51">
        <v>1.029</v>
      </c>
      <c r="D2411" s="51">
        <v>63.0</v>
      </c>
      <c r="E2411" s="52" t="s">
        <v>25</v>
      </c>
      <c r="F2411" s="52" t="s">
        <v>26</v>
      </c>
      <c r="G2411" s="53"/>
    </row>
    <row r="2412">
      <c r="A2412" s="49">
        <v>44538.25588502314</v>
      </c>
      <c r="B2412" s="50">
        <v>44538.3808642013</v>
      </c>
      <c r="C2412" s="51">
        <v>1.029</v>
      </c>
      <c r="D2412" s="51">
        <v>63.0</v>
      </c>
      <c r="E2412" s="52" t="s">
        <v>25</v>
      </c>
      <c r="F2412" s="52" t="s">
        <v>26</v>
      </c>
      <c r="G2412" s="53"/>
    </row>
    <row r="2413">
      <c r="A2413" s="49">
        <v>44538.26631680556</v>
      </c>
      <c r="B2413" s="50">
        <v>44538.3912960416</v>
      </c>
      <c r="C2413" s="51">
        <v>1.029</v>
      </c>
      <c r="D2413" s="51">
        <v>64.0</v>
      </c>
      <c r="E2413" s="52" t="s">
        <v>25</v>
      </c>
      <c r="F2413" s="52" t="s">
        <v>26</v>
      </c>
      <c r="G2413" s="53"/>
    </row>
    <row r="2414">
      <c r="A2414" s="49">
        <v>44538.27673671296</v>
      </c>
      <c r="B2414" s="50">
        <v>44538.401715405</v>
      </c>
      <c r="C2414" s="51">
        <v>1.029</v>
      </c>
      <c r="D2414" s="51">
        <v>63.0</v>
      </c>
      <c r="E2414" s="52" t="s">
        <v>25</v>
      </c>
      <c r="F2414" s="52" t="s">
        <v>26</v>
      </c>
      <c r="G2414" s="53"/>
    </row>
    <row r="2415">
      <c r="A2415" s="49">
        <v>44538.28719524306</v>
      </c>
      <c r="B2415" s="50">
        <v>44538.412172118</v>
      </c>
      <c r="C2415" s="51">
        <v>1.029</v>
      </c>
      <c r="D2415" s="51">
        <v>63.0</v>
      </c>
      <c r="E2415" s="52" t="s">
        <v>25</v>
      </c>
      <c r="F2415" s="52" t="s">
        <v>26</v>
      </c>
      <c r="G2415" s="53"/>
    </row>
    <row r="2416">
      <c r="A2416" s="49">
        <v>44538.297650520835</v>
      </c>
      <c r="B2416" s="50">
        <v>44538.4226183796</v>
      </c>
      <c r="C2416" s="51">
        <v>1.029</v>
      </c>
      <c r="D2416" s="51">
        <v>63.0</v>
      </c>
      <c r="E2416" s="52" t="s">
        <v>25</v>
      </c>
      <c r="F2416" s="52" t="s">
        <v>26</v>
      </c>
      <c r="G2416" s="53"/>
    </row>
    <row r="2417">
      <c r="A2417" s="49">
        <v>44538.30807530093</v>
      </c>
      <c r="B2417" s="50">
        <v>44538.4330495486</v>
      </c>
      <c r="C2417" s="51">
        <v>1.029</v>
      </c>
      <c r="D2417" s="51">
        <v>63.0</v>
      </c>
      <c r="E2417" s="52" t="s">
        <v>25</v>
      </c>
      <c r="F2417" s="52" t="s">
        <v>26</v>
      </c>
      <c r="G2417" s="53"/>
    </row>
    <row r="2418">
      <c r="A2418" s="49">
        <v>44538.31853019676</v>
      </c>
      <c r="B2418" s="50">
        <v>44538.4435064583</v>
      </c>
      <c r="C2418" s="51">
        <v>1.029</v>
      </c>
      <c r="D2418" s="51">
        <v>64.0</v>
      </c>
      <c r="E2418" s="52" t="s">
        <v>25</v>
      </c>
      <c r="F2418" s="52" t="s">
        <v>26</v>
      </c>
      <c r="G2418" s="53"/>
    </row>
    <row r="2419">
      <c r="A2419" s="49">
        <v>44538.32895858797</v>
      </c>
      <c r="B2419" s="50">
        <v>44538.4539400115</v>
      </c>
      <c r="C2419" s="51">
        <v>1.029</v>
      </c>
      <c r="D2419" s="51">
        <v>63.0</v>
      </c>
      <c r="E2419" s="52" t="s">
        <v>25</v>
      </c>
      <c r="F2419" s="52" t="s">
        <v>26</v>
      </c>
      <c r="G2419" s="53"/>
    </row>
    <row r="2420">
      <c r="A2420" s="49">
        <v>44538.33939050926</v>
      </c>
      <c r="B2420" s="50">
        <v>44538.4643598726</v>
      </c>
      <c r="C2420" s="51">
        <v>1.029</v>
      </c>
      <c r="D2420" s="51">
        <v>63.0</v>
      </c>
      <c r="E2420" s="52" t="s">
        <v>25</v>
      </c>
      <c r="F2420" s="52" t="s">
        <v>26</v>
      </c>
      <c r="G2420" s="53"/>
    </row>
    <row r="2421">
      <c r="A2421" s="49">
        <v>44538.34980979167</v>
      </c>
      <c r="B2421" s="50">
        <v>44538.4747820949</v>
      </c>
      <c r="C2421" s="51">
        <v>1.029</v>
      </c>
      <c r="D2421" s="51">
        <v>63.0</v>
      </c>
      <c r="E2421" s="52" t="s">
        <v>25</v>
      </c>
      <c r="F2421" s="52" t="s">
        <v>26</v>
      </c>
      <c r="G2421" s="53"/>
    </row>
    <row r="2422">
      <c r="A2422" s="49">
        <v>44538.360239664355</v>
      </c>
      <c r="B2422" s="50">
        <v>44538.4852158796</v>
      </c>
      <c r="C2422" s="51">
        <v>1.029</v>
      </c>
      <c r="D2422" s="51">
        <v>63.0</v>
      </c>
      <c r="E2422" s="52" t="s">
        <v>25</v>
      </c>
      <c r="F2422" s="52" t="s">
        <v>26</v>
      </c>
      <c r="G2422" s="53"/>
    </row>
    <row r="2423">
      <c r="A2423" s="49">
        <v>44538.37066916667</v>
      </c>
      <c r="B2423" s="50">
        <v>44538.4956377083</v>
      </c>
      <c r="C2423" s="51">
        <v>1.029</v>
      </c>
      <c r="D2423" s="51">
        <v>63.0</v>
      </c>
      <c r="E2423" s="52" t="s">
        <v>25</v>
      </c>
      <c r="F2423" s="52" t="s">
        <v>26</v>
      </c>
      <c r="G2423" s="53"/>
    </row>
    <row r="2424">
      <c r="A2424" s="49">
        <v>44538.38108460648</v>
      </c>
      <c r="B2424" s="50">
        <v>44538.5060600115</v>
      </c>
      <c r="C2424" s="51">
        <v>1.029</v>
      </c>
      <c r="D2424" s="51">
        <v>63.0</v>
      </c>
      <c r="E2424" s="52" t="s">
        <v>25</v>
      </c>
      <c r="F2424" s="52" t="s">
        <v>26</v>
      </c>
      <c r="G2424" s="53"/>
    </row>
    <row r="2425">
      <c r="A2425" s="49">
        <v>44538.39150155093</v>
      </c>
      <c r="B2425" s="50">
        <v>44538.5164816666</v>
      </c>
      <c r="C2425" s="51">
        <v>1.029</v>
      </c>
      <c r="D2425" s="51">
        <v>63.0</v>
      </c>
      <c r="E2425" s="52" t="s">
        <v>25</v>
      </c>
      <c r="F2425" s="52" t="s">
        <v>26</v>
      </c>
      <c r="G2425" s="53"/>
    </row>
    <row r="2426">
      <c r="A2426" s="49">
        <v>44538.40193900463</v>
      </c>
      <c r="B2426" s="50">
        <v>44538.5269029629</v>
      </c>
      <c r="C2426" s="51">
        <v>1.029</v>
      </c>
      <c r="D2426" s="51">
        <v>63.0</v>
      </c>
      <c r="E2426" s="52" t="s">
        <v>25</v>
      </c>
      <c r="F2426" s="52" t="s">
        <v>26</v>
      </c>
      <c r="G2426" s="53"/>
    </row>
    <row r="2427">
      <c r="A2427" s="49">
        <v>44538.41237518519</v>
      </c>
      <c r="B2427" s="50">
        <v>44538.5373347337</v>
      </c>
      <c r="C2427" s="51">
        <v>1.029</v>
      </c>
      <c r="D2427" s="51">
        <v>63.0</v>
      </c>
      <c r="E2427" s="52" t="s">
        <v>25</v>
      </c>
      <c r="F2427" s="52" t="s">
        <v>26</v>
      </c>
      <c r="G2427" s="53"/>
    </row>
    <row r="2428">
      <c r="A2428" s="49">
        <v>44538.4227846875</v>
      </c>
      <c r="B2428" s="50">
        <v>44538.5477549189</v>
      </c>
      <c r="C2428" s="51">
        <v>1.029</v>
      </c>
      <c r="D2428" s="51">
        <v>63.0</v>
      </c>
      <c r="E2428" s="52" t="s">
        <v>25</v>
      </c>
      <c r="F2428" s="52" t="s">
        <v>26</v>
      </c>
      <c r="G2428" s="53"/>
    </row>
    <row r="2429">
      <c r="A2429" s="49">
        <v>44538.4332018287</v>
      </c>
      <c r="B2429" s="50">
        <v>44538.5581771874</v>
      </c>
      <c r="C2429" s="51">
        <v>1.029</v>
      </c>
      <c r="D2429" s="51">
        <v>63.0</v>
      </c>
      <c r="E2429" s="52" t="s">
        <v>25</v>
      </c>
      <c r="F2429" s="52" t="s">
        <v>26</v>
      </c>
      <c r="G2429" s="53"/>
    </row>
    <row r="2430">
      <c r="A2430" s="49">
        <v>44538.44361990741</v>
      </c>
      <c r="B2430" s="50">
        <v>44538.5685984259</v>
      </c>
      <c r="C2430" s="51">
        <v>1.029</v>
      </c>
      <c r="D2430" s="51">
        <v>63.0</v>
      </c>
      <c r="E2430" s="52" t="s">
        <v>25</v>
      </c>
      <c r="F2430" s="52" t="s">
        <v>26</v>
      </c>
      <c r="G2430" s="53"/>
    </row>
    <row r="2431">
      <c r="A2431" s="49">
        <v>44538.454039375</v>
      </c>
      <c r="B2431" s="50">
        <v>44538.5790202199</v>
      </c>
      <c r="C2431" s="51">
        <v>1.029</v>
      </c>
      <c r="D2431" s="51">
        <v>63.0</v>
      </c>
      <c r="E2431" s="52" t="s">
        <v>25</v>
      </c>
      <c r="F2431" s="52" t="s">
        <v>26</v>
      </c>
      <c r="G2431" s="53"/>
    </row>
    <row r="2432">
      <c r="A2432" s="49">
        <v>44538.46447361111</v>
      </c>
      <c r="B2432" s="50">
        <v>44538.5894393981</v>
      </c>
      <c r="C2432" s="51">
        <v>1.029</v>
      </c>
      <c r="D2432" s="51">
        <v>63.0</v>
      </c>
      <c r="E2432" s="52" t="s">
        <v>25</v>
      </c>
      <c r="F2432" s="52" t="s">
        <v>26</v>
      </c>
      <c r="G2432" s="53"/>
    </row>
    <row r="2433">
      <c r="A2433" s="49">
        <v>44538.47488863426</v>
      </c>
      <c r="B2433" s="50">
        <v>44538.5998618749</v>
      </c>
      <c r="C2433" s="51">
        <v>1.029</v>
      </c>
      <c r="D2433" s="51">
        <v>63.0</v>
      </c>
      <c r="E2433" s="52" t="s">
        <v>25</v>
      </c>
      <c r="F2433" s="52" t="s">
        <v>26</v>
      </c>
      <c r="G2433" s="53"/>
    </row>
    <row r="2434">
      <c r="A2434" s="49">
        <v>44538.485303611116</v>
      </c>
      <c r="B2434" s="50">
        <v>44538.6102828472</v>
      </c>
      <c r="C2434" s="51">
        <v>1.029</v>
      </c>
      <c r="D2434" s="51">
        <v>63.0</v>
      </c>
      <c r="E2434" s="52" t="s">
        <v>25</v>
      </c>
      <c r="F2434" s="52" t="s">
        <v>26</v>
      </c>
      <c r="G2434" s="53"/>
    </row>
    <row r="2435">
      <c r="A2435" s="49">
        <v>44538.49574611111</v>
      </c>
      <c r="B2435" s="50">
        <v>44538.620725949</v>
      </c>
      <c r="C2435" s="51">
        <v>1.029</v>
      </c>
      <c r="D2435" s="51">
        <v>63.0</v>
      </c>
      <c r="E2435" s="52" t="s">
        <v>25</v>
      </c>
      <c r="F2435" s="52" t="s">
        <v>26</v>
      </c>
      <c r="G2435" s="53"/>
    </row>
    <row r="2436">
      <c r="A2436" s="49">
        <v>44538.506192824076</v>
      </c>
      <c r="B2436" s="50">
        <v>44538.6311690972</v>
      </c>
      <c r="C2436" s="51">
        <v>1.029</v>
      </c>
      <c r="D2436" s="51">
        <v>63.0</v>
      </c>
      <c r="E2436" s="52" t="s">
        <v>25</v>
      </c>
      <c r="F2436" s="52" t="s">
        <v>26</v>
      </c>
      <c r="G2436" s="53"/>
    </row>
    <row r="2437">
      <c r="A2437" s="49">
        <v>44538.51662380787</v>
      </c>
      <c r="B2437" s="50">
        <v>44538.6416030787</v>
      </c>
      <c r="C2437" s="51">
        <v>1.029</v>
      </c>
      <c r="D2437" s="51">
        <v>63.0</v>
      </c>
      <c r="E2437" s="52" t="s">
        <v>25</v>
      </c>
      <c r="F2437" s="52" t="s">
        <v>26</v>
      </c>
      <c r="G2437" s="53"/>
    </row>
    <row r="2438">
      <c r="A2438" s="49">
        <v>44538.52708719907</v>
      </c>
      <c r="B2438" s="50">
        <v>44538.6520468981</v>
      </c>
      <c r="C2438" s="51">
        <v>1.029</v>
      </c>
      <c r="D2438" s="51">
        <v>63.0</v>
      </c>
      <c r="E2438" s="52" t="s">
        <v>25</v>
      </c>
      <c r="F2438" s="52" t="s">
        <v>26</v>
      </c>
      <c r="G2438" s="53"/>
    </row>
    <row r="2439">
      <c r="A2439" s="49">
        <v>44538.5374882176</v>
      </c>
      <c r="B2439" s="50">
        <v>44538.6624688541</v>
      </c>
      <c r="C2439" s="51">
        <v>1.029</v>
      </c>
      <c r="D2439" s="51">
        <v>63.0</v>
      </c>
      <c r="E2439" s="52" t="s">
        <v>25</v>
      </c>
      <c r="F2439" s="52" t="s">
        <v>26</v>
      </c>
      <c r="G2439" s="53"/>
    </row>
    <row r="2440">
      <c r="A2440" s="49">
        <v>44538.54793177084</v>
      </c>
      <c r="B2440" s="50">
        <v>44538.6729032986</v>
      </c>
      <c r="C2440" s="51">
        <v>1.029</v>
      </c>
      <c r="D2440" s="51">
        <v>63.0</v>
      </c>
      <c r="E2440" s="52" t="s">
        <v>25</v>
      </c>
      <c r="F2440" s="52" t="s">
        <v>26</v>
      </c>
      <c r="G2440" s="53"/>
    </row>
    <row r="2441">
      <c r="A2441" s="49">
        <v>44538.55834715278</v>
      </c>
      <c r="B2441" s="50">
        <v>44538.6833250925</v>
      </c>
      <c r="C2441" s="51">
        <v>1.029</v>
      </c>
      <c r="D2441" s="51">
        <v>63.0</v>
      </c>
      <c r="E2441" s="52" t="s">
        <v>25</v>
      </c>
      <c r="F2441" s="52" t="s">
        <v>26</v>
      </c>
      <c r="G2441" s="53"/>
    </row>
    <row r="2442">
      <c r="A2442" s="49">
        <v>44538.56878917824</v>
      </c>
      <c r="B2442" s="50">
        <v>44538.6937696064</v>
      </c>
      <c r="C2442" s="51">
        <v>1.029</v>
      </c>
      <c r="D2442" s="51">
        <v>63.0</v>
      </c>
      <c r="E2442" s="52" t="s">
        <v>25</v>
      </c>
      <c r="F2442" s="52" t="s">
        <v>26</v>
      </c>
      <c r="G2442" s="53"/>
    </row>
    <row r="2443">
      <c r="A2443" s="49">
        <v>44538.579216134254</v>
      </c>
      <c r="B2443" s="50">
        <v>44538.7041909953</v>
      </c>
      <c r="C2443" s="51">
        <v>1.029</v>
      </c>
      <c r="D2443" s="51">
        <v>63.0</v>
      </c>
      <c r="E2443" s="52" t="s">
        <v>25</v>
      </c>
      <c r="F2443" s="52" t="s">
        <v>26</v>
      </c>
      <c r="G2443" s="53"/>
    </row>
    <row r="2444">
      <c r="A2444" s="49">
        <v>44538.589640694445</v>
      </c>
      <c r="B2444" s="50">
        <v>44538.7146114351</v>
      </c>
      <c r="C2444" s="51">
        <v>1.029</v>
      </c>
      <c r="D2444" s="51">
        <v>63.0</v>
      </c>
      <c r="E2444" s="52" t="s">
        <v>25</v>
      </c>
      <c r="F2444" s="52" t="s">
        <v>26</v>
      </c>
      <c r="G2444" s="53"/>
    </row>
    <row r="2445">
      <c r="A2445" s="49">
        <v>44538.60005912037</v>
      </c>
      <c r="B2445" s="50">
        <v>44538.725033368</v>
      </c>
      <c r="C2445" s="51">
        <v>1.029</v>
      </c>
      <c r="D2445" s="51">
        <v>63.0</v>
      </c>
      <c r="E2445" s="52" t="s">
        <v>25</v>
      </c>
      <c r="F2445" s="52" t="s">
        <v>26</v>
      </c>
      <c r="G2445" s="53"/>
    </row>
    <row r="2446">
      <c r="A2446" s="49">
        <v>44538.610477546295</v>
      </c>
      <c r="B2446" s="50">
        <v>44538.735454699</v>
      </c>
      <c r="C2446" s="51">
        <v>1.029</v>
      </c>
      <c r="D2446" s="51">
        <v>63.0</v>
      </c>
      <c r="E2446" s="52" t="s">
        <v>25</v>
      </c>
      <c r="F2446" s="52" t="s">
        <v>26</v>
      </c>
      <c r="G2446" s="53"/>
    </row>
    <row r="2447">
      <c r="A2447" s="49">
        <v>44538.620892245366</v>
      </c>
      <c r="B2447" s="50">
        <v>44538.7458743981</v>
      </c>
      <c r="C2447" s="51">
        <v>1.029</v>
      </c>
      <c r="D2447" s="51">
        <v>63.0</v>
      </c>
      <c r="E2447" s="52" t="s">
        <v>25</v>
      </c>
      <c r="F2447" s="52" t="s">
        <v>26</v>
      </c>
      <c r="G2447" s="53"/>
    </row>
    <row r="2448">
      <c r="A2448" s="49">
        <v>44538.631322511574</v>
      </c>
      <c r="B2448" s="50">
        <v>44538.7562944444</v>
      </c>
      <c r="C2448" s="51">
        <v>1.029</v>
      </c>
      <c r="D2448" s="51">
        <v>63.0</v>
      </c>
      <c r="E2448" s="52" t="s">
        <v>25</v>
      </c>
      <c r="F2448" s="52" t="s">
        <v>26</v>
      </c>
      <c r="G2448" s="53"/>
    </row>
    <row r="2449">
      <c r="A2449" s="49">
        <v>44538.641766053246</v>
      </c>
      <c r="B2449" s="50">
        <v>44538.7667382986</v>
      </c>
      <c r="C2449" s="51">
        <v>1.029</v>
      </c>
      <c r="D2449" s="51">
        <v>63.0</v>
      </c>
      <c r="E2449" s="52" t="s">
        <v>25</v>
      </c>
      <c r="F2449" s="52" t="s">
        <v>26</v>
      </c>
      <c r="G2449" s="53"/>
    </row>
    <row r="2450">
      <c r="A2450" s="49">
        <v>44538.652177233795</v>
      </c>
      <c r="B2450" s="50">
        <v>44538.7771593981</v>
      </c>
      <c r="C2450" s="51">
        <v>1.029</v>
      </c>
      <c r="D2450" s="51">
        <v>63.0</v>
      </c>
      <c r="E2450" s="52" t="s">
        <v>25</v>
      </c>
      <c r="F2450" s="52" t="s">
        <v>26</v>
      </c>
      <c r="G2450" s="53"/>
    </row>
    <row r="2451">
      <c r="A2451" s="49">
        <v>44538.66261226852</v>
      </c>
      <c r="B2451" s="50">
        <v>44538.7875914351</v>
      </c>
      <c r="C2451" s="51">
        <v>1.029</v>
      </c>
      <c r="D2451" s="51">
        <v>63.0</v>
      </c>
      <c r="E2451" s="52" t="s">
        <v>25</v>
      </c>
      <c r="F2451" s="52" t="s">
        <v>26</v>
      </c>
      <c r="G2451" s="53"/>
    </row>
    <row r="2452">
      <c r="A2452" s="49">
        <v>44538.67305521991</v>
      </c>
      <c r="B2452" s="50">
        <v>44538.7980356365</v>
      </c>
      <c r="C2452" s="51">
        <v>1.029</v>
      </c>
      <c r="D2452" s="51">
        <v>63.0</v>
      </c>
      <c r="E2452" s="52" t="s">
        <v>25</v>
      </c>
      <c r="F2452" s="52" t="s">
        <v>26</v>
      </c>
      <c r="G2452" s="53"/>
    </row>
    <row r="2453">
      <c r="A2453" s="49">
        <v>44538.68347819445</v>
      </c>
      <c r="B2453" s="50">
        <v>44538.8084563425</v>
      </c>
      <c r="C2453" s="51">
        <v>1.029</v>
      </c>
      <c r="D2453" s="51">
        <v>63.0</v>
      </c>
      <c r="E2453" s="52" t="s">
        <v>25</v>
      </c>
      <c r="F2453" s="52" t="s">
        <v>26</v>
      </c>
      <c r="G2453" s="53"/>
    </row>
    <row r="2454">
      <c r="A2454" s="49">
        <v>44538.69390039352</v>
      </c>
      <c r="B2454" s="50">
        <v>44538.8188770949</v>
      </c>
      <c r="C2454" s="51">
        <v>1.028</v>
      </c>
      <c r="D2454" s="51">
        <v>63.0</v>
      </c>
      <c r="E2454" s="52" t="s">
        <v>25</v>
      </c>
      <c r="F2454" s="52" t="s">
        <v>26</v>
      </c>
      <c r="G2454" s="53"/>
    </row>
    <row r="2455">
      <c r="A2455" s="49">
        <v>44538.70432072917</v>
      </c>
      <c r="B2455" s="50">
        <v>44538.8292979282</v>
      </c>
      <c r="C2455" s="51">
        <v>1.029</v>
      </c>
      <c r="D2455" s="51">
        <v>63.0</v>
      </c>
      <c r="E2455" s="52" t="s">
        <v>25</v>
      </c>
      <c r="F2455" s="52" t="s">
        <v>26</v>
      </c>
      <c r="G2455" s="53"/>
    </row>
    <row r="2456">
      <c r="A2456" s="49">
        <v>44538.714732939814</v>
      </c>
      <c r="B2456" s="50">
        <v>44538.8397185416</v>
      </c>
      <c r="C2456" s="51">
        <v>1.028</v>
      </c>
      <c r="D2456" s="51">
        <v>63.0</v>
      </c>
      <c r="E2456" s="52" t="s">
        <v>25</v>
      </c>
      <c r="F2456" s="52" t="s">
        <v>26</v>
      </c>
      <c r="G2456" s="53"/>
    </row>
    <row r="2457">
      <c r="A2457" s="49">
        <v>44538.7252066088</v>
      </c>
      <c r="B2457" s="50">
        <v>44538.8501857754</v>
      </c>
      <c r="C2457" s="51">
        <v>1.028</v>
      </c>
      <c r="D2457" s="51">
        <v>63.0</v>
      </c>
      <c r="E2457" s="52" t="s">
        <v>25</v>
      </c>
      <c r="F2457" s="52" t="s">
        <v>26</v>
      </c>
      <c r="G2457" s="53"/>
    </row>
    <row r="2458">
      <c r="A2458" s="49">
        <v>44538.73562734954</v>
      </c>
      <c r="B2458" s="50">
        <v>44538.8606081249</v>
      </c>
      <c r="C2458" s="51">
        <v>1.028</v>
      </c>
      <c r="D2458" s="51">
        <v>63.0</v>
      </c>
      <c r="E2458" s="52" t="s">
        <v>25</v>
      </c>
      <c r="F2458" s="52" t="s">
        <v>26</v>
      </c>
      <c r="G2458" s="53"/>
    </row>
    <row r="2459">
      <c r="A2459" s="49">
        <v>44538.74604817129</v>
      </c>
      <c r="B2459" s="50">
        <v>44538.8710307523</v>
      </c>
      <c r="C2459" s="51">
        <v>1.028</v>
      </c>
      <c r="D2459" s="51">
        <v>63.0</v>
      </c>
      <c r="E2459" s="52" t="s">
        <v>25</v>
      </c>
      <c r="F2459" s="52" t="s">
        <v>26</v>
      </c>
      <c r="G2459" s="53"/>
    </row>
    <row r="2460">
      <c r="A2460" s="49">
        <v>44538.756466921295</v>
      </c>
      <c r="B2460" s="50">
        <v>44538.8814512731</v>
      </c>
      <c r="C2460" s="51">
        <v>1.028</v>
      </c>
      <c r="D2460" s="51">
        <v>63.0</v>
      </c>
      <c r="E2460" s="52" t="s">
        <v>25</v>
      </c>
      <c r="F2460" s="52" t="s">
        <v>26</v>
      </c>
      <c r="G2460" s="53"/>
    </row>
    <row r="2461">
      <c r="A2461" s="49">
        <v>44538.766887997685</v>
      </c>
      <c r="B2461" s="50">
        <v>44538.8918722685</v>
      </c>
      <c r="C2461" s="51">
        <v>1.028</v>
      </c>
      <c r="D2461" s="51">
        <v>63.0</v>
      </c>
      <c r="E2461" s="52" t="s">
        <v>25</v>
      </c>
      <c r="F2461" s="52" t="s">
        <v>26</v>
      </c>
      <c r="G2461" s="53"/>
    </row>
    <row r="2462">
      <c r="A2462" s="49">
        <v>44538.77731824074</v>
      </c>
      <c r="B2462" s="50">
        <v>44538.9022937615</v>
      </c>
      <c r="C2462" s="51">
        <v>1.028</v>
      </c>
      <c r="D2462" s="51">
        <v>63.0</v>
      </c>
      <c r="E2462" s="52" t="s">
        <v>25</v>
      </c>
      <c r="F2462" s="52" t="s">
        <v>26</v>
      </c>
      <c r="G2462" s="53"/>
    </row>
    <row r="2463">
      <c r="A2463" s="49">
        <v>44538.78774546296</v>
      </c>
      <c r="B2463" s="50">
        <v>44538.9127257407</v>
      </c>
      <c r="C2463" s="51">
        <v>1.029</v>
      </c>
      <c r="D2463" s="51">
        <v>63.0</v>
      </c>
      <c r="E2463" s="52" t="s">
        <v>25</v>
      </c>
      <c r="F2463" s="52" t="s">
        <v>26</v>
      </c>
      <c r="G2463" s="53"/>
    </row>
    <row r="2464">
      <c r="A2464" s="49">
        <v>44538.798203425926</v>
      </c>
      <c r="B2464" s="50">
        <v>44538.9231812731</v>
      </c>
      <c r="C2464" s="51">
        <v>1.028</v>
      </c>
      <c r="D2464" s="51">
        <v>63.0</v>
      </c>
      <c r="E2464" s="52" t="s">
        <v>25</v>
      </c>
      <c r="F2464" s="52" t="s">
        <v>26</v>
      </c>
      <c r="G2464" s="53"/>
    </row>
    <row r="2465">
      <c r="A2465" s="49">
        <v>44538.80863508102</v>
      </c>
      <c r="B2465" s="50">
        <v>44538.9336149999</v>
      </c>
      <c r="C2465" s="51">
        <v>1.028</v>
      </c>
      <c r="D2465" s="51">
        <v>63.0</v>
      </c>
      <c r="E2465" s="52" t="s">
        <v>25</v>
      </c>
      <c r="F2465" s="52" t="s">
        <v>26</v>
      </c>
      <c r="G2465" s="53"/>
    </row>
    <row r="2466">
      <c r="A2466" s="49">
        <v>44538.81905561342</v>
      </c>
      <c r="B2466" s="50">
        <v>44538.9440354976</v>
      </c>
      <c r="C2466" s="51">
        <v>1.028</v>
      </c>
      <c r="D2466" s="51">
        <v>63.0</v>
      </c>
      <c r="E2466" s="52" t="s">
        <v>25</v>
      </c>
      <c r="F2466" s="52" t="s">
        <v>26</v>
      </c>
      <c r="G2466" s="53"/>
    </row>
    <row r="2467">
      <c r="A2467" s="49">
        <v>44538.82947519676</v>
      </c>
      <c r="B2467" s="50">
        <v>44538.9544574884</v>
      </c>
      <c r="C2467" s="51">
        <v>1.028</v>
      </c>
      <c r="D2467" s="51">
        <v>63.0</v>
      </c>
      <c r="E2467" s="52" t="s">
        <v>25</v>
      </c>
      <c r="F2467" s="52" t="s">
        <v>26</v>
      </c>
      <c r="G2467" s="53"/>
    </row>
    <row r="2468">
      <c r="A2468" s="49">
        <v>44538.83991850694</v>
      </c>
      <c r="B2468" s="50">
        <v>44538.9649006481</v>
      </c>
      <c r="C2468" s="51">
        <v>1.028</v>
      </c>
      <c r="D2468" s="51">
        <v>63.0</v>
      </c>
      <c r="E2468" s="52" t="s">
        <v>25</v>
      </c>
      <c r="F2468" s="52" t="s">
        <v>26</v>
      </c>
      <c r="G2468" s="53"/>
    </row>
    <row r="2469">
      <c r="A2469" s="49">
        <v>44538.85034978009</v>
      </c>
      <c r="B2469" s="50">
        <v>44538.97532228</v>
      </c>
      <c r="C2469" s="51">
        <v>1.028</v>
      </c>
      <c r="D2469" s="51">
        <v>63.0</v>
      </c>
      <c r="E2469" s="52" t="s">
        <v>25</v>
      </c>
      <c r="F2469" s="52" t="s">
        <v>26</v>
      </c>
      <c r="G2469" s="53"/>
    </row>
    <row r="2470">
      <c r="A2470" s="49">
        <v>44538.86077684027</v>
      </c>
      <c r="B2470" s="50">
        <v>44538.9857540393</v>
      </c>
      <c r="C2470" s="51">
        <v>1.028</v>
      </c>
      <c r="D2470" s="51">
        <v>63.0</v>
      </c>
      <c r="E2470" s="52" t="s">
        <v>25</v>
      </c>
      <c r="F2470" s="52" t="s">
        <v>26</v>
      </c>
      <c r="G2470" s="53"/>
    </row>
    <row r="2471">
      <c r="A2471" s="49">
        <v>44538.871215983796</v>
      </c>
      <c r="B2471" s="50">
        <v>44538.9961872453</v>
      </c>
      <c r="C2471" s="51">
        <v>1.028</v>
      </c>
      <c r="D2471" s="51">
        <v>63.0</v>
      </c>
      <c r="E2471" s="52" t="s">
        <v>25</v>
      </c>
      <c r="F2471" s="52" t="s">
        <v>26</v>
      </c>
      <c r="G2471" s="53"/>
    </row>
    <row r="2472">
      <c r="A2472" s="49">
        <v>44538.88162866898</v>
      </c>
      <c r="B2472" s="50">
        <v>44539.006607824</v>
      </c>
      <c r="C2472" s="51">
        <v>1.028</v>
      </c>
      <c r="D2472" s="51">
        <v>63.0</v>
      </c>
      <c r="E2472" s="52" t="s">
        <v>25</v>
      </c>
      <c r="F2472" s="52" t="s">
        <v>26</v>
      </c>
      <c r="G2472" s="53"/>
    </row>
    <row r="2473">
      <c r="A2473" s="49">
        <v>44538.89206042824</v>
      </c>
      <c r="B2473" s="50">
        <v>44539.0170404629</v>
      </c>
      <c r="C2473" s="51">
        <v>1.028</v>
      </c>
      <c r="D2473" s="51">
        <v>63.0</v>
      </c>
      <c r="E2473" s="52" t="s">
        <v>25</v>
      </c>
      <c r="F2473" s="52" t="s">
        <v>26</v>
      </c>
      <c r="G2473" s="53"/>
    </row>
    <row r="2474">
      <c r="A2474" s="49">
        <v>44538.902488541666</v>
      </c>
      <c r="B2474" s="50">
        <v>44539.0274612615</v>
      </c>
      <c r="C2474" s="51">
        <v>1.028</v>
      </c>
      <c r="D2474" s="51">
        <v>63.0</v>
      </c>
      <c r="E2474" s="52" t="s">
        <v>25</v>
      </c>
      <c r="F2474" s="52" t="s">
        <v>26</v>
      </c>
      <c r="G2474" s="53"/>
    </row>
    <row r="2475">
      <c r="A2475" s="49">
        <v>44538.91291042824</v>
      </c>
      <c r="B2475" s="50">
        <v>44539.0378935532</v>
      </c>
      <c r="C2475" s="51">
        <v>1.028</v>
      </c>
      <c r="D2475" s="51">
        <v>63.0</v>
      </c>
      <c r="E2475" s="52" t="s">
        <v>25</v>
      </c>
      <c r="F2475" s="52" t="s">
        <v>26</v>
      </c>
      <c r="G2475" s="53"/>
    </row>
    <row r="2476">
      <c r="A2476" s="49">
        <v>44538.923345</v>
      </c>
      <c r="B2476" s="50">
        <v>44539.0483263425</v>
      </c>
      <c r="C2476" s="51">
        <v>1.028</v>
      </c>
      <c r="D2476" s="51">
        <v>63.0</v>
      </c>
      <c r="E2476" s="52" t="s">
        <v>25</v>
      </c>
      <c r="F2476" s="52" t="s">
        <v>26</v>
      </c>
      <c r="G2476" s="53"/>
    </row>
    <row r="2477">
      <c r="A2477" s="49">
        <v>44538.93379760417</v>
      </c>
      <c r="B2477" s="50">
        <v>44539.0587704398</v>
      </c>
      <c r="C2477" s="51">
        <v>1.028</v>
      </c>
      <c r="D2477" s="51">
        <v>63.0</v>
      </c>
      <c r="E2477" s="52" t="s">
        <v>25</v>
      </c>
      <c r="F2477" s="52" t="s">
        <v>26</v>
      </c>
      <c r="G2477" s="53"/>
    </row>
    <row r="2478">
      <c r="A2478" s="49">
        <v>44538.944219259254</v>
      </c>
      <c r="B2478" s="50">
        <v>44539.0692032986</v>
      </c>
      <c r="C2478" s="51">
        <v>1.028</v>
      </c>
      <c r="D2478" s="51">
        <v>63.0</v>
      </c>
      <c r="E2478" s="52" t="s">
        <v>25</v>
      </c>
      <c r="F2478" s="52" t="s">
        <v>26</v>
      </c>
      <c r="G2478" s="53"/>
    </row>
    <row r="2479">
      <c r="A2479" s="49">
        <v>44538.9546452662</v>
      </c>
      <c r="B2479" s="50">
        <v>44539.0796257986</v>
      </c>
      <c r="C2479" s="51">
        <v>1.028</v>
      </c>
      <c r="D2479" s="51">
        <v>63.0</v>
      </c>
      <c r="E2479" s="52" t="s">
        <v>25</v>
      </c>
      <c r="F2479" s="52" t="s">
        <v>26</v>
      </c>
      <c r="G2479" s="53"/>
    </row>
    <row r="2480">
      <c r="A2480" s="49">
        <v>44538.9650828125</v>
      </c>
      <c r="B2480" s="50">
        <v>44539.0900566087</v>
      </c>
      <c r="C2480" s="51">
        <v>1.028</v>
      </c>
      <c r="D2480" s="51">
        <v>63.0</v>
      </c>
      <c r="E2480" s="52" t="s">
        <v>25</v>
      </c>
      <c r="F2480" s="52" t="s">
        <v>26</v>
      </c>
      <c r="G2480" s="53"/>
    </row>
    <row r="2481">
      <c r="A2481" s="49">
        <v>44538.97549266204</v>
      </c>
      <c r="B2481" s="50">
        <v>44539.1004788194</v>
      </c>
      <c r="C2481" s="51">
        <v>1.028</v>
      </c>
      <c r="D2481" s="51">
        <v>63.0</v>
      </c>
      <c r="E2481" s="52" t="s">
        <v>25</v>
      </c>
      <c r="F2481" s="52" t="s">
        <v>26</v>
      </c>
      <c r="G2481" s="53"/>
    </row>
    <row r="2482">
      <c r="A2482" s="49">
        <v>44538.99637275463</v>
      </c>
      <c r="B2482" s="50">
        <v>44539.1213462037</v>
      </c>
      <c r="C2482" s="51">
        <v>1.028</v>
      </c>
      <c r="D2482" s="51">
        <v>63.0</v>
      </c>
      <c r="E2482" s="52" t="s">
        <v>25</v>
      </c>
      <c r="F2482" s="52" t="s">
        <v>26</v>
      </c>
      <c r="G2482" s="53"/>
    </row>
    <row r="2483">
      <c r="A2483" s="49">
        <v>44539.006807488426</v>
      </c>
      <c r="B2483" s="50">
        <v>44539.1317795949</v>
      </c>
      <c r="C2483" s="51">
        <v>1.028</v>
      </c>
      <c r="D2483" s="51">
        <v>63.0</v>
      </c>
      <c r="E2483" s="52" t="s">
        <v>25</v>
      </c>
      <c r="F2483" s="52" t="s">
        <v>26</v>
      </c>
      <c r="G2483" s="53"/>
    </row>
    <row r="2484">
      <c r="A2484" s="49">
        <v>44539.01723834491</v>
      </c>
      <c r="B2484" s="50">
        <v>44539.1422114699</v>
      </c>
      <c r="C2484" s="51">
        <v>1.028</v>
      </c>
      <c r="D2484" s="51">
        <v>63.0</v>
      </c>
      <c r="E2484" s="52" t="s">
        <v>25</v>
      </c>
      <c r="F2484" s="52" t="s">
        <v>26</v>
      </c>
      <c r="G2484" s="53"/>
    </row>
    <row r="2485">
      <c r="A2485" s="49">
        <v>44539.02767789352</v>
      </c>
      <c r="B2485" s="50">
        <v>44539.1526439467</v>
      </c>
      <c r="C2485" s="51">
        <v>1.028</v>
      </c>
      <c r="D2485" s="51">
        <v>63.0</v>
      </c>
      <c r="E2485" s="52" t="s">
        <v>25</v>
      </c>
      <c r="F2485" s="52" t="s">
        <v>26</v>
      </c>
      <c r="G2485" s="53"/>
    </row>
    <row r="2486">
      <c r="A2486" s="49">
        <v>44539.038107569446</v>
      </c>
      <c r="B2486" s="50">
        <v>44539.1630770254</v>
      </c>
      <c r="C2486" s="51">
        <v>1.028</v>
      </c>
      <c r="D2486" s="51">
        <v>63.0</v>
      </c>
      <c r="E2486" s="52" t="s">
        <v>25</v>
      </c>
      <c r="F2486" s="52" t="s">
        <v>26</v>
      </c>
      <c r="G2486" s="53"/>
    </row>
    <row r="2487">
      <c r="A2487" s="49">
        <v>44539.04852510417</v>
      </c>
      <c r="B2487" s="50">
        <v>44539.1734983449</v>
      </c>
      <c r="C2487" s="51">
        <v>1.028</v>
      </c>
      <c r="D2487" s="51">
        <v>63.0</v>
      </c>
      <c r="E2487" s="52" t="s">
        <v>25</v>
      </c>
      <c r="F2487" s="52" t="s">
        <v>26</v>
      </c>
      <c r="G2487" s="53"/>
    </row>
    <row r="2488">
      <c r="A2488" s="49">
        <v>44539.0589578588</v>
      </c>
      <c r="B2488" s="50">
        <v>44539.1839303935</v>
      </c>
      <c r="C2488" s="51">
        <v>1.028</v>
      </c>
      <c r="D2488" s="51">
        <v>63.0</v>
      </c>
      <c r="E2488" s="52" t="s">
        <v>25</v>
      </c>
      <c r="F2488" s="52" t="s">
        <v>26</v>
      </c>
      <c r="G2488" s="53"/>
    </row>
    <row r="2489">
      <c r="A2489" s="49">
        <v>44539.069385625</v>
      </c>
      <c r="B2489" s="50">
        <v>44539.1943631134</v>
      </c>
      <c r="C2489" s="51">
        <v>1.028</v>
      </c>
      <c r="D2489" s="51">
        <v>63.0</v>
      </c>
      <c r="E2489" s="52" t="s">
        <v>25</v>
      </c>
      <c r="F2489" s="52" t="s">
        <v>26</v>
      </c>
      <c r="G2489" s="53"/>
    </row>
    <row r="2490">
      <c r="A2490" s="49">
        <v>44539.079810428244</v>
      </c>
      <c r="B2490" s="50">
        <v>44539.2047853819</v>
      </c>
      <c r="C2490" s="51">
        <v>1.028</v>
      </c>
      <c r="D2490" s="51">
        <v>63.0</v>
      </c>
      <c r="E2490" s="52" t="s">
        <v>25</v>
      </c>
      <c r="F2490" s="52" t="s">
        <v>26</v>
      </c>
      <c r="G2490" s="53"/>
    </row>
    <row r="2491">
      <c r="A2491" s="49">
        <v>44539.09022731481</v>
      </c>
      <c r="B2491" s="50">
        <v>44539.21520625</v>
      </c>
      <c r="C2491" s="51">
        <v>1.028</v>
      </c>
      <c r="D2491" s="51">
        <v>63.0</v>
      </c>
      <c r="E2491" s="52" t="s">
        <v>25</v>
      </c>
      <c r="F2491" s="52" t="s">
        <v>26</v>
      </c>
      <c r="G2491" s="53"/>
    </row>
    <row r="2492">
      <c r="A2492" s="49">
        <v>44539.10065724537</v>
      </c>
      <c r="B2492" s="50">
        <v>44539.2256275462</v>
      </c>
      <c r="C2492" s="51">
        <v>1.028</v>
      </c>
      <c r="D2492" s="51">
        <v>63.0</v>
      </c>
      <c r="E2492" s="52" t="s">
        <v>25</v>
      </c>
      <c r="F2492" s="52" t="s">
        <v>26</v>
      </c>
      <c r="G2492" s="53"/>
    </row>
    <row r="2493">
      <c r="A2493" s="49">
        <v>44539.11110304398</v>
      </c>
      <c r="B2493" s="50">
        <v>44539.2360724189</v>
      </c>
      <c r="C2493" s="51">
        <v>1.028</v>
      </c>
      <c r="D2493" s="51">
        <v>63.0</v>
      </c>
      <c r="E2493" s="52" t="s">
        <v>25</v>
      </c>
      <c r="F2493" s="52" t="s">
        <v>26</v>
      </c>
      <c r="G2493" s="53"/>
    </row>
    <row r="2494">
      <c r="A2494" s="49">
        <v>44539.121523842594</v>
      </c>
      <c r="B2494" s="50">
        <v>44539.2464931713</v>
      </c>
      <c r="C2494" s="51">
        <v>1.028</v>
      </c>
      <c r="D2494" s="51">
        <v>63.0</v>
      </c>
      <c r="E2494" s="52" t="s">
        <v>25</v>
      </c>
      <c r="F2494" s="52" t="s">
        <v>26</v>
      </c>
      <c r="G2494" s="53"/>
    </row>
    <row r="2495">
      <c r="A2495" s="49">
        <v>44539.131943229164</v>
      </c>
      <c r="B2495" s="50">
        <v>44539.2569139583</v>
      </c>
      <c r="C2495" s="51">
        <v>1.028</v>
      </c>
      <c r="D2495" s="51">
        <v>63.0</v>
      </c>
      <c r="E2495" s="52" t="s">
        <v>25</v>
      </c>
      <c r="F2495" s="52" t="s">
        <v>26</v>
      </c>
      <c r="G2495" s="53"/>
    </row>
    <row r="2496">
      <c r="A2496" s="49">
        <v>44539.14236601852</v>
      </c>
      <c r="B2496" s="50">
        <v>44539.2673351967</v>
      </c>
      <c r="C2496" s="51">
        <v>1.028</v>
      </c>
      <c r="D2496" s="51">
        <v>63.0</v>
      </c>
      <c r="E2496" s="52" t="s">
        <v>25</v>
      </c>
      <c r="F2496" s="52" t="s">
        <v>26</v>
      </c>
      <c r="G2496" s="53"/>
    </row>
    <row r="2497">
      <c r="A2497" s="49">
        <v>44539.15278041667</v>
      </c>
      <c r="B2497" s="50">
        <v>44539.2777554282</v>
      </c>
      <c r="C2497" s="51">
        <v>1.028</v>
      </c>
      <c r="D2497" s="51">
        <v>63.0</v>
      </c>
      <c r="E2497" s="52" t="s">
        <v>25</v>
      </c>
      <c r="F2497" s="52" t="s">
        <v>26</v>
      </c>
      <c r="G2497" s="53"/>
    </row>
    <row r="2498">
      <c r="A2498" s="49">
        <v>44539.16321601852</v>
      </c>
      <c r="B2498" s="50">
        <v>44539.2881881712</v>
      </c>
      <c r="C2498" s="51">
        <v>1.028</v>
      </c>
      <c r="D2498" s="51">
        <v>63.0</v>
      </c>
      <c r="E2498" s="52" t="s">
        <v>25</v>
      </c>
      <c r="F2498" s="52" t="s">
        <v>26</v>
      </c>
      <c r="G2498" s="53"/>
    </row>
    <row r="2499">
      <c r="A2499" s="49">
        <v>44539.17385516204</v>
      </c>
      <c r="B2499" s="50">
        <v>44539.2986203125</v>
      </c>
      <c r="C2499" s="51">
        <v>1.028</v>
      </c>
      <c r="D2499" s="51">
        <v>63.0</v>
      </c>
      <c r="E2499" s="52" t="s">
        <v>25</v>
      </c>
      <c r="F2499" s="52" t="s">
        <v>26</v>
      </c>
      <c r="G2499" s="53"/>
    </row>
    <row r="2500">
      <c r="A2500" s="49">
        <v>44539.18407512731</v>
      </c>
      <c r="B2500" s="50">
        <v>44539.3090421527</v>
      </c>
      <c r="C2500" s="51">
        <v>1.028</v>
      </c>
      <c r="D2500" s="51">
        <v>63.0</v>
      </c>
      <c r="E2500" s="52" t="s">
        <v>25</v>
      </c>
      <c r="F2500" s="52" t="s">
        <v>26</v>
      </c>
      <c r="G2500" s="53"/>
    </row>
    <row r="2501">
      <c r="A2501" s="49">
        <v>44539.194499363424</v>
      </c>
      <c r="B2501" s="50">
        <v>44539.3194629166</v>
      </c>
      <c r="C2501" s="51">
        <v>1.028</v>
      </c>
      <c r="D2501" s="51">
        <v>63.0</v>
      </c>
      <c r="E2501" s="52" t="s">
        <v>25</v>
      </c>
      <c r="F2501" s="52" t="s">
        <v>26</v>
      </c>
      <c r="G2501" s="53"/>
    </row>
    <row r="2502">
      <c r="A2502" s="49">
        <v>44539.204936759255</v>
      </c>
      <c r="B2502" s="50">
        <v>44539.3298953703</v>
      </c>
      <c r="C2502" s="51">
        <v>1.028</v>
      </c>
      <c r="D2502" s="51">
        <v>63.0</v>
      </c>
      <c r="E2502" s="52" t="s">
        <v>25</v>
      </c>
      <c r="F2502" s="52" t="s">
        <v>26</v>
      </c>
      <c r="G2502" s="53"/>
    </row>
    <row r="2503">
      <c r="A2503" s="49">
        <v>44539.21535607638</v>
      </c>
      <c r="B2503" s="50">
        <v>44539.3403169328</v>
      </c>
      <c r="C2503" s="51">
        <v>1.028</v>
      </c>
      <c r="D2503" s="51">
        <v>63.0</v>
      </c>
      <c r="E2503" s="52" t="s">
        <v>25</v>
      </c>
      <c r="F2503" s="52" t="s">
        <v>26</v>
      </c>
      <c r="G2503" s="53"/>
    </row>
    <row r="2504">
      <c r="A2504" s="49">
        <v>44539.22578664352</v>
      </c>
      <c r="B2504" s="50">
        <v>44539.3507610648</v>
      </c>
      <c r="C2504" s="51">
        <v>1.028</v>
      </c>
      <c r="D2504" s="51">
        <v>63.0</v>
      </c>
      <c r="E2504" s="52" t="s">
        <v>25</v>
      </c>
      <c r="F2504" s="52" t="s">
        <v>26</v>
      </c>
      <c r="G2504" s="53"/>
    </row>
    <row r="2505">
      <c r="A2505" s="49">
        <v>44539.236220624996</v>
      </c>
      <c r="B2505" s="50">
        <v>44539.3611931018</v>
      </c>
      <c r="C2505" s="51">
        <v>1.028</v>
      </c>
      <c r="D2505" s="51">
        <v>63.0</v>
      </c>
      <c r="E2505" s="52" t="s">
        <v>25</v>
      </c>
      <c r="F2505" s="52" t="s">
        <v>26</v>
      </c>
      <c r="G2505" s="53"/>
    </row>
    <row r="2506">
      <c r="A2506" s="49">
        <v>44539.24664795139</v>
      </c>
      <c r="B2506" s="50">
        <v>44539.3716259606</v>
      </c>
      <c r="C2506" s="51">
        <v>1.028</v>
      </c>
      <c r="D2506" s="51">
        <v>63.0</v>
      </c>
      <c r="E2506" s="52" t="s">
        <v>25</v>
      </c>
      <c r="F2506" s="52" t="s">
        <v>26</v>
      </c>
      <c r="G2506" s="53"/>
    </row>
    <row r="2507">
      <c r="A2507" s="49">
        <v>44539.25710274305</v>
      </c>
      <c r="B2507" s="50">
        <v>44539.3820830092</v>
      </c>
      <c r="C2507" s="51">
        <v>1.028</v>
      </c>
      <c r="D2507" s="51">
        <v>63.0</v>
      </c>
      <c r="E2507" s="52" t="s">
        <v>25</v>
      </c>
      <c r="F2507" s="52" t="s">
        <v>26</v>
      </c>
      <c r="G2507" s="53"/>
    </row>
    <row r="2508">
      <c r="A2508" s="49">
        <v>44539.267528055556</v>
      </c>
      <c r="B2508" s="50">
        <v>44539.3925051967</v>
      </c>
      <c r="C2508" s="51">
        <v>1.028</v>
      </c>
      <c r="D2508" s="51">
        <v>63.0</v>
      </c>
      <c r="E2508" s="52" t="s">
        <v>25</v>
      </c>
      <c r="F2508" s="52" t="s">
        <v>26</v>
      </c>
      <c r="G2508" s="53"/>
    </row>
    <row r="2509">
      <c r="A2509" s="49">
        <v>44539.277961747684</v>
      </c>
      <c r="B2509" s="50">
        <v>44539.4029379513</v>
      </c>
      <c r="C2509" s="51">
        <v>1.028</v>
      </c>
      <c r="D2509" s="51">
        <v>63.0</v>
      </c>
      <c r="E2509" s="52" t="s">
        <v>25</v>
      </c>
      <c r="F2509" s="52" t="s">
        <v>26</v>
      </c>
      <c r="G2509" s="53"/>
    </row>
    <row r="2510">
      <c r="A2510" s="49">
        <v>44539.28844527778</v>
      </c>
      <c r="B2510" s="50">
        <v>44539.4134162731</v>
      </c>
      <c r="C2510" s="51">
        <v>1.028</v>
      </c>
      <c r="D2510" s="51">
        <v>63.0</v>
      </c>
      <c r="E2510" s="52" t="s">
        <v>25</v>
      </c>
      <c r="F2510" s="52" t="s">
        <v>26</v>
      </c>
      <c r="G2510" s="53"/>
    </row>
    <row r="2511">
      <c r="A2511" s="49">
        <v>44539.29888793982</v>
      </c>
      <c r="B2511" s="50">
        <v>44539.4238612615</v>
      </c>
      <c r="C2511" s="51">
        <v>1.028</v>
      </c>
      <c r="D2511" s="51">
        <v>63.0</v>
      </c>
      <c r="E2511" s="52" t="s">
        <v>25</v>
      </c>
      <c r="F2511" s="52" t="s">
        <v>26</v>
      </c>
      <c r="G2511" s="53"/>
    </row>
    <row r="2512">
      <c r="A2512" s="49">
        <v>44539.309311296296</v>
      </c>
      <c r="B2512" s="50">
        <v>44539.4342815277</v>
      </c>
      <c r="C2512" s="51">
        <v>1.028</v>
      </c>
      <c r="D2512" s="51">
        <v>63.0</v>
      </c>
      <c r="E2512" s="52" t="s">
        <v>25</v>
      </c>
      <c r="F2512" s="52" t="s">
        <v>26</v>
      </c>
      <c r="G2512" s="53"/>
    </row>
    <row r="2513">
      <c r="A2513" s="49">
        <v>44539.319729571755</v>
      </c>
      <c r="B2513" s="50">
        <v>44539.4447026273</v>
      </c>
      <c r="C2513" s="51">
        <v>1.028</v>
      </c>
      <c r="D2513" s="51">
        <v>63.0</v>
      </c>
      <c r="E2513" s="52" t="s">
        <v>25</v>
      </c>
      <c r="F2513" s="52" t="s">
        <v>26</v>
      </c>
      <c r="G2513" s="53"/>
    </row>
    <row r="2514">
      <c r="A2514" s="49">
        <v>44539.33016550926</v>
      </c>
      <c r="B2514" s="50">
        <v>44539.4551352314</v>
      </c>
      <c r="C2514" s="51">
        <v>1.028</v>
      </c>
      <c r="D2514" s="51">
        <v>63.0</v>
      </c>
      <c r="E2514" s="52" t="s">
        <v>25</v>
      </c>
      <c r="F2514" s="52" t="s">
        <v>26</v>
      </c>
      <c r="G2514" s="53"/>
    </row>
    <row r="2515">
      <c r="A2515" s="49">
        <v>44539.34058091435</v>
      </c>
      <c r="B2515" s="50">
        <v>44539.4655553356</v>
      </c>
      <c r="C2515" s="51">
        <v>1.028</v>
      </c>
      <c r="D2515" s="51">
        <v>63.0</v>
      </c>
      <c r="E2515" s="52" t="s">
        <v>25</v>
      </c>
      <c r="F2515" s="52" t="s">
        <v>26</v>
      </c>
      <c r="G2515" s="53"/>
    </row>
    <row r="2516">
      <c r="A2516" s="49">
        <v>44539.35100096065</v>
      </c>
      <c r="B2516" s="50">
        <v>44539.4759769791</v>
      </c>
      <c r="C2516" s="51">
        <v>1.028</v>
      </c>
      <c r="D2516" s="51">
        <v>63.0</v>
      </c>
      <c r="E2516" s="52" t="s">
        <v>25</v>
      </c>
      <c r="F2516" s="52" t="s">
        <v>26</v>
      </c>
      <c r="G2516" s="53"/>
    </row>
    <row r="2517">
      <c r="A2517" s="49">
        <v>44539.36142086805</v>
      </c>
      <c r="B2517" s="50">
        <v>44539.4863975231</v>
      </c>
      <c r="C2517" s="51">
        <v>1.028</v>
      </c>
      <c r="D2517" s="51">
        <v>63.0</v>
      </c>
      <c r="E2517" s="52" t="s">
        <v>25</v>
      </c>
      <c r="F2517" s="52" t="s">
        <v>26</v>
      </c>
      <c r="G2517" s="53"/>
    </row>
    <row r="2518">
      <c r="A2518" s="49">
        <v>44539.37184893519</v>
      </c>
      <c r="B2518" s="50">
        <v>44539.4968293634</v>
      </c>
      <c r="C2518" s="51">
        <v>1.028</v>
      </c>
      <c r="D2518" s="51">
        <v>63.0</v>
      </c>
      <c r="E2518" s="52" t="s">
        <v>25</v>
      </c>
      <c r="F2518" s="52" t="s">
        <v>26</v>
      </c>
      <c r="G2518" s="53"/>
    </row>
    <row r="2519">
      <c r="A2519" s="49">
        <v>44539.38229569445</v>
      </c>
      <c r="B2519" s="50">
        <v>44539.5072633912</v>
      </c>
      <c r="C2519" s="51">
        <v>1.028</v>
      </c>
      <c r="D2519" s="51">
        <v>63.0</v>
      </c>
      <c r="E2519" s="52" t="s">
        <v>25</v>
      </c>
      <c r="F2519" s="52" t="s">
        <v>26</v>
      </c>
      <c r="G2519" s="53"/>
    </row>
    <row r="2520">
      <c r="A2520" s="49">
        <v>44539.392712175926</v>
      </c>
      <c r="B2520" s="50">
        <v>44539.5176854629</v>
      </c>
      <c r="C2520" s="51">
        <v>1.028</v>
      </c>
      <c r="D2520" s="51">
        <v>63.0</v>
      </c>
      <c r="E2520" s="52" t="s">
        <v>25</v>
      </c>
      <c r="F2520" s="52" t="s">
        <v>26</v>
      </c>
      <c r="G2520" s="53"/>
    </row>
    <row r="2521">
      <c r="A2521" s="49">
        <v>44539.40313041667</v>
      </c>
      <c r="B2521" s="50">
        <v>44539.5281053587</v>
      </c>
      <c r="C2521" s="51">
        <v>1.028</v>
      </c>
      <c r="D2521" s="51">
        <v>63.0</v>
      </c>
      <c r="E2521" s="52" t="s">
        <v>25</v>
      </c>
      <c r="F2521" s="52" t="s">
        <v>26</v>
      </c>
      <c r="G2521" s="53"/>
    </row>
    <row r="2522">
      <c r="A2522" s="49">
        <v>44539.413546932876</v>
      </c>
      <c r="B2522" s="50">
        <v>44539.5385255787</v>
      </c>
      <c r="C2522" s="51">
        <v>1.028</v>
      </c>
      <c r="D2522" s="51">
        <v>63.0</v>
      </c>
      <c r="E2522" s="52" t="s">
        <v>25</v>
      </c>
      <c r="F2522" s="52" t="s">
        <v>26</v>
      </c>
      <c r="G2522" s="53"/>
    </row>
    <row r="2523">
      <c r="A2523" s="49">
        <v>44539.42397520834</v>
      </c>
      <c r="B2523" s="50">
        <v>44539.5489454745</v>
      </c>
      <c r="C2523" s="51">
        <v>1.028</v>
      </c>
      <c r="D2523" s="51">
        <v>63.0</v>
      </c>
      <c r="E2523" s="52" t="s">
        <v>25</v>
      </c>
      <c r="F2523" s="52" t="s">
        <v>26</v>
      </c>
      <c r="G2523" s="53"/>
    </row>
    <row r="2524">
      <c r="A2524" s="49">
        <v>44539.4344125</v>
      </c>
      <c r="B2524" s="50">
        <v>44539.5593775463</v>
      </c>
      <c r="C2524" s="51">
        <v>1.028</v>
      </c>
      <c r="D2524" s="51">
        <v>63.0</v>
      </c>
      <c r="E2524" s="52" t="s">
        <v>25</v>
      </c>
      <c r="F2524" s="52" t="s">
        <v>26</v>
      </c>
      <c r="G2524" s="53"/>
    </row>
    <row r="2525">
      <c r="A2525" s="49">
        <v>44539.44483871528</v>
      </c>
      <c r="B2525" s="50">
        <v>44539.5698129629</v>
      </c>
      <c r="C2525" s="51">
        <v>1.028</v>
      </c>
      <c r="D2525" s="51">
        <v>63.0</v>
      </c>
      <c r="E2525" s="52" t="s">
        <v>25</v>
      </c>
      <c r="F2525" s="52" t="s">
        <v>26</v>
      </c>
      <c r="G2525" s="53"/>
    </row>
    <row r="2526">
      <c r="A2526" s="49">
        <v>44539.455263923606</v>
      </c>
      <c r="B2526" s="50">
        <v>44539.5802361689</v>
      </c>
      <c r="C2526" s="51">
        <v>1.028</v>
      </c>
      <c r="D2526" s="51">
        <v>63.0</v>
      </c>
      <c r="E2526" s="52" t="s">
        <v>25</v>
      </c>
      <c r="F2526" s="52" t="s">
        <v>26</v>
      </c>
      <c r="G2526" s="53"/>
    </row>
    <row r="2527">
      <c r="A2527" s="49">
        <v>44539.46568</v>
      </c>
      <c r="B2527" s="50">
        <v>44539.5906570138</v>
      </c>
      <c r="C2527" s="51">
        <v>1.028</v>
      </c>
      <c r="D2527" s="51">
        <v>63.0</v>
      </c>
      <c r="E2527" s="52" t="s">
        <v>25</v>
      </c>
      <c r="F2527" s="52" t="s">
        <v>26</v>
      </c>
      <c r="G2527" s="53"/>
    </row>
    <row r="2528">
      <c r="A2528" s="49">
        <v>44539.47609888889</v>
      </c>
      <c r="B2528" s="50">
        <v>44539.6010768287</v>
      </c>
      <c r="C2528" s="51">
        <v>1.028</v>
      </c>
      <c r="D2528" s="51">
        <v>63.0</v>
      </c>
      <c r="E2528" s="52" t="s">
        <v>25</v>
      </c>
      <c r="F2528" s="52" t="s">
        <v>26</v>
      </c>
      <c r="G2528" s="53"/>
    </row>
    <row r="2529">
      <c r="A2529" s="49">
        <v>44539.486533055555</v>
      </c>
      <c r="B2529" s="50">
        <v>44539.6115107754</v>
      </c>
      <c r="C2529" s="51">
        <v>1.028</v>
      </c>
      <c r="D2529" s="51">
        <v>63.0</v>
      </c>
      <c r="E2529" s="52" t="s">
        <v>25</v>
      </c>
      <c r="F2529" s="52" t="s">
        <v>26</v>
      </c>
      <c r="G2529" s="53"/>
    </row>
    <row r="2530">
      <c r="A2530" s="49">
        <v>44539.49695127315</v>
      </c>
      <c r="B2530" s="50">
        <v>44539.6219323611</v>
      </c>
      <c r="C2530" s="51">
        <v>1.028</v>
      </c>
      <c r="D2530" s="51">
        <v>63.0</v>
      </c>
      <c r="E2530" s="52" t="s">
        <v>25</v>
      </c>
      <c r="F2530" s="52" t="s">
        <v>26</v>
      </c>
      <c r="G2530" s="53"/>
    </row>
    <row r="2531">
      <c r="A2531" s="49">
        <v>44539.507379305556</v>
      </c>
      <c r="B2531" s="50">
        <v>44539.6323543402</v>
      </c>
      <c r="C2531" s="51">
        <v>1.028</v>
      </c>
      <c r="D2531" s="51">
        <v>63.0</v>
      </c>
      <c r="E2531" s="52" t="s">
        <v>25</v>
      </c>
      <c r="F2531" s="52" t="s">
        <v>26</v>
      </c>
      <c r="G2531" s="53"/>
    </row>
    <row r="2532">
      <c r="A2532" s="49">
        <v>44539.51782017361</v>
      </c>
      <c r="B2532" s="50">
        <v>44539.6427975925</v>
      </c>
      <c r="C2532" s="51">
        <v>1.028</v>
      </c>
      <c r="D2532" s="51">
        <v>63.0</v>
      </c>
      <c r="E2532" s="52" t="s">
        <v>25</v>
      </c>
      <c r="F2532" s="52" t="s">
        <v>26</v>
      </c>
      <c r="G2532" s="53"/>
    </row>
    <row r="2533">
      <c r="A2533" s="49">
        <v>44539.528253055556</v>
      </c>
      <c r="B2533" s="50">
        <v>44539.6532294444</v>
      </c>
      <c r="C2533" s="51">
        <v>1.028</v>
      </c>
      <c r="D2533" s="51">
        <v>63.0</v>
      </c>
      <c r="E2533" s="52" t="s">
        <v>25</v>
      </c>
      <c r="F2533" s="52" t="s">
        <v>26</v>
      </c>
      <c r="G2533" s="53"/>
    </row>
    <row r="2534">
      <c r="A2534" s="49">
        <v>44539.53868103009</v>
      </c>
      <c r="B2534" s="50">
        <v>44539.6636611342</v>
      </c>
      <c r="C2534" s="51">
        <v>1.028</v>
      </c>
      <c r="D2534" s="51">
        <v>63.0</v>
      </c>
      <c r="E2534" s="52" t="s">
        <v>25</v>
      </c>
      <c r="F2534" s="52" t="s">
        <v>26</v>
      </c>
      <c r="G2534" s="53"/>
    </row>
    <row r="2535">
      <c r="A2535" s="49">
        <v>44539.54916284722</v>
      </c>
      <c r="B2535" s="50">
        <v>44539.6740934722</v>
      </c>
      <c r="C2535" s="51">
        <v>1.027</v>
      </c>
      <c r="D2535" s="51">
        <v>63.0</v>
      </c>
      <c r="E2535" s="52" t="s">
        <v>25</v>
      </c>
      <c r="F2535" s="52" t="s">
        <v>26</v>
      </c>
      <c r="G2535" s="53"/>
    </row>
    <row r="2536">
      <c r="A2536" s="49">
        <v>44539.5595775463</v>
      </c>
      <c r="B2536" s="50">
        <v>44539.6845262152</v>
      </c>
      <c r="C2536" s="51">
        <v>1.027</v>
      </c>
      <c r="D2536" s="51">
        <v>63.0</v>
      </c>
      <c r="E2536" s="52" t="s">
        <v>25</v>
      </c>
      <c r="F2536" s="52" t="s">
        <v>26</v>
      </c>
      <c r="G2536" s="53"/>
    </row>
    <row r="2537">
      <c r="A2537" s="49">
        <v>44539.57000457176</v>
      </c>
      <c r="B2537" s="50">
        <v>44539.6949474768</v>
      </c>
      <c r="C2537" s="51">
        <v>1.028</v>
      </c>
      <c r="D2537" s="51">
        <v>63.0</v>
      </c>
      <c r="E2537" s="52" t="s">
        <v>25</v>
      </c>
      <c r="F2537" s="52" t="s">
        <v>26</v>
      </c>
      <c r="G2537" s="53"/>
    </row>
    <row r="2538">
      <c r="A2538" s="49">
        <v>44539.58042866898</v>
      </c>
      <c r="B2538" s="50">
        <v>44539.7053813888</v>
      </c>
      <c r="C2538" s="51">
        <v>1.027</v>
      </c>
      <c r="D2538" s="51">
        <v>63.0</v>
      </c>
      <c r="E2538" s="52" t="s">
        <v>25</v>
      </c>
      <c r="F2538" s="52" t="s">
        <v>26</v>
      </c>
      <c r="G2538" s="53"/>
    </row>
    <row r="2539">
      <c r="A2539" s="49">
        <v>44539.59082251157</v>
      </c>
      <c r="B2539" s="50">
        <v>44539.7158012615</v>
      </c>
      <c r="C2539" s="51">
        <v>1.028</v>
      </c>
      <c r="D2539" s="51">
        <v>63.0</v>
      </c>
      <c r="E2539" s="52" t="s">
        <v>25</v>
      </c>
      <c r="F2539" s="52" t="s">
        <v>26</v>
      </c>
      <c r="G2539" s="53"/>
    </row>
    <row r="2540">
      <c r="A2540" s="49">
        <v>44539.60131326389</v>
      </c>
      <c r="B2540" s="50">
        <v>44539.7262583101</v>
      </c>
      <c r="C2540" s="51">
        <v>1.027</v>
      </c>
      <c r="D2540" s="51">
        <v>63.0</v>
      </c>
      <c r="E2540" s="52" t="s">
        <v>25</v>
      </c>
      <c r="F2540" s="52" t="s">
        <v>26</v>
      </c>
      <c r="G2540" s="53"/>
    </row>
    <row r="2541">
      <c r="A2541" s="49">
        <v>44539.611729745375</v>
      </c>
      <c r="B2541" s="50">
        <v>44539.7366805555</v>
      </c>
      <c r="C2541" s="51">
        <v>1.028</v>
      </c>
      <c r="D2541" s="51">
        <v>63.0</v>
      </c>
      <c r="E2541" s="52" t="s">
        <v>25</v>
      </c>
      <c r="F2541" s="52" t="s">
        <v>26</v>
      </c>
      <c r="G2541" s="53"/>
    </row>
    <row r="2542">
      <c r="A2542" s="49">
        <v>44539.6221544213</v>
      </c>
      <c r="B2542" s="50">
        <v>44539.747113449</v>
      </c>
      <c r="C2542" s="51">
        <v>1.028</v>
      </c>
      <c r="D2542" s="51">
        <v>63.0</v>
      </c>
      <c r="E2542" s="52" t="s">
        <v>25</v>
      </c>
      <c r="F2542" s="52" t="s">
        <v>26</v>
      </c>
      <c r="G2542" s="53"/>
    </row>
    <row r="2543">
      <c r="A2543" s="49">
        <v>44539.632566875</v>
      </c>
      <c r="B2543" s="50">
        <v>44539.7575467129</v>
      </c>
      <c r="C2543" s="51">
        <v>1.028</v>
      </c>
      <c r="D2543" s="51">
        <v>63.0</v>
      </c>
      <c r="E2543" s="52" t="s">
        <v>25</v>
      </c>
      <c r="F2543" s="52" t="s">
        <v>26</v>
      </c>
      <c r="G2543" s="53"/>
    </row>
    <row r="2544">
      <c r="A2544" s="49">
        <v>44539.64299841435</v>
      </c>
      <c r="B2544" s="50">
        <v>44539.7679683333</v>
      </c>
      <c r="C2544" s="51">
        <v>1.027</v>
      </c>
      <c r="D2544" s="51">
        <v>63.0</v>
      </c>
      <c r="E2544" s="52" t="s">
        <v>25</v>
      </c>
      <c r="F2544" s="52" t="s">
        <v>26</v>
      </c>
      <c r="G2544" s="53"/>
    </row>
    <row r="2545">
      <c r="A2545" s="49">
        <v>44539.65344228009</v>
      </c>
      <c r="B2545" s="50">
        <v>44539.778388206</v>
      </c>
      <c r="C2545" s="51">
        <v>1.027</v>
      </c>
      <c r="D2545" s="51">
        <v>63.0</v>
      </c>
      <c r="E2545" s="52" t="s">
        <v>25</v>
      </c>
      <c r="F2545" s="52" t="s">
        <v>26</v>
      </c>
      <c r="G2545" s="53"/>
    </row>
    <row r="2546">
      <c r="A2546" s="49">
        <v>44539.66385856482</v>
      </c>
      <c r="B2546" s="50">
        <v>44539.7888203472</v>
      </c>
      <c r="C2546" s="51">
        <v>1.027</v>
      </c>
      <c r="D2546" s="51">
        <v>63.0</v>
      </c>
      <c r="E2546" s="52" t="s">
        <v>25</v>
      </c>
      <c r="F2546" s="52" t="s">
        <v>26</v>
      </c>
      <c r="G2546" s="53"/>
    </row>
    <row r="2547">
      <c r="A2547" s="49">
        <v>44539.674279548606</v>
      </c>
      <c r="B2547" s="50">
        <v>44539.799242824</v>
      </c>
      <c r="C2547" s="51">
        <v>1.028</v>
      </c>
      <c r="D2547" s="51">
        <v>63.0</v>
      </c>
      <c r="E2547" s="52" t="s">
        <v>25</v>
      </c>
      <c r="F2547" s="52" t="s">
        <v>26</v>
      </c>
      <c r="G2547" s="53"/>
    </row>
    <row r="2548">
      <c r="A2548" s="49">
        <v>44539.68469637731</v>
      </c>
      <c r="B2548" s="50">
        <v>44539.8096635532</v>
      </c>
      <c r="C2548" s="51">
        <v>1.028</v>
      </c>
      <c r="D2548" s="51">
        <v>63.0</v>
      </c>
      <c r="E2548" s="52" t="s">
        <v>25</v>
      </c>
      <c r="F2548" s="52" t="s">
        <v>26</v>
      </c>
      <c r="G2548" s="53"/>
    </row>
    <row r="2549">
      <c r="A2549" s="49">
        <v>44539.6951184375</v>
      </c>
      <c r="B2549" s="50">
        <v>44539.8200837152</v>
      </c>
      <c r="C2549" s="51">
        <v>1.028</v>
      </c>
      <c r="D2549" s="51">
        <v>63.0</v>
      </c>
      <c r="E2549" s="52" t="s">
        <v>25</v>
      </c>
      <c r="F2549" s="52" t="s">
        <v>26</v>
      </c>
      <c r="G2549" s="53"/>
    </row>
    <row r="2550">
      <c r="A2550" s="49">
        <v>44539.70554913195</v>
      </c>
      <c r="B2550" s="50">
        <v>44539.8305049305</v>
      </c>
      <c r="C2550" s="51">
        <v>1.027</v>
      </c>
      <c r="D2550" s="51">
        <v>63.0</v>
      </c>
      <c r="E2550" s="52" t="s">
        <v>25</v>
      </c>
      <c r="F2550" s="52" t="s">
        <v>26</v>
      </c>
      <c r="G2550" s="53"/>
    </row>
    <row r="2551">
      <c r="A2551" s="49">
        <v>44539.71597020833</v>
      </c>
      <c r="B2551" s="50">
        <v>44539.8409385879</v>
      </c>
      <c r="C2551" s="51">
        <v>1.028</v>
      </c>
      <c r="D2551" s="51">
        <v>63.0</v>
      </c>
      <c r="E2551" s="52" t="s">
        <v>25</v>
      </c>
      <c r="F2551" s="52" t="s">
        <v>26</v>
      </c>
      <c r="G2551" s="53"/>
    </row>
    <row r="2552">
      <c r="A2552" s="49">
        <v>44539.72639228009</v>
      </c>
      <c r="B2552" s="50">
        <v>44539.8513601273</v>
      </c>
      <c r="C2552" s="51">
        <v>1.028</v>
      </c>
      <c r="D2552" s="51">
        <v>63.0</v>
      </c>
      <c r="E2552" s="52" t="s">
        <v>25</v>
      </c>
      <c r="F2552" s="52" t="s">
        <v>26</v>
      </c>
      <c r="G2552" s="53"/>
    </row>
    <row r="2553">
      <c r="A2553" s="49">
        <v>44539.7368277662</v>
      </c>
      <c r="B2553" s="50">
        <v>44539.8617937615</v>
      </c>
      <c r="C2553" s="51">
        <v>1.027</v>
      </c>
      <c r="D2553" s="51">
        <v>63.0</v>
      </c>
      <c r="E2553" s="52" t="s">
        <v>25</v>
      </c>
      <c r="F2553" s="52" t="s">
        <v>26</v>
      </c>
      <c r="G2553" s="53"/>
    </row>
    <row r="2554">
      <c r="A2554" s="49">
        <v>44539.747272685185</v>
      </c>
      <c r="B2554" s="50">
        <v>44539.8722515162</v>
      </c>
      <c r="C2554" s="51">
        <v>1.028</v>
      </c>
      <c r="D2554" s="51">
        <v>63.0</v>
      </c>
      <c r="E2554" s="52" t="s">
        <v>25</v>
      </c>
      <c r="F2554" s="52" t="s">
        <v>26</v>
      </c>
      <c r="G2554" s="53"/>
    </row>
    <row r="2555">
      <c r="A2555" s="49">
        <v>44539.75771253472</v>
      </c>
      <c r="B2555" s="50">
        <v>44539.8826840277</v>
      </c>
      <c r="C2555" s="51">
        <v>1.027</v>
      </c>
      <c r="D2555" s="51">
        <v>63.0</v>
      </c>
      <c r="E2555" s="52" t="s">
        <v>25</v>
      </c>
      <c r="F2555" s="52" t="s">
        <v>26</v>
      </c>
      <c r="G2555" s="53"/>
    </row>
    <row r="2556">
      <c r="A2556" s="49">
        <v>44539.76816940973</v>
      </c>
      <c r="B2556" s="50">
        <v>44539.8931385532</v>
      </c>
      <c r="C2556" s="51">
        <v>1.027</v>
      </c>
      <c r="D2556" s="51">
        <v>63.0</v>
      </c>
      <c r="E2556" s="52" t="s">
        <v>25</v>
      </c>
      <c r="F2556" s="52" t="s">
        <v>26</v>
      </c>
      <c r="G2556" s="53"/>
    </row>
    <row r="2557">
      <c r="A2557" s="49">
        <v>44539.77860068287</v>
      </c>
      <c r="B2557" s="50">
        <v>44539.9035703009</v>
      </c>
      <c r="C2557" s="51">
        <v>1.027</v>
      </c>
      <c r="D2557" s="51">
        <v>63.0</v>
      </c>
      <c r="E2557" s="52" t="s">
        <v>25</v>
      </c>
      <c r="F2557" s="52" t="s">
        <v>26</v>
      </c>
      <c r="G2557" s="53"/>
    </row>
    <row r="2558">
      <c r="A2558" s="49">
        <v>44539.78902726852</v>
      </c>
      <c r="B2558" s="50">
        <v>44539.9140014467</v>
      </c>
      <c r="C2558" s="51">
        <v>1.027</v>
      </c>
      <c r="D2558" s="51">
        <v>63.0</v>
      </c>
      <c r="E2558" s="52" t="s">
        <v>25</v>
      </c>
      <c r="F2558" s="52" t="s">
        <v>26</v>
      </c>
      <c r="G2558" s="53"/>
    </row>
    <row r="2559">
      <c r="A2559" s="49">
        <v>44539.799447604164</v>
      </c>
      <c r="B2559" s="50">
        <v>44539.9244218055</v>
      </c>
      <c r="C2559" s="51">
        <v>1.027</v>
      </c>
      <c r="D2559" s="51">
        <v>63.0</v>
      </c>
      <c r="E2559" s="52" t="s">
        <v>25</v>
      </c>
      <c r="F2559" s="52" t="s">
        <v>26</v>
      </c>
      <c r="G2559" s="53"/>
    </row>
    <row r="2560">
      <c r="A2560" s="49">
        <v>44539.80987402778</v>
      </c>
      <c r="B2560" s="50">
        <v>44539.9348548032</v>
      </c>
      <c r="C2560" s="51">
        <v>1.027</v>
      </c>
      <c r="D2560" s="51">
        <v>63.0</v>
      </c>
      <c r="E2560" s="52" t="s">
        <v>25</v>
      </c>
      <c r="F2560" s="52" t="s">
        <v>26</v>
      </c>
      <c r="G2560" s="53"/>
    </row>
    <row r="2561">
      <c r="A2561" s="49">
        <v>44539.8203059375</v>
      </c>
      <c r="B2561" s="50">
        <v>44539.945277581</v>
      </c>
      <c r="C2561" s="51">
        <v>1.027</v>
      </c>
      <c r="D2561" s="51">
        <v>63.0</v>
      </c>
      <c r="E2561" s="52" t="s">
        <v>25</v>
      </c>
      <c r="F2561" s="52" t="s">
        <v>26</v>
      </c>
      <c r="G2561" s="53"/>
    </row>
    <row r="2562">
      <c r="A2562" s="49">
        <v>44539.830717997684</v>
      </c>
      <c r="B2562" s="50">
        <v>44539.9556993634</v>
      </c>
      <c r="C2562" s="51">
        <v>1.028</v>
      </c>
      <c r="D2562" s="51">
        <v>63.0</v>
      </c>
      <c r="E2562" s="52" t="s">
        <v>25</v>
      </c>
      <c r="F2562" s="52" t="s">
        <v>26</v>
      </c>
      <c r="G2562" s="53"/>
    </row>
    <row r="2563">
      <c r="A2563" s="49">
        <v>44539.841150625</v>
      </c>
      <c r="B2563" s="50">
        <v>44539.9661307638</v>
      </c>
      <c r="C2563" s="51">
        <v>1.027</v>
      </c>
      <c r="D2563" s="51">
        <v>63.0</v>
      </c>
      <c r="E2563" s="52" t="s">
        <v>25</v>
      </c>
      <c r="F2563" s="52" t="s">
        <v>26</v>
      </c>
      <c r="G2563" s="53"/>
    </row>
    <row r="2564">
      <c r="A2564" s="49">
        <v>44539.85158291667</v>
      </c>
      <c r="B2564" s="50">
        <v>44539.976553449</v>
      </c>
      <c r="C2564" s="51">
        <v>1.027</v>
      </c>
      <c r="D2564" s="51">
        <v>63.0</v>
      </c>
      <c r="E2564" s="52" t="s">
        <v>25</v>
      </c>
      <c r="F2564" s="52" t="s">
        <v>26</v>
      </c>
      <c r="G2564" s="53"/>
    </row>
    <row r="2565">
      <c r="A2565" s="49">
        <v>44539.86199677084</v>
      </c>
      <c r="B2565" s="50">
        <v>44539.9869744444</v>
      </c>
      <c r="C2565" s="51">
        <v>1.027</v>
      </c>
      <c r="D2565" s="51">
        <v>63.0</v>
      </c>
      <c r="E2565" s="52" t="s">
        <v>25</v>
      </c>
      <c r="F2565" s="52" t="s">
        <v>26</v>
      </c>
      <c r="G2565" s="53"/>
    </row>
    <row r="2566">
      <c r="A2566" s="49">
        <v>44539.87241871528</v>
      </c>
      <c r="B2566" s="50">
        <v>44539.9973982175</v>
      </c>
      <c r="C2566" s="51">
        <v>1.027</v>
      </c>
      <c r="D2566" s="51">
        <v>63.0</v>
      </c>
      <c r="E2566" s="52" t="s">
        <v>25</v>
      </c>
      <c r="F2566" s="52" t="s">
        <v>26</v>
      </c>
      <c r="G2566" s="53"/>
    </row>
    <row r="2567">
      <c r="A2567" s="49">
        <v>44539.88286333333</v>
      </c>
      <c r="B2567" s="50">
        <v>44540.0078414467</v>
      </c>
      <c r="C2567" s="51">
        <v>1.028</v>
      </c>
      <c r="D2567" s="51">
        <v>63.0</v>
      </c>
      <c r="E2567" s="52" t="s">
        <v>25</v>
      </c>
      <c r="F2567" s="52" t="s">
        <v>26</v>
      </c>
      <c r="G2567" s="53"/>
    </row>
    <row r="2568">
      <c r="A2568" s="49">
        <v>44539.893311747684</v>
      </c>
      <c r="B2568" s="50">
        <v>44540.0182855671</v>
      </c>
      <c r="C2568" s="51">
        <v>1.027</v>
      </c>
      <c r="D2568" s="51">
        <v>63.0</v>
      </c>
      <c r="E2568" s="52" t="s">
        <v>25</v>
      </c>
      <c r="F2568" s="52" t="s">
        <v>26</v>
      </c>
      <c r="G2568" s="53"/>
    </row>
    <row r="2569">
      <c r="A2569" s="49">
        <v>44539.90373039352</v>
      </c>
      <c r="B2569" s="50">
        <v>44540.0287061458</v>
      </c>
      <c r="C2569" s="51">
        <v>1.027</v>
      </c>
      <c r="D2569" s="51">
        <v>63.0</v>
      </c>
      <c r="E2569" s="52" t="s">
        <v>25</v>
      </c>
      <c r="F2569" s="52" t="s">
        <v>26</v>
      </c>
      <c r="G2569" s="53"/>
    </row>
    <row r="2570">
      <c r="A2570" s="49">
        <v>44539.914144780094</v>
      </c>
      <c r="B2570" s="50">
        <v>44540.0391273032</v>
      </c>
      <c r="C2570" s="51">
        <v>1.027</v>
      </c>
      <c r="D2570" s="51">
        <v>63.0</v>
      </c>
      <c r="E2570" s="52" t="s">
        <v>25</v>
      </c>
      <c r="F2570" s="52" t="s">
        <v>26</v>
      </c>
      <c r="G2570" s="53"/>
    </row>
    <row r="2571">
      <c r="A2571" s="49">
        <v>44539.92457234954</v>
      </c>
      <c r="B2571" s="50">
        <v>44540.0495501388</v>
      </c>
      <c r="C2571" s="51">
        <v>1.027</v>
      </c>
      <c r="D2571" s="51">
        <v>63.0</v>
      </c>
      <c r="E2571" s="52" t="s">
        <v>25</v>
      </c>
      <c r="F2571" s="52" t="s">
        <v>26</v>
      </c>
      <c r="G2571" s="53"/>
    </row>
    <row r="2572">
      <c r="A2572" s="49">
        <v>44539.93499555555</v>
      </c>
      <c r="B2572" s="50">
        <v>44540.0599696064</v>
      </c>
      <c r="C2572" s="51">
        <v>1.027</v>
      </c>
      <c r="D2572" s="51">
        <v>63.0</v>
      </c>
      <c r="E2572" s="52" t="s">
        <v>25</v>
      </c>
      <c r="F2572" s="52" t="s">
        <v>26</v>
      </c>
      <c r="G2572" s="53"/>
    </row>
    <row r="2573">
      <c r="A2573" s="49">
        <v>44539.94541443287</v>
      </c>
      <c r="B2573" s="50">
        <v>44540.0703893634</v>
      </c>
      <c r="C2573" s="51">
        <v>1.027</v>
      </c>
      <c r="D2573" s="51">
        <v>63.0</v>
      </c>
      <c r="E2573" s="52" t="s">
        <v>25</v>
      </c>
      <c r="F2573" s="52" t="s">
        <v>26</v>
      </c>
      <c r="G2573" s="53"/>
    </row>
    <row r="2574">
      <c r="A2574" s="49">
        <v>44539.95584306713</v>
      </c>
      <c r="B2574" s="50">
        <v>44540.0808218287</v>
      </c>
      <c r="C2574" s="51">
        <v>1.027</v>
      </c>
      <c r="D2574" s="51">
        <v>63.0</v>
      </c>
      <c r="E2574" s="52" t="s">
        <v>25</v>
      </c>
      <c r="F2574" s="52" t="s">
        <v>26</v>
      </c>
      <c r="G2574" s="53"/>
    </row>
    <row r="2575">
      <c r="A2575" s="49">
        <v>44539.9662744213</v>
      </c>
      <c r="B2575" s="50">
        <v>44540.0912451157</v>
      </c>
      <c r="C2575" s="51">
        <v>1.027</v>
      </c>
      <c r="D2575" s="51">
        <v>63.0</v>
      </c>
      <c r="E2575" s="52" t="s">
        <v>25</v>
      </c>
      <c r="F2575" s="52" t="s">
        <v>26</v>
      </c>
      <c r="G2575" s="53"/>
    </row>
    <row r="2576">
      <c r="A2576" s="49">
        <v>44539.976703148146</v>
      </c>
      <c r="B2576" s="50">
        <v>44540.1016776273</v>
      </c>
      <c r="C2576" s="51">
        <v>1.028</v>
      </c>
      <c r="D2576" s="51">
        <v>63.0</v>
      </c>
      <c r="E2576" s="52" t="s">
        <v>25</v>
      </c>
      <c r="F2576" s="52" t="s">
        <v>26</v>
      </c>
      <c r="G2576" s="53"/>
    </row>
    <row r="2577">
      <c r="A2577" s="49">
        <v>44539.987140474535</v>
      </c>
      <c r="B2577" s="50">
        <v>44540.1121092592</v>
      </c>
      <c r="C2577" s="51">
        <v>1.027</v>
      </c>
      <c r="D2577" s="51">
        <v>63.0</v>
      </c>
      <c r="E2577" s="52" t="s">
        <v>25</v>
      </c>
      <c r="F2577" s="52" t="s">
        <v>26</v>
      </c>
      <c r="G2577" s="53"/>
    </row>
    <row r="2578">
      <c r="A2578" s="49">
        <v>44539.99755270833</v>
      </c>
      <c r="B2578" s="50">
        <v>44540.1225300231</v>
      </c>
      <c r="C2578" s="51">
        <v>1.027</v>
      </c>
      <c r="D2578" s="51">
        <v>63.0</v>
      </c>
      <c r="E2578" s="52" t="s">
        <v>25</v>
      </c>
      <c r="F2578" s="52" t="s">
        <v>26</v>
      </c>
      <c r="G2578" s="53"/>
    </row>
    <row r="2579">
      <c r="A2579" s="49">
        <v>44540.00797207176</v>
      </c>
      <c r="B2579" s="50">
        <v>44540.1329510416</v>
      </c>
      <c r="C2579" s="51">
        <v>1.027</v>
      </c>
      <c r="D2579" s="51">
        <v>63.0</v>
      </c>
      <c r="E2579" s="52" t="s">
        <v>25</v>
      </c>
      <c r="F2579" s="52" t="s">
        <v>26</v>
      </c>
      <c r="G2579" s="53"/>
    </row>
    <row r="2580">
      <c r="A2580" s="49">
        <v>44540.018395983796</v>
      </c>
      <c r="B2580" s="50">
        <v>44540.1433723148</v>
      </c>
      <c r="C2580" s="51">
        <v>1.027</v>
      </c>
      <c r="D2580" s="51">
        <v>63.0</v>
      </c>
      <c r="E2580" s="52" t="s">
        <v>25</v>
      </c>
      <c r="F2580" s="52" t="s">
        <v>26</v>
      </c>
      <c r="G2580" s="53"/>
    </row>
    <row r="2581">
      <c r="A2581" s="49">
        <v>44540.02881337963</v>
      </c>
      <c r="B2581" s="50">
        <v>44540.1537950578</v>
      </c>
      <c r="C2581" s="51">
        <v>1.027</v>
      </c>
      <c r="D2581" s="51">
        <v>63.0</v>
      </c>
      <c r="E2581" s="52" t="s">
        <v>25</v>
      </c>
      <c r="F2581" s="52" t="s">
        <v>26</v>
      </c>
      <c r="G2581" s="53"/>
    </row>
    <row r="2582">
      <c r="A2582" s="49">
        <v>44540.03927545139</v>
      </c>
      <c r="B2582" s="50">
        <v>44540.1642498032</v>
      </c>
      <c r="C2582" s="51">
        <v>1.027</v>
      </c>
      <c r="D2582" s="51">
        <v>63.0</v>
      </c>
      <c r="E2582" s="52" t="s">
        <v>25</v>
      </c>
      <c r="F2582" s="52" t="s">
        <v>26</v>
      </c>
      <c r="G2582" s="53"/>
    </row>
    <row r="2583">
      <c r="A2583" s="49">
        <v>44540.049694120375</v>
      </c>
      <c r="B2583" s="50">
        <v>44540.174671331</v>
      </c>
      <c r="C2583" s="51">
        <v>1.027</v>
      </c>
      <c r="D2583" s="51">
        <v>63.0</v>
      </c>
      <c r="E2583" s="52" t="s">
        <v>25</v>
      </c>
      <c r="F2583" s="52" t="s">
        <v>26</v>
      </c>
      <c r="G2583" s="53"/>
    </row>
    <row r="2584">
      <c r="A2584" s="49">
        <v>44540.06012392361</v>
      </c>
      <c r="B2584" s="50">
        <v>44540.1851026967</v>
      </c>
      <c r="C2584" s="51">
        <v>1.027</v>
      </c>
      <c r="D2584" s="51">
        <v>63.0</v>
      </c>
      <c r="E2584" s="52" t="s">
        <v>25</v>
      </c>
      <c r="F2584" s="52" t="s">
        <v>26</v>
      </c>
      <c r="G2584" s="53"/>
    </row>
    <row r="2585">
      <c r="A2585" s="49">
        <v>44540.07054581019</v>
      </c>
      <c r="B2585" s="50">
        <v>44540.195524074</v>
      </c>
      <c r="C2585" s="51">
        <v>1.027</v>
      </c>
      <c r="D2585" s="51">
        <v>63.0</v>
      </c>
      <c r="E2585" s="52" t="s">
        <v>25</v>
      </c>
      <c r="F2585" s="52" t="s">
        <v>26</v>
      </c>
      <c r="G2585" s="53"/>
    </row>
    <row r="2586">
      <c r="A2586" s="49">
        <v>44540.08098398148</v>
      </c>
      <c r="B2586" s="50">
        <v>44540.2059562962</v>
      </c>
      <c r="C2586" s="51">
        <v>1.027</v>
      </c>
      <c r="D2586" s="51">
        <v>63.0</v>
      </c>
      <c r="E2586" s="52" t="s">
        <v>25</v>
      </c>
      <c r="F2586" s="52" t="s">
        <v>26</v>
      </c>
      <c r="G2586" s="53"/>
    </row>
    <row r="2587">
      <c r="A2587" s="49">
        <v>44540.09141376158</v>
      </c>
      <c r="B2587" s="50">
        <v>44540.2163794097</v>
      </c>
      <c r="C2587" s="51">
        <v>1.027</v>
      </c>
      <c r="D2587" s="51">
        <v>63.0</v>
      </c>
      <c r="E2587" s="52" t="s">
        <v>25</v>
      </c>
      <c r="F2587" s="52" t="s">
        <v>26</v>
      </c>
      <c r="G2587" s="53"/>
    </row>
    <row r="2588">
      <c r="A2588" s="49">
        <v>44540.10183306713</v>
      </c>
      <c r="B2588" s="50">
        <v>44540.2268093981</v>
      </c>
      <c r="C2588" s="51">
        <v>1.027</v>
      </c>
      <c r="D2588" s="51">
        <v>63.0</v>
      </c>
      <c r="E2588" s="52" t="s">
        <v>25</v>
      </c>
      <c r="F2588" s="52" t="s">
        <v>26</v>
      </c>
      <c r="G2588" s="53"/>
    </row>
    <row r="2589">
      <c r="A2589" s="49">
        <v>44540.112267743054</v>
      </c>
      <c r="B2589" s="50">
        <v>44540.2372310069</v>
      </c>
      <c r="C2589" s="51">
        <v>1.027</v>
      </c>
      <c r="D2589" s="51">
        <v>63.0</v>
      </c>
      <c r="E2589" s="52" t="s">
        <v>25</v>
      </c>
      <c r="F2589" s="52" t="s">
        <v>26</v>
      </c>
      <c r="G2589" s="53"/>
    </row>
    <row r="2590">
      <c r="A2590" s="49">
        <v>44540.122685925926</v>
      </c>
      <c r="B2590" s="50">
        <v>44540.2476521759</v>
      </c>
      <c r="C2590" s="51">
        <v>1.027</v>
      </c>
      <c r="D2590" s="51">
        <v>63.0</v>
      </c>
      <c r="E2590" s="52" t="s">
        <v>25</v>
      </c>
      <c r="F2590" s="52" t="s">
        <v>26</v>
      </c>
      <c r="G2590" s="53"/>
    </row>
    <row r="2591">
      <c r="A2591" s="49">
        <v>44540.13309837963</v>
      </c>
      <c r="B2591" s="50">
        <v>44540.2580756365</v>
      </c>
      <c r="C2591" s="51">
        <v>1.027</v>
      </c>
      <c r="D2591" s="51">
        <v>63.0</v>
      </c>
      <c r="E2591" s="52" t="s">
        <v>25</v>
      </c>
      <c r="F2591" s="52" t="s">
        <v>26</v>
      </c>
      <c r="G2591" s="53"/>
    </row>
    <row r="2592">
      <c r="A2592" s="49">
        <v>44540.143516701384</v>
      </c>
      <c r="B2592" s="50">
        <v>44540.2684954282</v>
      </c>
      <c r="C2592" s="51">
        <v>1.027</v>
      </c>
      <c r="D2592" s="51">
        <v>63.0</v>
      </c>
      <c r="E2592" s="52" t="s">
        <v>25</v>
      </c>
      <c r="F2592" s="52" t="s">
        <v>26</v>
      </c>
      <c r="G2592" s="53"/>
    </row>
    <row r="2593">
      <c r="A2593" s="49">
        <v>44540.153959560186</v>
      </c>
      <c r="B2593" s="50">
        <v>44540.2789261574</v>
      </c>
      <c r="C2593" s="51">
        <v>1.027</v>
      </c>
      <c r="D2593" s="51">
        <v>63.0</v>
      </c>
      <c r="E2593" s="52" t="s">
        <v>25</v>
      </c>
      <c r="F2593" s="52" t="s">
        <v>26</v>
      </c>
      <c r="G2593" s="53"/>
    </row>
    <row r="2594">
      <c r="A2594" s="49">
        <v>44540.164380636576</v>
      </c>
      <c r="B2594" s="50">
        <v>44540.2893593634</v>
      </c>
      <c r="C2594" s="51">
        <v>1.027</v>
      </c>
      <c r="D2594" s="51">
        <v>63.0</v>
      </c>
      <c r="E2594" s="52" t="s">
        <v>25</v>
      </c>
      <c r="F2594" s="52" t="s">
        <v>26</v>
      </c>
      <c r="G2594" s="53"/>
    </row>
    <row r="2595">
      <c r="A2595" s="49">
        <v>44540.17481164352</v>
      </c>
      <c r="B2595" s="50">
        <v>44540.2997926388</v>
      </c>
      <c r="C2595" s="51">
        <v>1.027</v>
      </c>
      <c r="D2595" s="51">
        <v>63.0</v>
      </c>
      <c r="E2595" s="52" t="s">
        <v>25</v>
      </c>
      <c r="F2595" s="52" t="s">
        <v>26</v>
      </c>
      <c r="G2595" s="53"/>
    </row>
    <row r="2596">
      <c r="A2596" s="49">
        <v>44540.18524386574</v>
      </c>
      <c r="B2596" s="50">
        <v>44540.3102159722</v>
      </c>
      <c r="C2596" s="51">
        <v>1.027</v>
      </c>
      <c r="D2596" s="51">
        <v>63.0</v>
      </c>
      <c r="E2596" s="52" t="s">
        <v>25</v>
      </c>
      <c r="F2596" s="52" t="s">
        <v>26</v>
      </c>
      <c r="G2596" s="53"/>
    </row>
    <row r="2597">
      <c r="A2597" s="49">
        <v>44540.195669189816</v>
      </c>
      <c r="B2597" s="50">
        <v>44540.32064875</v>
      </c>
      <c r="C2597" s="51">
        <v>1.027</v>
      </c>
      <c r="D2597" s="51">
        <v>63.0</v>
      </c>
      <c r="E2597" s="52" t="s">
        <v>25</v>
      </c>
      <c r="F2597" s="52" t="s">
        <v>26</v>
      </c>
      <c r="G2597" s="53"/>
    </row>
    <row r="2598">
      <c r="A2598" s="49">
        <v>44540.206100613424</v>
      </c>
      <c r="B2598" s="50">
        <v>44540.3310689351</v>
      </c>
      <c r="C2598" s="51">
        <v>1.027</v>
      </c>
      <c r="D2598" s="51">
        <v>63.0</v>
      </c>
      <c r="E2598" s="52" t="s">
        <v>25</v>
      </c>
      <c r="F2598" s="52" t="s">
        <v>26</v>
      </c>
      <c r="G2598" s="53"/>
    </row>
    <row r="2599">
      <c r="A2599" s="49">
        <v>44540.21653925926</v>
      </c>
      <c r="B2599" s="50">
        <v>44540.341523831</v>
      </c>
      <c r="C2599" s="51">
        <v>1.027</v>
      </c>
      <c r="D2599" s="51">
        <v>63.0</v>
      </c>
      <c r="E2599" s="52" t="s">
        <v>25</v>
      </c>
      <c r="F2599" s="52" t="s">
        <v>26</v>
      </c>
      <c r="G2599" s="53"/>
    </row>
    <row r="2600">
      <c r="A2600" s="49">
        <v>44540.22697685185</v>
      </c>
      <c r="B2600" s="50">
        <v>44540.3519448263</v>
      </c>
      <c r="C2600" s="51">
        <v>1.027</v>
      </c>
      <c r="D2600" s="51">
        <v>63.0</v>
      </c>
      <c r="E2600" s="52" t="s">
        <v>25</v>
      </c>
      <c r="F2600" s="52" t="s">
        <v>26</v>
      </c>
      <c r="G2600" s="53"/>
    </row>
    <row r="2601">
      <c r="A2601" s="49">
        <v>44540.237406053246</v>
      </c>
      <c r="B2601" s="50">
        <v>44540.3623784953</v>
      </c>
      <c r="C2601" s="51">
        <v>1.027</v>
      </c>
      <c r="D2601" s="51">
        <v>63.0</v>
      </c>
      <c r="E2601" s="52" t="s">
        <v>25</v>
      </c>
      <c r="F2601" s="52" t="s">
        <v>26</v>
      </c>
      <c r="G2601" s="53"/>
    </row>
    <row r="2602">
      <c r="A2602" s="49">
        <v>44540.24781946759</v>
      </c>
      <c r="B2602" s="50">
        <v>44540.3727990856</v>
      </c>
      <c r="C2602" s="51">
        <v>1.027</v>
      </c>
      <c r="D2602" s="51">
        <v>63.0</v>
      </c>
      <c r="E2602" s="52" t="s">
        <v>25</v>
      </c>
      <c r="F2602" s="52" t="s">
        <v>26</v>
      </c>
      <c r="G2602" s="53"/>
    </row>
    <row r="2603">
      <c r="A2603" s="49">
        <v>44540.25824329861</v>
      </c>
      <c r="B2603" s="50">
        <v>44540.3832197338</v>
      </c>
      <c r="C2603" s="51">
        <v>1.027</v>
      </c>
      <c r="D2603" s="51">
        <v>63.0</v>
      </c>
      <c r="E2603" s="52" t="s">
        <v>25</v>
      </c>
      <c r="F2603" s="52" t="s">
        <v>26</v>
      </c>
      <c r="G2603" s="53"/>
    </row>
    <row r="2604">
      <c r="A2604" s="49">
        <v>44540.26869725694</v>
      </c>
      <c r="B2604" s="50">
        <v>44540.3936514699</v>
      </c>
      <c r="C2604" s="51">
        <v>1.027</v>
      </c>
      <c r="D2604" s="51">
        <v>63.0</v>
      </c>
      <c r="E2604" s="52" t="s">
        <v>25</v>
      </c>
      <c r="F2604" s="52" t="s">
        <v>26</v>
      </c>
      <c r="G2604" s="53"/>
    </row>
    <row r="2605">
      <c r="A2605" s="49">
        <v>44540.2790930787</v>
      </c>
      <c r="B2605" s="50">
        <v>44540.4040698842</v>
      </c>
      <c r="C2605" s="51">
        <v>1.027</v>
      </c>
      <c r="D2605" s="51">
        <v>63.0</v>
      </c>
      <c r="E2605" s="52" t="s">
        <v>25</v>
      </c>
      <c r="F2605" s="52" t="s">
        <v>26</v>
      </c>
      <c r="G2605" s="53"/>
    </row>
    <row r="2606">
      <c r="A2606" s="49">
        <v>44540.28952180556</v>
      </c>
      <c r="B2606" s="50">
        <v>44540.4144893287</v>
      </c>
      <c r="C2606" s="51">
        <v>1.027</v>
      </c>
      <c r="D2606" s="51">
        <v>63.0</v>
      </c>
      <c r="E2606" s="52" t="s">
        <v>25</v>
      </c>
      <c r="F2606" s="52" t="s">
        <v>26</v>
      </c>
      <c r="G2606" s="53"/>
    </row>
    <row r="2607">
      <c r="A2607" s="49">
        <v>44540.299975208334</v>
      </c>
      <c r="B2607" s="50">
        <v>44540.4249453703</v>
      </c>
      <c r="C2607" s="51">
        <v>1.027</v>
      </c>
      <c r="D2607" s="51">
        <v>63.0</v>
      </c>
      <c r="E2607" s="52" t="s">
        <v>25</v>
      </c>
      <c r="F2607" s="52" t="s">
        <v>26</v>
      </c>
      <c r="G2607" s="53"/>
    </row>
    <row r="2608">
      <c r="A2608" s="49">
        <v>44540.31038708333</v>
      </c>
      <c r="B2608" s="50">
        <v>44540.4353663541</v>
      </c>
      <c r="C2608" s="51">
        <v>1.027</v>
      </c>
      <c r="D2608" s="51">
        <v>63.0</v>
      </c>
      <c r="E2608" s="52" t="s">
        <v>25</v>
      </c>
      <c r="F2608" s="52" t="s">
        <v>26</v>
      </c>
      <c r="G2608" s="53"/>
    </row>
    <row r="2609">
      <c r="A2609" s="49">
        <v>44540.32081726852</v>
      </c>
      <c r="B2609" s="50">
        <v>44540.4457980787</v>
      </c>
      <c r="C2609" s="51">
        <v>1.027</v>
      </c>
      <c r="D2609" s="51">
        <v>63.0</v>
      </c>
      <c r="E2609" s="52" t="s">
        <v>25</v>
      </c>
      <c r="F2609" s="52" t="s">
        <v>26</v>
      </c>
      <c r="G2609" s="53"/>
    </row>
    <row r="2610">
      <c r="A2610" s="49">
        <v>44540.33126709491</v>
      </c>
      <c r="B2610" s="50">
        <v>44540.4562421759</v>
      </c>
      <c r="C2610" s="51">
        <v>1.027</v>
      </c>
      <c r="D2610" s="51">
        <v>63.0</v>
      </c>
      <c r="E2610" s="52" t="s">
        <v>25</v>
      </c>
      <c r="F2610" s="52" t="s">
        <v>26</v>
      </c>
      <c r="G2610" s="53"/>
    </row>
    <row r="2611">
      <c r="A2611" s="49">
        <v>44540.34170372685</v>
      </c>
      <c r="B2611" s="50">
        <v>44540.4666746296</v>
      </c>
      <c r="C2611" s="51">
        <v>1.027</v>
      </c>
      <c r="D2611" s="51">
        <v>63.0</v>
      </c>
      <c r="E2611" s="52" t="s">
        <v>25</v>
      </c>
      <c r="F2611" s="52" t="s">
        <v>26</v>
      </c>
      <c r="G2611" s="53"/>
    </row>
    <row r="2612">
      <c r="A2612" s="49">
        <v>44540.35213017361</v>
      </c>
      <c r="B2612" s="50">
        <v>44540.4770970254</v>
      </c>
      <c r="C2612" s="51">
        <v>1.027</v>
      </c>
      <c r="D2612" s="51">
        <v>63.0</v>
      </c>
      <c r="E2612" s="52" t="s">
        <v>25</v>
      </c>
      <c r="F2612" s="52" t="s">
        <v>26</v>
      </c>
      <c r="G2612" s="53"/>
    </row>
    <row r="2613">
      <c r="A2613" s="49">
        <v>44540.36254887731</v>
      </c>
      <c r="B2613" s="50">
        <v>44540.4875169328</v>
      </c>
      <c r="C2613" s="51">
        <v>1.027</v>
      </c>
      <c r="D2613" s="51">
        <v>63.0</v>
      </c>
      <c r="E2613" s="52" t="s">
        <v>25</v>
      </c>
      <c r="F2613" s="52" t="s">
        <v>26</v>
      </c>
      <c r="G2613" s="53"/>
    </row>
    <row r="2614">
      <c r="A2614" s="49">
        <v>44540.372979444444</v>
      </c>
      <c r="B2614" s="50">
        <v>44540.4979492824</v>
      </c>
      <c r="C2614" s="51">
        <v>1.027</v>
      </c>
      <c r="D2614" s="51">
        <v>63.0</v>
      </c>
      <c r="E2614" s="52" t="s">
        <v>25</v>
      </c>
      <c r="F2614" s="52" t="s">
        <v>26</v>
      </c>
      <c r="G2614" s="53"/>
    </row>
    <row r="2615">
      <c r="A2615" s="49">
        <v>44540.383399768514</v>
      </c>
      <c r="B2615" s="50">
        <v>44540.5083820833</v>
      </c>
      <c r="C2615" s="51">
        <v>1.027</v>
      </c>
      <c r="D2615" s="51">
        <v>63.0</v>
      </c>
      <c r="E2615" s="52" t="s">
        <v>25</v>
      </c>
      <c r="F2615" s="52" t="s">
        <v>26</v>
      </c>
      <c r="G2615" s="53"/>
    </row>
    <row r="2616">
      <c r="A2616" s="49">
        <v>44540.39383424769</v>
      </c>
      <c r="B2616" s="50">
        <v>44540.5188150347</v>
      </c>
      <c r="C2616" s="51">
        <v>1.027</v>
      </c>
      <c r="D2616" s="51">
        <v>63.0</v>
      </c>
      <c r="E2616" s="52" t="s">
        <v>25</v>
      </c>
      <c r="F2616" s="52" t="s">
        <v>26</v>
      </c>
      <c r="G2616" s="53"/>
    </row>
    <row r="2617">
      <c r="A2617" s="49">
        <v>44540.404252962966</v>
      </c>
      <c r="B2617" s="50">
        <v>44540.5292355671</v>
      </c>
      <c r="C2617" s="51">
        <v>1.027</v>
      </c>
      <c r="D2617" s="51">
        <v>63.0</v>
      </c>
      <c r="E2617" s="52" t="s">
        <v>25</v>
      </c>
      <c r="F2617" s="52" t="s">
        <v>26</v>
      </c>
      <c r="G2617" s="53"/>
    </row>
    <row r="2618">
      <c r="A2618" s="49">
        <v>44540.41470094907</v>
      </c>
      <c r="B2618" s="50">
        <v>44540.5396692939</v>
      </c>
      <c r="C2618" s="51">
        <v>1.027</v>
      </c>
      <c r="D2618" s="51">
        <v>63.0</v>
      </c>
      <c r="E2618" s="52" t="s">
        <v>25</v>
      </c>
      <c r="F2618" s="52" t="s">
        <v>26</v>
      </c>
      <c r="G2618" s="53"/>
    </row>
    <row r="2619">
      <c r="A2619" s="49">
        <v>44540.42511938658</v>
      </c>
      <c r="B2619" s="50">
        <v>44540.5500899305</v>
      </c>
      <c r="C2619" s="51">
        <v>1.027</v>
      </c>
      <c r="D2619" s="51">
        <v>63.0</v>
      </c>
      <c r="E2619" s="52" t="s">
        <v>25</v>
      </c>
      <c r="F2619" s="52" t="s">
        <v>26</v>
      </c>
      <c r="G2619" s="53"/>
    </row>
    <row r="2620">
      <c r="A2620" s="49">
        <v>44540.43554868056</v>
      </c>
      <c r="B2620" s="50">
        <v>44540.5605236574</v>
      </c>
      <c r="C2620" s="51">
        <v>1.027</v>
      </c>
      <c r="D2620" s="51">
        <v>63.0</v>
      </c>
      <c r="E2620" s="52" t="s">
        <v>25</v>
      </c>
      <c r="F2620" s="52" t="s">
        <v>26</v>
      </c>
      <c r="G2620" s="53"/>
    </row>
    <row r="2621">
      <c r="A2621" s="49">
        <v>44540.44597082176</v>
      </c>
      <c r="B2621" s="50">
        <v>44540.5709443634</v>
      </c>
      <c r="C2621" s="51">
        <v>1.027</v>
      </c>
      <c r="D2621" s="51">
        <v>64.0</v>
      </c>
      <c r="E2621" s="52" t="s">
        <v>25</v>
      </c>
      <c r="F2621" s="52" t="s">
        <v>26</v>
      </c>
      <c r="G2621" s="53"/>
    </row>
    <row r="2622">
      <c r="A2622" s="49">
        <v>44540.456396215275</v>
      </c>
      <c r="B2622" s="50">
        <v>44540.5813656597</v>
      </c>
      <c r="C2622" s="51">
        <v>1.027</v>
      </c>
      <c r="D2622" s="51">
        <v>64.0</v>
      </c>
      <c r="E2622" s="52" t="s">
        <v>25</v>
      </c>
      <c r="F2622" s="52" t="s">
        <v>26</v>
      </c>
      <c r="G2622" s="53"/>
    </row>
    <row r="2623">
      <c r="A2623" s="49">
        <v>44540.46681070601</v>
      </c>
      <c r="B2623" s="50">
        <v>44540.5917876967</v>
      </c>
      <c r="C2623" s="51">
        <v>1.027</v>
      </c>
      <c r="D2623" s="51">
        <v>65.0</v>
      </c>
      <c r="E2623" s="52" t="s">
        <v>25</v>
      </c>
      <c r="F2623" s="52" t="s">
        <v>26</v>
      </c>
      <c r="G2623" s="53"/>
    </row>
    <row r="2624">
      <c r="A2624" s="49">
        <v>44540.477236770836</v>
      </c>
      <c r="B2624" s="50">
        <v>44540.6022085648</v>
      </c>
      <c r="C2624" s="51">
        <v>1.027</v>
      </c>
      <c r="D2624" s="51">
        <v>65.0</v>
      </c>
      <c r="E2624" s="52" t="s">
        <v>25</v>
      </c>
      <c r="F2624" s="52" t="s">
        <v>26</v>
      </c>
      <c r="G2624" s="53"/>
    </row>
    <row r="2625">
      <c r="A2625" s="49">
        <v>44540.48767076389</v>
      </c>
      <c r="B2625" s="50">
        <v>44540.6126411226</v>
      </c>
      <c r="C2625" s="51">
        <v>1.026</v>
      </c>
      <c r="D2625" s="51">
        <v>66.0</v>
      </c>
      <c r="E2625" s="52" t="s">
        <v>25</v>
      </c>
      <c r="F2625" s="52" t="s">
        <v>26</v>
      </c>
      <c r="G2625" s="53"/>
    </row>
    <row r="2626">
      <c r="A2626" s="49">
        <v>44540.49810254629</v>
      </c>
      <c r="B2626" s="50">
        <v>44540.6230739004</v>
      </c>
      <c r="C2626" s="51">
        <v>1.027</v>
      </c>
      <c r="D2626" s="51">
        <v>66.0</v>
      </c>
      <c r="E2626" s="52" t="s">
        <v>25</v>
      </c>
      <c r="F2626" s="52" t="s">
        <v>26</v>
      </c>
      <c r="G2626" s="53"/>
    </row>
    <row r="2627">
      <c r="A2627" s="49">
        <v>44540.50852383102</v>
      </c>
      <c r="B2627" s="50">
        <v>44540.6334944444</v>
      </c>
      <c r="C2627" s="51">
        <v>1.027</v>
      </c>
      <c r="D2627" s="51">
        <v>66.0</v>
      </c>
      <c r="E2627" s="52" t="s">
        <v>25</v>
      </c>
      <c r="F2627" s="52" t="s">
        <v>26</v>
      </c>
      <c r="G2627" s="53"/>
    </row>
    <row r="2628">
      <c r="A2628" s="49">
        <v>44540.518944027775</v>
      </c>
      <c r="B2628" s="50">
        <v>44540.6439157638</v>
      </c>
      <c r="C2628" s="51">
        <v>1.027</v>
      </c>
      <c r="D2628" s="51">
        <v>67.0</v>
      </c>
      <c r="E2628" s="52" t="s">
        <v>25</v>
      </c>
      <c r="F2628" s="52" t="s">
        <v>26</v>
      </c>
      <c r="G2628" s="53"/>
    </row>
    <row r="2629">
      <c r="A2629" s="49">
        <v>44540.529356203704</v>
      </c>
      <c r="B2629" s="50">
        <v>44540.6543362731</v>
      </c>
      <c r="C2629" s="51">
        <v>1.026</v>
      </c>
      <c r="D2629" s="51">
        <v>67.0</v>
      </c>
      <c r="E2629" s="52" t="s">
        <v>25</v>
      </c>
      <c r="F2629" s="52" t="s">
        <v>26</v>
      </c>
      <c r="G2629" s="53"/>
    </row>
    <row r="2630">
      <c r="A2630" s="49">
        <v>44540.5397934838</v>
      </c>
      <c r="B2630" s="50">
        <v>44540.6647571875</v>
      </c>
      <c r="C2630" s="51">
        <v>1.027</v>
      </c>
      <c r="D2630" s="51">
        <v>68.0</v>
      </c>
      <c r="E2630" s="52" t="s">
        <v>25</v>
      </c>
      <c r="F2630" s="52" t="s">
        <v>26</v>
      </c>
      <c r="G2630" s="53"/>
    </row>
    <row r="2631">
      <c r="A2631" s="49">
        <v>44540.55019883101</v>
      </c>
      <c r="B2631" s="50">
        <v>44540.6751786689</v>
      </c>
      <c r="C2631" s="51">
        <v>1.027</v>
      </c>
      <c r="D2631" s="51">
        <v>68.0</v>
      </c>
      <c r="E2631" s="52" t="s">
        <v>25</v>
      </c>
      <c r="F2631" s="52" t="s">
        <v>26</v>
      </c>
      <c r="G2631" s="53"/>
    </row>
    <row r="2632">
      <c r="A2632" s="49">
        <v>44540.56064616898</v>
      </c>
      <c r="B2632" s="50">
        <v>44540.6856134027</v>
      </c>
      <c r="C2632" s="51">
        <v>1.027</v>
      </c>
      <c r="D2632" s="51">
        <v>68.0</v>
      </c>
      <c r="E2632" s="52" t="s">
        <v>25</v>
      </c>
      <c r="F2632" s="52" t="s">
        <v>26</v>
      </c>
      <c r="G2632" s="53"/>
    </row>
    <row r="2633">
      <c r="A2633" s="49">
        <v>44540.57105802083</v>
      </c>
      <c r="B2633" s="50">
        <v>44540.6960353703</v>
      </c>
      <c r="C2633" s="51">
        <v>1.026</v>
      </c>
      <c r="D2633" s="51">
        <v>68.0</v>
      </c>
      <c r="E2633" s="52" t="s">
        <v>25</v>
      </c>
      <c r="F2633" s="52" t="s">
        <v>26</v>
      </c>
      <c r="G2633" s="53"/>
    </row>
    <row r="2634">
      <c r="A2634" s="49">
        <v>44540.581483263886</v>
      </c>
      <c r="B2634" s="50">
        <v>44540.7064547569</v>
      </c>
      <c r="C2634" s="51">
        <v>1.027</v>
      </c>
      <c r="D2634" s="51">
        <v>68.0</v>
      </c>
      <c r="E2634" s="52" t="s">
        <v>25</v>
      </c>
      <c r="F2634" s="52" t="s">
        <v>26</v>
      </c>
      <c r="G2634" s="53"/>
    </row>
    <row r="2635">
      <c r="A2635" s="49">
        <v>44540.59189516204</v>
      </c>
      <c r="B2635" s="50">
        <v>44540.7168772685</v>
      </c>
      <c r="C2635" s="51">
        <v>1.027</v>
      </c>
      <c r="D2635" s="51">
        <v>68.0</v>
      </c>
      <c r="E2635" s="52" t="s">
        <v>25</v>
      </c>
      <c r="F2635" s="52" t="s">
        <v>26</v>
      </c>
      <c r="G2635" s="53"/>
    </row>
    <row r="2636">
      <c r="A2636" s="49">
        <v>44540.602325671294</v>
      </c>
      <c r="B2636" s="50">
        <v>44540.72730875</v>
      </c>
      <c r="C2636" s="51">
        <v>1.027</v>
      </c>
      <c r="D2636" s="51">
        <v>68.0</v>
      </c>
      <c r="E2636" s="52" t="s">
        <v>25</v>
      </c>
      <c r="F2636" s="52" t="s">
        <v>26</v>
      </c>
      <c r="G2636" s="53"/>
    </row>
    <row r="2637">
      <c r="A2637" s="49">
        <v>44540.61276106481</v>
      </c>
      <c r="B2637" s="50">
        <v>44540.7377416087</v>
      </c>
      <c r="C2637" s="51">
        <v>1.027</v>
      </c>
      <c r="D2637" s="51">
        <v>68.0</v>
      </c>
      <c r="E2637" s="52" t="s">
        <v>25</v>
      </c>
      <c r="F2637" s="52" t="s">
        <v>26</v>
      </c>
      <c r="G2637" s="53"/>
    </row>
    <row r="2638">
      <c r="A2638" s="49">
        <v>44540.623196099536</v>
      </c>
      <c r="B2638" s="50">
        <v>44540.7481745254</v>
      </c>
      <c r="C2638" s="51">
        <v>1.027</v>
      </c>
      <c r="D2638" s="51">
        <v>68.0</v>
      </c>
      <c r="E2638" s="52" t="s">
        <v>25</v>
      </c>
      <c r="F2638" s="52" t="s">
        <v>26</v>
      </c>
      <c r="G2638" s="53"/>
    </row>
    <row r="2639">
      <c r="A2639" s="49">
        <v>44540.63364021991</v>
      </c>
      <c r="B2639" s="50">
        <v>44540.7586206597</v>
      </c>
      <c r="C2639" s="51">
        <v>1.026</v>
      </c>
      <c r="D2639" s="51">
        <v>68.0</v>
      </c>
      <c r="E2639" s="52" t="s">
        <v>25</v>
      </c>
      <c r="F2639" s="52" t="s">
        <v>26</v>
      </c>
      <c r="G2639" s="53"/>
    </row>
    <row r="2640">
      <c r="A2640" s="49">
        <v>44540.6440640162</v>
      </c>
      <c r="B2640" s="50">
        <v>44540.7690411689</v>
      </c>
      <c r="C2640" s="51">
        <v>1.026</v>
      </c>
      <c r="D2640" s="51">
        <v>68.0</v>
      </c>
      <c r="E2640" s="52" t="s">
        <v>25</v>
      </c>
      <c r="F2640" s="52" t="s">
        <v>26</v>
      </c>
      <c r="G2640" s="53"/>
    </row>
    <row r="2641">
      <c r="A2641" s="49">
        <v>44540.65449069445</v>
      </c>
      <c r="B2641" s="50">
        <v>44540.7794599537</v>
      </c>
      <c r="C2641" s="51">
        <v>1.026</v>
      </c>
      <c r="D2641" s="51">
        <v>68.0</v>
      </c>
      <c r="E2641" s="52" t="s">
        <v>25</v>
      </c>
      <c r="F2641" s="52" t="s">
        <v>26</v>
      </c>
      <c r="G2641" s="53"/>
    </row>
    <row r="2642">
      <c r="A2642" s="49">
        <v>44540.66490524306</v>
      </c>
      <c r="B2642" s="50">
        <v>44540.7898806597</v>
      </c>
      <c r="C2642" s="51">
        <v>1.026</v>
      </c>
      <c r="D2642" s="51">
        <v>68.0</v>
      </c>
      <c r="E2642" s="52" t="s">
        <v>25</v>
      </c>
      <c r="F2642" s="52" t="s">
        <v>26</v>
      </c>
      <c r="G2642" s="53"/>
    </row>
    <row r="2643">
      <c r="A2643" s="49">
        <v>44540.67534296296</v>
      </c>
      <c r="B2643" s="50">
        <v>44540.8003133217</v>
      </c>
      <c r="C2643" s="51">
        <v>1.026</v>
      </c>
      <c r="D2643" s="51">
        <v>68.0</v>
      </c>
      <c r="E2643" s="52" t="s">
        <v>25</v>
      </c>
      <c r="F2643" s="52" t="s">
        <v>26</v>
      </c>
      <c r="G2643" s="53"/>
    </row>
    <row r="2644">
      <c r="A2644" s="49">
        <v>44540.68575258102</v>
      </c>
      <c r="B2644" s="50">
        <v>44540.8107341435</v>
      </c>
      <c r="C2644" s="51">
        <v>1.027</v>
      </c>
      <c r="D2644" s="51">
        <v>68.0</v>
      </c>
      <c r="E2644" s="52" t="s">
        <v>25</v>
      </c>
      <c r="F2644" s="52" t="s">
        <v>26</v>
      </c>
      <c r="G2644" s="53"/>
    </row>
    <row r="2645">
      <c r="A2645" s="49">
        <v>44540.69620467593</v>
      </c>
      <c r="B2645" s="50">
        <v>44540.8211807175</v>
      </c>
      <c r="C2645" s="51">
        <v>1.026</v>
      </c>
      <c r="D2645" s="51">
        <v>68.0</v>
      </c>
      <c r="E2645" s="52" t="s">
        <v>25</v>
      </c>
      <c r="F2645" s="52" t="s">
        <v>26</v>
      </c>
      <c r="G2645" s="53"/>
    </row>
    <row r="2646">
      <c r="A2646" s="49">
        <v>44540.706636689814</v>
      </c>
      <c r="B2646" s="50">
        <v>44540.8316146874</v>
      </c>
      <c r="C2646" s="51">
        <v>1.026</v>
      </c>
      <c r="D2646" s="51">
        <v>68.0</v>
      </c>
      <c r="E2646" s="52" t="s">
        <v>25</v>
      </c>
      <c r="F2646" s="52" t="s">
        <v>26</v>
      </c>
      <c r="G2646" s="53"/>
    </row>
    <row r="2647">
      <c r="A2647" s="49">
        <v>44540.71705853009</v>
      </c>
      <c r="B2647" s="50">
        <v>44540.8420376851</v>
      </c>
      <c r="C2647" s="51">
        <v>1.026</v>
      </c>
      <c r="D2647" s="51">
        <v>68.0</v>
      </c>
      <c r="E2647" s="52" t="s">
        <v>25</v>
      </c>
      <c r="F2647" s="52" t="s">
        <v>26</v>
      </c>
      <c r="G2647" s="53"/>
    </row>
    <row r="2648">
      <c r="A2648" s="49">
        <v>44540.72748511574</v>
      </c>
      <c r="B2648" s="50">
        <v>44540.8524605092</v>
      </c>
      <c r="C2648" s="51">
        <v>1.026</v>
      </c>
      <c r="D2648" s="51">
        <v>68.0</v>
      </c>
      <c r="E2648" s="52" t="s">
        <v>25</v>
      </c>
      <c r="F2648" s="52" t="s">
        <v>26</v>
      </c>
      <c r="G2648" s="53"/>
    </row>
    <row r="2649">
      <c r="A2649" s="49">
        <v>44540.73789935185</v>
      </c>
      <c r="B2649" s="50">
        <v>44540.8628820717</v>
      </c>
      <c r="C2649" s="51">
        <v>1.026</v>
      </c>
      <c r="D2649" s="51">
        <v>68.0</v>
      </c>
      <c r="E2649" s="52" t="s">
        <v>25</v>
      </c>
      <c r="F2649" s="52" t="s">
        <v>26</v>
      </c>
      <c r="G2649" s="53"/>
    </row>
    <row r="2650">
      <c r="A2650" s="49">
        <v>44540.74832844907</v>
      </c>
      <c r="B2650" s="50">
        <v>44540.8733023032</v>
      </c>
      <c r="C2650" s="51">
        <v>1.026</v>
      </c>
      <c r="D2650" s="51">
        <v>68.0</v>
      </c>
      <c r="E2650" s="52" t="s">
        <v>25</v>
      </c>
      <c r="F2650" s="52" t="s">
        <v>26</v>
      </c>
      <c r="G2650" s="53"/>
    </row>
    <row r="2651">
      <c r="A2651" s="49">
        <v>44540.758748252316</v>
      </c>
      <c r="B2651" s="50">
        <v>44540.883725</v>
      </c>
      <c r="C2651" s="51">
        <v>1.026</v>
      </c>
      <c r="D2651" s="51">
        <v>68.0</v>
      </c>
      <c r="E2651" s="52" t="s">
        <v>25</v>
      </c>
      <c r="F2651" s="52" t="s">
        <v>26</v>
      </c>
      <c r="G2651" s="53"/>
    </row>
    <row r="2652">
      <c r="A2652" s="49">
        <v>44540.76917880787</v>
      </c>
      <c r="B2652" s="50">
        <v>44540.8941473842</v>
      </c>
      <c r="C2652" s="51">
        <v>1.026</v>
      </c>
      <c r="D2652" s="51">
        <v>68.0</v>
      </c>
      <c r="E2652" s="52" t="s">
        <v>25</v>
      </c>
      <c r="F2652" s="52" t="s">
        <v>26</v>
      </c>
      <c r="G2652" s="53"/>
    </row>
    <row r="2653">
      <c r="A2653" s="49">
        <v>44540.77960226852</v>
      </c>
      <c r="B2653" s="50">
        <v>44540.9045780671</v>
      </c>
      <c r="C2653" s="51">
        <v>1.026</v>
      </c>
      <c r="D2653" s="51">
        <v>68.0</v>
      </c>
      <c r="E2653" s="52" t="s">
        <v>25</v>
      </c>
      <c r="F2653" s="52" t="s">
        <v>26</v>
      </c>
      <c r="G2653" s="53"/>
    </row>
    <row r="2654">
      <c r="A2654" s="49">
        <v>44540.790024305556</v>
      </c>
      <c r="B2654" s="50">
        <v>44540.9149974768</v>
      </c>
      <c r="C2654" s="51">
        <v>1.026</v>
      </c>
      <c r="D2654" s="51">
        <v>68.0</v>
      </c>
      <c r="E2654" s="52" t="s">
        <v>25</v>
      </c>
      <c r="F2654" s="52" t="s">
        <v>26</v>
      </c>
      <c r="G2654" s="53"/>
    </row>
    <row r="2655">
      <c r="A2655" s="49">
        <v>44540.80043658565</v>
      </c>
      <c r="B2655" s="50">
        <v>44540.9254184953</v>
      </c>
      <c r="C2655" s="51">
        <v>1.026</v>
      </c>
      <c r="D2655" s="51">
        <v>67.0</v>
      </c>
      <c r="E2655" s="52" t="s">
        <v>25</v>
      </c>
      <c r="F2655" s="52" t="s">
        <v>26</v>
      </c>
      <c r="G2655" s="53"/>
    </row>
    <row r="2656">
      <c r="A2656" s="49">
        <v>44540.810862812505</v>
      </c>
      <c r="B2656" s="50">
        <v>44540.935840625</v>
      </c>
      <c r="C2656" s="51">
        <v>1.026</v>
      </c>
      <c r="D2656" s="51">
        <v>67.0</v>
      </c>
      <c r="E2656" s="52" t="s">
        <v>25</v>
      </c>
      <c r="F2656" s="52" t="s">
        <v>26</v>
      </c>
      <c r="G2656" s="53"/>
    </row>
    <row r="2657">
      <c r="A2657" s="49">
        <v>44540.82128152778</v>
      </c>
      <c r="B2657" s="50">
        <v>44540.9462611805</v>
      </c>
      <c r="C2657" s="51">
        <v>1.026</v>
      </c>
      <c r="D2657" s="51">
        <v>67.0</v>
      </c>
      <c r="E2657" s="52" t="s">
        <v>25</v>
      </c>
      <c r="F2657" s="52" t="s">
        <v>26</v>
      </c>
      <c r="G2657" s="53"/>
    </row>
    <row r="2658">
      <c r="A2658" s="49">
        <v>44540.831715520835</v>
      </c>
      <c r="B2658" s="50">
        <v>44540.9566938657</v>
      </c>
      <c r="C2658" s="51">
        <v>1.026</v>
      </c>
      <c r="D2658" s="51">
        <v>67.0</v>
      </c>
      <c r="E2658" s="52" t="s">
        <v>25</v>
      </c>
      <c r="F2658" s="52" t="s">
        <v>26</v>
      </c>
      <c r="G2658" s="53"/>
    </row>
    <row r="2659">
      <c r="A2659" s="49">
        <v>44540.84213771991</v>
      </c>
      <c r="B2659" s="50">
        <v>44540.9671149189</v>
      </c>
      <c r="C2659" s="51">
        <v>1.026</v>
      </c>
      <c r="D2659" s="51">
        <v>67.0</v>
      </c>
      <c r="E2659" s="52" t="s">
        <v>25</v>
      </c>
      <c r="F2659" s="52" t="s">
        <v>26</v>
      </c>
      <c r="G2659" s="53"/>
    </row>
    <row r="2660">
      <c r="A2660" s="49">
        <v>44540.85257028935</v>
      </c>
      <c r="B2660" s="50">
        <v>44540.9775487963</v>
      </c>
      <c r="C2660" s="51">
        <v>1.026</v>
      </c>
      <c r="D2660" s="51">
        <v>67.0</v>
      </c>
      <c r="E2660" s="52" t="s">
        <v>25</v>
      </c>
      <c r="F2660" s="52" t="s">
        <v>26</v>
      </c>
      <c r="G2660" s="53"/>
    </row>
    <row r="2661">
      <c r="A2661" s="49">
        <v>44540.86299804398</v>
      </c>
      <c r="B2661" s="50">
        <v>44540.9879700347</v>
      </c>
      <c r="C2661" s="51">
        <v>1.026</v>
      </c>
      <c r="D2661" s="51">
        <v>67.0</v>
      </c>
      <c r="E2661" s="52" t="s">
        <v>25</v>
      </c>
      <c r="F2661" s="52" t="s">
        <v>26</v>
      </c>
      <c r="G2661" s="53"/>
    </row>
    <row r="2662">
      <c r="A2662" s="49">
        <v>44540.873425150465</v>
      </c>
      <c r="B2662" s="50">
        <v>44540.9984030092</v>
      </c>
      <c r="C2662" s="51">
        <v>1.026</v>
      </c>
      <c r="D2662" s="51">
        <v>67.0</v>
      </c>
      <c r="E2662" s="52" t="s">
        <v>25</v>
      </c>
      <c r="F2662" s="52" t="s">
        <v>26</v>
      </c>
      <c r="G2662" s="53"/>
    </row>
    <row r="2663">
      <c r="A2663" s="49">
        <v>44540.88384381944</v>
      </c>
      <c r="B2663" s="50">
        <v>44541.0088256018</v>
      </c>
      <c r="C2663" s="51">
        <v>1.026</v>
      </c>
      <c r="D2663" s="51">
        <v>67.0</v>
      </c>
      <c r="E2663" s="52" t="s">
        <v>25</v>
      </c>
      <c r="F2663" s="52" t="s">
        <v>26</v>
      </c>
      <c r="G2663" s="53"/>
    </row>
    <row r="2664">
      <c r="A2664" s="49">
        <v>44540.89429405093</v>
      </c>
      <c r="B2664" s="50">
        <v>44541.0192589236</v>
      </c>
      <c r="C2664" s="51">
        <v>1.026</v>
      </c>
      <c r="D2664" s="51">
        <v>67.0</v>
      </c>
      <c r="E2664" s="52" t="s">
        <v>25</v>
      </c>
      <c r="F2664" s="52" t="s">
        <v>26</v>
      </c>
      <c r="G2664" s="53"/>
    </row>
    <row r="2665">
      <c r="A2665" s="49">
        <v>44540.90470787037</v>
      </c>
      <c r="B2665" s="50">
        <v>44541.0296810532</v>
      </c>
      <c r="C2665" s="51">
        <v>1.026</v>
      </c>
      <c r="D2665" s="51">
        <v>67.0</v>
      </c>
      <c r="E2665" s="52" t="s">
        <v>25</v>
      </c>
      <c r="F2665" s="52" t="s">
        <v>26</v>
      </c>
      <c r="G2665" s="53"/>
    </row>
    <row r="2666">
      <c r="A2666" s="49">
        <v>44540.91513577546</v>
      </c>
      <c r="B2666" s="50">
        <v>44541.0401027199</v>
      </c>
      <c r="C2666" s="51">
        <v>1.026</v>
      </c>
      <c r="D2666" s="51">
        <v>67.0</v>
      </c>
      <c r="E2666" s="52" t="s">
        <v>25</v>
      </c>
      <c r="F2666" s="52" t="s">
        <v>26</v>
      </c>
      <c r="G2666" s="53"/>
    </row>
    <row r="2667">
      <c r="A2667" s="49">
        <v>44540.925546597224</v>
      </c>
      <c r="B2667" s="50">
        <v>44541.0505230324</v>
      </c>
      <c r="C2667" s="51">
        <v>1.026</v>
      </c>
      <c r="D2667" s="51">
        <v>67.0</v>
      </c>
      <c r="E2667" s="52" t="s">
        <v>25</v>
      </c>
      <c r="F2667" s="52" t="s">
        <v>26</v>
      </c>
      <c r="G2667" s="53"/>
    </row>
    <row r="2668">
      <c r="A2668" s="49">
        <v>44540.93596549769</v>
      </c>
      <c r="B2668" s="50">
        <v>44541.060944537</v>
      </c>
      <c r="C2668" s="51">
        <v>1.026</v>
      </c>
      <c r="D2668" s="51">
        <v>67.0</v>
      </c>
      <c r="E2668" s="52" t="s">
        <v>25</v>
      </c>
      <c r="F2668" s="52" t="s">
        <v>26</v>
      </c>
      <c r="G2668" s="53"/>
    </row>
    <row r="2669">
      <c r="A2669" s="49">
        <v>44540.94639295139</v>
      </c>
      <c r="B2669" s="50">
        <v>44541.071366331</v>
      </c>
      <c r="C2669" s="51">
        <v>1.026</v>
      </c>
      <c r="D2669" s="51">
        <v>67.0</v>
      </c>
      <c r="E2669" s="52" t="s">
        <v>25</v>
      </c>
      <c r="F2669" s="52" t="s">
        <v>26</v>
      </c>
      <c r="G2669" s="53"/>
    </row>
    <row r="2670">
      <c r="A2670" s="49">
        <v>44540.956825381945</v>
      </c>
      <c r="B2670" s="50">
        <v>44541.0817993865</v>
      </c>
      <c r="C2670" s="51">
        <v>1.026</v>
      </c>
      <c r="D2670" s="51">
        <v>67.0</v>
      </c>
      <c r="E2670" s="52" t="s">
        <v>25</v>
      </c>
      <c r="F2670" s="52" t="s">
        <v>26</v>
      </c>
      <c r="G2670" s="53"/>
    </row>
    <row r="2671">
      <c r="A2671" s="49">
        <v>44540.96724607639</v>
      </c>
      <c r="B2671" s="50">
        <v>44541.092220324</v>
      </c>
      <c r="C2671" s="51">
        <v>1.026</v>
      </c>
      <c r="D2671" s="51">
        <v>67.0</v>
      </c>
      <c r="E2671" s="52" t="s">
        <v>25</v>
      </c>
      <c r="F2671" s="52" t="s">
        <v>26</v>
      </c>
      <c r="G2671" s="53"/>
    </row>
    <row r="2672">
      <c r="A2672" s="49">
        <v>44540.97766719907</v>
      </c>
      <c r="B2672" s="50">
        <v>44541.1026427893</v>
      </c>
      <c r="C2672" s="51">
        <v>1.026</v>
      </c>
      <c r="D2672" s="51">
        <v>67.0</v>
      </c>
      <c r="E2672" s="52" t="s">
        <v>25</v>
      </c>
      <c r="F2672" s="52" t="s">
        <v>26</v>
      </c>
      <c r="G2672" s="53"/>
    </row>
    <row r="2673">
      <c r="A2673" s="49">
        <v>44540.98808597222</v>
      </c>
      <c r="B2673" s="50">
        <v>44541.113065162</v>
      </c>
      <c r="C2673" s="51">
        <v>1.026</v>
      </c>
      <c r="D2673" s="51">
        <v>67.0</v>
      </c>
      <c r="E2673" s="52" t="s">
        <v>25</v>
      </c>
      <c r="F2673" s="52" t="s">
        <v>26</v>
      </c>
      <c r="G2673" s="53"/>
    </row>
    <row r="2674">
      <c r="A2674" s="49">
        <v>44540.99851443287</v>
      </c>
      <c r="B2674" s="50">
        <v>44541.1234985416</v>
      </c>
      <c r="C2674" s="51">
        <v>1.026</v>
      </c>
      <c r="D2674" s="51">
        <v>67.0</v>
      </c>
      <c r="E2674" s="52" t="s">
        <v>25</v>
      </c>
      <c r="F2674" s="52" t="s">
        <v>26</v>
      </c>
      <c r="G2674" s="53"/>
    </row>
    <row r="2675">
      <c r="A2675" s="49">
        <v>44541.00895048611</v>
      </c>
      <c r="B2675" s="50">
        <v>44541.1339308796</v>
      </c>
      <c r="C2675" s="51">
        <v>1.026</v>
      </c>
      <c r="D2675" s="51">
        <v>67.0</v>
      </c>
      <c r="E2675" s="52" t="s">
        <v>25</v>
      </c>
      <c r="F2675" s="52" t="s">
        <v>26</v>
      </c>
      <c r="G2675" s="53"/>
    </row>
    <row r="2676">
      <c r="A2676" s="49">
        <v>44541.01937815972</v>
      </c>
      <c r="B2676" s="50">
        <v>44541.1443536226</v>
      </c>
      <c r="C2676" s="51">
        <v>1.026</v>
      </c>
      <c r="D2676" s="51">
        <v>67.0</v>
      </c>
      <c r="E2676" s="52" t="s">
        <v>25</v>
      </c>
      <c r="F2676" s="52" t="s">
        <v>26</v>
      </c>
      <c r="G2676" s="53"/>
    </row>
    <row r="2677">
      <c r="A2677" s="49">
        <v>44541.02979528935</v>
      </c>
      <c r="B2677" s="50">
        <v>44541.1547757175</v>
      </c>
      <c r="C2677" s="51">
        <v>1.026</v>
      </c>
      <c r="D2677" s="51">
        <v>67.0</v>
      </c>
      <c r="E2677" s="52" t="s">
        <v>25</v>
      </c>
      <c r="F2677" s="52" t="s">
        <v>26</v>
      </c>
      <c r="G2677" s="53"/>
    </row>
    <row r="2678">
      <c r="A2678" s="49">
        <v>44541.04024659722</v>
      </c>
      <c r="B2678" s="50">
        <v>44541.165218912</v>
      </c>
      <c r="C2678" s="51">
        <v>1.026</v>
      </c>
      <c r="D2678" s="51">
        <v>67.0</v>
      </c>
      <c r="E2678" s="52" t="s">
        <v>25</v>
      </c>
      <c r="F2678" s="52" t="s">
        <v>26</v>
      </c>
      <c r="G2678" s="53"/>
    </row>
    <row r="2679">
      <c r="A2679" s="49">
        <v>44541.05067841435</v>
      </c>
      <c r="B2679" s="50">
        <v>44541.1756517361</v>
      </c>
      <c r="C2679" s="51">
        <v>1.026</v>
      </c>
      <c r="D2679" s="51">
        <v>67.0</v>
      </c>
      <c r="E2679" s="52" t="s">
        <v>25</v>
      </c>
      <c r="F2679" s="52" t="s">
        <v>26</v>
      </c>
      <c r="G2679" s="53"/>
    </row>
    <row r="2680">
      <c r="A2680" s="49">
        <v>44541.06109666667</v>
      </c>
      <c r="B2680" s="50">
        <v>44541.1860736458</v>
      </c>
      <c r="C2680" s="51">
        <v>1.026</v>
      </c>
      <c r="D2680" s="51">
        <v>67.0</v>
      </c>
      <c r="E2680" s="52" t="s">
        <v>25</v>
      </c>
      <c r="F2680" s="52" t="s">
        <v>26</v>
      </c>
      <c r="G2680" s="53"/>
    </row>
    <row r="2681">
      <c r="A2681" s="49">
        <v>44541.07152315972</v>
      </c>
      <c r="B2681" s="50">
        <v>44541.1964959143</v>
      </c>
      <c r="C2681" s="51">
        <v>1.026</v>
      </c>
      <c r="D2681" s="51">
        <v>67.0</v>
      </c>
      <c r="E2681" s="52" t="s">
        <v>25</v>
      </c>
      <c r="F2681" s="52" t="s">
        <v>26</v>
      </c>
      <c r="G2681" s="53"/>
    </row>
    <row r="2682">
      <c r="A2682" s="49">
        <v>44541.0819396875</v>
      </c>
      <c r="B2682" s="50">
        <v>44541.2069143287</v>
      </c>
      <c r="C2682" s="51">
        <v>1.026</v>
      </c>
      <c r="D2682" s="51">
        <v>67.0</v>
      </c>
      <c r="E2682" s="52" t="s">
        <v>25</v>
      </c>
      <c r="F2682" s="52" t="s">
        <v>26</v>
      </c>
      <c r="G2682" s="53"/>
    </row>
    <row r="2683">
      <c r="A2683" s="49">
        <v>44541.092370405095</v>
      </c>
      <c r="B2683" s="50">
        <v>44541.217345405</v>
      </c>
      <c r="C2683" s="51">
        <v>1.026</v>
      </c>
      <c r="D2683" s="51">
        <v>67.0</v>
      </c>
      <c r="E2683" s="52" t="s">
        <v>25</v>
      </c>
      <c r="F2683" s="52" t="s">
        <v>26</v>
      </c>
      <c r="G2683" s="53"/>
    </row>
    <row r="2684">
      <c r="A2684" s="49">
        <v>44541.10280658565</v>
      </c>
      <c r="B2684" s="50">
        <v>44541.2277774189</v>
      </c>
      <c r="C2684" s="51">
        <v>1.026</v>
      </c>
      <c r="D2684" s="51">
        <v>67.0</v>
      </c>
      <c r="E2684" s="52" t="s">
        <v>25</v>
      </c>
      <c r="F2684" s="52" t="s">
        <v>26</v>
      </c>
      <c r="G2684" s="53"/>
    </row>
    <row r="2685">
      <c r="A2685" s="49">
        <v>44541.11323850694</v>
      </c>
      <c r="B2685" s="50">
        <v>44541.2382102777</v>
      </c>
      <c r="C2685" s="51">
        <v>1.026</v>
      </c>
      <c r="D2685" s="51">
        <v>67.0</v>
      </c>
      <c r="E2685" s="52" t="s">
        <v>25</v>
      </c>
      <c r="F2685" s="52" t="s">
        <v>26</v>
      </c>
      <c r="G2685" s="53"/>
    </row>
    <row r="2686">
      <c r="A2686" s="49">
        <v>44541.12366518519</v>
      </c>
      <c r="B2686" s="50">
        <v>44541.2486454166</v>
      </c>
      <c r="C2686" s="51">
        <v>1.026</v>
      </c>
      <c r="D2686" s="51">
        <v>67.0</v>
      </c>
      <c r="E2686" s="52" t="s">
        <v>25</v>
      </c>
      <c r="F2686" s="52" t="s">
        <v>26</v>
      </c>
      <c r="G2686" s="53"/>
    </row>
    <row r="2687">
      <c r="A2687" s="49">
        <v>44541.134091423606</v>
      </c>
      <c r="B2687" s="50">
        <v>44541.2590655555</v>
      </c>
      <c r="C2687" s="51">
        <v>1.026</v>
      </c>
      <c r="D2687" s="51">
        <v>67.0</v>
      </c>
      <c r="E2687" s="52" t="s">
        <v>25</v>
      </c>
      <c r="F2687" s="52" t="s">
        <v>26</v>
      </c>
      <c r="G2687" s="53"/>
    </row>
    <row r="2688">
      <c r="A2688" s="49">
        <v>44541.14450954861</v>
      </c>
      <c r="B2688" s="50">
        <v>44541.2694866435</v>
      </c>
      <c r="C2688" s="51">
        <v>1.026</v>
      </c>
      <c r="D2688" s="51">
        <v>67.0</v>
      </c>
      <c r="E2688" s="52" t="s">
        <v>25</v>
      </c>
      <c r="F2688" s="52" t="s">
        <v>26</v>
      </c>
      <c r="G2688" s="53"/>
    </row>
    <row r="2689">
      <c r="A2689" s="49">
        <v>44541.15493179398</v>
      </c>
      <c r="B2689" s="50">
        <v>44541.2799071759</v>
      </c>
      <c r="C2689" s="51">
        <v>1.026</v>
      </c>
      <c r="D2689" s="51">
        <v>67.0</v>
      </c>
      <c r="E2689" s="52" t="s">
        <v>25</v>
      </c>
      <c r="F2689" s="52" t="s">
        <v>26</v>
      </c>
      <c r="G2689" s="53"/>
    </row>
    <row r="2690">
      <c r="A2690" s="49">
        <v>44541.165348483795</v>
      </c>
      <c r="B2690" s="50">
        <v>44541.2903279282</v>
      </c>
      <c r="C2690" s="51">
        <v>1.026</v>
      </c>
      <c r="D2690" s="51">
        <v>67.0</v>
      </c>
      <c r="E2690" s="52" t="s">
        <v>25</v>
      </c>
      <c r="F2690" s="52" t="s">
        <v>26</v>
      </c>
      <c r="G2690" s="53"/>
    </row>
    <row r="2691">
      <c r="A2691" s="49">
        <v>44541.1757721412</v>
      </c>
      <c r="B2691" s="50">
        <v>44541.300749537</v>
      </c>
      <c r="C2691" s="51">
        <v>1.026</v>
      </c>
      <c r="D2691" s="51">
        <v>67.0</v>
      </c>
      <c r="E2691" s="52" t="s">
        <v>25</v>
      </c>
      <c r="F2691" s="52" t="s">
        <v>26</v>
      </c>
      <c r="G2691" s="53"/>
    </row>
    <row r="2692">
      <c r="A2692" s="49">
        <v>44541.186194803246</v>
      </c>
      <c r="B2692" s="50">
        <v>44541.3111699999</v>
      </c>
      <c r="C2692" s="51">
        <v>1.026</v>
      </c>
      <c r="D2692" s="51">
        <v>67.0</v>
      </c>
      <c r="E2692" s="52" t="s">
        <v>25</v>
      </c>
      <c r="F2692" s="52" t="s">
        <v>26</v>
      </c>
      <c r="G2692" s="53"/>
    </row>
    <row r="2693">
      <c r="A2693" s="49">
        <v>44541.196619571754</v>
      </c>
      <c r="B2693" s="50">
        <v>44541.3215908912</v>
      </c>
      <c r="C2693" s="51">
        <v>1.026</v>
      </c>
      <c r="D2693" s="51">
        <v>67.0</v>
      </c>
      <c r="E2693" s="52" t="s">
        <v>25</v>
      </c>
      <c r="F2693" s="52" t="s">
        <v>26</v>
      </c>
      <c r="G2693" s="53"/>
    </row>
    <row r="2694">
      <c r="A2694" s="49">
        <v>44541.20704866898</v>
      </c>
      <c r="B2694" s="50">
        <v>44541.3320249884</v>
      </c>
      <c r="C2694" s="51">
        <v>1.026</v>
      </c>
      <c r="D2694" s="51">
        <v>67.0</v>
      </c>
      <c r="E2694" s="52" t="s">
        <v>25</v>
      </c>
      <c r="F2694" s="52" t="s">
        <v>26</v>
      </c>
      <c r="G2694" s="53"/>
    </row>
    <row r="2695">
      <c r="A2695" s="49">
        <v>44541.217468449075</v>
      </c>
      <c r="B2695" s="50">
        <v>44541.3424452662</v>
      </c>
      <c r="C2695" s="51">
        <v>1.026</v>
      </c>
      <c r="D2695" s="51">
        <v>67.0</v>
      </c>
      <c r="E2695" s="52" t="s">
        <v>25</v>
      </c>
      <c r="F2695" s="52" t="s">
        <v>26</v>
      </c>
      <c r="G2695" s="53"/>
    </row>
    <row r="2696">
      <c r="A2696" s="49">
        <v>44541.22790520833</v>
      </c>
      <c r="B2696" s="50">
        <v>44541.3528777083</v>
      </c>
      <c r="C2696" s="51">
        <v>1.026</v>
      </c>
      <c r="D2696" s="51">
        <v>67.0</v>
      </c>
      <c r="E2696" s="52" t="s">
        <v>25</v>
      </c>
      <c r="F2696" s="52" t="s">
        <v>26</v>
      </c>
      <c r="G2696" s="53"/>
    </row>
    <row r="2697">
      <c r="A2697" s="49">
        <v>44541.23832292824</v>
      </c>
      <c r="B2697" s="50">
        <v>44541.3632992013</v>
      </c>
      <c r="C2697" s="51">
        <v>1.026</v>
      </c>
      <c r="D2697" s="51">
        <v>67.0</v>
      </c>
      <c r="E2697" s="52" t="s">
        <v>25</v>
      </c>
      <c r="F2697" s="52" t="s">
        <v>26</v>
      </c>
      <c r="G2697" s="53"/>
    </row>
    <row r="2698">
      <c r="A2698" s="49">
        <v>44541.24874190972</v>
      </c>
      <c r="B2698" s="50">
        <v>44541.3737223263</v>
      </c>
      <c r="C2698" s="51">
        <v>1.026</v>
      </c>
      <c r="D2698" s="51">
        <v>67.0</v>
      </c>
      <c r="E2698" s="52" t="s">
        <v>25</v>
      </c>
      <c r="F2698" s="52" t="s">
        <v>26</v>
      </c>
      <c r="G2698" s="53"/>
    </row>
    <row r="2699">
      <c r="A2699" s="49">
        <v>44541.25916959491</v>
      </c>
      <c r="B2699" s="50">
        <v>44541.3841449189</v>
      </c>
      <c r="C2699" s="51">
        <v>1.026</v>
      </c>
      <c r="D2699" s="51">
        <v>67.0</v>
      </c>
      <c r="E2699" s="52" t="s">
        <v>25</v>
      </c>
      <c r="F2699" s="52" t="s">
        <v>26</v>
      </c>
      <c r="G2699" s="53"/>
    </row>
    <row r="2700">
      <c r="A2700" s="49">
        <v>44541.26959790509</v>
      </c>
      <c r="B2700" s="50">
        <v>44541.3945765277</v>
      </c>
      <c r="C2700" s="51">
        <v>1.026</v>
      </c>
      <c r="D2700" s="51">
        <v>67.0</v>
      </c>
      <c r="E2700" s="52" t="s">
        <v>25</v>
      </c>
      <c r="F2700" s="52" t="s">
        <v>26</v>
      </c>
      <c r="G2700" s="53"/>
    </row>
    <row r="2701">
      <c r="A2701" s="49">
        <v>44541.2800187963</v>
      </c>
      <c r="B2701" s="50">
        <v>44541.4049978819</v>
      </c>
      <c r="C2701" s="51">
        <v>1.026</v>
      </c>
      <c r="D2701" s="51">
        <v>67.0</v>
      </c>
      <c r="E2701" s="52" t="s">
        <v>25</v>
      </c>
      <c r="F2701" s="52" t="s">
        <v>26</v>
      </c>
      <c r="G2701" s="53"/>
    </row>
    <row r="2702">
      <c r="A2702" s="49">
        <v>44541.290451180554</v>
      </c>
      <c r="B2702" s="50">
        <v>44541.4154317245</v>
      </c>
      <c r="C2702" s="51">
        <v>1.026</v>
      </c>
      <c r="D2702" s="51">
        <v>67.0</v>
      </c>
      <c r="E2702" s="52" t="s">
        <v>25</v>
      </c>
      <c r="F2702" s="52" t="s">
        <v>26</v>
      </c>
      <c r="G2702" s="53"/>
    </row>
    <row r="2703">
      <c r="A2703" s="49">
        <v>44541.30087717593</v>
      </c>
      <c r="B2703" s="50">
        <v>44541.4258529976</v>
      </c>
      <c r="C2703" s="51">
        <v>1.026</v>
      </c>
      <c r="D2703" s="51">
        <v>67.0</v>
      </c>
      <c r="E2703" s="52" t="s">
        <v>25</v>
      </c>
      <c r="F2703" s="52" t="s">
        <v>26</v>
      </c>
      <c r="G2703" s="53"/>
    </row>
    <row r="2704">
      <c r="A2704" s="49">
        <v>44541.31131023148</v>
      </c>
      <c r="B2704" s="50">
        <v>44541.4362845717</v>
      </c>
      <c r="C2704" s="51">
        <v>1.026</v>
      </c>
      <c r="D2704" s="51">
        <v>67.0</v>
      </c>
      <c r="E2704" s="52" t="s">
        <v>25</v>
      </c>
      <c r="F2704" s="52" t="s">
        <v>26</v>
      </c>
      <c r="G2704" s="53"/>
    </row>
    <row r="2705">
      <c r="A2705" s="49">
        <v>44541.32172491898</v>
      </c>
      <c r="B2705" s="50">
        <v>44541.4467033333</v>
      </c>
      <c r="C2705" s="51">
        <v>1.026</v>
      </c>
      <c r="D2705" s="51">
        <v>67.0</v>
      </c>
      <c r="E2705" s="52" t="s">
        <v>25</v>
      </c>
      <c r="F2705" s="52" t="s">
        <v>26</v>
      </c>
      <c r="G2705" s="53"/>
    </row>
    <row r="2706">
      <c r="A2706" s="49">
        <v>44541.332142858795</v>
      </c>
      <c r="B2706" s="50">
        <v>44541.4571258449</v>
      </c>
      <c r="C2706" s="51">
        <v>1.026</v>
      </c>
      <c r="D2706" s="51">
        <v>67.0</v>
      </c>
      <c r="E2706" s="52" t="s">
        <v>25</v>
      </c>
      <c r="F2706" s="52" t="s">
        <v>26</v>
      </c>
      <c r="G2706" s="53"/>
    </row>
    <row r="2707">
      <c r="A2707" s="49">
        <v>44541.34257238426</v>
      </c>
      <c r="B2707" s="50">
        <v>44541.4675467013</v>
      </c>
      <c r="C2707" s="51">
        <v>1.025</v>
      </c>
      <c r="D2707" s="51">
        <v>67.0</v>
      </c>
      <c r="E2707" s="52" t="s">
        <v>25</v>
      </c>
      <c r="F2707" s="52" t="s">
        <v>26</v>
      </c>
      <c r="G2707" s="53"/>
    </row>
    <row r="2708">
      <c r="A2708" s="49">
        <v>44541.35301261574</v>
      </c>
      <c r="B2708" s="50">
        <v>44541.477990949</v>
      </c>
      <c r="C2708" s="51">
        <v>1.026</v>
      </c>
      <c r="D2708" s="51">
        <v>67.0</v>
      </c>
      <c r="E2708" s="52" t="s">
        <v>25</v>
      </c>
      <c r="F2708" s="52" t="s">
        <v>26</v>
      </c>
      <c r="G2708" s="53"/>
    </row>
    <row r="2709">
      <c r="A2709" s="49">
        <v>44541.36344518518</v>
      </c>
      <c r="B2709" s="50">
        <v>44541.4884248148</v>
      </c>
      <c r="C2709" s="51">
        <v>1.026</v>
      </c>
      <c r="D2709" s="51">
        <v>66.0</v>
      </c>
      <c r="E2709" s="52" t="s">
        <v>25</v>
      </c>
      <c r="F2709" s="52" t="s">
        <v>26</v>
      </c>
      <c r="G2709" s="53"/>
    </row>
    <row r="2710">
      <c r="A2710" s="49">
        <v>44541.37386925926</v>
      </c>
      <c r="B2710" s="50">
        <v>44541.4988453009</v>
      </c>
      <c r="C2710" s="51">
        <v>1.026</v>
      </c>
      <c r="D2710" s="51">
        <v>66.0</v>
      </c>
      <c r="E2710" s="52" t="s">
        <v>25</v>
      </c>
      <c r="F2710" s="52" t="s">
        <v>26</v>
      </c>
      <c r="G2710" s="53"/>
    </row>
    <row r="2711">
      <c r="A2711" s="49">
        <v>44541.384304328705</v>
      </c>
      <c r="B2711" s="50">
        <v>44541.5092668749</v>
      </c>
      <c r="C2711" s="51">
        <v>1.026</v>
      </c>
      <c r="D2711" s="51">
        <v>66.0</v>
      </c>
      <c r="E2711" s="52" t="s">
        <v>25</v>
      </c>
      <c r="F2711" s="52" t="s">
        <v>26</v>
      </c>
      <c r="G2711" s="53"/>
    </row>
    <row r="2712">
      <c r="A2712" s="49">
        <v>44541.39471255787</v>
      </c>
      <c r="B2712" s="50">
        <v>44541.5196868518</v>
      </c>
      <c r="C2712" s="51">
        <v>1.025</v>
      </c>
      <c r="D2712" s="51">
        <v>66.0</v>
      </c>
      <c r="E2712" s="52" t="s">
        <v>25</v>
      </c>
      <c r="F2712" s="52" t="s">
        <v>26</v>
      </c>
      <c r="G2712" s="53"/>
    </row>
    <row r="2713">
      <c r="A2713" s="49">
        <v>44541.40513209491</v>
      </c>
      <c r="B2713" s="50">
        <v>44541.5301080092</v>
      </c>
      <c r="C2713" s="51">
        <v>1.026</v>
      </c>
      <c r="D2713" s="51">
        <v>67.0</v>
      </c>
      <c r="E2713" s="52" t="s">
        <v>25</v>
      </c>
      <c r="F2713" s="52" t="s">
        <v>26</v>
      </c>
      <c r="G2713" s="53"/>
    </row>
    <row r="2714">
      <c r="A2714" s="49">
        <v>44541.41555011574</v>
      </c>
      <c r="B2714" s="50">
        <v>44541.5405297106</v>
      </c>
      <c r="C2714" s="51">
        <v>1.026</v>
      </c>
      <c r="D2714" s="51">
        <v>66.0</v>
      </c>
      <c r="E2714" s="52" t="s">
        <v>25</v>
      </c>
      <c r="F2714" s="52" t="s">
        <v>26</v>
      </c>
      <c r="G2714" s="53"/>
    </row>
    <row r="2715">
      <c r="A2715" s="49">
        <v>44541.4259727662</v>
      </c>
      <c r="B2715" s="50">
        <v>44541.5509513657</v>
      </c>
      <c r="C2715" s="51">
        <v>1.026</v>
      </c>
      <c r="D2715" s="51">
        <v>66.0</v>
      </c>
      <c r="E2715" s="52" t="s">
        <v>25</v>
      </c>
      <c r="F2715" s="52" t="s">
        <v>26</v>
      </c>
      <c r="G2715" s="53"/>
    </row>
    <row r="2716">
      <c r="A2716" s="49">
        <v>44541.43640351851</v>
      </c>
      <c r="B2716" s="50">
        <v>44541.5613718981</v>
      </c>
      <c r="C2716" s="51">
        <v>1.026</v>
      </c>
      <c r="D2716" s="51">
        <v>66.0</v>
      </c>
      <c r="E2716" s="52" t="s">
        <v>25</v>
      </c>
      <c r="F2716" s="52" t="s">
        <v>26</v>
      </c>
      <c r="G2716" s="53"/>
    </row>
    <row r="2717">
      <c r="A2717" s="49">
        <v>44541.44682650463</v>
      </c>
      <c r="B2717" s="50">
        <v>44541.5718049999</v>
      </c>
      <c r="C2717" s="51">
        <v>1.026</v>
      </c>
      <c r="D2717" s="51">
        <v>66.0</v>
      </c>
      <c r="E2717" s="52" t="s">
        <v>25</v>
      </c>
      <c r="F2717" s="52" t="s">
        <v>26</v>
      </c>
      <c r="G2717" s="53"/>
    </row>
    <row r="2718">
      <c r="A2718" s="49">
        <v>44541.457263564815</v>
      </c>
      <c r="B2718" s="50">
        <v>44541.582238449</v>
      </c>
      <c r="C2718" s="51">
        <v>1.026</v>
      </c>
      <c r="D2718" s="51">
        <v>66.0</v>
      </c>
      <c r="E2718" s="52" t="s">
        <v>25</v>
      </c>
      <c r="F2718" s="52" t="s">
        <v>26</v>
      </c>
      <c r="G2718" s="53"/>
    </row>
    <row r="2719">
      <c r="A2719" s="49">
        <v>44541.46768526621</v>
      </c>
      <c r="B2719" s="50">
        <v>44541.592658368</v>
      </c>
      <c r="C2719" s="51">
        <v>1.026</v>
      </c>
      <c r="D2719" s="51">
        <v>66.0</v>
      </c>
      <c r="E2719" s="52" t="s">
        <v>25</v>
      </c>
      <c r="F2719" s="52" t="s">
        <v>26</v>
      </c>
      <c r="G2719" s="53"/>
    </row>
    <row r="2720">
      <c r="A2720" s="49">
        <v>44541.47812111111</v>
      </c>
      <c r="B2720" s="50">
        <v>44541.6031022222</v>
      </c>
      <c r="C2720" s="51">
        <v>1.026</v>
      </c>
      <c r="D2720" s="51">
        <v>66.0</v>
      </c>
      <c r="E2720" s="52" t="s">
        <v>25</v>
      </c>
      <c r="F2720" s="52" t="s">
        <v>26</v>
      </c>
      <c r="G2720" s="53"/>
    </row>
    <row r="2721">
      <c r="A2721" s="49">
        <v>44541.488546423614</v>
      </c>
      <c r="B2721" s="50">
        <v>44541.6135237152</v>
      </c>
      <c r="C2721" s="51">
        <v>1.026</v>
      </c>
      <c r="D2721" s="51">
        <v>66.0</v>
      </c>
      <c r="E2721" s="52" t="s">
        <v>25</v>
      </c>
      <c r="F2721" s="52" t="s">
        <v>26</v>
      </c>
      <c r="G2721" s="53"/>
    </row>
    <row r="2722">
      <c r="A2722" s="49">
        <v>44541.4989594213</v>
      </c>
      <c r="B2722" s="50">
        <v>44541.6239436111</v>
      </c>
      <c r="C2722" s="51">
        <v>1.025</v>
      </c>
      <c r="D2722" s="51">
        <v>66.0</v>
      </c>
      <c r="E2722" s="52" t="s">
        <v>25</v>
      </c>
      <c r="F2722" s="52" t="s">
        <v>26</v>
      </c>
      <c r="G2722" s="53"/>
    </row>
    <row r="2723">
      <c r="A2723" s="49">
        <v>44541.509403819444</v>
      </c>
      <c r="B2723" s="50">
        <v>44541.6343784722</v>
      </c>
      <c r="C2723" s="51">
        <v>1.025</v>
      </c>
      <c r="D2723" s="51">
        <v>66.0</v>
      </c>
      <c r="E2723" s="52" t="s">
        <v>25</v>
      </c>
      <c r="F2723" s="52" t="s">
        <v>26</v>
      </c>
      <c r="G2723" s="53"/>
    </row>
    <row r="2724">
      <c r="A2724" s="49">
        <v>44541.51984037037</v>
      </c>
      <c r="B2724" s="50">
        <v>44541.644810949</v>
      </c>
      <c r="C2724" s="51">
        <v>1.026</v>
      </c>
      <c r="D2724" s="51">
        <v>66.0</v>
      </c>
      <c r="E2724" s="52" t="s">
        <v>25</v>
      </c>
      <c r="F2724" s="52" t="s">
        <v>26</v>
      </c>
      <c r="G2724" s="53"/>
    </row>
    <row r="2725">
      <c r="A2725" s="49">
        <v>44541.5302525463</v>
      </c>
      <c r="B2725" s="50">
        <v>44541.6552329398</v>
      </c>
      <c r="C2725" s="51">
        <v>1.025</v>
      </c>
      <c r="D2725" s="51">
        <v>66.0</v>
      </c>
      <c r="E2725" s="52" t="s">
        <v>25</v>
      </c>
      <c r="F2725" s="52" t="s">
        <v>26</v>
      </c>
      <c r="G2725" s="53"/>
    </row>
    <row r="2726">
      <c r="A2726" s="49">
        <v>44541.540688587964</v>
      </c>
      <c r="B2726" s="50">
        <v>44541.6656653587</v>
      </c>
      <c r="C2726" s="51">
        <v>1.025</v>
      </c>
      <c r="D2726" s="51">
        <v>66.0</v>
      </c>
      <c r="E2726" s="52" t="s">
        <v>25</v>
      </c>
      <c r="F2726" s="52" t="s">
        <v>26</v>
      </c>
      <c r="G2726" s="53"/>
    </row>
    <row r="2727">
      <c r="A2727" s="49">
        <v>44541.551147881946</v>
      </c>
      <c r="B2727" s="50">
        <v>44541.6761217476</v>
      </c>
      <c r="C2727" s="51">
        <v>1.025</v>
      </c>
      <c r="D2727" s="51">
        <v>66.0</v>
      </c>
      <c r="E2727" s="52" t="s">
        <v>25</v>
      </c>
      <c r="F2727" s="52" t="s">
        <v>26</v>
      </c>
      <c r="G2727" s="53"/>
    </row>
    <row r="2728">
      <c r="A2728" s="49">
        <v>44541.56158228009</v>
      </c>
      <c r="B2728" s="50">
        <v>44541.6865537384</v>
      </c>
      <c r="C2728" s="51">
        <v>1.025</v>
      </c>
      <c r="D2728" s="51">
        <v>66.0</v>
      </c>
      <c r="E2728" s="52" t="s">
        <v>25</v>
      </c>
      <c r="F2728" s="52" t="s">
        <v>26</v>
      </c>
      <c r="G2728" s="53"/>
    </row>
    <row r="2729">
      <c r="A2729" s="49">
        <v>44541.572071319446</v>
      </c>
      <c r="B2729" s="50">
        <v>44541.6970449421</v>
      </c>
      <c r="C2729" s="51">
        <v>1.025</v>
      </c>
      <c r="D2729" s="51">
        <v>66.0</v>
      </c>
      <c r="E2729" s="52" t="s">
        <v>25</v>
      </c>
      <c r="F2729" s="52" t="s">
        <v>26</v>
      </c>
      <c r="G2729" s="53"/>
    </row>
    <row r="2730">
      <c r="A2730" s="49">
        <v>44541.58248592593</v>
      </c>
      <c r="B2730" s="50">
        <v>44541.7074674768</v>
      </c>
      <c r="C2730" s="51">
        <v>1.026</v>
      </c>
      <c r="D2730" s="51">
        <v>66.0</v>
      </c>
      <c r="E2730" s="52" t="s">
        <v>25</v>
      </c>
      <c r="F2730" s="52" t="s">
        <v>26</v>
      </c>
      <c r="G2730" s="53"/>
    </row>
    <row r="2731">
      <c r="A2731" s="49">
        <v>44541.59292633102</v>
      </c>
      <c r="B2731" s="50">
        <v>44541.7178990625</v>
      </c>
      <c r="C2731" s="51">
        <v>1.026</v>
      </c>
      <c r="D2731" s="51">
        <v>66.0</v>
      </c>
      <c r="E2731" s="52" t="s">
        <v>25</v>
      </c>
      <c r="F2731" s="52" t="s">
        <v>26</v>
      </c>
      <c r="G2731" s="53"/>
    </row>
    <row r="2732">
      <c r="A2732" s="49">
        <v>44541.603357291664</v>
      </c>
      <c r="B2732" s="50">
        <v>44541.7283314814</v>
      </c>
      <c r="C2732" s="51">
        <v>1.025</v>
      </c>
      <c r="D2732" s="51">
        <v>66.0</v>
      </c>
      <c r="E2732" s="52" t="s">
        <v>25</v>
      </c>
      <c r="F2732" s="52" t="s">
        <v>26</v>
      </c>
      <c r="G2732" s="53"/>
    </row>
    <row r="2733">
      <c r="A2733" s="49">
        <v>44541.613816412035</v>
      </c>
      <c r="B2733" s="50">
        <v>44541.7387886342</v>
      </c>
      <c r="C2733" s="51">
        <v>1.025</v>
      </c>
      <c r="D2733" s="51">
        <v>66.0</v>
      </c>
      <c r="E2733" s="52" t="s">
        <v>25</v>
      </c>
      <c r="F2733" s="52" t="s">
        <v>26</v>
      </c>
      <c r="G2733" s="53"/>
    </row>
    <row r="2734">
      <c r="A2734" s="49">
        <v>44541.624283425925</v>
      </c>
      <c r="B2734" s="50">
        <v>44541.7492577546</v>
      </c>
      <c r="C2734" s="51">
        <v>1.025</v>
      </c>
      <c r="D2734" s="51">
        <v>66.0</v>
      </c>
      <c r="E2734" s="52" t="s">
        <v>25</v>
      </c>
      <c r="F2734" s="52" t="s">
        <v>26</v>
      </c>
      <c r="G2734" s="53"/>
    </row>
    <row r="2735">
      <c r="A2735" s="49">
        <v>44541.63471677083</v>
      </c>
      <c r="B2735" s="50">
        <v>44541.7596912152</v>
      </c>
      <c r="C2735" s="51">
        <v>1.025</v>
      </c>
      <c r="D2735" s="51">
        <v>66.0</v>
      </c>
      <c r="E2735" s="52" t="s">
        <v>25</v>
      </c>
      <c r="F2735" s="52" t="s">
        <v>26</v>
      </c>
      <c r="G2735" s="53"/>
    </row>
    <row r="2736">
      <c r="A2736" s="49">
        <v>44541.64513096065</v>
      </c>
      <c r="B2736" s="50">
        <v>44541.7701138888</v>
      </c>
      <c r="C2736" s="51">
        <v>1.025</v>
      </c>
      <c r="D2736" s="51">
        <v>66.0</v>
      </c>
      <c r="E2736" s="52" t="s">
        <v>25</v>
      </c>
      <c r="F2736" s="52" t="s">
        <v>26</v>
      </c>
      <c r="G2736" s="53"/>
    </row>
    <row r="2737">
      <c r="A2737" s="49">
        <v>44541.65557501157</v>
      </c>
      <c r="B2737" s="50">
        <v>44541.7805481944</v>
      </c>
      <c r="C2737" s="51">
        <v>1.025</v>
      </c>
      <c r="D2737" s="51">
        <v>66.0</v>
      </c>
      <c r="E2737" s="52" t="s">
        <v>25</v>
      </c>
      <c r="F2737" s="52" t="s">
        <v>26</v>
      </c>
      <c r="G2737" s="53"/>
    </row>
    <row r="2738">
      <c r="A2738" s="49">
        <v>44541.66599476852</v>
      </c>
      <c r="B2738" s="50">
        <v>44541.7909688425</v>
      </c>
      <c r="C2738" s="51">
        <v>1.025</v>
      </c>
      <c r="D2738" s="51">
        <v>66.0</v>
      </c>
      <c r="E2738" s="52" t="s">
        <v>25</v>
      </c>
      <c r="F2738" s="52" t="s">
        <v>26</v>
      </c>
      <c r="G2738" s="53"/>
    </row>
    <row r="2739">
      <c r="A2739" s="49">
        <v>44541.67643261574</v>
      </c>
      <c r="B2739" s="50">
        <v>44541.8014130902</v>
      </c>
      <c r="C2739" s="51">
        <v>1.025</v>
      </c>
      <c r="D2739" s="51">
        <v>66.0</v>
      </c>
      <c r="E2739" s="52" t="s">
        <v>25</v>
      </c>
      <c r="F2739" s="52" t="s">
        <v>26</v>
      </c>
      <c r="G2739" s="53"/>
    </row>
    <row r="2740">
      <c r="A2740" s="49">
        <v>44541.686880636575</v>
      </c>
      <c r="B2740" s="50">
        <v>44541.8118463657</v>
      </c>
      <c r="C2740" s="51">
        <v>1.025</v>
      </c>
      <c r="D2740" s="51">
        <v>66.0</v>
      </c>
      <c r="E2740" s="52" t="s">
        <v>25</v>
      </c>
      <c r="F2740" s="52" t="s">
        <v>26</v>
      </c>
      <c r="G2740" s="53"/>
    </row>
    <row r="2741">
      <c r="A2741" s="49">
        <v>44541.69729005787</v>
      </c>
      <c r="B2741" s="50">
        <v>44541.822265787</v>
      </c>
      <c r="C2741" s="51">
        <v>1.025</v>
      </c>
      <c r="D2741" s="51">
        <v>66.0</v>
      </c>
      <c r="E2741" s="52" t="s">
        <v>25</v>
      </c>
      <c r="F2741" s="52" t="s">
        <v>26</v>
      </c>
      <c r="G2741" s="53"/>
    </row>
    <row r="2742">
      <c r="A2742" s="49">
        <v>44541.707712766205</v>
      </c>
      <c r="B2742" s="50">
        <v>44541.8326864236</v>
      </c>
      <c r="C2742" s="51">
        <v>1.025</v>
      </c>
      <c r="D2742" s="51">
        <v>66.0</v>
      </c>
      <c r="E2742" s="52" t="s">
        <v>25</v>
      </c>
      <c r="F2742" s="52" t="s">
        <v>26</v>
      </c>
      <c r="G2742" s="53"/>
    </row>
    <row r="2743">
      <c r="A2743" s="49">
        <v>44541.71816283565</v>
      </c>
      <c r="B2743" s="50">
        <v>44541.8431412615</v>
      </c>
      <c r="C2743" s="51">
        <v>1.025</v>
      </c>
      <c r="D2743" s="51">
        <v>66.0</v>
      </c>
      <c r="E2743" s="52" t="s">
        <v>25</v>
      </c>
      <c r="F2743" s="52" t="s">
        <v>26</v>
      </c>
      <c r="G2743" s="53"/>
    </row>
    <row r="2744">
      <c r="A2744" s="49">
        <v>44541.72861841435</v>
      </c>
      <c r="B2744" s="50">
        <v>44541.8535951851</v>
      </c>
      <c r="C2744" s="51">
        <v>1.025</v>
      </c>
      <c r="D2744" s="51">
        <v>66.0</v>
      </c>
      <c r="E2744" s="52" t="s">
        <v>25</v>
      </c>
      <c r="F2744" s="52" t="s">
        <v>26</v>
      </c>
      <c r="G2744" s="53"/>
    </row>
    <row r="2745">
      <c r="A2745" s="49">
        <v>44541.7390325</v>
      </c>
      <c r="B2745" s="50">
        <v>44541.8640161689</v>
      </c>
      <c r="C2745" s="51">
        <v>1.025</v>
      </c>
      <c r="D2745" s="51">
        <v>66.0</v>
      </c>
      <c r="E2745" s="52" t="s">
        <v>25</v>
      </c>
      <c r="F2745" s="52" t="s">
        <v>26</v>
      </c>
      <c r="G2745" s="53"/>
    </row>
    <row r="2746">
      <c r="A2746" s="49">
        <v>44541.74949159722</v>
      </c>
      <c r="B2746" s="50">
        <v>44541.8744725231</v>
      </c>
      <c r="C2746" s="51">
        <v>1.025</v>
      </c>
      <c r="D2746" s="51">
        <v>66.0</v>
      </c>
      <c r="E2746" s="52" t="s">
        <v>25</v>
      </c>
      <c r="F2746" s="52" t="s">
        <v>26</v>
      </c>
      <c r="G2746" s="53"/>
    </row>
    <row r="2747">
      <c r="A2747" s="49">
        <v>44541.75991479166</v>
      </c>
      <c r="B2747" s="50">
        <v>44541.8848934722</v>
      </c>
      <c r="C2747" s="51">
        <v>1.025</v>
      </c>
      <c r="D2747" s="51">
        <v>66.0</v>
      </c>
      <c r="E2747" s="52" t="s">
        <v>25</v>
      </c>
      <c r="F2747" s="52" t="s">
        <v>26</v>
      </c>
      <c r="G2747" s="53"/>
    </row>
    <row r="2748">
      <c r="A2748" s="49">
        <v>44541.77034239583</v>
      </c>
      <c r="B2748" s="50">
        <v>44541.8953154282</v>
      </c>
      <c r="C2748" s="51">
        <v>1.025</v>
      </c>
      <c r="D2748" s="51">
        <v>66.0</v>
      </c>
      <c r="E2748" s="52" t="s">
        <v>25</v>
      </c>
      <c r="F2748" s="52" t="s">
        <v>26</v>
      </c>
      <c r="G2748" s="53"/>
    </row>
    <row r="2749">
      <c r="A2749" s="49">
        <v>44541.78078527778</v>
      </c>
      <c r="B2749" s="50">
        <v>44541.9057603472</v>
      </c>
      <c r="C2749" s="51">
        <v>1.025</v>
      </c>
      <c r="D2749" s="51">
        <v>66.0</v>
      </c>
      <c r="E2749" s="52" t="s">
        <v>25</v>
      </c>
      <c r="F2749" s="52" t="s">
        <v>26</v>
      </c>
      <c r="G2749" s="53"/>
    </row>
    <row r="2750">
      <c r="A2750" s="49">
        <v>44541.79121454861</v>
      </c>
      <c r="B2750" s="50">
        <v>44541.9161923379</v>
      </c>
      <c r="C2750" s="51">
        <v>1.025</v>
      </c>
      <c r="D2750" s="51">
        <v>66.0</v>
      </c>
      <c r="E2750" s="52" t="s">
        <v>25</v>
      </c>
      <c r="F2750" s="52" t="s">
        <v>26</v>
      </c>
      <c r="G2750" s="53"/>
    </row>
    <row r="2751">
      <c r="A2751" s="49">
        <v>44541.801644363426</v>
      </c>
      <c r="B2751" s="50">
        <v>44541.926624456</v>
      </c>
      <c r="C2751" s="51">
        <v>1.025</v>
      </c>
      <c r="D2751" s="51">
        <v>66.0</v>
      </c>
      <c r="E2751" s="52" t="s">
        <v>25</v>
      </c>
      <c r="F2751" s="52" t="s">
        <v>26</v>
      </c>
      <c r="G2751" s="53"/>
    </row>
    <row r="2752">
      <c r="A2752" s="49">
        <v>44541.81206145833</v>
      </c>
      <c r="B2752" s="50">
        <v>44541.937046412</v>
      </c>
      <c r="C2752" s="51">
        <v>1.025</v>
      </c>
      <c r="D2752" s="51">
        <v>66.0</v>
      </c>
      <c r="E2752" s="52" t="s">
        <v>25</v>
      </c>
      <c r="F2752" s="52" t="s">
        <v>26</v>
      </c>
      <c r="G2752" s="53"/>
    </row>
    <row r="2753">
      <c r="A2753" s="49">
        <v>44541.822491053244</v>
      </c>
      <c r="B2753" s="50">
        <v>44541.947465243</v>
      </c>
      <c r="C2753" s="51">
        <v>1.025</v>
      </c>
      <c r="D2753" s="51">
        <v>66.0</v>
      </c>
      <c r="E2753" s="52" t="s">
        <v>25</v>
      </c>
      <c r="F2753" s="52" t="s">
        <v>26</v>
      </c>
      <c r="G2753" s="53"/>
    </row>
    <row r="2754">
      <c r="A2754" s="49">
        <v>44541.8329270949</v>
      </c>
      <c r="B2754" s="50">
        <v>44541.9578981365</v>
      </c>
      <c r="C2754" s="51">
        <v>1.025</v>
      </c>
      <c r="D2754" s="51">
        <v>66.0</v>
      </c>
      <c r="E2754" s="52" t="s">
        <v>25</v>
      </c>
      <c r="F2754" s="52" t="s">
        <v>26</v>
      </c>
      <c r="G2754" s="53"/>
    </row>
    <row r="2755">
      <c r="A2755" s="49">
        <v>44541.84334619213</v>
      </c>
      <c r="B2755" s="50">
        <v>44541.9683194444</v>
      </c>
      <c r="C2755" s="51">
        <v>1.025</v>
      </c>
      <c r="D2755" s="51">
        <v>66.0</v>
      </c>
      <c r="E2755" s="52" t="s">
        <v>25</v>
      </c>
      <c r="F2755" s="52" t="s">
        <v>26</v>
      </c>
      <c r="G2755" s="53"/>
    </row>
    <row r="2756">
      <c r="A2756" s="49">
        <v>44541.85377834491</v>
      </c>
      <c r="B2756" s="50">
        <v>44541.9787529976</v>
      </c>
      <c r="C2756" s="51">
        <v>1.025</v>
      </c>
      <c r="D2756" s="51">
        <v>66.0</v>
      </c>
      <c r="E2756" s="52" t="s">
        <v>25</v>
      </c>
      <c r="F2756" s="52" t="s">
        <v>26</v>
      </c>
      <c r="G2756" s="53"/>
    </row>
    <row r="2757">
      <c r="A2757" s="49">
        <v>44541.86422149306</v>
      </c>
      <c r="B2757" s="50">
        <v>44541.9891988657</v>
      </c>
      <c r="C2757" s="51">
        <v>1.025</v>
      </c>
      <c r="D2757" s="51">
        <v>66.0</v>
      </c>
      <c r="E2757" s="52" t="s">
        <v>25</v>
      </c>
      <c r="F2757" s="52" t="s">
        <v>26</v>
      </c>
      <c r="G2757" s="53"/>
    </row>
    <row r="2758">
      <c r="A2758" s="49">
        <v>44541.874655266205</v>
      </c>
      <c r="B2758" s="50">
        <v>44541.9996327199</v>
      </c>
      <c r="C2758" s="51">
        <v>1.025</v>
      </c>
      <c r="D2758" s="51">
        <v>66.0</v>
      </c>
      <c r="E2758" s="52" t="s">
        <v>25</v>
      </c>
      <c r="F2758" s="52" t="s">
        <v>26</v>
      </c>
      <c r="G2758" s="53"/>
    </row>
    <row r="2759">
      <c r="A2759" s="49">
        <v>44541.885071620374</v>
      </c>
      <c r="B2759" s="50">
        <v>44542.0100560416</v>
      </c>
      <c r="C2759" s="51">
        <v>1.025</v>
      </c>
      <c r="D2759" s="51">
        <v>66.0</v>
      </c>
      <c r="E2759" s="52" t="s">
        <v>25</v>
      </c>
      <c r="F2759" s="52" t="s">
        <v>26</v>
      </c>
      <c r="G2759" s="53"/>
    </row>
    <row r="2760">
      <c r="A2760" s="49">
        <v>44541.895510532406</v>
      </c>
      <c r="B2760" s="50">
        <v>44542.0204880902</v>
      </c>
      <c r="C2760" s="51">
        <v>1.025</v>
      </c>
      <c r="D2760" s="51">
        <v>66.0</v>
      </c>
      <c r="E2760" s="52" t="s">
        <v>25</v>
      </c>
      <c r="F2760" s="52" t="s">
        <v>26</v>
      </c>
      <c r="G2760" s="53"/>
    </row>
    <row r="2761">
      <c r="A2761" s="49">
        <v>44541.90593202546</v>
      </c>
      <c r="B2761" s="50">
        <v>44542.0309089236</v>
      </c>
      <c r="C2761" s="51">
        <v>1.025</v>
      </c>
      <c r="D2761" s="51">
        <v>66.0</v>
      </c>
      <c r="E2761" s="52" t="s">
        <v>25</v>
      </c>
      <c r="F2761" s="52" t="s">
        <v>26</v>
      </c>
      <c r="G2761" s="53"/>
    </row>
    <row r="2762">
      <c r="A2762" s="49">
        <v>44541.91636782407</v>
      </c>
      <c r="B2762" s="50">
        <v>44542.0413429166</v>
      </c>
      <c r="C2762" s="51">
        <v>1.025</v>
      </c>
      <c r="D2762" s="51">
        <v>66.0</v>
      </c>
      <c r="E2762" s="52" t="s">
        <v>25</v>
      </c>
      <c r="F2762" s="52" t="s">
        <v>26</v>
      </c>
      <c r="G2762" s="53"/>
    </row>
    <row r="2763">
      <c r="A2763" s="49">
        <v>44541.92679498842</v>
      </c>
      <c r="B2763" s="50">
        <v>44542.0517757523</v>
      </c>
      <c r="C2763" s="51">
        <v>1.025</v>
      </c>
      <c r="D2763" s="51">
        <v>66.0</v>
      </c>
      <c r="E2763" s="52" t="s">
        <v>25</v>
      </c>
      <c r="F2763" s="52" t="s">
        <v>26</v>
      </c>
      <c r="G2763" s="53"/>
    </row>
    <row r="2764">
      <c r="A2764" s="49">
        <v>44541.9372790625</v>
      </c>
      <c r="B2764" s="50">
        <v>44542.0622552662</v>
      </c>
      <c r="C2764" s="51">
        <v>1.025</v>
      </c>
      <c r="D2764" s="51">
        <v>66.0</v>
      </c>
      <c r="E2764" s="52" t="s">
        <v>25</v>
      </c>
      <c r="F2764" s="52" t="s">
        <v>26</v>
      </c>
      <c r="G2764" s="53"/>
    </row>
    <row r="2765">
      <c r="A2765" s="49">
        <v>44541.947712071764</v>
      </c>
      <c r="B2765" s="50">
        <v>44542.0726883333</v>
      </c>
      <c r="C2765" s="51">
        <v>1.025</v>
      </c>
      <c r="D2765" s="51">
        <v>66.0</v>
      </c>
      <c r="E2765" s="52" t="s">
        <v>25</v>
      </c>
      <c r="F2765" s="52" t="s">
        <v>26</v>
      </c>
      <c r="G2765" s="53"/>
    </row>
    <row r="2766">
      <c r="A2766" s="49">
        <v>44541.95813856482</v>
      </c>
      <c r="B2766" s="50">
        <v>44542.0831199189</v>
      </c>
      <c r="C2766" s="51">
        <v>1.025</v>
      </c>
      <c r="D2766" s="51">
        <v>66.0</v>
      </c>
      <c r="E2766" s="52" t="s">
        <v>25</v>
      </c>
      <c r="F2766" s="52" t="s">
        <v>26</v>
      </c>
      <c r="G2766" s="53"/>
    </row>
    <row r="2767">
      <c r="A2767" s="49">
        <v>44541.96856635417</v>
      </c>
      <c r="B2767" s="50">
        <v>44542.0935423611</v>
      </c>
      <c r="C2767" s="51">
        <v>1.025</v>
      </c>
      <c r="D2767" s="51">
        <v>66.0</v>
      </c>
      <c r="E2767" s="52" t="s">
        <v>25</v>
      </c>
      <c r="F2767" s="52" t="s">
        <v>26</v>
      </c>
      <c r="G2767" s="53"/>
    </row>
    <row r="2768">
      <c r="A2768" s="49">
        <v>44541.97902150463</v>
      </c>
      <c r="B2768" s="50">
        <v>44542.1039979976</v>
      </c>
      <c r="C2768" s="51">
        <v>1.025</v>
      </c>
      <c r="D2768" s="51">
        <v>66.0</v>
      </c>
      <c r="E2768" s="52" t="s">
        <v>25</v>
      </c>
      <c r="F2768" s="52" t="s">
        <v>26</v>
      </c>
      <c r="G2768" s="53"/>
    </row>
    <row r="2769">
      <c r="A2769" s="49">
        <v>44541.98945719907</v>
      </c>
      <c r="B2769" s="50">
        <v>44542.1144296296</v>
      </c>
      <c r="C2769" s="51">
        <v>1.025</v>
      </c>
      <c r="D2769" s="51">
        <v>66.0</v>
      </c>
      <c r="E2769" s="52" t="s">
        <v>25</v>
      </c>
      <c r="F2769" s="52" t="s">
        <v>26</v>
      </c>
      <c r="G2769" s="53"/>
    </row>
    <row r="2770">
      <c r="A2770" s="49">
        <v>44541.99989400463</v>
      </c>
      <c r="B2770" s="50">
        <v>44542.124874155</v>
      </c>
      <c r="C2770" s="51">
        <v>1.025</v>
      </c>
      <c r="D2770" s="51">
        <v>66.0</v>
      </c>
      <c r="E2770" s="52" t="s">
        <v>25</v>
      </c>
      <c r="F2770" s="52" t="s">
        <v>26</v>
      </c>
      <c r="G2770" s="53"/>
    </row>
    <row r="2771">
      <c r="A2771" s="49">
        <v>44542.01031564815</v>
      </c>
      <c r="B2771" s="50">
        <v>44542.1352961458</v>
      </c>
      <c r="C2771" s="51">
        <v>1.025</v>
      </c>
      <c r="D2771" s="51">
        <v>66.0</v>
      </c>
      <c r="E2771" s="52" t="s">
        <v>25</v>
      </c>
      <c r="F2771" s="52" t="s">
        <v>26</v>
      </c>
      <c r="G2771" s="53"/>
    </row>
    <row r="2772">
      <c r="A2772" s="49">
        <v>44542.020738136576</v>
      </c>
      <c r="B2772" s="50">
        <v>44542.1457163541</v>
      </c>
      <c r="C2772" s="51">
        <v>1.025</v>
      </c>
      <c r="D2772" s="51">
        <v>66.0</v>
      </c>
      <c r="E2772" s="52" t="s">
        <v>25</v>
      </c>
      <c r="F2772" s="52" t="s">
        <v>26</v>
      </c>
      <c r="G2772" s="53"/>
    </row>
    <row r="2773">
      <c r="A2773" s="49">
        <v>44542.03116496528</v>
      </c>
      <c r="B2773" s="50">
        <v>44542.1561494444</v>
      </c>
      <c r="C2773" s="51">
        <v>1.025</v>
      </c>
      <c r="D2773" s="51">
        <v>66.0</v>
      </c>
      <c r="E2773" s="52" t="s">
        <v>25</v>
      </c>
      <c r="F2773" s="52" t="s">
        <v>26</v>
      </c>
      <c r="G2773" s="53"/>
    </row>
    <row r="2774">
      <c r="A2774" s="49">
        <v>44542.04159663194</v>
      </c>
      <c r="B2774" s="50">
        <v>44542.166571574</v>
      </c>
      <c r="C2774" s="51">
        <v>1.025</v>
      </c>
      <c r="D2774" s="51">
        <v>66.0</v>
      </c>
      <c r="E2774" s="52" t="s">
        <v>25</v>
      </c>
      <c r="F2774" s="52" t="s">
        <v>26</v>
      </c>
      <c r="G2774" s="53"/>
    </row>
    <row r="2775">
      <c r="A2775" s="49">
        <v>44542.052049895836</v>
      </c>
      <c r="B2775" s="50">
        <v>44542.1770278819</v>
      </c>
      <c r="C2775" s="51">
        <v>1.025</v>
      </c>
      <c r="D2775" s="51">
        <v>66.0</v>
      </c>
      <c r="E2775" s="52" t="s">
        <v>25</v>
      </c>
      <c r="F2775" s="52" t="s">
        <v>26</v>
      </c>
      <c r="G2775" s="53"/>
    </row>
    <row r="2776">
      <c r="A2776" s="49">
        <v>44542.062466620366</v>
      </c>
      <c r="B2776" s="50">
        <v>44542.1874498148</v>
      </c>
      <c r="C2776" s="51">
        <v>1.025</v>
      </c>
      <c r="D2776" s="51">
        <v>66.0</v>
      </c>
      <c r="E2776" s="52" t="s">
        <v>25</v>
      </c>
      <c r="F2776" s="52" t="s">
        <v>26</v>
      </c>
      <c r="G2776" s="53"/>
    </row>
    <row r="2777">
      <c r="A2777" s="49">
        <v>44542.072887511575</v>
      </c>
      <c r="B2777" s="50">
        <v>44542.1978705902</v>
      </c>
      <c r="C2777" s="51">
        <v>1.025</v>
      </c>
      <c r="D2777" s="51">
        <v>66.0</v>
      </c>
      <c r="E2777" s="52" t="s">
        <v>25</v>
      </c>
      <c r="F2777" s="52" t="s">
        <v>26</v>
      </c>
      <c r="G2777" s="53"/>
    </row>
    <row r="2778">
      <c r="A2778" s="49">
        <v>44542.083314918986</v>
      </c>
      <c r="B2778" s="50">
        <v>44542.2082918865</v>
      </c>
      <c r="C2778" s="51">
        <v>1.025</v>
      </c>
      <c r="D2778" s="51">
        <v>66.0</v>
      </c>
      <c r="E2778" s="52" t="s">
        <v>25</v>
      </c>
      <c r="F2778" s="52" t="s">
        <v>26</v>
      </c>
      <c r="G2778" s="53"/>
    </row>
    <row r="2779">
      <c r="A2779" s="49">
        <v>44542.0937609838</v>
      </c>
      <c r="B2779" s="50">
        <v>44542.2187378472</v>
      </c>
      <c r="C2779" s="51">
        <v>1.025</v>
      </c>
      <c r="D2779" s="51">
        <v>66.0</v>
      </c>
      <c r="E2779" s="52" t="s">
        <v>25</v>
      </c>
      <c r="F2779" s="52" t="s">
        <v>26</v>
      </c>
      <c r="G2779" s="53"/>
    </row>
    <row r="2780">
      <c r="A2780" s="49">
        <v>44542.10417815972</v>
      </c>
      <c r="B2780" s="50">
        <v>44542.2291588888</v>
      </c>
      <c r="C2780" s="51">
        <v>1.025</v>
      </c>
      <c r="D2780" s="51">
        <v>66.0</v>
      </c>
      <c r="E2780" s="52" t="s">
        <v>25</v>
      </c>
      <c r="F2780" s="52" t="s">
        <v>26</v>
      </c>
      <c r="G2780" s="53"/>
    </row>
    <row r="2781">
      <c r="A2781" s="49">
        <v>44542.114607800926</v>
      </c>
      <c r="B2781" s="50">
        <v>44542.2395907291</v>
      </c>
      <c r="C2781" s="51">
        <v>1.025</v>
      </c>
      <c r="D2781" s="51">
        <v>66.0</v>
      </c>
      <c r="E2781" s="52" t="s">
        <v>25</v>
      </c>
      <c r="F2781" s="52" t="s">
        <v>26</v>
      </c>
      <c r="G2781" s="53"/>
    </row>
    <row r="2782">
      <c r="A2782" s="49">
        <v>44542.12507578704</v>
      </c>
      <c r="B2782" s="50">
        <v>44542.2500485648</v>
      </c>
      <c r="C2782" s="51">
        <v>1.025</v>
      </c>
      <c r="D2782" s="51">
        <v>66.0</v>
      </c>
      <c r="E2782" s="52" t="s">
        <v>25</v>
      </c>
      <c r="F2782" s="52" t="s">
        <v>26</v>
      </c>
      <c r="G2782" s="53"/>
    </row>
    <row r="2783">
      <c r="A2783" s="49">
        <v>44542.13549460648</v>
      </c>
      <c r="B2783" s="50">
        <v>44542.2604699305</v>
      </c>
      <c r="C2783" s="51">
        <v>1.025</v>
      </c>
      <c r="D2783" s="51">
        <v>66.0</v>
      </c>
      <c r="E2783" s="52" t="s">
        <v>25</v>
      </c>
      <c r="F2783" s="52" t="s">
        <v>26</v>
      </c>
      <c r="G2783" s="53"/>
    </row>
    <row r="2784">
      <c r="A2784" s="49">
        <v>44542.14591548611</v>
      </c>
      <c r="B2784" s="50">
        <v>44542.2708912847</v>
      </c>
      <c r="C2784" s="51">
        <v>1.025</v>
      </c>
      <c r="D2784" s="51">
        <v>65.0</v>
      </c>
      <c r="E2784" s="52" t="s">
        <v>25</v>
      </c>
      <c r="F2784" s="52" t="s">
        <v>26</v>
      </c>
      <c r="G2784" s="53"/>
    </row>
    <row r="2785">
      <c r="A2785" s="49">
        <v>44542.15636657407</v>
      </c>
      <c r="B2785" s="50">
        <v>44542.2813466203</v>
      </c>
      <c r="C2785" s="51">
        <v>1.025</v>
      </c>
      <c r="D2785" s="51">
        <v>66.0</v>
      </c>
      <c r="E2785" s="52" t="s">
        <v>25</v>
      </c>
      <c r="F2785" s="52" t="s">
        <v>26</v>
      </c>
      <c r="G2785" s="53"/>
    </row>
    <row r="2786">
      <c r="A2786" s="49">
        <v>44542.16679765046</v>
      </c>
      <c r="B2786" s="50">
        <v>44542.2917680902</v>
      </c>
      <c r="C2786" s="51">
        <v>1.025</v>
      </c>
      <c r="D2786" s="51">
        <v>65.0</v>
      </c>
      <c r="E2786" s="52" t="s">
        <v>25</v>
      </c>
      <c r="F2786" s="52" t="s">
        <v>26</v>
      </c>
      <c r="G2786" s="53"/>
    </row>
    <row r="2787">
      <c r="A2787" s="49">
        <v>44542.17721366898</v>
      </c>
      <c r="B2787" s="50">
        <v>44542.3021899421</v>
      </c>
      <c r="C2787" s="51">
        <v>1.025</v>
      </c>
      <c r="D2787" s="51">
        <v>66.0</v>
      </c>
      <c r="E2787" s="52" t="s">
        <v>25</v>
      </c>
      <c r="F2787" s="52" t="s">
        <v>26</v>
      </c>
      <c r="G2787" s="53"/>
    </row>
    <row r="2788">
      <c r="A2788" s="49">
        <v>44542.18763472222</v>
      </c>
      <c r="B2788" s="50">
        <v>44542.3126088541</v>
      </c>
      <c r="C2788" s="51">
        <v>1.025</v>
      </c>
      <c r="D2788" s="51">
        <v>65.0</v>
      </c>
      <c r="E2788" s="52" t="s">
        <v>25</v>
      </c>
      <c r="F2788" s="52" t="s">
        <v>26</v>
      </c>
      <c r="G2788" s="53"/>
    </row>
    <row r="2789">
      <c r="A2789" s="49">
        <v>44542.19806171296</v>
      </c>
      <c r="B2789" s="50">
        <v>44542.3230426736</v>
      </c>
      <c r="C2789" s="51">
        <v>1.025</v>
      </c>
      <c r="D2789" s="51">
        <v>66.0</v>
      </c>
      <c r="E2789" s="52" t="s">
        <v>25</v>
      </c>
      <c r="F2789" s="52" t="s">
        <v>26</v>
      </c>
      <c r="G2789" s="53"/>
    </row>
    <row r="2790">
      <c r="A2790" s="49">
        <v>44542.208491157406</v>
      </c>
      <c r="B2790" s="50">
        <v>44542.3334641087</v>
      </c>
      <c r="C2790" s="51">
        <v>1.025</v>
      </c>
      <c r="D2790" s="51">
        <v>65.0</v>
      </c>
      <c r="E2790" s="52" t="s">
        <v>25</v>
      </c>
      <c r="F2790" s="52" t="s">
        <v>26</v>
      </c>
      <c r="G2790" s="53"/>
    </row>
    <row r="2791">
      <c r="A2791" s="49">
        <v>44542.21891018518</v>
      </c>
      <c r="B2791" s="50">
        <v>44542.3438842592</v>
      </c>
      <c r="C2791" s="51">
        <v>1.025</v>
      </c>
      <c r="D2791" s="51">
        <v>65.0</v>
      </c>
      <c r="E2791" s="52" t="s">
        <v>25</v>
      </c>
      <c r="F2791" s="52" t="s">
        <v>26</v>
      </c>
      <c r="G2791" s="53"/>
    </row>
    <row r="2792">
      <c r="A2792" s="49">
        <v>44542.229341122686</v>
      </c>
      <c r="B2792" s="50">
        <v>44542.3543178009</v>
      </c>
      <c r="C2792" s="51">
        <v>1.025</v>
      </c>
      <c r="D2792" s="51">
        <v>65.0</v>
      </c>
      <c r="E2792" s="52" t="s">
        <v>25</v>
      </c>
      <c r="F2792" s="52" t="s">
        <v>26</v>
      </c>
      <c r="G2792" s="53"/>
    </row>
    <row r="2793">
      <c r="A2793" s="49">
        <v>44542.23977002315</v>
      </c>
      <c r="B2793" s="50">
        <v>44542.364750405</v>
      </c>
      <c r="C2793" s="51">
        <v>1.025</v>
      </c>
      <c r="D2793" s="51">
        <v>65.0</v>
      </c>
      <c r="E2793" s="52" t="s">
        <v>25</v>
      </c>
      <c r="F2793" s="52" t="s">
        <v>26</v>
      </c>
      <c r="G2793" s="53"/>
    </row>
    <row r="2794">
      <c r="A2794" s="49">
        <v>44542.25019225694</v>
      </c>
      <c r="B2794" s="50">
        <v>44542.3751719097</v>
      </c>
      <c r="C2794" s="51">
        <v>1.025</v>
      </c>
      <c r="D2794" s="51">
        <v>65.0</v>
      </c>
      <c r="E2794" s="52" t="s">
        <v>25</v>
      </c>
      <c r="F2794" s="52" t="s">
        <v>26</v>
      </c>
      <c r="G2794" s="53"/>
    </row>
    <row r="2795">
      <c r="A2795" s="49">
        <v>44542.26063118056</v>
      </c>
      <c r="B2795" s="50">
        <v>44542.3856031828</v>
      </c>
      <c r="C2795" s="51">
        <v>1.025</v>
      </c>
      <c r="D2795" s="51">
        <v>65.0</v>
      </c>
      <c r="E2795" s="52" t="s">
        <v>25</v>
      </c>
      <c r="F2795" s="52" t="s">
        <v>26</v>
      </c>
      <c r="G2795" s="53"/>
    </row>
    <row r="2796">
      <c r="A2796" s="49">
        <v>44542.271048333336</v>
      </c>
      <c r="B2796" s="50">
        <v>44542.3960249074</v>
      </c>
      <c r="C2796" s="51">
        <v>1.025</v>
      </c>
      <c r="D2796" s="51">
        <v>65.0</v>
      </c>
      <c r="E2796" s="52" t="s">
        <v>25</v>
      </c>
      <c r="F2796" s="52" t="s">
        <v>26</v>
      </c>
      <c r="G2796" s="53"/>
    </row>
    <row r="2797">
      <c r="A2797" s="49">
        <v>44542.281523206024</v>
      </c>
      <c r="B2797" s="50">
        <v>44542.4065046064</v>
      </c>
      <c r="C2797" s="51">
        <v>1.025</v>
      </c>
      <c r="D2797" s="51">
        <v>65.0</v>
      </c>
      <c r="E2797" s="52" t="s">
        <v>25</v>
      </c>
      <c r="F2797" s="52" t="s">
        <v>26</v>
      </c>
      <c r="G2797" s="53"/>
    </row>
    <row r="2798">
      <c r="A2798" s="49">
        <v>44542.291981608796</v>
      </c>
      <c r="B2798" s="50">
        <v>44542.4169498726</v>
      </c>
      <c r="C2798" s="51">
        <v>1.025</v>
      </c>
      <c r="D2798" s="51">
        <v>65.0</v>
      </c>
      <c r="E2798" s="52" t="s">
        <v>25</v>
      </c>
      <c r="F2798" s="52" t="s">
        <v>26</v>
      </c>
      <c r="G2798" s="53"/>
    </row>
    <row r="2799">
      <c r="A2799" s="49">
        <v>44542.30239063657</v>
      </c>
      <c r="B2799" s="50">
        <v>44542.4273688773</v>
      </c>
      <c r="C2799" s="51">
        <v>1.025</v>
      </c>
      <c r="D2799" s="51">
        <v>65.0</v>
      </c>
      <c r="E2799" s="52" t="s">
        <v>25</v>
      </c>
      <c r="F2799" s="52" t="s">
        <v>26</v>
      </c>
      <c r="G2799" s="53"/>
    </row>
    <row r="2800">
      <c r="A2800" s="49">
        <v>44542.312853738425</v>
      </c>
      <c r="B2800" s="50">
        <v>44542.4378255324</v>
      </c>
      <c r="C2800" s="51">
        <v>1.025</v>
      </c>
      <c r="D2800" s="51">
        <v>65.0</v>
      </c>
      <c r="E2800" s="52" t="s">
        <v>25</v>
      </c>
      <c r="F2800" s="52" t="s">
        <v>26</v>
      </c>
      <c r="G2800" s="53"/>
    </row>
    <row r="2801">
      <c r="A2801" s="49">
        <v>44542.323281689816</v>
      </c>
      <c r="B2801" s="50">
        <v>44542.4482585069</v>
      </c>
      <c r="C2801" s="51">
        <v>1.025</v>
      </c>
      <c r="D2801" s="51">
        <v>65.0</v>
      </c>
      <c r="E2801" s="52" t="s">
        <v>25</v>
      </c>
      <c r="F2801" s="52" t="s">
        <v>26</v>
      </c>
      <c r="G2801" s="53"/>
    </row>
    <row r="2802">
      <c r="A2802" s="49">
        <v>44542.33370200232</v>
      </c>
      <c r="B2802" s="50">
        <v>44542.4586818518</v>
      </c>
      <c r="C2802" s="51">
        <v>1.025</v>
      </c>
      <c r="D2802" s="51">
        <v>65.0</v>
      </c>
      <c r="E2802" s="52" t="s">
        <v>25</v>
      </c>
      <c r="F2802" s="52" t="s">
        <v>26</v>
      </c>
      <c r="G2802" s="53"/>
    </row>
    <row r="2803">
      <c r="A2803" s="49">
        <v>44542.344139872686</v>
      </c>
      <c r="B2803" s="50">
        <v>44542.4691163078</v>
      </c>
      <c r="C2803" s="51">
        <v>1.025</v>
      </c>
      <c r="D2803" s="51">
        <v>65.0</v>
      </c>
      <c r="E2803" s="52" t="s">
        <v>25</v>
      </c>
      <c r="F2803" s="52" t="s">
        <v>26</v>
      </c>
      <c r="G2803" s="53"/>
    </row>
    <row r="2804">
      <c r="A2804" s="49">
        <v>44542.35458642361</v>
      </c>
      <c r="B2804" s="50">
        <v>44542.4795611111</v>
      </c>
      <c r="C2804" s="51">
        <v>1.025</v>
      </c>
      <c r="D2804" s="51">
        <v>65.0</v>
      </c>
      <c r="E2804" s="52" t="s">
        <v>25</v>
      </c>
      <c r="F2804" s="52" t="s">
        <v>26</v>
      </c>
      <c r="G2804" s="53"/>
    </row>
    <row r="2805">
      <c r="A2805" s="49">
        <v>44542.36501443287</v>
      </c>
      <c r="B2805" s="50">
        <v>44542.4899942824</v>
      </c>
      <c r="C2805" s="51">
        <v>1.025</v>
      </c>
      <c r="D2805" s="51">
        <v>65.0</v>
      </c>
      <c r="E2805" s="52" t="s">
        <v>25</v>
      </c>
      <c r="F2805" s="52" t="s">
        <v>26</v>
      </c>
      <c r="G2805" s="53"/>
    </row>
    <row r="2806">
      <c r="A2806" s="49">
        <v>44542.37547130787</v>
      </c>
      <c r="B2806" s="50">
        <v>44542.5004524421</v>
      </c>
      <c r="C2806" s="51">
        <v>1.025</v>
      </c>
      <c r="D2806" s="51">
        <v>65.0</v>
      </c>
      <c r="E2806" s="52" t="s">
        <v>25</v>
      </c>
      <c r="F2806" s="52" t="s">
        <v>26</v>
      </c>
      <c r="G2806" s="53"/>
    </row>
    <row r="2807">
      <c r="A2807" s="49">
        <v>44542.385890879625</v>
      </c>
      <c r="B2807" s="50">
        <v>44542.5108723611</v>
      </c>
      <c r="C2807" s="51">
        <v>1.025</v>
      </c>
      <c r="D2807" s="51">
        <v>65.0</v>
      </c>
      <c r="E2807" s="52" t="s">
        <v>25</v>
      </c>
      <c r="F2807" s="52" t="s">
        <v>26</v>
      </c>
      <c r="G2807" s="53"/>
    </row>
    <row r="2808">
      <c r="A2808" s="49">
        <v>44542.396331111115</v>
      </c>
      <c r="B2808" s="50">
        <v>44542.5213045601</v>
      </c>
      <c r="C2808" s="51">
        <v>1.024</v>
      </c>
      <c r="D2808" s="51">
        <v>65.0</v>
      </c>
      <c r="E2808" s="52" t="s">
        <v>25</v>
      </c>
      <c r="F2808" s="52" t="s">
        <v>26</v>
      </c>
      <c r="G2808" s="53"/>
    </row>
    <row r="2809">
      <c r="A2809" s="49">
        <v>44542.40676013889</v>
      </c>
      <c r="B2809" s="50">
        <v>44542.5317376504</v>
      </c>
      <c r="C2809" s="51">
        <v>1.025</v>
      </c>
      <c r="D2809" s="51">
        <v>65.0</v>
      </c>
      <c r="E2809" s="52" t="s">
        <v>25</v>
      </c>
      <c r="F2809" s="52" t="s">
        <v>26</v>
      </c>
      <c r="G2809" s="53"/>
    </row>
    <row r="2810">
      <c r="A2810" s="49">
        <v>44542.41721644676</v>
      </c>
      <c r="B2810" s="50">
        <v>44542.5421943981</v>
      </c>
      <c r="C2810" s="51">
        <v>1.024</v>
      </c>
      <c r="D2810" s="51">
        <v>65.0</v>
      </c>
      <c r="E2810" s="52" t="s">
        <v>25</v>
      </c>
      <c r="F2810" s="52" t="s">
        <v>26</v>
      </c>
      <c r="G2810" s="53"/>
    </row>
    <row r="2811">
      <c r="A2811" s="49">
        <v>44542.42764940972</v>
      </c>
      <c r="B2811" s="50">
        <v>44542.5526261111</v>
      </c>
      <c r="C2811" s="51">
        <v>1.025</v>
      </c>
      <c r="D2811" s="51">
        <v>65.0</v>
      </c>
      <c r="E2811" s="52" t="s">
        <v>25</v>
      </c>
      <c r="F2811" s="52" t="s">
        <v>26</v>
      </c>
      <c r="G2811" s="53"/>
    </row>
    <row r="2812">
      <c r="A2812" s="49">
        <v>44542.43808591436</v>
      </c>
      <c r="B2812" s="50">
        <v>44542.563058912</v>
      </c>
      <c r="C2812" s="51">
        <v>1.025</v>
      </c>
      <c r="D2812" s="51">
        <v>65.0</v>
      </c>
      <c r="E2812" s="52" t="s">
        <v>25</v>
      </c>
      <c r="F2812" s="52" t="s">
        <v>26</v>
      </c>
      <c r="G2812" s="53"/>
    </row>
    <row r="2813">
      <c r="A2813" s="49">
        <v>44542.4485043287</v>
      </c>
      <c r="B2813" s="50">
        <v>44542.5734808217</v>
      </c>
      <c r="C2813" s="51">
        <v>1.025</v>
      </c>
      <c r="D2813" s="51">
        <v>65.0</v>
      </c>
      <c r="E2813" s="52" t="s">
        <v>25</v>
      </c>
      <c r="F2813" s="52" t="s">
        <v>26</v>
      </c>
      <c r="G2813" s="53"/>
    </row>
    <row r="2814">
      <c r="A2814" s="49">
        <v>44542.45899119213</v>
      </c>
      <c r="B2814" s="50">
        <v>44542.5839610995</v>
      </c>
      <c r="C2814" s="51">
        <v>1.025</v>
      </c>
      <c r="D2814" s="51">
        <v>65.0</v>
      </c>
      <c r="E2814" s="52" t="s">
        <v>25</v>
      </c>
      <c r="F2814" s="52" t="s">
        <v>26</v>
      </c>
      <c r="G2814" s="53"/>
    </row>
    <row r="2815">
      <c r="A2815" s="49">
        <v>44542.46940417824</v>
      </c>
      <c r="B2815" s="50">
        <v>44542.5943820138</v>
      </c>
      <c r="C2815" s="51">
        <v>1.025</v>
      </c>
      <c r="D2815" s="51">
        <v>65.0</v>
      </c>
      <c r="E2815" s="52" t="s">
        <v>25</v>
      </c>
      <c r="F2815" s="52" t="s">
        <v>26</v>
      </c>
      <c r="G2815" s="53"/>
    </row>
    <row r="2816">
      <c r="A2816" s="49">
        <v>44542.479839293985</v>
      </c>
      <c r="B2816" s="50">
        <v>44542.6048127314</v>
      </c>
      <c r="C2816" s="51">
        <v>1.025</v>
      </c>
      <c r="D2816" s="51">
        <v>65.0</v>
      </c>
      <c r="E2816" s="52" t="s">
        <v>25</v>
      </c>
      <c r="F2816" s="52" t="s">
        <v>26</v>
      </c>
      <c r="G2816" s="53"/>
    </row>
    <row r="2817">
      <c r="A2817" s="49">
        <v>44542.49025640046</v>
      </c>
      <c r="B2817" s="50">
        <v>44542.6152327777</v>
      </c>
      <c r="C2817" s="51">
        <v>1.024</v>
      </c>
      <c r="D2817" s="51">
        <v>65.0</v>
      </c>
      <c r="E2817" s="52" t="s">
        <v>25</v>
      </c>
      <c r="F2817" s="52" t="s">
        <v>26</v>
      </c>
      <c r="G2817" s="53"/>
    </row>
    <row r="2818">
      <c r="A2818" s="49">
        <v>44542.50067890046</v>
      </c>
      <c r="B2818" s="50">
        <v>44542.6256533101</v>
      </c>
      <c r="C2818" s="51">
        <v>1.024</v>
      </c>
      <c r="D2818" s="51">
        <v>65.0</v>
      </c>
      <c r="E2818" s="52" t="s">
        <v>25</v>
      </c>
      <c r="F2818" s="52" t="s">
        <v>26</v>
      </c>
      <c r="G2818" s="53"/>
    </row>
    <row r="2819">
      <c r="A2819" s="49">
        <v>44542.511109467596</v>
      </c>
      <c r="B2819" s="50">
        <v>44542.6360855324</v>
      </c>
      <c r="C2819" s="51">
        <v>1.024</v>
      </c>
      <c r="D2819" s="51">
        <v>65.0</v>
      </c>
      <c r="E2819" s="52" t="s">
        <v>25</v>
      </c>
      <c r="F2819" s="52" t="s">
        <v>26</v>
      </c>
      <c r="G2819" s="53"/>
    </row>
    <row r="2820">
      <c r="A2820" s="49">
        <v>44542.5215475463</v>
      </c>
      <c r="B2820" s="50">
        <v>44542.6465168981</v>
      </c>
      <c r="C2820" s="51">
        <v>1.024</v>
      </c>
      <c r="D2820" s="51">
        <v>65.0</v>
      </c>
      <c r="E2820" s="52" t="s">
        <v>25</v>
      </c>
      <c r="F2820" s="52" t="s">
        <v>26</v>
      </c>
      <c r="G2820" s="53"/>
    </row>
    <row r="2821">
      <c r="A2821" s="49">
        <v>44542.53196357639</v>
      </c>
      <c r="B2821" s="50">
        <v>44542.6569366435</v>
      </c>
      <c r="C2821" s="51">
        <v>1.024</v>
      </c>
      <c r="D2821" s="51">
        <v>65.0</v>
      </c>
      <c r="E2821" s="52" t="s">
        <v>25</v>
      </c>
      <c r="F2821" s="52" t="s">
        <v>26</v>
      </c>
      <c r="G2821" s="53"/>
    </row>
    <row r="2822">
      <c r="A2822" s="49">
        <v>44542.54238832176</v>
      </c>
      <c r="B2822" s="50">
        <v>44542.667357905</v>
      </c>
      <c r="C2822" s="51">
        <v>1.024</v>
      </c>
      <c r="D2822" s="51">
        <v>65.0</v>
      </c>
      <c r="E2822" s="52" t="s">
        <v>25</v>
      </c>
      <c r="F2822" s="52" t="s">
        <v>26</v>
      </c>
      <c r="G2822" s="53"/>
    </row>
    <row r="2823">
      <c r="A2823" s="49">
        <v>44542.552826851854</v>
      </c>
      <c r="B2823" s="50">
        <v>44542.6778023148</v>
      </c>
      <c r="C2823" s="51">
        <v>1.025</v>
      </c>
      <c r="D2823" s="51">
        <v>65.0</v>
      </c>
      <c r="E2823" s="52" t="s">
        <v>25</v>
      </c>
      <c r="F2823" s="52" t="s">
        <v>26</v>
      </c>
      <c r="G2823" s="53"/>
    </row>
    <row r="2824">
      <c r="A2824" s="49">
        <v>44542.56324614583</v>
      </c>
      <c r="B2824" s="50">
        <v>44542.6882231365</v>
      </c>
      <c r="C2824" s="51">
        <v>1.024</v>
      </c>
      <c r="D2824" s="51">
        <v>65.0</v>
      </c>
      <c r="E2824" s="52" t="s">
        <v>25</v>
      </c>
      <c r="F2824" s="52" t="s">
        <v>26</v>
      </c>
      <c r="G2824" s="53"/>
    </row>
    <row r="2825">
      <c r="A2825" s="49">
        <v>44542.57366563658</v>
      </c>
      <c r="B2825" s="50">
        <v>44542.6986448379</v>
      </c>
      <c r="C2825" s="51">
        <v>1.024</v>
      </c>
      <c r="D2825" s="51">
        <v>65.0</v>
      </c>
      <c r="E2825" s="52" t="s">
        <v>25</v>
      </c>
      <c r="F2825" s="52" t="s">
        <v>26</v>
      </c>
      <c r="G2825" s="53"/>
    </row>
    <row r="2826">
      <c r="A2826" s="49">
        <v>44542.584095196755</v>
      </c>
      <c r="B2826" s="50">
        <v>44542.7090669328</v>
      </c>
      <c r="C2826" s="51">
        <v>1.024</v>
      </c>
      <c r="D2826" s="51">
        <v>65.0</v>
      </c>
      <c r="E2826" s="52" t="s">
        <v>25</v>
      </c>
      <c r="F2826" s="52" t="s">
        <v>26</v>
      </c>
      <c r="G2826" s="53"/>
    </row>
    <row r="2827">
      <c r="A2827" s="49">
        <v>44542.594523067135</v>
      </c>
      <c r="B2827" s="50">
        <v>44542.7195012152</v>
      </c>
      <c r="C2827" s="51">
        <v>1.024</v>
      </c>
      <c r="D2827" s="51">
        <v>65.0</v>
      </c>
      <c r="E2827" s="52" t="s">
        <v>25</v>
      </c>
      <c r="F2827" s="52" t="s">
        <v>26</v>
      </c>
      <c r="G2827" s="53"/>
    </row>
    <row r="2828">
      <c r="A2828" s="49">
        <v>44542.60498377315</v>
      </c>
      <c r="B2828" s="50">
        <v>44542.7299562152</v>
      </c>
      <c r="C2828" s="51">
        <v>1.024</v>
      </c>
      <c r="D2828" s="51">
        <v>65.0</v>
      </c>
      <c r="E2828" s="52" t="s">
        <v>25</v>
      </c>
      <c r="F2828" s="52" t="s">
        <v>26</v>
      </c>
      <c r="G2828" s="53"/>
    </row>
    <row r="2829">
      <c r="A2829" s="49">
        <v>44542.61541085648</v>
      </c>
      <c r="B2829" s="50">
        <v>44542.7403882291</v>
      </c>
      <c r="C2829" s="51">
        <v>1.024</v>
      </c>
      <c r="D2829" s="51">
        <v>65.0</v>
      </c>
      <c r="E2829" s="52" t="s">
        <v>25</v>
      </c>
      <c r="F2829" s="52" t="s">
        <v>26</v>
      </c>
      <c r="G2829" s="53"/>
    </row>
    <row r="2830">
      <c r="A2830" s="49">
        <v>44542.6258265162</v>
      </c>
      <c r="B2830" s="50">
        <v>44542.750810324</v>
      </c>
      <c r="C2830" s="51">
        <v>1.024</v>
      </c>
      <c r="D2830" s="51">
        <v>65.0</v>
      </c>
      <c r="E2830" s="52" t="s">
        <v>25</v>
      </c>
      <c r="F2830" s="52" t="s">
        <v>26</v>
      </c>
      <c r="G2830" s="53"/>
    </row>
    <row r="2831">
      <c r="A2831" s="49">
        <v>44542.636249375</v>
      </c>
      <c r="B2831" s="50">
        <v>44542.7612326388</v>
      </c>
      <c r="C2831" s="51">
        <v>1.024</v>
      </c>
      <c r="D2831" s="51">
        <v>65.0</v>
      </c>
      <c r="E2831" s="52" t="s">
        <v>25</v>
      </c>
      <c r="F2831" s="52" t="s">
        <v>26</v>
      </c>
      <c r="G2831" s="53"/>
    </row>
    <row r="2832">
      <c r="A2832" s="49">
        <v>44542.64667662037</v>
      </c>
      <c r="B2832" s="50">
        <v>44542.7716535416</v>
      </c>
      <c r="C2832" s="51">
        <v>1.025</v>
      </c>
      <c r="D2832" s="51">
        <v>65.0</v>
      </c>
      <c r="E2832" s="52" t="s">
        <v>25</v>
      </c>
      <c r="F2832" s="52" t="s">
        <v>26</v>
      </c>
      <c r="G2832" s="53"/>
    </row>
    <row r="2833">
      <c r="A2833" s="49">
        <v>44542.6571034375</v>
      </c>
      <c r="B2833" s="50">
        <v>44542.782072118</v>
      </c>
      <c r="C2833" s="51">
        <v>1.024</v>
      </c>
      <c r="D2833" s="51">
        <v>65.0</v>
      </c>
      <c r="E2833" s="52" t="s">
        <v>25</v>
      </c>
      <c r="F2833" s="52" t="s">
        <v>26</v>
      </c>
      <c r="G2833" s="53"/>
    </row>
    <row r="2834">
      <c r="A2834" s="49">
        <v>44542.66751510417</v>
      </c>
      <c r="B2834" s="50">
        <v>44542.7924934143</v>
      </c>
      <c r="C2834" s="51">
        <v>1.024</v>
      </c>
      <c r="D2834" s="51">
        <v>65.0</v>
      </c>
      <c r="E2834" s="52" t="s">
        <v>25</v>
      </c>
      <c r="F2834" s="52" t="s">
        <v>26</v>
      </c>
      <c r="G2834" s="53"/>
    </row>
    <row r="2835">
      <c r="A2835" s="49">
        <v>44542.67799460648</v>
      </c>
      <c r="B2835" s="50">
        <v>44542.8029720717</v>
      </c>
      <c r="C2835" s="51">
        <v>1.024</v>
      </c>
      <c r="D2835" s="51">
        <v>65.0</v>
      </c>
      <c r="E2835" s="52" t="s">
        <v>25</v>
      </c>
      <c r="F2835" s="52" t="s">
        <v>26</v>
      </c>
      <c r="G2835" s="53"/>
    </row>
    <row r="2836">
      <c r="A2836" s="49">
        <v>44542.688463275466</v>
      </c>
      <c r="B2836" s="50">
        <v>44542.813440243</v>
      </c>
      <c r="C2836" s="51">
        <v>1.024</v>
      </c>
      <c r="D2836" s="51">
        <v>65.0</v>
      </c>
      <c r="E2836" s="52" t="s">
        <v>25</v>
      </c>
      <c r="F2836" s="52" t="s">
        <v>26</v>
      </c>
      <c r="G2836" s="53"/>
    </row>
    <row r="2837">
      <c r="A2837" s="49">
        <v>44542.69889611111</v>
      </c>
      <c r="B2837" s="50">
        <v>44542.8238721064</v>
      </c>
      <c r="C2837" s="51">
        <v>1.024</v>
      </c>
      <c r="D2837" s="51">
        <v>65.0</v>
      </c>
      <c r="E2837" s="52" t="s">
        <v>25</v>
      </c>
      <c r="F2837" s="52" t="s">
        <v>26</v>
      </c>
      <c r="G2837" s="53"/>
    </row>
    <row r="2838">
      <c r="A2838" s="49">
        <v>44542.70932059028</v>
      </c>
      <c r="B2838" s="50">
        <v>44542.8342943518</v>
      </c>
      <c r="C2838" s="51">
        <v>1.024</v>
      </c>
      <c r="D2838" s="51">
        <v>65.0</v>
      </c>
      <c r="E2838" s="52" t="s">
        <v>25</v>
      </c>
      <c r="F2838" s="52" t="s">
        <v>26</v>
      </c>
      <c r="G2838" s="53"/>
    </row>
    <row r="2839">
      <c r="A2839" s="49">
        <v>44542.719768090275</v>
      </c>
      <c r="B2839" s="50">
        <v>44542.8447393171</v>
      </c>
      <c r="C2839" s="51">
        <v>1.024</v>
      </c>
      <c r="D2839" s="51">
        <v>65.0</v>
      </c>
      <c r="E2839" s="52" t="s">
        <v>25</v>
      </c>
      <c r="F2839" s="52" t="s">
        <v>26</v>
      </c>
      <c r="G2839" s="53"/>
    </row>
    <row r="2840">
      <c r="A2840" s="49">
        <v>44542.73018408565</v>
      </c>
      <c r="B2840" s="50">
        <v>44542.8551600462</v>
      </c>
      <c r="C2840" s="51">
        <v>1.024</v>
      </c>
      <c r="D2840" s="51">
        <v>65.0</v>
      </c>
      <c r="E2840" s="52" t="s">
        <v>25</v>
      </c>
      <c r="F2840" s="52" t="s">
        <v>26</v>
      </c>
      <c r="G2840" s="53"/>
    </row>
    <row r="2841">
      <c r="A2841" s="49">
        <v>44542.740613263886</v>
      </c>
      <c r="B2841" s="50">
        <v>44542.8655944675</v>
      </c>
      <c r="C2841" s="51">
        <v>1.024</v>
      </c>
      <c r="D2841" s="51">
        <v>65.0</v>
      </c>
      <c r="E2841" s="52" t="s">
        <v>25</v>
      </c>
      <c r="F2841" s="52" t="s">
        <v>26</v>
      </c>
      <c r="G2841" s="53"/>
    </row>
    <row r="2842">
      <c r="A2842" s="49">
        <v>44542.75104284722</v>
      </c>
      <c r="B2842" s="50">
        <v>44542.8760163657</v>
      </c>
      <c r="C2842" s="51">
        <v>1.024</v>
      </c>
      <c r="D2842" s="51">
        <v>65.0</v>
      </c>
      <c r="E2842" s="52" t="s">
        <v>25</v>
      </c>
      <c r="F2842" s="52" t="s">
        <v>26</v>
      </c>
      <c r="G2842" s="53"/>
    </row>
    <row r="2843">
      <c r="A2843" s="49">
        <v>44542.76146364583</v>
      </c>
      <c r="B2843" s="50">
        <v>44542.8864374768</v>
      </c>
      <c r="C2843" s="51">
        <v>1.024</v>
      </c>
      <c r="D2843" s="51">
        <v>65.0</v>
      </c>
      <c r="E2843" s="52" t="s">
        <v>25</v>
      </c>
      <c r="F2843" s="52" t="s">
        <v>26</v>
      </c>
      <c r="G2843" s="53"/>
    </row>
    <row r="2844">
      <c r="A2844" s="49">
        <v>44542.771897812505</v>
      </c>
      <c r="B2844" s="50">
        <v>44542.8968708564</v>
      </c>
      <c r="C2844" s="51">
        <v>1.024</v>
      </c>
      <c r="D2844" s="51">
        <v>65.0</v>
      </c>
      <c r="E2844" s="52" t="s">
        <v>25</v>
      </c>
      <c r="F2844" s="52" t="s">
        <v>26</v>
      </c>
      <c r="G2844" s="53"/>
    </row>
    <row r="2845">
      <c r="A2845" s="49">
        <v>44542.7823134375</v>
      </c>
      <c r="B2845" s="50">
        <v>44542.9072928124</v>
      </c>
      <c r="C2845" s="51">
        <v>1.024</v>
      </c>
      <c r="D2845" s="51">
        <v>65.0</v>
      </c>
      <c r="E2845" s="52" t="s">
        <v>25</v>
      </c>
      <c r="F2845" s="52" t="s">
        <v>26</v>
      </c>
      <c r="G2845" s="53"/>
    </row>
    <row r="2846">
      <c r="A2846" s="49">
        <v>44542.79276344908</v>
      </c>
      <c r="B2846" s="50">
        <v>44542.9177377662</v>
      </c>
      <c r="C2846" s="51">
        <v>1.024</v>
      </c>
      <c r="D2846" s="51">
        <v>65.0</v>
      </c>
      <c r="E2846" s="52" t="s">
        <v>25</v>
      </c>
      <c r="F2846" s="52" t="s">
        <v>26</v>
      </c>
      <c r="G2846" s="53"/>
    </row>
    <row r="2847">
      <c r="A2847" s="49">
        <v>44542.803180891206</v>
      </c>
      <c r="B2847" s="50">
        <v>44542.9281592245</v>
      </c>
      <c r="C2847" s="51">
        <v>1.024</v>
      </c>
      <c r="D2847" s="51">
        <v>65.0</v>
      </c>
      <c r="E2847" s="52" t="s">
        <v>25</v>
      </c>
      <c r="F2847" s="52" t="s">
        <v>26</v>
      </c>
      <c r="G2847" s="53"/>
    </row>
    <row r="2848">
      <c r="A2848" s="49">
        <v>44542.81359770833</v>
      </c>
      <c r="B2848" s="50">
        <v>44542.9385801388</v>
      </c>
      <c r="C2848" s="51">
        <v>1.024</v>
      </c>
      <c r="D2848" s="51">
        <v>65.0</v>
      </c>
      <c r="E2848" s="52" t="s">
        <v>25</v>
      </c>
      <c r="F2848" s="52" t="s">
        <v>26</v>
      </c>
      <c r="G2848" s="53"/>
    </row>
    <row r="2849">
      <c r="A2849" s="49">
        <v>44542.82401603009</v>
      </c>
      <c r="B2849" s="50">
        <v>44542.9489997453</v>
      </c>
      <c r="C2849" s="51">
        <v>1.024</v>
      </c>
      <c r="D2849" s="51">
        <v>65.0</v>
      </c>
      <c r="E2849" s="52" t="s">
        <v>25</v>
      </c>
      <c r="F2849" s="52" t="s">
        <v>26</v>
      </c>
      <c r="G2849" s="53"/>
    </row>
    <row r="2850">
      <c r="A2850" s="49">
        <v>44542.83444009259</v>
      </c>
      <c r="B2850" s="50">
        <v>44542.9594198148</v>
      </c>
      <c r="C2850" s="51">
        <v>1.024</v>
      </c>
      <c r="D2850" s="51">
        <v>65.0</v>
      </c>
      <c r="E2850" s="52" t="s">
        <v>25</v>
      </c>
      <c r="F2850" s="52" t="s">
        <v>26</v>
      </c>
      <c r="G2850" s="53"/>
    </row>
    <row r="2851">
      <c r="A2851" s="49">
        <v>44542.84489822917</v>
      </c>
      <c r="B2851" s="50">
        <v>44542.9698743055</v>
      </c>
      <c r="C2851" s="51">
        <v>1.024</v>
      </c>
      <c r="D2851" s="51">
        <v>65.0</v>
      </c>
      <c r="E2851" s="52" t="s">
        <v>25</v>
      </c>
      <c r="F2851" s="52" t="s">
        <v>26</v>
      </c>
      <c r="G2851" s="53"/>
    </row>
    <row r="2852">
      <c r="A2852" s="49">
        <v>44542.85536028935</v>
      </c>
      <c r="B2852" s="50">
        <v>44542.9803308101</v>
      </c>
      <c r="C2852" s="51">
        <v>1.024</v>
      </c>
      <c r="D2852" s="51">
        <v>65.0</v>
      </c>
      <c r="E2852" s="52" t="s">
        <v>25</v>
      </c>
      <c r="F2852" s="52" t="s">
        <v>26</v>
      </c>
      <c r="G2852" s="53"/>
    </row>
    <row r="2853">
      <c r="A2853" s="49">
        <v>44542.86577527778</v>
      </c>
      <c r="B2853" s="50">
        <v>44542.9907526851</v>
      </c>
      <c r="C2853" s="51">
        <v>1.024</v>
      </c>
      <c r="D2853" s="51">
        <v>65.0</v>
      </c>
      <c r="E2853" s="52" t="s">
        <v>25</v>
      </c>
      <c r="F2853" s="52" t="s">
        <v>26</v>
      </c>
      <c r="G2853" s="53"/>
    </row>
    <row r="2854">
      <c r="A2854" s="49">
        <v>44542.87620972222</v>
      </c>
      <c r="B2854" s="50">
        <v>44543.001185787</v>
      </c>
      <c r="C2854" s="51">
        <v>1.024</v>
      </c>
      <c r="D2854" s="51">
        <v>65.0</v>
      </c>
      <c r="E2854" s="52" t="s">
        <v>25</v>
      </c>
      <c r="F2854" s="52" t="s">
        <v>26</v>
      </c>
      <c r="G2854" s="53"/>
    </row>
    <row r="2855">
      <c r="A2855" s="49">
        <v>44542.88663997685</v>
      </c>
      <c r="B2855" s="50">
        <v>44543.011619155</v>
      </c>
      <c r="C2855" s="51">
        <v>1.024</v>
      </c>
      <c r="D2855" s="51">
        <v>65.0</v>
      </c>
      <c r="E2855" s="52" t="s">
        <v>25</v>
      </c>
      <c r="F2855" s="52" t="s">
        <v>26</v>
      </c>
      <c r="G2855" s="53"/>
    </row>
    <row r="2856">
      <c r="A2856" s="49">
        <v>44542.8971202199</v>
      </c>
      <c r="B2856" s="50">
        <v>44543.02209978</v>
      </c>
      <c r="C2856" s="51">
        <v>1.024</v>
      </c>
      <c r="D2856" s="51">
        <v>65.0</v>
      </c>
      <c r="E2856" s="52" t="s">
        <v>25</v>
      </c>
      <c r="F2856" s="52" t="s">
        <v>26</v>
      </c>
      <c r="G2856" s="53"/>
    </row>
    <row r="2857">
      <c r="A2857" s="49">
        <v>44542.90756885416</v>
      </c>
      <c r="B2857" s="50">
        <v>44543.0325444212</v>
      </c>
      <c r="C2857" s="51">
        <v>1.024</v>
      </c>
      <c r="D2857" s="51">
        <v>65.0</v>
      </c>
      <c r="E2857" s="52" t="s">
        <v>25</v>
      </c>
      <c r="F2857" s="52" t="s">
        <v>26</v>
      </c>
      <c r="G2857" s="53"/>
    </row>
    <row r="2858">
      <c r="A2858" s="49">
        <v>44542.91802315973</v>
      </c>
      <c r="B2858" s="50">
        <v>44543.0429646412</v>
      </c>
      <c r="C2858" s="51">
        <v>1.024</v>
      </c>
      <c r="D2858" s="51">
        <v>65.0</v>
      </c>
      <c r="E2858" s="52" t="s">
        <v>25</v>
      </c>
      <c r="F2858" s="52" t="s">
        <v>26</v>
      </c>
      <c r="G2858" s="53"/>
    </row>
    <row r="2859">
      <c r="A2859" s="49">
        <v>44542.9284375</v>
      </c>
      <c r="B2859" s="50">
        <v>44543.053420405</v>
      </c>
      <c r="C2859" s="51">
        <v>1.024</v>
      </c>
      <c r="D2859" s="51">
        <v>65.0</v>
      </c>
      <c r="E2859" s="52" t="s">
        <v>25</v>
      </c>
      <c r="F2859" s="52" t="s">
        <v>26</v>
      </c>
      <c r="G2859" s="53"/>
    </row>
    <row r="2860">
      <c r="A2860" s="49">
        <v>44542.938865868055</v>
      </c>
      <c r="B2860" s="50">
        <v>44543.0638409606</v>
      </c>
      <c r="C2860" s="51">
        <v>1.024</v>
      </c>
      <c r="D2860" s="51">
        <v>65.0</v>
      </c>
      <c r="E2860" s="52" t="s">
        <v>25</v>
      </c>
      <c r="F2860" s="52" t="s">
        <v>26</v>
      </c>
      <c r="G2860" s="53"/>
    </row>
    <row r="2861">
      <c r="A2861" s="49">
        <v>44542.949292453704</v>
      </c>
      <c r="B2861" s="50">
        <v>44543.0742629629</v>
      </c>
      <c r="C2861" s="51">
        <v>1.024</v>
      </c>
      <c r="D2861" s="51">
        <v>65.0</v>
      </c>
      <c r="E2861" s="52" t="s">
        <v>25</v>
      </c>
      <c r="F2861" s="52" t="s">
        <v>26</v>
      </c>
      <c r="G2861" s="53"/>
    </row>
    <row r="2862">
      <c r="A2862" s="49">
        <v>44542.959711331016</v>
      </c>
      <c r="B2862" s="50">
        <v>44543.084685706</v>
      </c>
      <c r="C2862" s="51">
        <v>1.024</v>
      </c>
      <c r="D2862" s="51">
        <v>65.0</v>
      </c>
      <c r="E2862" s="52" t="s">
        <v>25</v>
      </c>
      <c r="F2862" s="52" t="s">
        <v>26</v>
      </c>
      <c r="G2862" s="53"/>
    </row>
    <row r="2863">
      <c r="A2863" s="49">
        <v>44542.97015112269</v>
      </c>
      <c r="B2863" s="50">
        <v>44543.0951186226</v>
      </c>
      <c r="C2863" s="51">
        <v>1.024</v>
      </c>
      <c r="D2863" s="51">
        <v>65.0</v>
      </c>
      <c r="E2863" s="52" t="s">
        <v>25</v>
      </c>
      <c r="F2863" s="52" t="s">
        <v>26</v>
      </c>
      <c r="G2863" s="53"/>
    </row>
    <row r="2864">
      <c r="A2864" s="49">
        <v>44542.98057564815</v>
      </c>
      <c r="B2864" s="50">
        <v>44543.1055523958</v>
      </c>
      <c r="C2864" s="51">
        <v>1.024</v>
      </c>
      <c r="D2864" s="51">
        <v>65.0</v>
      </c>
      <c r="E2864" s="52" t="s">
        <v>25</v>
      </c>
      <c r="F2864" s="52" t="s">
        <v>26</v>
      </c>
      <c r="G2864" s="53"/>
    </row>
    <row r="2865">
      <c r="A2865" s="49">
        <v>44542.99101059028</v>
      </c>
      <c r="B2865" s="50">
        <v>44543.1159864351</v>
      </c>
      <c r="C2865" s="51">
        <v>1.024</v>
      </c>
      <c r="D2865" s="51">
        <v>65.0</v>
      </c>
      <c r="E2865" s="52" t="s">
        <v>25</v>
      </c>
      <c r="F2865" s="52" t="s">
        <v>26</v>
      </c>
      <c r="G2865" s="53"/>
    </row>
    <row r="2866">
      <c r="A2866" s="49">
        <v>44543.00143040509</v>
      </c>
      <c r="B2866" s="50">
        <v>44543.1264070601</v>
      </c>
      <c r="C2866" s="51">
        <v>1.024</v>
      </c>
      <c r="D2866" s="51">
        <v>65.0</v>
      </c>
      <c r="E2866" s="52" t="s">
        <v>25</v>
      </c>
      <c r="F2866" s="52" t="s">
        <v>26</v>
      </c>
      <c r="G2866" s="53"/>
    </row>
    <row r="2867">
      <c r="A2867" s="49">
        <v>44543.01186673611</v>
      </c>
      <c r="B2867" s="50">
        <v>44543.136841493</v>
      </c>
      <c r="C2867" s="51">
        <v>1.024</v>
      </c>
      <c r="D2867" s="51">
        <v>65.0</v>
      </c>
      <c r="E2867" s="52" t="s">
        <v>25</v>
      </c>
      <c r="F2867" s="52" t="s">
        <v>26</v>
      </c>
      <c r="G2867" s="53"/>
    </row>
    <row r="2868">
      <c r="A2868" s="49">
        <v>44543.022288368054</v>
      </c>
      <c r="B2868" s="50">
        <v>44543.1472642592</v>
      </c>
      <c r="C2868" s="51">
        <v>1.024</v>
      </c>
      <c r="D2868" s="51">
        <v>65.0</v>
      </c>
      <c r="E2868" s="52" t="s">
        <v>25</v>
      </c>
      <c r="F2868" s="52" t="s">
        <v>26</v>
      </c>
      <c r="G2868" s="53"/>
    </row>
    <row r="2869">
      <c r="A2869" s="49">
        <v>44543.03270631944</v>
      </c>
      <c r="B2869" s="50">
        <v>44543.157684074</v>
      </c>
      <c r="C2869" s="51">
        <v>1.024</v>
      </c>
      <c r="D2869" s="51">
        <v>65.0</v>
      </c>
      <c r="E2869" s="52" t="s">
        <v>25</v>
      </c>
      <c r="F2869" s="52" t="s">
        <v>26</v>
      </c>
      <c r="G2869" s="53"/>
    </row>
    <row r="2870">
      <c r="A2870" s="49">
        <v>44543.04315722222</v>
      </c>
      <c r="B2870" s="50">
        <v>44543.1681289236</v>
      </c>
      <c r="C2870" s="51">
        <v>1.024</v>
      </c>
      <c r="D2870" s="51">
        <v>64.0</v>
      </c>
      <c r="E2870" s="52" t="s">
        <v>25</v>
      </c>
      <c r="F2870" s="52" t="s">
        <v>26</v>
      </c>
      <c r="G2870" s="53"/>
    </row>
    <row r="2871">
      <c r="A2871" s="49">
        <v>44543.05360951389</v>
      </c>
      <c r="B2871" s="50">
        <v>44543.1785728356</v>
      </c>
      <c r="C2871" s="51">
        <v>1.024</v>
      </c>
      <c r="D2871" s="51">
        <v>65.0</v>
      </c>
      <c r="E2871" s="52" t="s">
        <v>25</v>
      </c>
      <c r="F2871" s="52" t="s">
        <v>26</v>
      </c>
      <c r="G2871" s="53"/>
    </row>
    <row r="2872">
      <c r="A2872" s="49">
        <v>44543.0640178125</v>
      </c>
      <c r="B2872" s="50">
        <v>44543.1889937268</v>
      </c>
      <c r="C2872" s="51">
        <v>1.024</v>
      </c>
      <c r="D2872" s="51">
        <v>64.0</v>
      </c>
      <c r="E2872" s="52" t="s">
        <v>25</v>
      </c>
      <c r="F2872" s="52" t="s">
        <v>26</v>
      </c>
      <c r="G2872" s="53"/>
    </row>
    <row r="2873">
      <c r="A2873" s="49">
        <v>44543.0744537963</v>
      </c>
      <c r="B2873" s="50">
        <v>44543.1994261111</v>
      </c>
      <c r="C2873" s="51">
        <v>1.024</v>
      </c>
      <c r="D2873" s="51">
        <v>64.0</v>
      </c>
      <c r="E2873" s="52" t="s">
        <v>25</v>
      </c>
      <c r="F2873" s="52" t="s">
        <v>26</v>
      </c>
      <c r="G2873" s="53"/>
    </row>
    <row r="2874">
      <c r="A2874" s="49">
        <v>44543.08486795139</v>
      </c>
      <c r="B2874" s="50">
        <v>44543.2098468634</v>
      </c>
      <c r="C2874" s="51">
        <v>1.024</v>
      </c>
      <c r="D2874" s="51">
        <v>64.0</v>
      </c>
      <c r="E2874" s="52" t="s">
        <v>25</v>
      </c>
      <c r="F2874" s="52" t="s">
        <v>26</v>
      </c>
      <c r="G2874" s="53"/>
    </row>
    <row r="2875">
      <c r="A2875" s="49">
        <v>44543.095294803235</v>
      </c>
      <c r="B2875" s="50">
        <v>44543.2202664699</v>
      </c>
      <c r="C2875" s="51">
        <v>1.024</v>
      </c>
      <c r="D2875" s="51">
        <v>64.0</v>
      </c>
      <c r="E2875" s="52" t="s">
        <v>25</v>
      </c>
      <c r="F2875" s="52" t="s">
        <v>26</v>
      </c>
      <c r="G2875" s="53"/>
    </row>
    <row r="2876">
      <c r="A2876" s="49">
        <v>44543.105716446764</v>
      </c>
      <c r="B2876" s="50">
        <v>44543.2306888078</v>
      </c>
      <c r="C2876" s="51">
        <v>1.024</v>
      </c>
      <c r="D2876" s="51">
        <v>64.0</v>
      </c>
      <c r="E2876" s="52" t="s">
        <v>25</v>
      </c>
      <c r="F2876" s="52" t="s">
        <v>26</v>
      </c>
      <c r="G2876" s="53"/>
    </row>
    <row r="2877">
      <c r="A2877" s="49">
        <v>44543.116149525464</v>
      </c>
      <c r="B2877" s="50">
        <v>44543.2411094212</v>
      </c>
      <c r="C2877" s="51">
        <v>1.024</v>
      </c>
      <c r="D2877" s="51">
        <v>64.0</v>
      </c>
      <c r="E2877" s="52" t="s">
        <v>25</v>
      </c>
      <c r="F2877" s="52" t="s">
        <v>26</v>
      </c>
      <c r="G2877" s="53"/>
    </row>
    <row r="2878">
      <c r="A2878" s="49">
        <v>44543.126568935186</v>
      </c>
      <c r="B2878" s="50">
        <v>44543.2515421527</v>
      </c>
      <c r="C2878" s="51">
        <v>1.024</v>
      </c>
      <c r="D2878" s="51">
        <v>64.0</v>
      </c>
      <c r="E2878" s="52" t="s">
        <v>25</v>
      </c>
      <c r="F2878" s="52" t="s">
        <v>26</v>
      </c>
      <c r="G2878" s="53"/>
    </row>
    <row r="2879">
      <c r="A2879" s="49">
        <v>44543.13699841435</v>
      </c>
      <c r="B2879" s="50">
        <v>44543.261963993</v>
      </c>
      <c r="C2879" s="51">
        <v>1.024</v>
      </c>
      <c r="D2879" s="51">
        <v>64.0</v>
      </c>
      <c r="E2879" s="52" t="s">
        <v>25</v>
      </c>
      <c r="F2879" s="52" t="s">
        <v>26</v>
      </c>
      <c r="G2879" s="53"/>
    </row>
    <row r="2880">
      <c r="A2880" s="49">
        <v>44543.14749130787</v>
      </c>
      <c r="B2880" s="50">
        <v>44543.2723854976</v>
      </c>
      <c r="C2880" s="51">
        <v>1.024</v>
      </c>
      <c r="D2880" s="51">
        <v>64.0</v>
      </c>
      <c r="E2880" s="52" t="s">
        <v>25</v>
      </c>
      <c r="F2880" s="52" t="s">
        <v>26</v>
      </c>
      <c r="G2880" s="53"/>
    </row>
    <row r="2881">
      <c r="A2881" s="49">
        <v>44543.15784550926</v>
      </c>
      <c r="B2881" s="50">
        <v>44543.2828176967</v>
      </c>
      <c r="C2881" s="51">
        <v>1.024</v>
      </c>
      <c r="D2881" s="51">
        <v>64.0</v>
      </c>
      <c r="E2881" s="52" t="s">
        <v>25</v>
      </c>
      <c r="F2881" s="52" t="s">
        <v>26</v>
      </c>
      <c r="G2881" s="53"/>
    </row>
    <row r="2882">
      <c r="A2882" s="49">
        <v>44543.16827511574</v>
      </c>
      <c r="B2882" s="50">
        <v>44543.2932495717</v>
      </c>
      <c r="C2882" s="51">
        <v>1.024</v>
      </c>
      <c r="D2882" s="51">
        <v>64.0</v>
      </c>
      <c r="E2882" s="52" t="s">
        <v>25</v>
      </c>
      <c r="F2882" s="52" t="s">
        <v>26</v>
      </c>
      <c r="G2882" s="53"/>
    </row>
    <row r="2883">
      <c r="A2883" s="49">
        <v>44543.17868627315</v>
      </c>
      <c r="B2883" s="50">
        <v>44543.303669699</v>
      </c>
      <c r="C2883" s="51">
        <v>1.024</v>
      </c>
      <c r="D2883" s="51">
        <v>64.0</v>
      </c>
      <c r="E2883" s="52" t="s">
        <v>25</v>
      </c>
      <c r="F2883" s="52" t="s">
        <v>26</v>
      </c>
      <c r="G2883" s="53"/>
    </row>
    <row r="2884">
      <c r="A2884" s="49">
        <v>44543.189157071756</v>
      </c>
      <c r="B2884" s="50">
        <v>44543.314125</v>
      </c>
      <c r="C2884" s="51">
        <v>1.024</v>
      </c>
      <c r="D2884" s="51">
        <v>64.0</v>
      </c>
      <c r="E2884" s="52" t="s">
        <v>25</v>
      </c>
      <c r="F2884" s="52" t="s">
        <v>26</v>
      </c>
      <c r="G2884" s="53"/>
    </row>
    <row r="2885">
      <c r="A2885" s="49">
        <v>44543.19957680556</v>
      </c>
      <c r="B2885" s="50">
        <v>44543.3245456018</v>
      </c>
      <c r="C2885" s="51">
        <v>1.024</v>
      </c>
      <c r="D2885" s="51">
        <v>64.0</v>
      </c>
      <c r="E2885" s="52" t="s">
        <v>25</v>
      </c>
      <c r="F2885" s="52" t="s">
        <v>26</v>
      </c>
      <c r="G2885" s="53"/>
    </row>
    <row r="2886">
      <c r="A2886" s="49">
        <v>44543.20999752315</v>
      </c>
      <c r="B2886" s="50">
        <v>44543.334977662</v>
      </c>
      <c r="C2886" s="51">
        <v>1.024</v>
      </c>
      <c r="D2886" s="51">
        <v>64.0</v>
      </c>
      <c r="E2886" s="52" t="s">
        <v>25</v>
      </c>
      <c r="F2886" s="52" t="s">
        <v>26</v>
      </c>
      <c r="G2886" s="53"/>
    </row>
    <row r="2887">
      <c r="A2887" s="49">
        <v>44543.220426064814</v>
      </c>
      <c r="B2887" s="50">
        <v>44543.345401493</v>
      </c>
      <c r="C2887" s="51">
        <v>1.024</v>
      </c>
      <c r="D2887" s="51">
        <v>64.0</v>
      </c>
      <c r="E2887" s="52" t="s">
        <v>25</v>
      </c>
      <c r="F2887" s="52" t="s">
        <v>26</v>
      </c>
      <c r="G2887" s="53"/>
    </row>
    <row r="2888">
      <c r="A2888" s="49">
        <v>44543.2308659375</v>
      </c>
      <c r="B2888" s="50">
        <v>44543.3558334722</v>
      </c>
      <c r="C2888" s="51">
        <v>1.024</v>
      </c>
      <c r="D2888" s="51">
        <v>64.0</v>
      </c>
      <c r="E2888" s="52" t="s">
        <v>25</v>
      </c>
      <c r="F2888" s="52" t="s">
        <v>26</v>
      </c>
      <c r="G2888" s="53"/>
    </row>
    <row r="2889">
      <c r="A2889" s="49">
        <v>44543.241301284725</v>
      </c>
      <c r="B2889" s="50">
        <v>44543.3662781018</v>
      </c>
      <c r="C2889" s="51">
        <v>1.024</v>
      </c>
      <c r="D2889" s="51">
        <v>64.0</v>
      </c>
      <c r="E2889" s="52" t="s">
        <v>25</v>
      </c>
      <c r="F2889" s="52" t="s">
        <v>26</v>
      </c>
      <c r="G2889" s="53"/>
    </row>
    <row r="2890">
      <c r="A2890" s="49">
        <v>44543.25172047454</v>
      </c>
      <c r="B2890" s="50">
        <v>44543.3766985763</v>
      </c>
      <c r="C2890" s="51">
        <v>1.024</v>
      </c>
      <c r="D2890" s="51">
        <v>64.0</v>
      </c>
      <c r="E2890" s="52" t="s">
        <v>25</v>
      </c>
      <c r="F2890" s="52" t="s">
        <v>26</v>
      </c>
      <c r="G2890" s="53"/>
    </row>
    <row r="2891">
      <c r="A2891" s="49">
        <v>44543.262144733795</v>
      </c>
      <c r="B2891" s="50">
        <v>44543.3871211805</v>
      </c>
      <c r="C2891" s="51">
        <v>1.024</v>
      </c>
      <c r="D2891" s="51">
        <v>64.0</v>
      </c>
      <c r="E2891" s="52" t="s">
        <v>25</v>
      </c>
      <c r="F2891" s="52" t="s">
        <v>26</v>
      </c>
      <c r="G2891" s="53"/>
    </row>
    <row r="2892">
      <c r="A2892" s="49">
        <v>44543.27256690973</v>
      </c>
      <c r="B2892" s="50">
        <v>44543.3975428587</v>
      </c>
      <c r="C2892" s="51">
        <v>1.024</v>
      </c>
      <c r="D2892" s="51">
        <v>64.0</v>
      </c>
      <c r="E2892" s="52" t="s">
        <v>25</v>
      </c>
      <c r="F2892" s="52" t="s">
        <v>26</v>
      </c>
      <c r="G2892" s="53"/>
    </row>
    <row r="2893">
      <c r="A2893" s="49">
        <v>44543.28299263889</v>
      </c>
      <c r="B2893" s="50">
        <v>44543.4079643402</v>
      </c>
      <c r="C2893" s="51">
        <v>1.024</v>
      </c>
      <c r="D2893" s="51">
        <v>64.0</v>
      </c>
      <c r="E2893" s="52" t="s">
        <v>25</v>
      </c>
      <c r="F2893" s="52" t="s">
        <v>26</v>
      </c>
      <c r="G2893" s="53"/>
    </row>
    <row r="2894">
      <c r="A2894" s="49">
        <v>44543.29344328704</v>
      </c>
      <c r="B2894" s="50">
        <v>44543.4184090277</v>
      </c>
      <c r="C2894" s="51">
        <v>1.024</v>
      </c>
      <c r="D2894" s="51">
        <v>64.0</v>
      </c>
      <c r="E2894" s="52" t="s">
        <v>25</v>
      </c>
      <c r="F2894" s="52" t="s">
        <v>26</v>
      </c>
      <c r="G2894" s="53"/>
    </row>
    <row r="2895">
      <c r="A2895" s="49">
        <v>44543.30386827546</v>
      </c>
      <c r="B2895" s="50">
        <v>44543.4288317129</v>
      </c>
      <c r="C2895" s="51">
        <v>1.024</v>
      </c>
      <c r="D2895" s="51">
        <v>64.0</v>
      </c>
      <c r="E2895" s="52" t="s">
        <v>25</v>
      </c>
      <c r="F2895" s="52" t="s">
        <v>26</v>
      </c>
      <c r="G2895" s="53"/>
    </row>
    <row r="2896">
      <c r="A2896" s="49">
        <v>44543.31427671296</v>
      </c>
      <c r="B2896" s="50">
        <v>44543.4392533101</v>
      </c>
      <c r="C2896" s="51">
        <v>1.024</v>
      </c>
      <c r="D2896" s="51">
        <v>64.0</v>
      </c>
      <c r="E2896" s="52" t="s">
        <v>25</v>
      </c>
      <c r="F2896" s="52" t="s">
        <v>26</v>
      </c>
      <c r="G2896" s="53"/>
    </row>
    <row r="2897">
      <c r="A2897" s="49">
        <v>44543.324697268516</v>
      </c>
      <c r="B2897" s="50">
        <v>44543.4496760879</v>
      </c>
      <c r="C2897" s="51">
        <v>1.024</v>
      </c>
      <c r="D2897" s="51">
        <v>64.0</v>
      </c>
      <c r="E2897" s="52" t="s">
        <v>25</v>
      </c>
      <c r="F2897" s="52" t="s">
        <v>26</v>
      </c>
      <c r="G2897" s="53"/>
    </row>
    <row r="2898">
      <c r="A2898" s="49">
        <v>44543.33514164352</v>
      </c>
      <c r="B2898" s="50">
        <v>44543.4601097222</v>
      </c>
      <c r="C2898" s="51">
        <v>1.024</v>
      </c>
      <c r="D2898" s="51">
        <v>64.0</v>
      </c>
      <c r="E2898" s="52" t="s">
        <v>25</v>
      </c>
      <c r="F2898" s="52" t="s">
        <v>26</v>
      </c>
      <c r="G2898" s="53"/>
    </row>
    <row r="2899">
      <c r="A2899" s="49">
        <v>44543.34556645833</v>
      </c>
      <c r="B2899" s="50">
        <v>44543.4705428588</v>
      </c>
      <c r="C2899" s="51">
        <v>1.024</v>
      </c>
      <c r="D2899" s="51">
        <v>64.0</v>
      </c>
      <c r="E2899" s="52" t="s">
        <v>25</v>
      </c>
      <c r="F2899" s="52" t="s">
        <v>26</v>
      </c>
      <c r="G2899" s="53"/>
    </row>
    <row r="2900">
      <c r="A2900" s="49">
        <v>44543.355983912035</v>
      </c>
      <c r="B2900" s="50">
        <v>44543.4809641435</v>
      </c>
      <c r="C2900" s="51">
        <v>1.024</v>
      </c>
      <c r="D2900" s="51">
        <v>64.0</v>
      </c>
      <c r="E2900" s="52" t="s">
        <v>25</v>
      </c>
      <c r="F2900" s="52" t="s">
        <v>26</v>
      </c>
      <c r="G2900" s="53"/>
    </row>
    <row r="2901">
      <c r="A2901" s="49">
        <v>44543.366423761574</v>
      </c>
      <c r="B2901" s="50">
        <v>44543.4913860995</v>
      </c>
      <c r="C2901" s="51">
        <v>1.024</v>
      </c>
      <c r="D2901" s="51">
        <v>64.0</v>
      </c>
      <c r="E2901" s="52" t="s">
        <v>25</v>
      </c>
      <c r="F2901" s="52" t="s">
        <v>26</v>
      </c>
      <c r="G2901" s="53"/>
    </row>
    <row r="2902">
      <c r="A2902" s="49">
        <v>44543.376834282404</v>
      </c>
      <c r="B2902" s="50">
        <v>44543.5018077777</v>
      </c>
      <c r="C2902" s="51">
        <v>1.024</v>
      </c>
      <c r="D2902" s="51">
        <v>64.0</v>
      </c>
      <c r="E2902" s="52" t="s">
        <v>25</v>
      </c>
      <c r="F2902" s="52" t="s">
        <v>26</v>
      </c>
      <c r="G2902" s="53"/>
    </row>
    <row r="2903">
      <c r="A2903" s="49">
        <v>44543.387261944445</v>
      </c>
      <c r="B2903" s="50">
        <v>44543.5122404282</v>
      </c>
      <c r="C2903" s="51">
        <v>1.024</v>
      </c>
      <c r="D2903" s="51">
        <v>64.0</v>
      </c>
      <c r="E2903" s="52" t="s">
        <v>25</v>
      </c>
      <c r="F2903" s="52" t="s">
        <v>26</v>
      </c>
      <c r="G2903" s="53"/>
    </row>
    <row r="2904">
      <c r="A2904" s="49">
        <v>44543.39768658565</v>
      </c>
      <c r="B2904" s="50">
        <v>44543.5226610185</v>
      </c>
      <c r="C2904" s="51">
        <v>1.024</v>
      </c>
      <c r="D2904" s="51">
        <v>64.0</v>
      </c>
      <c r="E2904" s="52" t="s">
        <v>25</v>
      </c>
      <c r="F2904" s="52" t="s">
        <v>26</v>
      </c>
      <c r="G2904" s="53"/>
    </row>
    <row r="2905">
      <c r="A2905" s="49">
        <v>44543.408112164354</v>
      </c>
      <c r="B2905" s="50">
        <v>44543.5330829513</v>
      </c>
      <c r="C2905" s="51">
        <v>1.024</v>
      </c>
      <c r="D2905" s="51">
        <v>64.0</v>
      </c>
      <c r="E2905" s="52" t="s">
        <v>25</v>
      </c>
      <c r="F2905" s="52" t="s">
        <v>26</v>
      </c>
      <c r="G2905" s="53"/>
    </row>
    <row r="2906">
      <c r="A2906" s="49">
        <v>44543.41853439815</v>
      </c>
      <c r="B2906" s="50">
        <v>44543.5435057523</v>
      </c>
      <c r="C2906" s="51">
        <v>1.024</v>
      </c>
      <c r="D2906" s="51">
        <v>64.0</v>
      </c>
      <c r="E2906" s="52" t="s">
        <v>25</v>
      </c>
      <c r="F2906" s="52" t="s">
        <v>26</v>
      </c>
      <c r="G2906" s="53"/>
    </row>
    <row r="2907">
      <c r="A2907" s="49">
        <v>44543.428949305555</v>
      </c>
      <c r="B2907" s="50">
        <v>44543.5539269444</v>
      </c>
      <c r="C2907" s="51">
        <v>1.024</v>
      </c>
      <c r="D2907" s="51">
        <v>64.0</v>
      </c>
      <c r="E2907" s="52" t="s">
        <v>25</v>
      </c>
      <c r="F2907" s="52" t="s">
        <v>26</v>
      </c>
      <c r="G2907" s="53"/>
    </row>
    <row r="2908">
      <c r="A2908" s="49">
        <v>44543.43936858796</v>
      </c>
      <c r="B2908" s="50">
        <v>44543.5643487731</v>
      </c>
      <c r="C2908" s="51">
        <v>1.024</v>
      </c>
      <c r="D2908" s="51">
        <v>64.0</v>
      </c>
      <c r="E2908" s="52" t="s">
        <v>25</v>
      </c>
      <c r="F2908" s="52" t="s">
        <v>26</v>
      </c>
      <c r="G2908" s="53"/>
    </row>
    <row r="2909">
      <c r="A2909" s="49">
        <v>44543.449790810184</v>
      </c>
      <c r="B2909" s="50">
        <v>44543.5747692245</v>
      </c>
      <c r="C2909" s="51">
        <v>1.024</v>
      </c>
      <c r="D2909" s="51">
        <v>64.0</v>
      </c>
      <c r="E2909" s="52" t="s">
        <v>25</v>
      </c>
      <c r="F2909" s="52" t="s">
        <v>26</v>
      </c>
      <c r="G2909" s="53"/>
    </row>
    <row r="2910">
      <c r="A2910" s="49">
        <v>44543.46022475694</v>
      </c>
      <c r="B2910" s="50">
        <v>44543.5852036805</v>
      </c>
      <c r="C2910" s="51">
        <v>1.024</v>
      </c>
      <c r="D2910" s="51">
        <v>64.0</v>
      </c>
      <c r="E2910" s="52" t="s">
        <v>25</v>
      </c>
      <c r="F2910" s="52" t="s">
        <v>26</v>
      </c>
      <c r="G2910" s="53"/>
    </row>
    <row r="2911">
      <c r="A2911" s="49">
        <v>44543.47071065972</v>
      </c>
      <c r="B2911" s="50">
        <v>44543.5956832175</v>
      </c>
      <c r="C2911" s="51">
        <v>1.024</v>
      </c>
      <c r="D2911" s="51">
        <v>64.0</v>
      </c>
      <c r="E2911" s="52" t="s">
        <v>25</v>
      </c>
      <c r="F2911" s="52" t="s">
        <v>26</v>
      </c>
      <c r="G2911" s="53"/>
    </row>
    <row r="2912">
      <c r="A2912" s="49">
        <v>44543.48112327546</v>
      </c>
      <c r="B2912" s="50">
        <v>44543.6061047569</v>
      </c>
      <c r="C2912" s="51">
        <v>1.024</v>
      </c>
      <c r="D2912" s="51">
        <v>64.0</v>
      </c>
      <c r="E2912" s="52" t="s">
        <v>25</v>
      </c>
      <c r="F2912" s="52" t="s">
        <v>26</v>
      </c>
      <c r="G2912" s="53"/>
    </row>
    <row r="2913">
      <c r="A2913" s="49">
        <v>44543.49154540509</v>
      </c>
      <c r="B2913" s="50">
        <v>44543.6165258333</v>
      </c>
      <c r="C2913" s="51">
        <v>1.024</v>
      </c>
      <c r="D2913" s="51">
        <v>64.0</v>
      </c>
      <c r="E2913" s="52" t="s">
        <v>25</v>
      </c>
      <c r="F2913" s="52" t="s">
        <v>26</v>
      </c>
      <c r="G2913" s="53"/>
    </row>
    <row r="2914">
      <c r="A2914" s="49">
        <v>44543.50197252315</v>
      </c>
      <c r="B2914" s="50">
        <v>44543.6269464583</v>
      </c>
      <c r="C2914" s="51">
        <v>1.024</v>
      </c>
      <c r="D2914" s="51">
        <v>64.0</v>
      </c>
      <c r="E2914" s="52" t="s">
        <v>25</v>
      </c>
      <c r="F2914" s="52" t="s">
        <v>26</v>
      </c>
      <c r="G2914" s="53"/>
    </row>
    <row r="2915">
      <c r="A2915" s="49">
        <v>44543.51238170139</v>
      </c>
      <c r="B2915" s="50">
        <v>44543.6373648379</v>
      </c>
      <c r="C2915" s="51">
        <v>1.024</v>
      </c>
      <c r="D2915" s="51">
        <v>64.0</v>
      </c>
      <c r="E2915" s="52" t="s">
        <v>25</v>
      </c>
      <c r="F2915" s="52" t="s">
        <v>26</v>
      </c>
      <c r="G2915" s="53"/>
    </row>
    <row r="2916">
      <c r="A2916" s="49">
        <v>44543.52282061343</v>
      </c>
      <c r="B2916" s="50">
        <v>44543.6477990972</v>
      </c>
      <c r="C2916" s="51">
        <v>1.024</v>
      </c>
      <c r="D2916" s="51">
        <v>64.0</v>
      </c>
      <c r="E2916" s="52" t="s">
        <v>25</v>
      </c>
      <c r="F2916" s="52" t="s">
        <v>26</v>
      </c>
      <c r="G2916" s="53"/>
    </row>
    <row r="2917">
      <c r="A2917" s="49">
        <v>44543.53325378472</v>
      </c>
      <c r="B2917" s="50">
        <v>44543.6582202662</v>
      </c>
      <c r="C2917" s="51">
        <v>1.024</v>
      </c>
      <c r="D2917" s="51">
        <v>64.0</v>
      </c>
      <c r="E2917" s="52" t="s">
        <v>25</v>
      </c>
      <c r="F2917" s="52" t="s">
        <v>26</v>
      </c>
      <c r="G2917" s="53"/>
    </row>
    <row r="2918">
      <c r="A2918" s="49">
        <v>44543.54366814815</v>
      </c>
      <c r="B2918" s="50">
        <v>44543.6686419212</v>
      </c>
      <c r="C2918" s="51">
        <v>1.024</v>
      </c>
      <c r="D2918" s="51">
        <v>64.0</v>
      </c>
      <c r="E2918" s="52" t="s">
        <v>25</v>
      </c>
      <c r="F2918" s="52" t="s">
        <v>26</v>
      </c>
      <c r="G2918" s="53"/>
    </row>
    <row r="2919">
      <c r="A2919" s="49">
        <v>44543.55409690972</v>
      </c>
      <c r="B2919" s="50">
        <v>44543.679075081</v>
      </c>
      <c r="C2919" s="51">
        <v>1.024</v>
      </c>
      <c r="D2919" s="51">
        <v>64.0</v>
      </c>
      <c r="E2919" s="52" t="s">
        <v>25</v>
      </c>
      <c r="F2919" s="52" t="s">
        <v>26</v>
      </c>
      <c r="G2919" s="53"/>
    </row>
    <row r="2920">
      <c r="A2920" s="49">
        <v>44543.564519074076</v>
      </c>
      <c r="B2920" s="50">
        <v>44543.6894954976</v>
      </c>
      <c r="C2920" s="51">
        <v>1.024</v>
      </c>
      <c r="D2920" s="51">
        <v>64.0</v>
      </c>
      <c r="E2920" s="52" t="s">
        <v>25</v>
      </c>
      <c r="F2920" s="52" t="s">
        <v>26</v>
      </c>
      <c r="G2920" s="53"/>
    </row>
    <row r="2921">
      <c r="A2921" s="49">
        <v>44543.57494131944</v>
      </c>
      <c r="B2921" s="50">
        <v>44543.6999152199</v>
      </c>
      <c r="C2921" s="51">
        <v>1.024</v>
      </c>
      <c r="D2921" s="51">
        <v>64.0</v>
      </c>
      <c r="E2921" s="52" t="s">
        <v>25</v>
      </c>
      <c r="F2921" s="52" t="s">
        <v>26</v>
      </c>
      <c r="G2921" s="53"/>
    </row>
    <row r="2922">
      <c r="A2922" s="49">
        <v>44543.58538201389</v>
      </c>
      <c r="B2922" s="50">
        <v>44543.7103591666</v>
      </c>
      <c r="C2922" s="51">
        <v>1.024</v>
      </c>
      <c r="D2922" s="51">
        <v>64.0</v>
      </c>
      <c r="E2922" s="52" t="s">
        <v>25</v>
      </c>
      <c r="F2922" s="52" t="s">
        <v>26</v>
      </c>
      <c r="G2922" s="53"/>
    </row>
    <row r="2923">
      <c r="A2923" s="49">
        <v>44543.59583348379</v>
      </c>
      <c r="B2923" s="50">
        <v>44543.7208046759</v>
      </c>
      <c r="C2923" s="51">
        <v>1.024</v>
      </c>
      <c r="D2923" s="51">
        <v>64.0</v>
      </c>
      <c r="E2923" s="52" t="s">
        <v>25</v>
      </c>
      <c r="F2923" s="52" t="s">
        <v>26</v>
      </c>
      <c r="G2923" s="53"/>
    </row>
    <row r="2924">
      <c r="A2924" s="49">
        <v>44543.60624545139</v>
      </c>
      <c r="B2924" s="50">
        <v>44543.7312267592</v>
      </c>
      <c r="C2924" s="51">
        <v>1.024</v>
      </c>
      <c r="D2924" s="51">
        <v>64.0</v>
      </c>
      <c r="E2924" s="52" t="s">
        <v>25</v>
      </c>
      <c r="F2924" s="52" t="s">
        <v>26</v>
      </c>
      <c r="G2924" s="53"/>
    </row>
    <row r="2925">
      <c r="A2925" s="49">
        <v>44543.616699618055</v>
      </c>
      <c r="B2925" s="50">
        <v>44543.7416710069</v>
      </c>
      <c r="C2925" s="51">
        <v>1.024</v>
      </c>
      <c r="D2925" s="51">
        <v>64.0</v>
      </c>
      <c r="E2925" s="52" t="s">
        <v>25</v>
      </c>
      <c r="F2925" s="52" t="s">
        <v>26</v>
      </c>
      <c r="G2925" s="53"/>
    </row>
    <row r="2926">
      <c r="A2926" s="49">
        <v>44543.627114814815</v>
      </c>
      <c r="B2926" s="50">
        <v>44543.7520925115</v>
      </c>
      <c r="C2926" s="51">
        <v>1.024</v>
      </c>
      <c r="D2926" s="51">
        <v>64.0</v>
      </c>
      <c r="E2926" s="52" t="s">
        <v>25</v>
      </c>
      <c r="F2926" s="52" t="s">
        <v>26</v>
      </c>
      <c r="G2926" s="53"/>
    </row>
    <row r="2927">
      <c r="A2927" s="49">
        <v>44543.6375399074</v>
      </c>
      <c r="B2927" s="50">
        <v>44543.7625139814</v>
      </c>
      <c r="C2927" s="51">
        <v>1.024</v>
      </c>
      <c r="D2927" s="51">
        <v>64.0</v>
      </c>
      <c r="E2927" s="52" t="s">
        <v>25</v>
      </c>
      <c r="F2927" s="52" t="s">
        <v>26</v>
      </c>
      <c r="G2927" s="53"/>
    </row>
    <row r="2928">
      <c r="A2928" s="49">
        <v>44543.6479699537</v>
      </c>
      <c r="B2928" s="50">
        <v>44543.7729472453</v>
      </c>
      <c r="C2928" s="51">
        <v>1.024</v>
      </c>
      <c r="D2928" s="51">
        <v>64.0</v>
      </c>
      <c r="E2928" s="52" t="s">
        <v>25</v>
      </c>
      <c r="F2928" s="52" t="s">
        <v>26</v>
      </c>
      <c r="G2928" s="53"/>
    </row>
    <row r="2929">
      <c r="A2929" s="49">
        <v>44543.658395729166</v>
      </c>
      <c r="B2929" s="50">
        <v>44543.7833678588</v>
      </c>
      <c r="C2929" s="51">
        <v>1.024</v>
      </c>
      <c r="D2929" s="51">
        <v>64.0</v>
      </c>
      <c r="E2929" s="52" t="s">
        <v>25</v>
      </c>
      <c r="F2929" s="52" t="s">
        <v>26</v>
      </c>
      <c r="G2929" s="53"/>
    </row>
    <row r="2930">
      <c r="A2930" s="49">
        <v>44543.668829120375</v>
      </c>
      <c r="B2930" s="50">
        <v>44543.7937987384</v>
      </c>
      <c r="C2930" s="51">
        <v>1.024</v>
      </c>
      <c r="D2930" s="51">
        <v>64.0</v>
      </c>
      <c r="E2930" s="52" t="s">
        <v>25</v>
      </c>
      <c r="F2930" s="52" t="s">
        <v>26</v>
      </c>
      <c r="G2930" s="53"/>
    </row>
    <row r="2931">
      <c r="A2931" s="49">
        <v>44543.67925435185</v>
      </c>
      <c r="B2931" s="50">
        <v>44543.8042209027</v>
      </c>
      <c r="C2931" s="51">
        <v>1.024</v>
      </c>
      <c r="D2931" s="51">
        <v>64.0</v>
      </c>
      <c r="E2931" s="52" t="s">
        <v>25</v>
      </c>
      <c r="F2931" s="52" t="s">
        <v>26</v>
      </c>
      <c r="G2931" s="53"/>
    </row>
    <row r="2932">
      <c r="A2932" s="49">
        <v>44543.68968967593</v>
      </c>
      <c r="B2932" s="50">
        <v>44543.8146548263</v>
      </c>
      <c r="C2932" s="51">
        <v>1.024</v>
      </c>
      <c r="D2932" s="51">
        <v>64.0</v>
      </c>
      <c r="E2932" s="52" t="s">
        <v>25</v>
      </c>
      <c r="F2932" s="52" t="s">
        <v>26</v>
      </c>
      <c r="G2932" s="53"/>
    </row>
    <row r="2933">
      <c r="A2933" s="49">
        <v>44543.700131377314</v>
      </c>
      <c r="B2933" s="50">
        <v>44543.8251002083</v>
      </c>
      <c r="C2933" s="51">
        <v>1.024</v>
      </c>
      <c r="D2933" s="51">
        <v>64.0</v>
      </c>
      <c r="E2933" s="52" t="s">
        <v>25</v>
      </c>
      <c r="F2933" s="52" t="s">
        <v>26</v>
      </c>
      <c r="G2933" s="53"/>
    </row>
    <row r="2934">
      <c r="A2934" s="49">
        <v>44543.71056412037</v>
      </c>
      <c r="B2934" s="50">
        <v>44543.8355318634</v>
      </c>
      <c r="C2934" s="51">
        <v>1.024</v>
      </c>
      <c r="D2934" s="51">
        <v>64.0</v>
      </c>
      <c r="E2934" s="52" t="s">
        <v>25</v>
      </c>
      <c r="F2934" s="52" t="s">
        <v>26</v>
      </c>
      <c r="G2934" s="53"/>
    </row>
    <row r="2935">
      <c r="A2935" s="49">
        <v>44543.720985798616</v>
      </c>
      <c r="B2935" s="50">
        <v>44543.8459528935</v>
      </c>
      <c r="C2935" s="51">
        <v>1.024</v>
      </c>
      <c r="D2935" s="51">
        <v>64.0</v>
      </c>
      <c r="E2935" s="52" t="s">
        <v>25</v>
      </c>
      <c r="F2935" s="52" t="s">
        <v>26</v>
      </c>
      <c r="G2935" s="53"/>
    </row>
    <row r="2936">
      <c r="A2936" s="49">
        <v>44543.73141263889</v>
      </c>
      <c r="B2936" s="50">
        <v>44543.8563859837</v>
      </c>
      <c r="C2936" s="51">
        <v>1.024</v>
      </c>
      <c r="D2936" s="51">
        <v>64.0</v>
      </c>
      <c r="E2936" s="52" t="s">
        <v>25</v>
      </c>
      <c r="F2936" s="52" t="s">
        <v>26</v>
      </c>
      <c r="G2936" s="53"/>
    </row>
    <row r="2937">
      <c r="A2937" s="49">
        <v>44543.74185503472</v>
      </c>
      <c r="B2937" s="50">
        <v>44543.8668195023</v>
      </c>
      <c r="C2937" s="51">
        <v>1.023</v>
      </c>
      <c r="D2937" s="51">
        <v>64.0</v>
      </c>
      <c r="E2937" s="52" t="s">
        <v>25</v>
      </c>
      <c r="F2937" s="52" t="s">
        <v>26</v>
      </c>
      <c r="G2937" s="53"/>
    </row>
    <row r="2938">
      <c r="A2938" s="49">
        <v>44543.75229188657</v>
      </c>
      <c r="B2938" s="50">
        <v>44543.8772518171</v>
      </c>
      <c r="C2938" s="51">
        <v>1.024</v>
      </c>
      <c r="D2938" s="51">
        <v>64.0</v>
      </c>
      <c r="E2938" s="52" t="s">
        <v>25</v>
      </c>
      <c r="F2938" s="52" t="s">
        <v>26</v>
      </c>
      <c r="G2938" s="53"/>
    </row>
    <row r="2939">
      <c r="A2939" s="49">
        <v>44543.76271358796</v>
      </c>
      <c r="B2939" s="50">
        <v>44543.8876853819</v>
      </c>
      <c r="C2939" s="51">
        <v>1.024</v>
      </c>
      <c r="D2939" s="51">
        <v>64.0</v>
      </c>
      <c r="E2939" s="52" t="s">
        <v>25</v>
      </c>
      <c r="F2939" s="52" t="s">
        <v>26</v>
      </c>
      <c r="G2939" s="53"/>
    </row>
    <row r="2940">
      <c r="A2940" s="49">
        <v>44543.773148761575</v>
      </c>
      <c r="B2940" s="50">
        <v>44543.8981188425</v>
      </c>
      <c r="C2940" s="51">
        <v>1.024</v>
      </c>
      <c r="D2940" s="51">
        <v>64.0</v>
      </c>
      <c r="E2940" s="52" t="s">
        <v>25</v>
      </c>
      <c r="F2940" s="52" t="s">
        <v>26</v>
      </c>
      <c r="G2940" s="53"/>
    </row>
    <row r="2941">
      <c r="A2941" s="49">
        <v>44543.78357783565</v>
      </c>
      <c r="B2941" s="50">
        <v>44543.9085409143</v>
      </c>
      <c r="C2941" s="51">
        <v>1.024</v>
      </c>
      <c r="D2941" s="51">
        <v>64.0</v>
      </c>
      <c r="E2941" s="52" t="s">
        <v>25</v>
      </c>
      <c r="F2941" s="52" t="s">
        <v>26</v>
      </c>
      <c r="G2941" s="53"/>
    </row>
    <row r="2942">
      <c r="A2942" s="49">
        <v>44543.793998865745</v>
      </c>
      <c r="B2942" s="50">
        <v>44543.9189630092</v>
      </c>
      <c r="C2942" s="51">
        <v>1.024</v>
      </c>
      <c r="D2942" s="51">
        <v>64.0</v>
      </c>
      <c r="E2942" s="52" t="s">
        <v>25</v>
      </c>
      <c r="F2942" s="52" t="s">
        <v>26</v>
      </c>
      <c r="G2942" s="53"/>
    </row>
    <row r="2943">
      <c r="A2943" s="49">
        <v>44543.8044243287</v>
      </c>
      <c r="B2943" s="50">
        <v>44543.9293829166</v>
      </c>
      <c r="C2943" s="51">
        <v>1.024</v>
      </c>
      <c r="D2943" s="51">
        <v>64.0</v>
      </c>
      <c r="E2943" s="52" t="s">
        <v>25</v>
      </c>
      <c r="F2943" s="52" t="s">
        <v>26</v>
      </c>
      <c r="G2943" s="53"/>
    </row>
    <row r="2944">
      <c r="A2944" s="49">
        <v>44543.81483988426</v>
      </c>
      <c r="B2944" s="50">
        <v>44543.9398045949</v>
      </c>
      <c r="C2944" s="51">
        <v>1.024</v>
      </c>
      <c r="D2944" s="51">
        <v>64.0</v>
      </c>
      <c r="E2944" s="52" t="s">
        <v>25</v>
      </c>
      <c r="F2944" s="52" t="s">
        <v>26</v>
      </c>
      <c r="G2944" s="53"/>
    </row>
    <row r="2945">
      <c r="A2945" s="49">
        <v>44543.825270925925</v>
      </c>
      <c r="B2945" s="50">
        <v>44543.9502361689</v>
      </c>
      <c r="C2945" s="51">
        <v>1.024</v>
      </c>
      <c r="D2945" s="51">
        <v>64.0</v>
      </c>
      <c r="E2945" s="52" t="s">
        <v>25</v>
      </c>
      <c r="F2945" s="52" t="s">
        <v>26</v>
      </c>
      <c r="G2945" s="53"/>
    </row>
    <row r="2946">
      <c r="A2946" s="49">
        <v>44543.83568736111</v>
      </c>
      <c r="B2946" s="50">
        <v>44543.9606576388</v>
      </c>
      <c r="C2946" s="51">
        <v>1.023</v>
      </c>
      <c r="D2946" s="51">
        <v>64.0</v>
      </c>
      <c r="E2946" s="52" t="s">
        <v>25</v>
      </c>
      <c r="F2946" s="52" t="s">
        <v>26</v>
      </c>
      <c r="G2946" s="53"/>
    </row>
    <row r="2947">
      <c r="A2947" s="49">
        <v>44543.84611655092</v>
      </c>
      <c r="B2947" s="50">
        <v>44543.9710793171</v>
      </c>
      <c r="C2947" s="51">
        <v>1.024</v>
      </c>
      <c r="D2947" s="51">
        <v>64.0</v>
      </c>
      <c r="E2947" s="52" t="s">
        <v>25</v>
      </c>
      <c r="F2947" s="52" t="s">
        <v>26</v>
      </c>
      <c r="G2947" s="53"/>
    </row>
    <row r="2948">
      <c r="A2948" s="49">
        <v>44543.856535046296</v>
      </c>
      <c r="B2948" s="50">
        <v>44543.9814992361</v>
      </c>
      <c r="C2948" s="51">
        <v>1.023</v>
      </c>
      <c r="D2948" s="51">
        <v>64.0</v>
      </c>
      <c r="E2948" s="52" t="s">
        <v>25</v>
      </c>
      <c r="F2948" s="52" t="s">
        <v>26</v>
      </c>
      <c r="G2948" s="53"/>
    </row>
    <row r="2949">
      <c r="A2949" s="49">
        <v>44543.86696642361</v>
      </c>
      <c r="B2949" s="50">
        <v>44543.9919325578</v>
      </c>
      <c r="C2949" s="51">
        <v>1.024</v>
      </c>
      <c r="D2949" s="51">
        <v>64.0</v>
      </c>
      <c r="E2949" s="52" t="s">
        <v>25</v>
      </c>
      <c r="F2949" s="52" t="s">
        <v>26</v>
      </c>
      <c r="G2949" s="53"/>
    </row>
    <row r="2950">
      <c r="A2950" s="49">
        <v>44543.8773859838</v>
      </c>
      <c r="B2950" s="50">
        <v>44544.002353206</v>
      </c>
      <c r="C2950" s="51">
        <v>1.024</v>
      </c>
      <c r="D2950" s="51">
        <v>64.0</v>
      </c>
      <c r="E2950" s="52" t="s">
        <v>25</v>
      </c>
      <c r="F2950" s="52" t="s">
        <v>26</v>
      </c>
      <c r="G2950" s="53"/>
    </row>
    <row r="2951">
      <c r="A2951" s="49">
        <v>44543.887818194446</v>
      </c>
      <c r="B2951" s="50">
        <v>44544.0127870486</v>
      </c>
      <c r="C2951" s="51">
        <v>1.023</v>
      </c>
      <c r="D2951" s="51">
        <v>64.0</v>
      </c>
      <c r="E2951" s="52" t="s">
        <v>25</v>
      </c>
      <c r="F2951" s="52" t="s">
        <v>26</v>
      </c>
      <c r="G2951" s="53"/>
    </row>
    <row r="2952">
      <c r="A2952" s="49">
        <v>44543.89827273148</v>
      </c>
      <c r="B2952" s="50">
        <v>44544.023243368</v>
      </c>
      <c r="C2952" s="51">
        <v>1.024</v>
      </c>
      <c r="D2952" s="51">
        <v>64.0</v>
      </c>
      <c r="E2952" s="52" t="s">
        <v>25</v>
      </c>
      <c r="F2952" s="52" t="s">
        <v>26</v>
      </c>
      <c r="G2952" s="53"/>
    </row>
    <row r="2953">
      <c r="A2953" s="49">
        <v>44543.90873738426</v>
      </c>
      <c r="B2953" s="50">
        <v>44544.033711331</v>
      </c>
      <c r="C2953" s="51">
        <v>1.023</v>
      </c>
      <c r="D2953" s="51">
        <v>64.0</v>
      </c>
      <c r="E2953" s="52" t="s">
        <v>25</v>
      </c>
      <c r="F2953" s="52" t="s">
        <v>26</v>
      </c>
      <c r="G2953" s="53"/>
    </row>
    <row r="2954">
      <c r="A2954" s="49">
        <v>44543.91918048611</v>
      </c>
      <c r="B2954" s="50">
        <v>44544.0441548148</v>
      </c>
      <c r="C2954" s="51">
        <v>1.024</v>
      </c>
      <c r="D2954" s="51">
        <v>64.0</v>
      </c>
      <c r="E2954" s="52" t="s">
        <v>25</v>
      </c>
      <c r="F2954" s="52" t="s">
        <v>26</v>
      </c>
      <c r="G2954" s="53"/>
    </row>
    <row r="2955">
      <c r="A2955" s="49">
        <v>44543.92960283565</v>
      </c>
      <c r="B2955" s="50">
        <v>44544.0545741666</v>
      </c>
      <c r="C2955" s="51">
        <v>1.023</v>
      </c>
      <c r="D2955" s="51">
        <v>64.0</v>
      </c>
      <c r="E2955" s="52" t="s">
        <v>25</v>
      </c>
      <c r="F2955" s="52" t="s">
        <v>26</v>
      </c>
      <c r="G2955" s="53"/>
    </row>
    <row r="2956">
      <c r="A2956" s="49">
        <v>44543.940087905095</v>
      </c>
      <c r="B2956" s="50">
        <v>44544.0650524305</v>
      </c>
      <c r="C2956" s="51">
        <v>1.023</v>
      </c>
      <c r="D2956" s="51">
        <v>64.0</v>
      </c>
      <c r="E2956" s="52" t="s">
        <v>25</v>
      </c>
      <c r="F2956" s="52" t="s">
        <v>26</v>
      </c>
      <c r="G2956" s="53"/>
    </row>
    <row r="2957">
      <c r="A2957" s="49">
        <v>44543.95050395833</v>
      </c>
      <c r="B2957" s="50">
        <v>44544.0754740277</v>
      </c>
      <c r="C2957" s="51">
        <v>1.024</v>
      </c>
      <c r="D2957" s="51">
        <v>64.0</v>
      </c>
      <c r="E2957" s="52" t="s">
        <v>25</v>
      </c>
      <c r="F2957" s="52" t="s">
        <v>26</v>
      </c>
      <c r="G2957" s="53"/>
    </row>
    <row r="2958">
      <c r="A2958" s="49">
        <v>44543.96096012731</v>
      </c>
      <c r="B2958" s="50">
        <v>44544.0859307291</v>
      </c>
      <c r="C2958" s="51">
        <v>1.024</v>
      </c>
      <c r="D2958" s="51">
        <v>64.0</v>
      </c>
      <c r="E2958" s="52" t="s">
        <v>25</v>
      </c>
      <c r="F2958" s="52" t="s">
        <v>26</v>
      </c>
      <c r="G2958" s="53"/>
    </row>
    <row r="2959">
      <c r="A2959" s="49">
        <v>44543.9713987963</v>
      </c>
      <c r="B2959" s="50">
        <v>44544.0963632407</v>
      </c>
      <c r="C2959" s="51">
        <v>1.023</v>
      </c>
      <c r="D2959" s="51">
        <v>64.0</v>
      </c>
      <c r="E2959" s="52" t="s">
        <v>25</v>
      </c>
      <c r="F2959" s="52" t="s">
        <v>26</v>
      </c>
      <c r="G2959" s="53"/>
    </row>
    <row r="2960">
      <c r="A2960" s="49">
        <v>44543.981837824074</v>
      </c>
      <c r="B2960" s="50">
        <v>44544.1068069097</v>
      </c>
      <c r="C2960" s="51">
        <v>1.024</v>
      </c>
      <c r="D2960" s="51">
        <v>64.0</v>
      </c>
      <c r="E2960" s="52" t="s">
        <v>25</v>
      </c>
      <c r="F2960" s="52" t="s">
        <v>26</v>
      </c>
      <c r="G2960" s="53"/>
    </row>
    <row r="2961">
      <c r="A2961" s="49">
        <v>44543.992256770835</v>
      </c>
      <c r="B2961" s="50">
        <v>44544.1172289467</v>
      </c>
      <c r="C2961" s="51">
        <v>1.024</v>
      </c>
      <c r="D2961" s="51">
        <v>64.0</v>
      </c>
      <c r="E2961" s="52" t="s">
        <v>25</v>
      </c>
      <c r="F2961" s="52" t="s">
        <v>26</v>
      </c>
      <c r="G2961" s="53"/>
    </row>
    <row r="2962">
      <c r="A2962" s="49">
        <v>44544.00272311343</v>
      </c>
      <c r="B2962" s="50">
        <v>44544.1276865046</v>
      </c>
      <c r="C2962" s="51">
        <v>1.024</v>
      </c>
      <c r="D2962" s="51">
        <v>64.0</v>
      </c>
      <c r="E2962" s="52" t="s">
        <v>25</v>
      </c>
      <c r="F2962" s="52" t="s">
        <v>26</v>
      </c>
      <c r="G2962" s="53"/>
    </row>
    <row r="2963">
      <c r="A2963" s="49">
        <v>44544.01313446759</v>
      </c>
      <c r="B2963" s="50">
        <v>44544.1381073842</v>
      </c>
      <c r="C2963" s="51">
        <v>1.024</v>
      </c>
      <c r="D2963" s="51">
        <v>64.0</v>
      </c>
      <c r="E2963" s="52" t="s">
        <v>25</v>
      </c>
      <c r="F2963" s="52" t="s">
        <v>26</v>
      </c>
      <c r="G2963" s="53"/>
    </row>
    <row r="2964">
      <c r="A2964" s="49">
        <v>44544.02356755787</v>
      </c>
      <c r="B2964" s="50">
        <v>44544.1485398148</v>
      </c>
      <c r="C2964" s="51">
        <v>1.023</v>
      </c>
      <c r="D2964" s="51">
        <v>64.0</v>
      </c>
      <c r="E2964" s="52" t="s">
        <v>25</v>
      </c>
      <c r="F2964" s="52" t="s">
        <v>26</v>
      </c>
      <c r="G2964" s="53"/>
    </row>
    <row r="2965">
      <c r="A2965" s="49">
        <v>44544.03399087963</v>
      </c>
      <c r="B2965" s="50">
        <v>44544.1589613078</v>
      </c>
      <c r="C2965" s="51">
        <v>1.023</v>
      </c>
      <c r="D2965" s="51">
        <v>64.0</v>
      </c>
      <c r="E2965" s="52" t="s">
        <v>25</v>
      </c>
      <c r="F2965" s="52" t="s">
        <v>26</v>
      </c>
      <c r="G2965" s="53"/>
    </row>
    <row r="2966">
      <c r="A2966" s="49">
        <v>44544.04441393519</v>
      </c>
      <c r="B2966" s="50">
        <v>44544.1693819444</v>
      </c>
      <c r="C2966" s="51">
        <v>1.024</v>
      </c>
      <c r="D2966" s="51">
        <v>64.0</v>
      </c>
      <c r="E2966" s="52" t="s">
        <v>25</v>
      </c>
      <c r="F2966" s="52" t="s">
        <v>26</v>
      </c>
      <c r="G2966" s="53"/>
    </row>
    <row r="2967">
      <c r="A2967" s="49">
        <v>44544.054857083334</v>
      </c>
      <c r="B2967" s="50">
        <v>44544.1798147337</v>
      </c>
      <c r="C2967" s="51">
        <v>1.024</v>
      </c>
      <c r="D2967" s="51">
        <v>64.0</v>
      </c>
      <c r="E2967" s="52" t="s">
        <v>25</v>
      </c>
      <c r="F2967" s="52" t="s">
        <v>26</v>
      </c>
      <c r="G2967" s="53"/>
    </row>
    <row r="2968">
      <c r="A2968" s="49">
        <v>44544.06527723379</v>
      </c>
      <c r="B2968" s="50">
        <v>44544.190236655</v>
      </c>
      <c r="C2968" s="51">
        <v>1.023</v>
      </c>
      <c r="D2968" s="51">
        <v>64.0</v>
      </c>
      <c r="E2968" s="52" t="s">
        <v>25</v>
      </c>
      <c r="F2968" s="52" t="s">
        <v>26</v>
      </c>
      <c r="G2968" s="53"/>
    </row>
    <row r="2969">
      <c r="A2969" s="49">
        <v>44544.07569075232</v>
      </c>
      <c r="B2969" s="50">
        <v>44544.2006570601</v>
      </c>
      <c r="C2969" s="51">
        <v>1.023</v>
      </c>
      <c r="D2969" s="51">
        <v>64.0</v>
      </c>
      <c r="E2969" s="52" t="s">
        <v>25</v>
      </c>
      <c r="F2969" s="52" t="s">
        <v>26</v>
      </c>
      <c r="G2969" s="53"/>
    </row>
    <row r="2970">
      <c r="A2970" s="49">
        <v>44544.08611611111</v>
      </c>
      <c r="B2970" s="50">
        <v>44544.2110790046</v>
      </c>
      <c r="C2970" s="51">
        <v>1.023</v>
      </c>
      <c r="D2970" s="51">
        <v>64.0</v>
      </c>
      <c r="E2970" s="52" t="s">
        <v>25</v>
      </c>
      <c r="F2970" s="52" t="s">
        <v>26</v>
      </c>
      <c r="G2970" s="53"/>
    </row>
    <row r="2971">
      <c r="A2971" s="49">
        <v>44544.09653621528</v>
      </c>
      <c r="B2971" s="50">
        <v>44544.2215009375</v>
      </c>
      <c r="C2971" s="51">
        <v>1.023</v>
      </c>
      <c r="D2971" s="51">
        <v>64.0</v>
      </c>
      <c r="E2971" s="52" t="s">
        <v>25</v>
      </c>
      <c r="F2971" s="52" t="s">
        <v>26</v>
      </c>
      <c r="G2971" s="53"/>
    </row>
    <row r="2972">
      <c r="A2972" s="49">
        <v>44544.10695122685</v>
      </c>
      <c r="B2972" s="50">
        <v>44544.2319195254</v>
      </c>
      <c r="C2972" s="51">
        <v>1.023</v>
      </c>
      <c r="D2972" s="51">
        <v>64.0</v>
      </c>
      <c r="E2972" s="52" t="s">
        <v>25</v>
      </c>
      <c r="F2972" s="52" t="s">
        <v>26</v>
      </c>
      <c r="G2972" s="53"/>
    </row>
    <row r="2973">
      <c r="A2973" s="49">
        <v>44544.11736841435</v>
      </c>
      <c r="B2973" s="50">
        <v>44544.2423405902</v>
      </c>
      <c r="C2973" s="51">
        <v>1.023</v>
      </c>
      <c r="D2973" s="51">
        <v>64.0</v>
      </c>
      <c r="E2973" s="52" t="s">
        <v>25</v>
      </c>
      <c r="F2973" s="52" t="s">
        <v>26</v>
      </c>
      <c r="G2973" s="53"/>
    </row>
    <row r="2974">
      <c r="A2974" s="49">
        <v>44544.12784006944</v>
      </c>
      <c r="B2974" s="50">
        <v>44544.2527957638</v>
      </c>
      <c r="C2974" s="51">
        <v>1.023</v>
      </c>
      <c r="D2974" s="51">
        <v>64.0</v>
      </c>
      <c r="E2974" s="52" t="s">
        <v>25</v>
      </c>
      <c r="F2974" s="52" t="s">
        <v>26</v>
      </c>
      <c r="G2974" s="53"/>
    </row>
    <row r="2975">
      <c r="A2975" s="49">
        <v>44544.138255682876</v>
      </c>
      <c r="B2975" s="50">
        <v>44544.2632285995</v>
      </c>
      <c r="C2975" s="51">
        <v>1.023</v>
      </c>
      <c r="D2975" s="51">
        <v>64.0</v>
      </c>
      <c r="E2975" s="52" t="s">
        <v>25</v>
      </c>
      <c r="F2975" s="52" t="s">
        <v>26</v>
      </c>
      <c r="G2975" s="53"/>
    </row>
    <row r="2976">
      <c r="A2976" s="49">
        <v>44544.148695428245</v>
      </c>
      <c r="B2976" s="50">
        <v>44544.2736606481</v>
      </c>
      <c r="C2976" s="51">
        <v>1.023</v>
      </c>
      <c r="D2976" s="51">
        <v>64.0</v>
      </c>
      <c r="E2976" s="52" t="s">
        <v>25</v>
      </c>
      <c r="F2976" s="52" t="s">
        <v>26</v>
      </c>
      <c r="G2976" s="53"/>
    </row>
    <row r="2977">
      <c r="A2977" s="49">
        <v>44544.16957600694</v>
      </c>
      <c r="B2977" s="50">
        <v>44544.2945487152</v>
      </c>
      <c r="C2977" s="51">
        <v>1.023</v>
      </c>
      <c r="D2977" s="51">
        <v>64.0</v>
      </c>
      <c r="E2977" s="52" t="s">
        <v>25</v>
      </c>
      <c r="F2977" s="52" t="s">
        <v>26</v>
      </c>
      <c r="G2977" s="53"/>
    </row>
    <row r="2978">
      <c r="A2978" s="49">
        <v>44544.180053703705</v>
      </c>
      <c r="B2978" s="50">
        <v>44544.305005324</v>
      </c>
      <c r="C2978" s="51">
        <v>1.023</v>
      </c>
      <c r="D2978" s="51">
        <v>64.0</v>
      </c>
      <c r="E2978" s="52" t="s">
        <v>25</v>
      </c>
      <c r="F2978" s="52" t="s">
        <v>26</v>
      </c>
      <c r="G2978" s="53"/>
    </row>
    <row r="2979">
      <c r="A2979" s="49">
        <v>44544.19046085648</v>
      </c>
      <c r="B2979" s="50">
        <v>44544.315426574</v>
      </c>
      <c r="C2979" s="51">
        <v>1.023</v>
      </c>
      <c r="D2979" s="51">
        <v>64.0</v>
      </c>
      <c r="E2979" s="52" t="s">
        <v>25</v>
      </c>
      <c r="F2979" s="52" t="s">
        <v>26</v>
      </c>
      <c r="G2979" s="53"/>
    </row>
    <row r="2980">
      <c r="A2980" s="49">
        <v>44544.20086935185</v>
      </c>
      <c r="B2980" s="50">
        <v>44544.3258454629</v>
      </c>
      <c r="C2980" s="51">
        <v>1.023</v>
      </c>
      <c r="D2980" s="51">
        <v>64.0</v>
      </c>
      <c r="E2980" s="52" t="s">
        <v>25</v>
      </c>
      <c r="F2980" s="52" t="s">
        <v>26</v>
      </c>
      <c r="G2980" s="53"/>
    </row>
    <row r="2981">
      <c r="A2981" s="49">
        <v>44544.22174483797</v>
      </c>
      <c r="B2981" s="50">
        <v>44544.3466996759</v>
      </c>
      <c r="C2981" s="51">
        <v>1.023</v>
      </c>
      <c r="D2981" s="51">
        <v>64.0</v>
      </c>
      <c r="E2981" s="52" t="s">
        <v>25</v>
      </c>
      <c r="F2981" s="52" t="s">
        <v>26</v>
      </c>
      <c r="G2981" s="53"/>
    </row>
    <row r="2982">
      <c r="A2982" s="49">
        <v>44544.23216945602</v>
      </c>
      <c r="B2982" s="50">
        <v>44544.3571296527</v>
      </c>
      <c r="C2982" s="51">
        <v>1.023</v>
      </c>
      <c r="D2982" s="51">
        <v>64.0</v>
      </c>
      <c r="E2982" s="52" t="s">
        <v>25</v>
      </c>
      <c r="F2982" s="52" t="s">
        <v>26</v>
      </c>
      <c r="G2982" s="53"/>
    </row>
    <row r="2983">
      <c r="A2983" s="49">
        <v>44544.24258038195</v>
      </c>
      <c r="B2983" s="50">
        <v>44544.367551331</v>
      </c>
      <c r="C2983" s="51">
        <v>1.023</v>
      </c>
      <c r="D2983" s="51">
        <v>64.0</v>
      </c>
      <c r="E2983" s="52" t="s">
        <v>25</v>
      </c>
      <c r="F2983" s="52" t="s">
        <v>26</v>
      </c>
      <c r="G2983" s="53"/>
    </row>
    <row r="2984">
      <c r="A2984" s="49">
        <v>44544.2530053588</v>
      </c>
      <c r="B2984" s="50">
        <v>44544.3779732754</v>
      </c>
      <c r="C2984" s="51">
        <v>1.023</v>
      </c>
      <c r="D2984" s="51">
        <v>64.0</v>
      </c>
      <c r="E2984" s="52" t="s">
        <v>25</v>
      </c>
      <c r="F2984" s="52" t="s">
        <v>26</v>
      </c>
      <c r="G2984" s="53"/>
    </row>
    <row r="2985">
      <c r="A2985" s="49">
        <v>44544.26343017361</v>
      </c>
      <c r="B2985" s="50">
        <v>44544.3883925115</v>
      </c>
      <c r="C2985" s="51">
        <v>1.023</v>
      </c>
      <c r="D2985" s="51">
        <v>64.0</v>
      </c>
      <c r="E2985" s="52" t="s">
        <v>25</v>
      </c>
      <c r="F2985" s="52" t="s">
        <v>26</v>
      </c>
      <c r="G2985" s="53"/>
    </row>
    <row r="2986">
      <c r="A2986" s="49">
        <v>44544.27386177084</v>
      </c>
      <c r="B2986" s="50">
        <v>44544.3988245949</v>
      </c>
      <c r="C2986" s="51">
        <v>1.023</v>
      </c>
      <c r="D2986" s="51">
        <v>63.0</v>
      </c>
      <c r="E2986" s="52" t="s">
        <v>25</v>
      </c>
      <c r="F2986" s="52" t="s">
        <v>26</v>
      </c>
      <c r="G2986" s="53"/>
    </row>
    <row r="2987">
      <c r="A2987" s="49">
        <v>44544.28428420139</v>
      </c>
      <c r="B2987" s="50">
        <v>44544.4092460648</v>
      </c>
      <c r="C2987" s="51">
        <v>1.023</v>
      </c>
      <c r="D2987" s="51">
        <v>64.0</v>
      </c>
      <c r="E2987" s="52" t="s">
        <v>25</v>
      </c>
      <c r="F2987" s="52" t="s">
        <v>26</v>
      </c>
      <c r="G2987" s="53"/>
    </row>
    <row r="2988">
      <c r="A2988" s="49">
        <v>44544.294698495374</v>
      </c>
      <c r="B2988" s="50">
        <v>44544.4196667361</v>
      </c>
      <c r="C2988" s="51">
        <v>1.023</v>
      </c>
      <c r="D2988" s="51">
        <v>64.0</v>
      </c>
      <c r="E2988" s="52" t="s">
        <v>25</v>
      </c>
      <c r="F2988" s="52" t="s">
        <v>26</v>
      </c>
      <c r="G2988" s="53"/>
    </row>
    <row r="2989">
      <c r="A2989" s="49">
        <v>44544.30511998842</v>
      </c>
      <c r="B2989" s="50">
        <v>44544.4300852893</v>
      </c>
      <c r="C2989" s="51">
        <v>1.023</v>
      </c>
      <c r="D2989" s="51">
        <v>64.0</v>
      </c>
      <c r="E2989" s="52" t="s">
        <v>25</v>
      </c>
      <c r="F2989" s="52" t="s">
        <v>26</v>
      </c>
      <c r="G2989" s="53"/>
    </row>
    <row r="2990">
      <c r="A2990" s="49">
        <v>44544.315605254626</v>
      </c>
      <c r="B2990" s="50">
        <v>44544.4405648495</v>
      </c>
      <c r="C2990" s="51">
        <v>1.023</v>
      </c>
      <c r="D2990" s="51">
        <v>64.0</v>
      </c>
      <c r="E2990" s="52" t="s">
        <v>25</v>
      </c>
      <c r="F2990" s="52" t="s">
        <v>26</v>
      </c>
      <c r="G2990" s="53"/>
    </row>
    <row r="2991">
      <c r="A2991" s="49">
        <v>44544.32601608796</v>
      </c>
      <c r="B2991" s="50">
        <v>44544.4509857407</v>
      </c>
      <c r="C2991" s="51">
        <v>1.023</v>
      </c>
      <c r="D2991" s="51">
        <v>63.0</v>
      </c>
      <c r="E2991" s="52" t="s">
        <v>25</v>
      </c>
      <c r="F2991" s="52" t="s">
        <v>26</v>
      </c>
      <c r="G2991" s="53"/>
    </row>
    <row r="2992">
      <c r="A2992" s="49">
        <v>44544.33649170139</v>
      </c>
      <c r="B2992" s="50">
        <v>44544.4614195601</v>
      </c>
      <c r="C2992" s="51">
        <v>1.023</v>
      </c>
      <c r="D2992" s="51">
        <v>63.0</v>
      </c>
      <c r="E2992" s="52" t="s">
        <v>25</v>
      </c>
      <c r="F2992" s="52" t="s">
        <v>26</v>
      </c>
      <c r="G2992" s="53"/>
    </row>
    <row r="2993">
      <c r="A2993" s="49">
        <v>44544.34689351852</v>
      </c>
      <c r="B2993" s="50">
        <v>44544.4718526388</v>
      </c>
      <c r="C2993" s="51">
        <v>1.023</v>
      </c>
      <c r="D2993" s="51">
        <v>63.0</v>
      </c>
      <c r="E2993" s="52" t="s">
        <v>25</v>
      </c>
      <c r="F2993" s="52" t="s">
        <v>26</v>
      </c>
      <c r="G2993" s="53"/>
    </row>
    <row r="2994">
      <c r="A2994" s="49">
        <v>44544.35732686342</v>
      </c>
      <c r="B2994" s="50">
        <v>44544.4822726851</v>
      </c>
      <c r="C2994" s="51">
        <v>1.023</v>
      </c>
      <c r="D2994" s="51">
        <v>63.0</v>
      </c>
      <c r="E2994" s="52" t="s">
        <v>25</v>
      </c>
      <c r="F2994" s="52" t="s">
        <v>26</v>
      </c>
      <c r="G2994" s="53"/>
    </row>
    <row r="2995">
      <c r="A2995" s="49">
        <v>44544.36775532407</v>
      </c>
      <c r="B2995" s="50">
        <v>44544.492693368</v>
      </c>
      <c r="C2995" s="51">
        <v>1.023</v>
      </c>
      <c r="D2995" s="51">
        <v>63.0</v>
      </c>
      <c r="E2995" s="52" t="s">
        <v>25</v>
      </c>
      <c r="F2995" s="52" t="s">
        <v>26</v>
      </c>
      <c r="G2995" s="53"/>
    </row>
    <row r="2996">
      <c r="A2996" s="49">
        <v>44544.3781756713</v>
      </c>
      <c r="B2996" s="50">
        <v>44544.5031136342</v>
      </c>
      <c r="C2996" s="51">
        <v>1.023</v>
      </c>
      <c r="D2996" s="51">
        <v>63.0</v>
      </c>
      <c r="E2996" s="52" t="s">
        <v>25</v>
      </c>
      <c r="F2996" s="52" t="s">
        <v>26</v>
      </c>
      <c r="G2996" s="53"/>
    </row>
    <row r="2997">
      <c r="A2997" s="49">
        <v>44544.38857230324</v>
      </c>
      <c r="B2997" s="50">
        <v>44544.5135357638</v>
      </c>
      <c r="C2997" s="51">
        <v>1.023</v>
      </c>
      <c r="D2997" s="51">
        <v>63.0</v>
      </c>
      <c r="E2997" s="52" t="s">
        <v>25</v>
      </c>
      <c r="F2997" s="52" t="s">
        <v>26</v>
      </c>
      <c r="G2997" s="53"/>
    </row>
    <row r="2998">
      <c r="A2998" s="49">
        <v>44544.39900287037</v>
      </c>
      <c r="B2998" s="50">
        <v>44544.5239670949</v>
      </c>
      <c r="C2998" s="51">
        <v>1.023</v>
      </c>
      <c r="D2998" s="51">
        <v>63.0</v>
      </c>
      <c r="E2998" s="52" t="s">
        <v>25</v>
      </c>
      <c r="F2998" s="52" t="s">
        <v>26</v>
      </c>
      <c r="G2998" s="53"/>
    </row>
    <row r="2999">
      <c r="A2999" s="49">
        <v>44544.40943079861</v>
      </c>
      <c r="B2999" s="50">
        <v>44544.5343882986</v>
      </c>
      <c r="C2999" s="51">
        <v>1.023</v>
      </c>
      <c r="D2999" s="51">
        <v>63.0</v>
      </c>
      <c r="E2999" s="52" t="s">
        <v>25</v>
      </c>
      <c r="F2999" s="52" t="s">
        <v>26</v>
      </c>
      <c r="G2999" s="53"/>
    </row>
    <row r="3000">
      <c r="A3000" s="49">
        <v>44544.41985723379</v>
      </c>
      <c r="B3000" s="50">
        <v>44544.5448227893</v>
      </c>
      <c r="C3000" s="51">
        <v>1.023</v>
      </c>
      <c r="D3000" s="51">
        <v>63.0</v>
      </c>
      <c r="E3000" s="52" t="s">
        <v>25</v>
      </c>
      <c r="F3000" s="52" t="s">
        <v>26</v>
      </c>
      <c r="G3000" s="53"/>
    </row>
    <row r="3001">
      <c r="A3001" s="49">
        <v>44544.430291620374</v>
      </c>
      <c r="B3001" s="50">
        <v>44544.5552559837</v>
      </c>
      <c r="C3001" s="51">
        <v>1.023</v>
      </c>
      <c r="D3001" s="51">
        <v>63.0</v>
      </c>
      <c r="E3001" s="52" t="s">
        <v>25</v>
      </c>
      <c r="F3001" s="52" t="s">
        <v>26</v>
      </c>
      <c r="G3001" s="53"/>
    </row>
    <row r="3002">
      <c r="A3002" s="49">
        <v>44544.44071550926</v>
      </c>
      <c r="B3002" s="50">
        <v>44544.5656767013</v>
      </c>
      <c r="C3002" s="51">
        <v>1.024</v>
      </c>
      <c r="D3002" s="51">
        <v>63.0</v>
      </c>
      <c r="E3002" s="52" t="s">
        <v>25</v>
      </c>
      <c r="F3002" s="52" t="s">
        <v>26</v>
      </c>
      <c r="G3002" s="53"/>
    </row>
    <row r="3003">
      <c r="A3003" s="49">
        <v>44544.45114763889</v>
      </c>
      <c r="B3003" s="50">
        <v>44544.5761080555</v>
      </c>
      <c r="C3003" s="51">
        <v>1.023</v>
      </c>
      <c r="D3003" s="51">
        <v>63.0</v>
      </c>
      <c r="E3003" s="52" t="s">
        <v>25</v>
      </c>
      <c r="F3003" s="52" t="s">
        <v>26</v>
      </c>
      <c r="G3003" s="53"/>
    </row>
    <row r="3004">
      <c r="A3004" s="49">
        <v>44544.46156623843</v>
      </c>
      <c r="B3004" s="50">
        <v>44544.5865293634</v>
      </c>
      <c r="C3004" s="51">
        <v>1.023</v>
      </c>
      <c r="D3004" s="51">
        <v>63.0</v>
      </c>
      <c r="E3004" s="52" t="s">
        <v>25</v>
      </c>
      <c r="F3004" s="52" t="s">
        <v>26</v>
      </c>
      <c r="G3004" s="53"/>
    </row>
    <row r="3005">
      <c r="A3005" s="49">
        <v>44544.47199247685</v>
      </c>
      <c r="B3005" s="50">
        <v>44544.5969503935</v>
      </c>
      <c r="C3005" s="51">
        <v>1.023</v>
      </c>
      <c r="D3005" s="51">
        <v>63.0</v>
      </c>
      <c r="E3005" s="52" t="s">
        <v>25</v>
      </c>
      <c r="F3005" s="52" t="s">
        <v>26</v>
      </c>
      <c r="G3005" s="53"/>
    </row>
    <row r="3006">
      <c r="A3006" s="49">
        <v>44544.48240706019</v>
      </c>
      <c r="B3006" s="50">
        <v>44544.6073714236</v>
      </c>
      <c r="C3006" s="51">
        <v>1.023</v>
      </c>
      <c r="D3006" s="51">
        <v>63.0</v>
      </c>
      <c r="E3006" s="52" t="s">
        <v>25</v>
      </c>
      <c r="F3006" s="52" t="s">
        <v>26</v>
      </c>
      <c r="G3006" s="53"/>
    </row>
    <row r="3007">
      <c r="A3007" s="49">
        <v>44544.49286230324</v>
      </c>
      <c r="B3007" s="50">
        <v>44544.6178283912</v>
      </c>
      <c r="C3007" s="51">
        <v>1.023</v>
      </c>
      <c r="D3007" s="51">
        <v>63.0</v>
      </c>
      <c r="E3007" s="52" t="s">
        <v>25</v>
      </c>
      <c r="F3007" s="52" t="s">
        <v>26</v>
      </c>
      <c r="G3007" s="53"/>
    </row>
    <row r="3008">
      <c r="A3008" s="49">
        <v>44544.50335532408</v>
      </c>
      <c r="B3008" s="50">
        <v>44544.6283195486</v>
      </c>
      <c r="C3008" s="51">
        <v>1.023</v>
      </c>
      <c r="D3008" s="51">
        <v>63.0</v>
      </c>
      <c r="E3008" s="52" t="s">
        <v>25</v>
      </c>
      <c r="F3008" s="52" t="s">
        <v>26</v>
      </c>
      <c r="G3008" s="53"/>
    </row>
    <row r="3009">
      <c r="A3009" s="49">
        <v>44544.513789097226</v>
      </c>
      <c r="B3009" s="50">
        <v>44544.6387544675</v>
      </c>
      <c r="C3009" s="51">
        <v>1.023</v>
      </c>
      <c r="D3009" s="51">
        <v>63.0</v>
      </c>
      <c r="E3009" s="52" t="s">
        <v>25</v>
      </c>
      <c r="F3009" s="52" t="s">
        <v>26</v>
      </c>
      <c r="G3009" s="53"/>
    </row>
    <row r="3010">
      <c r="A3010" s="49">
        <v>44544.52421934028</v>
      </c>
      <c r="B3010" s="50">
        <v>44544.6491773842</v>
      </c>
      <c r="C3010" s="51">
        <v>1.023</v>
      </c>
      <c r="D3010" s="51">
        <v>63.0</v>
      </c>
      <c r="E3010" s="52" t="s">
        <v>25</v>
      </c>
      <c r="F3010" s="52" t="s">
        <v>26</v>
      </c>
      <c r="G3010" s="53"/>
    </row>
    <row r="3011">
      <c r="A3011" s="49">
        <v>44544.534630740745</v>
      </c>
      <c r="B3011" s="50">
        <v>44544.6596005671</v>
      </c>
      <c r="C3011" s="51">
        <v>1.023</v>
      </c>
      <c r="D3011" s="51">
        <v>63.0</v>
      </c>
      <c r="E3011" s="52" t="s">
        <v>25</v>
      </c>
      <c r="F3011" s="52" t="s">
        <v>26</v>
      </c>
      <c r="G3011" s="53"/>
    </row>
    <row r="3012">
      <c r="A3012" s="49">
        <v>44544.54505868055</v>
      </c>
      <c r="B3012" s="50">
        <v>44544.6700219791</v>
      </c>
      <c r="C3012" s="51">
        <v>1.023</v>
      </c>
      <c r="D3012" s="51">
        <v>63.0</v>
      </c>
      <c r="E3012" s="52" t="s">
        <v>25</v>
      </c>
      <c r="F3012" s="52" t="s">
        <v>26</v>
      </c>
      <c r="G3012" s="53"/>
    </row>
    <row r="3013">
      <c r="A3013" s="49">
        <v>44544.55547386574</v>
      </c>
      <c r="B3013" s="50">
        <v>44544.6804434837</v>
      </c>
      <c r="C3013" s="51">
        <v>1.023</v>
      </c>
      <c r="D3013" s="51">
        <v>63.0</v>
      </c>
      <c r="E3013" s="52" t="s">
        <v>25</v>
      </c>
      <c r="F3013" s="52" t="s">
        <v>26</v>
      </c>
      <c r="G3013" s="53"/>
    </row>
    <row r="3014">
      <c r="A3014" s="49">
        <v>44544.56589243056</v>
      </c>
      <c r="B3014" s="50">
        <v>44544.6908644907</v>
      </c>
      <c r="C3014" s="51">
        <v>1.023</v>
      </c>
      <c r="D3014" s="51">
        <v>63.0</v>
      </c>
      <c r="E3014" s="52" t="s">
        <v>25</v>
      </c>
      <c r="F3014" s="52" t="s">
        <v>26</v>
      </c>
      <c r="G3014" s="53"/>
    </row>
    <row r="3015">
      <c r="A3015" s="49">
        <v>44544.57631722222</v>
      </c>
      <c r="B3015" s="50">
        <v>44544.7012851736</v>
      </c>
      <c r="C3015" s="51">
        <v>1.023</v>
      </c>
      <c r="D3015" s="51">
        <v>63.0</v>
      </c>
      <c r="E3015" s="52" t="s">
        <v>25</v>
      </c>
      <c r="F3015" s="52" t="s">
        <v>26</v>
      </c>
      <c r="G3015" s="53"/>
    </row>
    <row r="3016">
      <c r="A3016" s="49">
        <v>44544.59717586805</v>
      </c>
      <c r="B3016" s="50">
        <v>44544.7221389583</v>
      </c>
      <c r="C3016" s="51">
        <v>1.023</v>
      </c>
      <c r="D3016" s="51">
        <v>63.0</v>
      </c>
      <c r="E3016" s="52" t="s">
        <v>25</v>
      </c>
      <c r="F3016" s="52" t="s">
        <v>26</v>
      </c>
      <c r="G3016" s="53"/>
    </row>
    <row r="3017">
      <c r="A3017" s="49">
        <v>44544.60762800926</v>
      </c>
      <c r="B3017" s="50">
        <v>44544.7325953009</v>
      </c>
      <c r="C3017" s="51">
        <v>1.023</v>
      </c>
      <c r="D3017" s="51">
        <v>63.0</v>
      </c>
      <c r="E3017" s="52" t="s">
        <v>25</v>
      </c>
      <c r="F3017" s="52" t="s">
        <v>26</v>
      </c>
      <c r="G3017" s="53"/>
    </row>
    <row r="3018">
      <c r="A3018" s="49">
        <v>44544.61807283565</v>
      </c>
      <c r="B3018" s="50">
        <v>44544.7430373495</v>
      </c>
      <c r="C3018" s="51">
        <v>1.023</v>
      </c>
      <c r="D3018" s="51">
        <v>63.0</v>
      </c>
      <c r="E3018" s="52" t="s">
        <v>25</v>
      </c>
      <c r="F3018" s="52" t="s">
        <v>26</v>
      </c>
      <c r="G3018" s="53"/>
    </row>
    <row r="3019">
      <c r="A3019" s="49">
        <v>44544.6284953125</v>
      </c>
      <c r="B3019" s="50">
        <v>44544.7534577546</v>
      </c>
      <c r="C3019" s="51">
        <v>1.023</v>
      </c>
      <c r="D3019" s="51">
        <v>63.0</v>
      </c>
      <c r="E3019" s="52" t="s">
        <v>25</v>
      </c>
      <c r="F3019" s="52" t="s">
        <v>26</v>
      </c>
      <c r="G3019" s="53"/>
    </row>
    <row r="3020">
      <c r="A3020" s="49">
        <v>44544.63891460648</v>
      </c>
      <c r="B3020" s="50">
        <v>44544.7638808333</v>
      </c>
      <c r="C3020" s="51">
        <v>1.023</v>
      </c>
      <c r="D3020" s="51">
        <v>63.0</v>
      </c>
      <c r="E3020" s="52" t="s">
        <v>25</v>
      </c>
      <c r="F3020" s="52" t="s">
        <v>26</v>
      </c>
      <c r="G3020" s="53"/>
    </row>
    <row r="3021">
      <c r="A3021" s="49">
        <v>44544.64934438658</v>
      </c>
      <c r="B3021" s="50">
        <v>44544.7743130555</v>
      </c>
      <c r="C3021" s="51">
        <v>1.023</v>
      </c>
      <c r="D3021" s="51">
        <v>63.0</v>
      </c>
      <c r="E3021" s="52" t="s">
        <v>25</v>
      </c>
      <c r="F3021" s="52" t="s">
        <v>26</v>
      </c>
      <c r="G3021" s="53"/>
    </row>
    <row r="3022">
      <c r="A3022" s="49">
        <v>44544.65976284722</v>
      </c>
      <c r="B3022" s="50">
        <v>44544.7847342013</v>
      </c>
      <c r="C3022" s="51">
        <v>1.023</v>
      </c>
      <c r="D3022" s="51">
        <v>63.0</v>
      </c>
      <c r="E3022" s="52" t="s">
        <v>25</v>
      </c>
      <c r="F3022" s="52" t="s">
        <v>26</v>
      </c>
      <c r="G3022" s="53"/>
    </row>
    <row r="3023">
      <c r="A3023" s="49">
        <v>44544.67020111111</v>
      </c>
      <c r="B3023" s="50">
        <v>44544.795156331</v>
      </c>
      <c r="C3023" s="51">
        <v>1.023</v>
      </c>
      <c r="D3023" s="51">
        <v>63.0</v>
      </c>
      <c r="E3023" s="52" t="s">
        <v>25</v>
      </c>
      <c r="F3023" s="52" t="s">
        <v>26</v>
      </c>
      <c r="G3023" s="53"/>
    </row>
    <row r="3024">
      <c r="A3024" s="49">
        <v>44544.68062347222</v>
      </c>
      <c r="B3024" s="50">
        <v>44544.8055872453</v>
      </c>
      <c r="C3024" s="51">
        <v>1.023</v>
      </c>
      <c r="D3024" s="51">
        <v>63.0</v>
      </c>
      <c r="E3024" s="52" t="s">
        <v>25</v>
      </c>
      <c r="F3024" s="52" t="s">
        <v>26</v>
      </c>
      <c r="G3024" s="53"/>
    </row>
    <row r="3025">
      <c r="A3025" s="49">
        <v>44544.691044374995</v>
      </c>
      <c r="B3025" s="50">
        <v>44544.816010324</v>
      </c>
      <c r="C3025" s="51">
        <v>1.023</v>
      </c>
      <c r="D3025" s="51">
        <v>63.0</v>
      </c>
      <c r="E3025" s="52" t="s">
        <v>25</v>
      </c>
      <c r="F3025" s="52" t="s">
        <v>26</v>
      </c>
      <c r="G3025" s="53"/>
    </row>
    <row r="3026">
      <c r="A3026" s="49">
        <v>44544.701510451385</v>
      </c>
      <c r="B3026" s="50">
        <v>44544.8264782407</v>
      </c>
      <c r="C3026" s="51">
        <v>1.023</v>
      </c>
      <c r="D3026" s="51">
        <v>63.0</v>
      </c>
      <c r="E3026" s="52" t="s">
        <v>25</v>
      </c>
      <c r="F3026" s="52" t="s">
        <v>26</v>
      </c>
      <c r="G3026" s="53"/>
    </row>
    <row r="3027">
      <c r="A3027" s="49">
        <v>44544.71192869213</v>
      </c>
      <c r="B3027" s="50">
        <v>44544.8369007523</v>
      </c>
      <c r="C3027" s="51">
        <v>1.023</v>
      </c>
      <c r="D3027" s="51">
        <v>63.0</v>
      </c>
      <c r="E3027" s="52" t="s">
        <v>25</v>
      </c>
      <c r="F3027" s="52" t="s">
        <v>26</v>
      </c>
      <c r="G3027" s="53"/>
    </row>
    <row r="3028">
      <c r="A3028" s="49">
        <v>44544.72236314815</v>
      </c>
      <c r="B3028" s="50">
        <v>44544.8473315509</v>
      </c>
      <c r="C3028" s="51">
        <v>1.023</v>
      </c>
      <c r="D3028" s="51">
        <v>63.0</v>
      </c>
      <c r="E3028" s="52" t="s">
        <v>25</v>
      </c>
      <c r="F3028" s="52" t="s">
        <v>26</v>
      </c>
      <c r="G3028" s="53"/>
    </row>
    <row r="3029">
      <c r="A3029" s="49">
        <v>44544.73279539352</v>
      </c>
      <c r="B3029" s="50">
        <v>44544.8577636574</v>
      </c>
      <c r="C3029" s="51">
        <v>1.022</v>
      </c>
      <c r="D3029" s="51">
        <v>63.0</v>
      </c>
      <c r="E3029" s="52" t="s">
        <v>25</v>
      </c>
      <c r="F3029" s="52" t="s">
        <v>26</v>
      </c>
      <c r="G3029" s="53"/>
    </row>
    <row r="3030">
      <c r="A3030" s="49">
        <v>44544.74323107639</v>
      </c>
      <c r="B3030" s="50">
        <v>44544.8681976851</v>
      </c>
      <c r="C3030" s="51">
        <v>1.023</v>
      </c>
      <c r="D3030" s="51">
        <v>63.0</v>
      </c>
      <c r="E3030" s="52" t="s">
        <v>25</v>
      </c>
      <c r="F3030" s="52" t="s">
        <v>26</v>
      </c>
      <c r="G3030" s="53"/>
    </row>
    <row r="3031">
      <c r="A3031" s="49">
        <v>44544.75365290509</v>
      </c>
      <c r="B3031" s="50">
        <v>44544.8786183564</v>
      </c>
      <c r="C3031" s="51">
        <v>1.023</v>
      </c>
      <c r="D3031" s="51">
        <v>63.0</v>
      </c>
      <c r="E3031" s="52" t="s">
        <v>25</v>
      </c>
      <c r="F3031" s="52" t="s">
        <v>26</v>
      </c>
      <c r="G3031" s="53"/>
    </row>
    <row r="3032">
      <c r="A3032" s="49">
        <v>44544.764088958334</v>
      </c>
      <c r="B3032" s="50">
        <v>44544.8890526504</v>
      </c>
      <c r="C3032" s="51">
        <v>1.023</v>
      </c>
      <c r="D3032" s="51">
        <v>63.0</v>
      </c>
      <c r="E3032" s="52" t="s">
        <v>25</v>
      </c>
      <c r="F3032" s="52" t="s">
        <v>26</v>
      </c>
      <c r="G3032" s="53"/>
    </row>
    <row r="3033">
      <c r="A3033" s="49">
        <v>44544.774513020835</v>
      </c>
      <c r="B3033" s="50">
        <v>44544.8994736689</v>
      </c>
      <c r="C3033" s="51">
        <v>1.022</v>
      </c>
      <c r="D3033" s="51">
        <v>63.0</v>
      </c>
      <c r="E3033" s="52" t="s">
        <v>25</v>
      </c>
      <c r="F3033" s="52" t="s">
        <v>26</v>
      </c>
      <c r="G3033" s="53"/>
    </row>
    <row r="3034">
      <c r="A3034" s="49">
        <v>44544.7849368287</v>
      </c>
      <c r="B3034" s="50">
        <v>44544.9099077083</v>
      </c>
      <c r="C3034" s="51">
        <v>1.022</v>
      </c>
      <c r="D3034" s="51">
        <v>63.0</v>
      </c>
      <c r="E3034" s="52" t="s">
        <v>25</v>
      </c>
      <c r="F3034" s="52" t="s">
        <v>26</v>
      </c>
      <c r="G3034" s="53"/>
    </row>
    <row r="3035">
      <c r="A3035" s="49">
        <v>44544.79536859954</v>
      </c>
      <c r="B3035" s="50">
        <v>44544.9203387963</v>
      </c>
      <c r="C3035" s="51">
        <v>1.023</v>
      </c>
      <c r="D3035" s="51">
        <v>63.0</v>
      </c>
      <c r="E3035" s="52" t="s">
        <v>25</v>
      </c>
      <c r="F3035" s="52" t="s">
        <v>26</v>
      </c>
      <c r="G3035" s="53"/>
    </row>
    <row r="3036">
      <c r="A3036" s="49">
        <v>44544.80579182871</v>
      </c>
      <c r="B3036" s="50">
        <v>44544.9307613888</v>
      </c>
      <c r="C3036" s="51">
        <v>1.022</v>
      </c>
      <c r="D3036" s="51">
        <v>63.0</v>
      </c>
      <c r="E3036" s="52" t="s">
        <v>25</v>
      </c>
      <c r="F3036" s="52" t="s">
        <v>26</v>
      </c>
      <c r="G3036" s="53"/>
    </row>
    <row r="3037">
      <c r="A3037" s="49">
        <v>44544.81622678241</v>
      </c>
      <c r="B3037" s="50">
        <v>44544.9411939004</v>
      </c>
      <c r="C3037" s="51">
        <v>1.023</v>
      </c>
      <c r="D3037" s="51">
        <v>63.0</v>
      </c>
      <c r="E3037" s="52" t="s">
        <v>25</v>
      </c>
      <c r="F3037" s="52" t="s">
        <v>26</v>
      </c>
      <c r="G3037" s="53"/>
    </row>
    <row r="3038">
      <c r="A3038" s="49">
        <v>44544.82665059028</v>
      </c>
      <c r="B3038" s="50">
        <v>44544.9516141203</v>
      </c>
      <c r="C3038" s="51">
        <v>1.023</v>
      </c>
      <c r="D3038" s="51">
        <v>63.0</v>
      </c>
      <c r="E3038" s="52" t="s">
        <v>25</v>
      </c>
      <c r="F3038" s="52" t="s">
        <v>26</v>
      </c>
      <c r="G3038" s="53"/>
    </row>
    <row r="3039">
      <c r="A3039" s="49">
        <v>44544.837061365746</v>
      </c>
      <c r="B3039" s="50">
        <v>44544.962035</v>
      </c>
      <c r="C3039" s="51">
        <v>1.023</v>
      </c>
      <c r="D3039" s="51">
        <v>63.0</v>
      </c>
      <c r="E3039" s="52" t="s">
        <v>25</v>
      </c>
      <c r="F3039" s="52" t="s">
        <v>26</v>
      </c>
      <c r="G3039" s="53"/>
    </row>
    <row r="3040">
      <c r="A3040" s="49">
        <v>44544.84749591435</v>
      </c>
      <c r="B3040" s="50">
        <v>44544.9724665972</v>
      </c>
      <c r="C3040" s="51">
        <v>1.023</v>
      </c>
      <c r="D3040" s="51">
        <v>63.0</v>
      </c>
      <c r="E3040" s="52" t="s">
        <v>25</v>
      </c>
      <c r="F3040" s="52" t="s">
        <v>26</v>
      </c>
      <c r="G3040" s="53"/>
    </row>
    <row r="3041">
      <c r="A3041" s="49">
        <v>44544.8787875</v>
      </c>
      <c r="B3041" s="50">
        <v>44545.0037551157</v>
      </c>
      <c r="C3041" s="51">
        <v>1.023</v>
      </c>
      <c r="D3041" s="51">
        <v>63.0</v>
      </c>
      <c r="E3041" s="52" t="s">
        <v>25</v>
      </c>
      <c r="F3041" s="52" t="s">
        <v>26</v>
      </c>
      <c r="G3041" s="53"/>
    </row>
    <row r="3042">
      <c r="A3042" s="49">
        <v>44544.889217083335</v>
      </c>
      <c r="B3042" s="50">
        <v>44545.0141984953</v>
      </c>
      <c r="C3042" s="51">
        <v>1.023</v>
      </c>
      <c r="D3042" s="51">
        <v>63.0</v>
      </c>
      <c r="E3042" s="52" t="s">
        <v>25</v>
      </c>
      <c r="F3042" s="52" t="s">
        <v>26</v>
      </c>
      <c r="G3042" s="53"/>
    </row>
    <row r="3043">
      <c r="A3043" s="49">
        <v>44544.8996590162</v>
      </c>
      <c r="B3043" s="50">
        <v>44545.0246315972</v>
      </c>
      <c r="C3043" s="51">
        <v>1.023</v>
      </c>
      <c r="D3043" s="51">
        <v>63.0</v>
      </c>
      <c r="E3043" s="52" t="s">
        <v>25</v>
      </c>
      <c r="F3043" s="52" t="s">
        <v>26</v>
      </c>
      <c r="G3043" s="53"/>
    </row>
    <row r="3044">
      <c r="A3044" s="49">
        <v>44544.910089791665</v>
      </c>
      <c r="B3044" s="50">
        <v>44545.0350641087</v>
      </c>
      <c r="C3044" s="51">
        <v>1.023</v>
      </c>
      <c r="D3044" s="51">
        <v>63.0</v>
      </c>
      <c r="E3044" s="52" t="s">
        <v>25</v>
      </c>
      <c r="F3044" s="52" t="s">
        <v>26</v>
      </c>
      <c r="G3044" s="53"/>
    </row>
    <row r="3045">
      <c r="A3045" s="49">
        <v>44544.9205787963</v>
      </c>
      <c r="B3045" s="50">
        <v>44545.0455531712</v>
      </c>
      <c r="C3045" s="51">
        <v>1.023</v>
      </c>
      <c r="D3045" s="51">
        <v>63.0</v>
      </c>
      <c r="E3045" s="52" t="s">
        <v>25</v>
      </c>
      <c r="F3045" s="52" t="s">
        <v>26</v>
      </c>
      <c r="G3045" s="53"/>
    </row>
    <row r="3046">
      <c r="A3046" s="49">
        <v>44544.93106832176</v>
      </c>
      <c r="B3046" s="50">
        <v>44545.0560343981</v>
      </c>
      <c r="C3046" s="51">
        <v>1.023</v>
      </c>
      <c r="D3046" s="51">
        <v>63.0</v>
      </c>
      <c r="E3046" s="52" t="s">
        <v>25</v>
      </c>
      <c r="F3046" s="52" t="s">
        <v>26</v>
      </c>
      <c r="G3046" s="53"/>
    </row>
    <row r="3047">
      <c r="A3047" s="49">
        <v>44544.941481354166</v>
      </c>
      <c r="B3047" s="50">
        <v>44545.0664568518</v>
      </c>
      <c r="C3047" s="51">
        <v>1.023</v>
      </c>
      <c r="D3047" s="51">
        <v>63.0</v>
      </c>
      <c r="E3047" s="52" t="s">
        <v>25</v>
      </c>
      <c r="F3047" s="52" t="s">
        <v>26</v>
      </c>
      <c r="G3047" s="53"/>
    </row>
    <row r="3048">
      <c r="A3048" s="49">
        <v>44544.95190167824</v>
      </c>
      <c r="B3048" s="50">
        <v>44545.0768793634</v>
      </c>
      <c r="C3048" s="51">
        <v>1.023</v>
      </c>
      <c r="D3048" s="51">
        <v>63.0</v>
      </c>
      <c r="E3048" s="52" t="s">
        <v>25</v>
      </c>
      <c r="F3048" s="52" t="s">
        <v>26</v>
      </c>
      <c r="G3048" s="53"/>
    </row>
    <row r="3049">
      <c r="A3049" s="49">
        <v>44544.96233238426</v>
      </c>
      <c r="B3049" s="50">
        <v>44545.0873118055</v>
      </c>
      <c r="C3049" s="51">
        <v>1.023</v>
      </c>
      <c r="D3049" s="51">
        <v>63.0</v>
      </c>
      <c r="E3049" s="52" t="s">
        <v>25</v>
      </c>
      <c r="F3049" s="52" t="s">
        <v>26</v>
      </c>
      <c r="G3049" s="53"/>
    </row>
    <row r="3050">
      <c r="A3050" s="49">
        <v>44544.97280175926</v>
      </c>
      <c r="B3050" s="50">
        <v>44545.0977685532</v>
      </c>
      <c r="C3050" s="51">
        <v>1.023</v>
      </c>
      <c r="D3050" s="51">
        <v>63.0</v>
      </c>
      <c r="E3050" s="52" t="s">
        <v>25</v>
      </c>
      <c r="F3050" s="52" t="s">
        <v>26</v>
      </c>
      <c r="G3050" s="53"/>
    </row>
    <row r="3051">
      <c r="A3051" s="49">
        <v>44544.98322635417</v>
      </c>
      <c r="B3051" s="50">
        <v>44545.1082025925</v>
      </c>
      <c r="C3051" s="51">
        <v>1.023</v>
      </c>
      <c r="D3051" s="51">
        <v>63.0</v>
      </c>
      <c r="E3051" s="52" t="s">
        <v>25</v>
      </c>
      <c r="F3051" s="52" t="s">
        <v>26</v>
      </c>
      <c r="G3051" s="53"/>
    </row>
    <row r="3052">
      <c r="A3052" s="49">
        <v>44544.993659513886</v>
      </c>
      <c r="B3052" s="50">
        <v>44545.1186352662</v>
      </c>
      <c r="C3052" s="51">
        <v>1.023</v>
      </c>
      <c r="D3052" s="51">
        <v>63.0</v>
      </c>
      <c r="E3052" s="52" t="s">
        <v>25</v>
      </c>
      <c r="F3052" s="52" t="s">
        <v>26</v>
      </c>
      <c r="G3052" s="53"/>
    </row>
    <row r="3053">
      <c r="A3053" s="49">
        <v>44545.0040896412</v>
      </c>
      <c r="B3053" s="50">
        <v>44545.129068125</v>
      </c>
      <c r="C3053" s="51">
        <v>1.023</v>
      </c>
      <c r="D3053" s="51">
        <v>63.0</v>
      </c>
      <c r="E3053" s="52" t="s">
        <v>25</v>
      </c>
      <c r="F3053" s="52" t="s">
        <v>26</v>
      </c>
      <c r="G3053" s="53"/>
    </row>
    <row r="3054">
      <c r="A3054" s="49">
        <v>44545.014507824075</v>
      </c>
      <c r="B3054" s="50">
        <v>44545.1394902083</v>
      </c>
      <c r="C3054" s="51">
        <v>1.023</v>
      </c>
      <c r="D3054" s="51">
        <v>63.0</v>
      </c>
      <c r="E3054" s="52" t="s">
        <v>25</v>
      </c>
      <c r="F3054" s="52" t="s">
        <v>26</v>
      </c>
      <c r="G3054" s="53"/>
    </row>
    <row r="3055">
      <c r="A3055" s="49">
        <v>44545.02493650463</v>
      </c>
      <c r="B3055" s="50">
        <v>44545.1499117592</v>
      </c>
      <c r="C3055" s="51">
        <v>1.023</v>
      </c>
      <c r="D3055" s="51">
        <v>63.0</v>
      </c>
      <c r="E3055" s="52" t="s">
        <v>25</v>
      </c>
      <c r="F3055" s="52" t="s">
        <v>26</v>
      </c>
      <c r="G3055" s="53"/>
    </row>
    <row r="3056">
      <c r="A3056" s="49">
        <v>44545.03536981481</v>
      </c>
      <c r="B3056" s="50">
        <v>44545.1603439351</v>
      </c>
      <c r="C3056" s="51">
        <v>1.023</v>
      </c>
      <c r="D3056" s="51">
        <v>63.0</v>
      </c>
      <c r="E3056" s="52" t="s">
        <v>25</v>
      </c>
      <c r="F3056" s="52" t="s">
        <v>26</v>
      </c>
      <c r="G3056" s="53"/>
    </row>
    <row r="3057">
      <c r="A3057" s="49">
        <v>44545.04578721065</v>
      </c>
      <c r="B3057" s="50">
        <v>44545.1707656365</v>
      </c>
      <c r="C3057" s="51">
        <v>1.023</v>
      </c>
      <c r="D3057" s="51">
        <v>63.0</v>
      </c>
      <c r="E3057" s="52" t="s">
        <v>25</v>
      </c>
      <c r="F3057" s="52" t="s">
        <v>26</v>
      </c>
      <c r="G3057" s="53"/>
    </row>
    <row r="3058">
      <c r="A3058" s="49">
        <v>44545.056221562496</v>
      </c>
      <c r="B3058" s="50">
        <v>44545.1811968055</v>
      </c>
      <c r="C3058" s="51">
        <v>1.023</v>
      </c>
      <c r="D3058" s="51">
        <v>63.0</v>
      </c>
      <c r="E3058" s="52" t="s">
        <v>25</v>
      </c>
      <c r="F3058" s="52" t="s">
        <v>26</v>
      </c>
      <c r="G3058" s="53"/>
    </row>
    <row r="3059">
      <c r="A3059" s="49">
        <v>44545.06665952546</v>
      </c>
      <c r="B3059" s="50">
        <v>44545.1916306018</v>
      </c>
      <c r="C3059" s="51">
        <v>1.023</v>
      </c>
      <c r="D3059" s="51">
        <v>63.0</v>
      </c>
      <c r="E3059" s="52" t="s">
        <v>25</v>
      </c>
      <c r="F3059" s="52" t="s">
        <v>26</v>
      </c>
      <c r="G3059" s="53"/>
    </row>
    <row r="3060">
      <c r="A3060" s="49">
        <v>44545.077094328706</v>
      </c>
      <c r="B3060" s="50">
        <v>44545.2020633217</v>
      </c>
      <c r="C3060" s="51">
        <v>1.023</v>
      </c>
      <c r="D3060" s="51">
        <v>63.0</v>
      </c>
      <c r="E3060" s="52" t="s">
        <v>25</v>
      </c>
      <c r="F3060" s="52" t="s">
        <v>26</v>
      </c>
      <c r="G3060" s="53"/>
    </row>
    <row r="3061">
      <c r="A3061" s="49">
        <v>44545.0875278125</v>
      </c>
      <c r="B3061" s="50">
        <v>44545.2124966435</v>
      </c>
      <c r="C3061" s="51">
        <v>1.023</v>
      </c>
      <c r="D3061" s="51">
        <v>63.0</v>
      </c>
      <c r="E3061" s="52" t="s">
        <v>25</v>
      </c>
      <c r="F3061" s="52" t="s">
        <v>26</v>
      </c>
      <c r="G3061" s="53"/>
    </row>
    <row r="3062">
      <c r="A3062" s="49">
        <v>44545.097966030095</v>
      </c>
      <c r="B3062" s="50">
        <v>44545.2229304976</v>
      </c>
      <c r="C3062" s="51">
        <v>1.023</v>
      </c>
      <c r="D3062" s="51">
        <v>63.0</v>
      </c>
      <c r="E3062" s="52" t="s">
        <v>25</v>
      </c>
      <c r="F3062" s="52" t="s">
        <v>26</v>
      </c>
      <c r="G3062" s="53"/>
    </row>
    <row r="3063">
      <c r="A3063" s="49">
        <v>44545.108404004626</v>
      </c>
      <c r="B3063" s="50">
        <v>44545.2333753125</v>
      </c>
      <c r="C3063" s="51">
        <v>1.023</v>
      </c>
      <c r="D3063" s="51">
        <v>63.0</v>
      </c>
      <c r="E3063" s="52" t="s">
        <v>25</v>
      </c>
      <c r="F3063" s="52" t="s">
        <v>26</v>
      </c>
      <c r="G3063" s="53"/>
    </row>
    <row r="3064">
      <c r="A3064" s="49">
        <v>44545.118822986115</v>
      </c>
      <c r="B3064" s="50">
        <v>44545.2437959143</v>
      </c>
      <c r="C3064" s="51">
        <v>1.023</v>
      </c>
      <c r="D3064" s="51">
        <v>63.0</v>
      </c>
      <c r="E3064" s="52" t="s">
        <v>25</v>
      </c>
      <c r="F3064" s="52" t="s">
        <v>26</v>
      </c>
      <c r="G3064" s="53"/>
    </row>
    <row r="3065">
      <c r="A3065" s="49">
        <v>44545.129242083334</v>
      </c>
      <c r="B3065" s="50">
        <v>44545.2542180555</v>
      </c>
      <c r="C3065" s="51">
        <v>1.023</v>
      </c>
      <c r="D3065" s="51">
        <v>63.0</v>
      </c>
      <c r="E3065" s="52" t="s">
        <v>25</v>
      </c>
      <c r="F3065" s="52" t="s">
        <v>26</v>
      </c>
      <c r="G3065" s="53"/>
    </row>
    <row r="3066">
      <c r="A3066" s="49">
        <v>44545.13967645833</v>
      </c>
      <c r="B3066" s="50">
        <v>44545.2646483333</v>
      </c>
      <c r="C3066" s="51">
        <v>1.023</v>
      </c>
      <c r="D3066" s="51">
        <v>63.0</v>
      </c>
      <c r="E3066" s="52" t="s">
        <v>25</v>
      </c>
      <c r="F3066" s="52" t="s">
        <v>26</v>
      </c>
      <c r="G3066" s="53"/>
    </row>
    <row r="3067">
      <c r="A3067" s="49">
        <v>44545.15012993055</v>
      </c>
      <c r="B3067" s="50">
        <v>44545.275093287</v>
      </c>
      <c r="C3067" s="51">
        <v>1.023</v>
      </c>
      <c r="D3067" s="51">
        <v>63.0</v>
      </c>
      <c r="E3067" s="52" t="s">
        <v>25</v>
      </c>
      <c r="F3067" s="52" t="s">
        <v>26</v>
      </c>
      <c r="G3067" s="53"/>
    </row>
    <row r="3068">
      <c r="A3068" s="49">
        <v>44545.16056015046</v>
      </c>
      <c r="B3068" s="50">
        <v>44545.2855238425</v>
      </c>
      <c r="C3068" s="51">
        <v>1.022</v>
      </c>
      <c r="D3068" s="51">
        <v>63.0</v>
      </c>
      <c r="E3068" s="52" t="s">
        <v>25</v>
      </c>
      <c r="F3068" s="52" t="s">
        <v>26</v>
      </c>
      <c r="G3068" s="53"/>
    </row>
    <row r="3069">
      <c r="A3069" s="49">
        <v>44545.17098521991</v>
      </c>
      <c r="B3069" s="50">
        <v>44545.2959472685</v>
      </c>
      <c r="C3069" s="51">
        <v>1.022</v>
      </c>
      <c r="D3069" s="51">
        <v>63.0</v>
      </c>
      <c r="E3069" s="52" t="s">
        <v>25</v>
      </c>
      <c r="F3069" s="52" t="s">
        <v>26</v>
      </c>
      <c r="G3069" s="53"/>
    </row>
    <row r="3070">
      <c r="A3070" s="49">
        <v>44545.181420520836</v>
      </c>
      <c r="B3070" s="50">
        <v>44545.3063923148</v>
      </c>
      <c r="C3070" s="51">
        <v>1.023</v>
      </c>
      <c r="D3070" s="51">
        <v>63.0</v>
      </c>
      <c r="E3070" s="52" t="s">
        <v>25</v>
      </c>
      <c r="F3070" s="52" t="s">
        <v>26</v>
      </c>
      <c r="G3070" s="53"/>
    </row>
    <row r="3071">
      <c r="A3071" s="49">
        <v>44545.19186390046</v>
      </c>
      <c r="B3071" s="50">
        <v>44545.3168276273</v>
      </c>
      <c r="C3071" s="51">
        <v>1.023</v>
      </c>
      <c r="D3071" s="51">
        <v>63.0</v>
      </c>
      <c r="E3071" s="52" t="s">
        <v>25</v>
      </c>
      <c r="F3071" s="52" t="s">
        <v>26</v>
      </c>
      <c r="G3071" s="53"/>
    </row>
    <row r="3072">
      <c r="A3072" s="49">
        <v>44545.20228096065</v>
      </c>
      <c r="B3072" s="50">
        <v>44545.3272470949</v>
      </c>
      <c r="C3072" s="51">
        <v>1.023</v>
      </c>
      <c r="D3072" s="51">
        <v>63.0</v>
      </c>
      <c r="E3072" s="52" t="s">
        <v>25</v>
      </c>
      <c r="F3072" s="52" t="s">
        <v>26</v>
      </c>
      <c r="G3072" s="53"/>
    </row>
    <row r="3073">
      <c r="A3073" s="49">
        <v>44545.21271910879</v>
      </c>
      <c r="B3073" s="50">
        <v>44545.337680162</v>
      </c>
      <c r="C3073" s="51">
        <v>1.022</v>
      </c>
      <c r="D3073" s="51">
        <v>63.0</v>
      </c>
      <c r="E3073" s="52" t="s">
        <v>25</v>
      </c>
      <c r="F3073" s="52" t="s">
        <v>26</v>
      </c>
      <c r="G3073" s="53"/>
    </row>
    <row r="3074">
      <c r="A3074" s="49">
        <v>44545.22313775463</v>
      </c>
      <c r="B3074" s="50">
        <v>44545.3481008449</v>
      </c>
      <c r="C3074" s="51">
        <v>1.023</v>
      </c>
      <c r="D3074" s="51">
        <v>63.0</v>
      </c>
      <c r="E3074" s="52" t="s">
        <v>25</v>
      </c>
      <c r="F3074" s="52" t="s">
        <v>26</v>
      </c>
      <c r="G3074" s="53"/>
    </row>
    <row r="3075">
      <c r="A3075" s="49">
        <v>44545.23355376157</v>
      </c>
      <c r="B3075" s="50">
        <v>44545.3585218055</v>
      </c>
      <c r="C3075" s="51">
        <v>1.022</v>
      </c>
      <c r="D3075" s="51">
        <v>63.0</v>
      </c>
      <c r="E3075" s="52" t="s">
        <v>25</v>
      </c>
      <c r="F3075" s="52" t="s">
        <v>26</v>
      </c>
      <c r="G3075" s="53"/>
    </row>
    <row r="3076">
      <c r="A3076" s="49">
        <v>44545.24400211805</v>
      </c>
      <c r="B3076" s="50">
        <v>44545.3689780439</v>
      </c>
      <c r="C3076" s="51">
        <v>1.022</v>
      </c>
      <c r="D3076" s="51">
        <v>63.0</v>
      </c>
      <c r="E3076" s="52" t="s">
        <v>25</v>
      </c>
      <c r="F3076" s="52" t="s">
        <v>26</v>
      </c>
      <c r="G3076" s="53"/>
    </row>
    <row r="3077">
      <c r="A3077" s="49">
        <v>44545.254424108796</v>
      </c>
      <c r="B3077" s="50">
        <v>44545.3793974768</v>
      </c>
      <c r="C3077" s="51">
        <v>1.022</v>
      </c>
      <c r="D3077" s="51">
        <v>63.0</v>
      </c>
      <c r="E3077" s="52" t="s">
        <v>25</v>
      </c>
      <c r="F3077" s="52" t="s">
        <v>26</v>
      </c>
      <c r="G3077" s="53"/>
    </row>
    <row r="3078">
      <c r="A3078" s="49">
        <v>44545.26484616898</v>
      </c>
      <c r="B3078" s="50">
        <v>44545.3898181134</v>
      </c>
      <c r="C3078" s="51">
        <v>1.022</v>
      </c>
      <c r="D3078" s="51">
        <v>63.0</v>
      </c>
      <c r="E3078" s="52" t="s">
        <v>25</v>
      </c>
      <c r="F3078" s="52" t="s">
        <v>26</v>
      </c>
      <c r="G3078" s="53"/>
    </row>
    <row r="3079">
      <c r="A3079" s="49">
        <v>44545.27528239583</v>
      </c>
      <c r="B3079" s="50">
        <v>44545.4002512152</v>
      </c>
      <c r="C3079" s="51">
        <v>1.022</v>
      </c>
      <c r="D3079" s="51">
        <v>63.0</v>
      </c>
      <c r="E3079" s="52" t="s">
        <v>25</v>
      </c>
      <c r="F3079" s="52" t="s">
        <v>26</v>
      </c>
      <c r="G3079" s="53"/>
    </row>
    <row r="3080">
      <c r="A3080" s="49">
        <v>44545.285704236114</v>
      </c>
      <c r="B3080" s="50">
        <v>44545.4106715393</v>
      </c>
      <c r="C3080" s="51">
        <v>1.022</v>
      </c>
      <c r="D3080" s="51">
        <v>63.0</v>
      </c>
      <c r="E3080" s="52" t="s">
        <v>25</v>
      </c>
      <c r="F3080" s="52" t="s">
        <v>26</v>
      </c>
      <c r="G3080" s="53"/>
    </row>
    <row r="3081">
      <c r="A3081" s="49">
        <v>44545.29613134259</v>
      </c>
      <c r="B3081" s="50">
        <v>44545.4210910185</v>
      </c>
      <c r="C3081" s="51">
        <v>1.022</v>
      </c>
      <c r="D3081" s="51">
        <v>63.0</v>
      </c>
      <c r="E3081" s="52" t="s">
        <v>25</v>
      </c>
      <c r="F3081" s="52" t="s">
        <v>26</v>
      </c>
      <c r="G3081" s="53"/>
    </row>
    <row r="3082">
      <c r="A3082" s="49">
        <v>44545.30658211806</v>
      </c>
      <c r="B3082" s="50">
        <v>44545.4315244675</v>
      </c>
      <c r="C3082" s="51">
        <v>1.022</v>
      </c>
      <c r="D3082" s="51">
        <v>63.0</v>
      </c>
      <c r="E3082" s="52" t="s">
        <v>25</v>
      </c>
      <c r="F3082" s="52" t="s">
        <v>26</v>
      </c>
      <c r="G3082" s="53"/>
    </row>
    <row r="3083">
      <c r="A3083" s="49">
        <v>44545.3170052662</v>
      </c>
      <c r="B3083" s="50">
        <v>44545.4419692476</v>
      </c>
      <c r="C3083" s="51">
        <v>1.022</v>
      </c>
      <c r="D3083" s="51">
        <v>63.0</v>
      </c>
      <c r="E3083" s="52" t="s">
        <v>25</v>
      </c>
      <c r="F3083" s="52" t="s">
        <v>26</v>
      </c>
      <c r="G3083" s="53"/>
    </row>
    <row r="3084">
      <c r="A3084" s="49">
        <v>44545.32743788195</v>
      </c>
      <c r="B3084" s="50">
        <v>44545.4523905092</v>
      </c>
      <c r="C3084" s="51">
        <v>1.022</v>
      </c>
      <c r="D3084" s="51">
        <v>63.0</v>
      </c>
      <c r="E3084" s="52" t="s">
        <v>25</v>
      </c>
      <c r="F3084" s="52" t="s">
        <v>26</v>
      </c>
      <c r="G3084" s="53"/>
    </row>
    <row r="3085">
      <c r="A3085" s="49">
        <v>44545.33785935185</v>
      </c>
      <c r="B3085" s="50">
        <v>44545.4628229282</v>
      </c>
      <c r="C3085" s="51">
        <v>1.022</v>
      </c>
      <c r="D3085" s="51">
        <v>63.0</v>
      </c>
      <c r="E3085" s="52" t="s">
        <v>25</v>
      </c>
      <c r="F3085" s="52" t="s">
        <v>26</v>
      </c>
      <c r="G3085" s="53"/>
    </row>
    <row r="3086">
      <c r="A3086" s="49">
        <v>44545.34827241898</v>
      </c>
      <c r="B3086" s="50">
        <v>44545.4732426504</v>
      </c>
      <c r="C3086" s="51">
        <v>1.022</v>
      </c>
      <c r="D3086" s="51">
        <v>63.0</v>
      </c>
      <c r="E3086" s="52" t="s">
        <v>25</v>
      </c>
      <c r="F3086" s="52" t="s">
        <v>26</v>
      </c>
      <c r="G3086" s="53"/>
    </row>
    <row r="3087">
      <c r="A3087" s="49">
        <v>44545.35869728009</v>
      </c>
      <c r="B3087" s="50">
        <v>44545.4836640509</v>
      </c>
      <c r="C3087" s="51">
        <v>1.022</v>
      </c>
      <c r="D3087" s="51">
        <v>63.0</v>
      </c>
      <c r="E3087" s="52" t="s">
        <v>25</v>
      </c>
      <c r="F3087" s="52" t="s">
        <v>26</v>
      </c>
      <c r="G3087" s="53"/>
    </row>
    <row r="3088">
      <c r="A3088" s="49">
        <v>44545.369120902775</v>
      </c>
      <c r="B3088" s="50">
        <v>44545.4940868287</v>
      </c>
      <c r="C3088" s="51">
        <v>1.022</v>
      </c>
      <c r="D3088" s="51">
        <v>63.0</v>
      </c>
      <c r="E3088" s="52" t="s">
        <v>25</v>
      </c>
      <c r="F3088" s="52" t="s">
        <v>26</v>
      </c>
      <c r="G3088" s="53"/>
    </row>
    <row r="3089">
      <c r="A3089" s="49">
        <v>44545.37954329861</v>
      </c>
      <c r="B3089" s="50">
        <v>44545.5045086111</v>
      </c>
      <c r="C3089" s="51">
        <v>1.022</v>
      </c>
      <c r="D3089" s="51">
        <v>63.0</v>
      </c>
      <c r="E3089" s="52" t="s">
        <v>25</v>
      </c>
      <c r="F3089" s="52" t="s">
        <v>26</v>
      </c>
      <c r="G3089" s="53"/>
    </row>
    <row r="3090">
      <c r="A3090" s="49">
        <v>44545.38997583333</v>
      </c>
      <c r="B3090" s="50">
        <v>44545.514943206</v>
      </c>
      <c r="C3090" s="51">
        <v>1.022</v>
      </c>
      <c r="D3090" s="51">
        <v>63.0</v>
      </c>
      <c r="E3090" s="52" t="s">
        <v>25</v>
      </c>
      <c r="F3090" s="52" t="s">
        <v>26</v>
      </c>
      <c r="G3090" s="53"/>
    </row>
    <row r="3091">
      <c r="A3091" s="49">
        <v>44545.40041310185</v>
      </c>
      <c r="B3091" s="50">
        <v>44545.5253754976</v>
      </c>
      <c r="C3091" s="51">
        <v>1.022</v>
      </c>
      <c r="D3091" s="51">
        <v>63.0</v>
      </c>
      <c r="E3091" s="52" t="s">
        <v>25</v>
      </c>
      <c r="F3091" s="52" t="s">
        <v>26</v>
      </c>
      <c r="G3091" s="53"/>
    </row>
    <row r="3092">
      <c r="A3092" s="49">
        <v>44545.41084415509</v>
      </c>
      <c r="B3092" s="50">
        <v>44545.535809456</v>
      </c>
      <c r="C3092" s="51">
        <v>1.022</v>
      </c>
      <c r="D3092" s="51">
        <v>63.0</v>
      </c>
      <c r="E3092" s="52" t="s">
        <v>25</v>
      </c>
      <c r="F3092" s="52" t="s">
        <v>26</v>
      </c>
      <c r="G3092" s="53"/>
    </row>
    <row r="3093">
      <c r="A3093" s="49">
        <v>44545.42127258102</v>
      </c>
      <c r="B3093" s="50">
        <v>44545.5462428472</v>
      </c>
      <c r="C3093" s="51">
        <v>1.022</v>
      </c>
      <c r="D3093" s="51">
        <v>63.0</v>
      </c>
      <c r="E3093" s="52" t="s">
        <v>25</v>
      </c>
      <c r="F3093" s="52" t="s">
        <v>26</v>
      </c>
      <c r="G3093" s="53"/>
    </row>
    <row r="3094">
      <c r="A3094" s="49">
        <v>44545.43174020833</v>
      </c>
      <c r="B3094" s="50">
        <v>44545.556708912</v>
      </c>
      <c r="C3094" s="51">
        <v>1.022</v>
      </c>
      <c r="D3094" s="51">
        <v>63.0</v>
      </c>
      <c r="E3094" s="52" t="s">
        <v>25</v>
      </c>
      <c r="F3094" s="52" t="s">
        <v>26</v>
      </c>
      <c r="G3094" s="53"/>
    </row>
    <row r="3095">
      <c r="A3095" s="49">
        <v>44545.44216215277</v>
      </c>
      <c r="B3095" s="50">
        <v>44545.567129074</v>
      </c>
      <c r="C3095" s="51">
        <v>1.022</v>
      </c>
      <c r="D3095" s="51">
        <v>63.0</v>
      </c>
      <c r="E3095" s="52" t="s">
        <v>25</v>
      </c>
      <c r="F3095" s="52" t="s">
        <v>26</v>
      </c>
      <c r="G3095" s="53"/>
    </row>
    <row r="3096">
      <c r="A3096" s="49">
        <v>44545.45260949074</v>
      </c>
      <c r="B3096" s="50">
        <v>44545.5775757523</v>
      </c>
      <c r="C3096" s="51">
        <v>1.022</v>
      </c>
      <c r="D3096" s="51">
        <v>63.0</v>
      </c>
      <c r="E3096" s="52" t="s">
        <v>25</v>
      </c>
      <c r="F3096" s="52" t="s">
        <v>26</v>
      </c>
      <c r="G3096" s="53"/>
    </row>
    <row r="3097">
      <c r="A3097" s="49">
        <v>44545.463033125</v>
      </c>
      <c r="B3097" s="50">
        <v>44545.5879971412</v>
      </c>
      <c r="C3097" s="51">
        <v>1.022</v>
      </c>
      <c r="D3097" s="51">
        <v>63.0</v>
      </c>
      <c r="E3097" s="52" t="s">
        <v>25</v>
      </c>
      <c r="F3097" s="52" t="s">
        <v>26</v>
      </c>
      <c r="G3097" s="53"/>
    </row>
    <row r="3098">
      <c r="A3098" s="49">
        <v>44545.47345399305</v>
      </c>
      <c r="B3098" s="50">
        <v>44545.5984179861</v>
      </c>
      <c r="C3098" s="51">
        <v>1.022</v>
      </c>
      <c r="D3098" s="51">
        <v>63.0</v>
      </c>
      <c r="E3098" s="52" t="s">
        <v>25</v>
      </c>
      <c r="F3098" s="52" t="s">
        <v>26</v>
      </c>
      <c r="G3098" s="53"/>
    </row>
    <row r="3099">
      <c r="A3099" s="49">
        <v>44545.48386849537</v>
      </c>
      <c r="B3099" s="50">
        <v>44545.6088402314</v>
      </c>
      <c r="C3099" s="51">
        <v>1.022</v>
      </c>
      <c r="D3099" s="51">
        <v>63.0</v>
      </c>
      <c r="E3099" s="52" t="s">
        <v>25</v>
      </c>
      <c r="F3099" s="52" t="s">
        <v>26</v>
      </c>
      <c r="G3099" s="53"/>
    </row>
    <row r="3100">
      <c r="A3100" s="49">
        <v>44545.49429854167</v>
      </c>
      <c r="B3100" s="50">
        <v>44545.619260405</v>
      </c>
      <c r="C3100" s="51">
        <v>1.022</v>
      </c>
      <c r="D3100" s="51">
        <v>63.0</v>
      </c>
      <c r="E3100" s="52" t="s">
        <v>25</v>
      </c>
      <c r="F3100" s="52" t="s">
        <v>26</v>
      </c>
      <c r="G3100" s="53"/>
    </row>
    <row r="3101">
      <c r="A3101" s="49">
        <v>44545.50473505787</v>
      </c>
      <c r="B3101" s="50">
        <v>44545.6296946643</v>
      </c>
      <c r="C3101" s="51">
        <v>1.022</v>
      </c>
      <c r="D3101" s="51">
        <v>63.0</v>
      </c>
      <c r="E3101" s="52" t="s">
        <v>25</v>
      </c>
      <c r="F3101" s="52" t="s">
        <v>26</v>
      </c>
      <c r="G3101" s="53"/>
    </row>
    <row r="3102">
      <c r="A3102" s="49">
        <v>44545.515161689815</v>
      </c>
      <c r="B3102" s="50">
        <v>44545.6401270486</v>
      </c>
      <c r="C3102" s="51">
        <v>1.022</v>
      </c>
      <c r="D3102" s="51">
        <v>63.0</v>
      </c>
      <c r="E3102" s="52" t="s">
        <v>25</v>
      </c>
      <c r="F3102" s="52" t="s">
        <v>26</v>
      </c>
      <c r="G3102" s="53"/>
    </row>
    <row r="3103">
      <c r="A3103" s="49">
        <v>44545.52557611111</v>
      </c>
      <c r="B3103" s="50">
        <v>44545.6505475347</v>
      </c>
      <c r="C3103" s="51">
        <v>1.022</v>
      </c>
      <c r="D3103" s="51">
        <v>63.0</v>
      </c>
      <c r="E3103" s="52" t="s">
        <v>25</v>
      </c>
      <c r="F3103" s="52" t="s">
        <v>26</v>
      </c>
      <c r="G3103" s="53"/>
    </row>
    <row r="3104">
      <c r="A3104" s="49">
        <v>44545.536014930556</v>
      </c>
      <c r="B3104" s="50">
        <v>44545.660979618</v>
      </c>
      <c r="C3104" s="51">
        <v>1.022</v>
      </c>
      <c r="D3104" s="51">
        <v>63.0</v>
      </c>
      <c r="E3104" s="52" t="s">
        <v>25</v>
      </c>
      <c r="F3104" s="52" t="s">
        <v>26</v>
      </c>
      <c r="G3104" s="53"/>
    </row>
    <row r="3105">
      <c r="A3105" s="49">
        <v>44545.54643289352</v>
      </c>
      <c r="B3105" s="50">
        <v>44545.6714007523</v>
      </c>
      <c r="C3105" s="51">
        <v>1.022</v>
      </c>
      <c r="D3105" s="51">
        <v>63.0</v>
      </c>
      <c r="E3105" s="52" t="s">
        <v>25</v>
      </c>
      <c r="F3105" s="52" t="s">
        <v>26</v>
      </c>
      <c r="G3105" s="53"/>
    </row>
    <row r="3106">
      <c r="A3106" s="49">
        <v>44545.55687108796</v>
      </c>
      <c r="B3106" s="50">
        <v>44545.6818357986</v>
      </c>
      <c r="C3106" s="51">
        <v>1.022</v>
      </c>
      <c r="D3106" s="51">
        <v>63.0</v>
      </c>
      <c r="E3106" s="52" t="s">
        <v>25</v>
      </c>
      <c r="F3106" s="52" t="s">
        <v>26</v>
      </c>
      <c r="G3106" s="53"/>
    </row>
    <row r="3107">
      <c r="A3107" s="49">
        <v>44545.56728912037</v>
      </c>
      <c r="B3107" s="50">
        <v>44545.6922590972</v>
      </c>
      <c r="C3107" s="51">
        <v>1.022</v>
      </c>
      <c r="D3107" s="51">
        <v>63.0</v>
      </c>
      <c r="E3107" s="52" t="s">
        <v>25</v>
      </c>
      <c r="F3107" s="52" t="s">
        <v>26</v>
      </c>
      <c r="G3107" s="53"/>
    </row>
    <row r="3108">
      <c r="A3108" s="49">
        <v>44545.57771085648</v>
      </c>
      <c r="B3108" s="50">
        <v>44545.7026793402</v>
      </c>
      <c r="C3108" s="51">
        <v>1.022</v>
      </c>
      <c r="D3108" s="51">
        <v>63.0</v>
      </c>
      <c r="E3108" s="52" t="s">
        <v>25</v>
      </c>
      <c r="F3108" s="52" t="s">
        <v>26</v>
      </c>
      <c r="G3108" s="53"/>
    </row>
    <row r="3109">
      <c r="A3109" s="49">
        <v>44545.58813604167</v>
      </c>
      <c r="B3109" s="50">
        <v>44545.7131010879</v>
      </c>
      <c r="C3109" s="51">
        <v>1.022</v>
      </c>
      <c r="D3109" s="51">
        <v>63.0</v>
      </c>
      <c r="E3109" s="52" t="s">
        <v>25</v>
      </c>
      <c r="F3109" s="52" t="s">
        <v>26</v>
      </c>
      <c r="G3109" s="53"/>
    </row>
    <row r="3110">
      <c r="A3110" s="49">
        <v>44545.59855122685</v>
      </c>
      <c r="B3110" s="50">
        <v>44545.7235220023</v>
      </c>
      <c r="C3110" s="51">
        <v>1.022</v>
      </c>
      <c r="D3110" s="51">
        <v>63.0</v>
      </c>
      <c r="E3110" s="52" t="s">
        <v>25</v>
      </c>
      <c r="F3110" s="52" t="s">
        <v>26</v>
      </c>
      <c r="G3110" s="53"/>
    </row>
    <row r="3111">
      <c r="A3111" s="49">
        <v>44545.60898230324</v>
      </c>
      <c r="B3111" s="50">
        <v>44545.7339443171</v>
      </c>
      <c r="C3111" s="51">
        <v>1.022</v>
      </c>
      <c r="D3111" s="51">
        <v>63.0</v>
      </c>
      <c r="E3111" s="52" t="s">
        <v>25</v>
      </c>
      <c r="F3111" s="52" t="s">
        <v>26</v>
      </c>
      <c r="G3111" s="53"/>
    </row>
    <row r="3112">
      <c r="A3112" s="49">
        <v>44545.61940763889</v>
      </c>
      <c r="B3112" s="50">
        <v>44545.7443641319</v>
      </c>
      <c r="C3112" s="51">
        <v>1.022</v>
      </c>
      <c r="D3112" s="51">
        <v>63.0</v>
      </c>
      <c r="E3112" s="52" t="s">
        <v>25</v>
      </c>
      <c r="F3112" s="52" t="s">
        <v>26</v>
      </c>
      <c r="G3112" s="53"/>
    </row>
    <row r="3113">
      <c r="A3113" s="49">
        <v>44545.629825173615</v>
      </c>
      <c r="B3113" s="50">
        <v>44545.7547976504</v>
      </c>
      <c r="C3113" s="51">
        <v>1.022</v>
      </c>
      <c r="D3113" s="51">
        <v>63.0</v>
      </c>
      <c r="E3113" s="52" t="s">
        <v>25</v>
      </c>
      <c r="F3113" s="52" t="s">
        <v>26</v>
      </c>
      <c r="G3113" s="53"/>
    </row>
    <row r="3114">
      <c r="A3114" s="49">
        <v>44545.64024896991</v>
      </c>
      <c r="B3114" s="50">
        <v>44545.7652299537</v>
      </c>
      <c r="C3114" s="51">
        <v>1.022</v>
      </c>
      <c r="D3114" s="51">
        <v>63.0</v>
      </c>
      <c r="E3114" s="52" t="s">
        <v>25</v>
      </c>
      <c r="F3114" s="52" t="s">
        <v>26</v>
      </c>
      <c r="G3114" s="53"/>
    </row>
    <row r="3115">
      <c r="A3115" s="49">
        <v>44545.65068799768</v>
      </c>
      <c r="B3115" s="50">
        <v>44545.7756517361</v>
      </c>
      <c r="C3115" s="51">
        <v>1.022</v>
      </c>
      <c r="D3115" s="51">
        <v>63.0</v>
      </c>
      <c r="E3115" s="52" t="s">
        <v>25</v>
      </c>
      <c r="F3115" s="52" t="s">
        <v>26</v>
      </c>
      <c r="G3115" s="53"/>
    </row>
    <row r="3116">
      <c r="A3116" s="49">
        <v>44545.66110561343</v>
      </c>
      <c r="B3116" s="50">
        <v>44545.7860743981</v>
      </c>
      <c r="C3116" s="51">
        <v>1.022</v>
      </c>
      <c r="D3116" s="51">
        <v>63.0</v>
      </c>
      <c r="E3116" s="52" t="s">
        <v>25</v>
      </c>
      <c r="F3116" s="52" t="s">
        <v>26</v>
      </c>
      <c r="G3116" s="53"/>
    </row>
    <row r="3117">
      <c r="A3117" s="49">
        <v>44545.67153688657</v>
      </c>
      <c r="B3117" s="50">
        <v>44545.796506331</v>
      </c>
      <c r="C3117" s="51">
        <v>1.022</v>
      </c>
      <c r="D3117" s="51">
        <v>63.0</v>
      </c>
      <c r="E3117" s="52" t="s">
        <v>25</v>
      </c>
      <c r="F3117" s="52" t="s">
        <v>26</v>
      </c>
      <c r="G3117" s="53"/>
    </row>
    <row r="3118">
      <c r="A3118" s="49">
        <v>44545.681962268514</v>
      </c>
      <c r="B3118" s="50">
        <v>44545.806926875</v>
      </c>
      <c r="C3118" s="51">
        <v>1.022</v>
      </c>
      <c r="D3118" s="51">
        <v>63.0</v>
      </c>
      <c r="E3118" s="52" t="s">
        <v>25</v>
      </c>
      <c r="F3118" s="52" t="s">
        <v>26</v>
      </c>
      <c r="G3118" s="53"/>
    </row>
    <row r="3119">
      <c r="A3119" s="49">
        <v>44545.69238175926</v>
      </c>
      <c r="B3119" s="50">
        <v>44545.8173475462</v>
      </c>
      <c r="C3119" s="51">
        <v>1.022</v>
      </c>
      <c r="D3119" s="51">
        <v>63.0</v>
      </c>
      <c r="E3119" s="52" t="s">
        <v>25</v>
      </c>
      <c r="F3119" s="52" t="s">
        <v>26</v>
      </c>
      <c r="G3119" s="53"/>
    </row>
    <row r="3120">
      <c r="A3120" s="49">
        <v>44545.70281614583</v>
      </c>
      <c r="B3120" s="50">
        <v>44545.8277816898</v>
      </c>
      <c r="C3120" s="51">
        <v>1.022</v>
      </c>
      <c r="D3120" s="51">
        <v>63.0</v>
      </c>
      <c r="E3120" s="52" t="s">
        <v>25</v>
      </c>
      <c r="F3120" s="52" t="s">
        <v>26</v>
      </c>
      <c r="G3120" s="53"/>
    </row>
    <row r="3121">
      <c r="A3121" s="49">
        <v>44545.71326347222</v>
      </c>
      <c r="B3121" s="50">
        <v>44545.8382373148</v>
      </c>
      <c r="C3121" s="51">
        <v>1.022</v>
      </c>
      <c r="D3121" s="51">
        <v>63.0</v>
      </c>
      <c r="E3121" s="52" t="s">
        <v>25</v>
      </c>
      <c r="F3121" s="52" t="s">
        <v>26</v>
      </c>
      <c r="G3121" s="53"/>
    </row>
    <row r="3122">
      <c r="A3122" s="49">
        <v>44545.723738877314</v>
      </c>
      <c r="B3122" s="50">
        <v>44545.8487051157</v>
      </c>
      <c r="C3122" s="51">
        <v>1.022</v>
      </c>
      <c r="D3122" s="51">
        <v>63.0</v>
      </c>
      <c r="E3122" s="52" t="s">
        <v>25</v>
      </c>
      <c r="F3122" s="52" t="s">
        <v>26</v>
      </c>
      <c r="G3122" s="53"/>
    </row>
    <row r="3123">
      <c r="A3123" s="49">
        <v>44545.734153576384</v>
      </c>
      <c r="B3123" s="50">
        <v>44545.8591258564</v>
      </c>
      <c r="C3123" s="51">
        <v>1.022</v>
      </c>
      <c r="D3123" s="51">
        <v>63.0</v>
      </c>
      <c r="E3123" s="52" t="s">
        <v>25</v>
      </c>
      <c r="F3123" s="52" t="s">
        <v>26</v>
      </c>
      <c r="G3123" s="53"/>
    </row>
    <row r="3124">
      <c r="A3124" s="49">
        <v>44545.74459158565</v>
      </c>
      <c r="B3124" s="50">
        <v>44545.8695571296</v>
      </c>
      <c r="C3124" s="51">
        <v>1.022</v>
      </c>
      <c r="D3124" s="51">
        <v>63.0</v>
      </c>
      <c r="E3124" s="52" t="s">
        <v>25</v>
      </c>
      <c r="F3124" s="52" t="s">
        <v>26</v>
      </c>
      <c r="G3124" s="53"/>
    </row>
    <row r="3125">
      <c r="A3125" s="49">
        <v>44545.755050057865</v>
      </c>
      <c r="B3125" s="50">
        <v>44545.8800135416</v>
      </c>
      <c r="C3125" s="51">
        <v>1.022</v>
      </c>
      <c r="D3125" s="51">
        <v>63.0</v>
      </c>
      <c r="E3125" s="52" t="s">
        <v>25</v>
      </c>
      <c r="F3125" s="52" t="s">
        <v>26</v>
      </c>
      <c r="G3125" s="53"/>
    </row>
    <row r="3126">
      <c r="A3126" s="49">
        <v>44545.765486793985</v>
      </c>
      <c r="B3126" s="50">
        <v>44545.890457037</v>
      </c>
      <c r="C3126" s="51">
        <v>1.022</v>
      </c>
      <c r="D3126" s="51">
        <v>63.0</v>
      </c>
      <c r="E3126" s="52" t="s">
        <v>25</v>
      </c>
      <c r="F3126" s="52" t="s">
        <v>26</v>
      </c>
      <c r="G3126" s="53"/>
    </row>
    <row r="3127">
      <c r="A3127" s="49">
        <v>44545.77591416667</v>
      </c>
      <c r="B3127" s="50">
        <v>44545.9008779513</v>
      </c>
      <c r="C3127" s="51">
        <v>1.022</v>
      </c>
      <c r="D3127" s="51">
        <v>63.0</v>
      </c>
      <c r="E3127" s="52" t="s">
        <v>25</v>
      </c>
      <c r="F3127" s="52" t="s">
        <v>26</v>
      </c>
      <c r="G3127" s="53"/>
    </row>
    <row r="3128">
      <c r="A3128" s="49">
        <v>44545.786321238425</v>
      </c>
      <c r="B3128" s="50">
        <v>44545.9113005671</v>
      </c>
      <c r="C3128" s="51">
        <v>1.022</v>
      </c>
      <c r="D3128" s="51">
        <v>63.0</v>
      </c>
      <c r="E3128" s="52" t="s">
        <v>25</v>
      </c>
      <c r="F3128" s="52" t="s">
        <v>26</v>
      </c>
      <c r="G3128" s="53"/>
    </row>
    <row r="3129">
      <c r="A3129" s="49">
        <v>44545.796775925926</v>
      </c>
      <c r="B3129" s="50">
        <v>44545.9217451041</v>
      </c>
      <c r="C3129" s="51">
        <v>1.022</v>
      </c>
      <c r="D3129" s="51">
        <v>63.0</v>
      </c>
      <c r="E3129" s="52" t="s">
        <v>25</v>
      </c>
      <c r="F3129" s="52" t="s">
        <v>26</v>
      </c>
      <c r="G3129" s="53"/>
    </row>
    <row r="3130">
      <c r="A3130" s="49">
        <v>44545.80718793982</v>
      </c>
      <c r="B3130" s="50">
        <v>44545.9321647685</v>
      </c>
      <c r="C3130" s="51">
        <v>1.022</v>
      </c>
      <c r="D3130" s="51">
        <v>63.0</v>
      </c>
      <c r="E3130" s="52" t="s">
        <v>25</v>
      </c>
      <c r="F3130" s="52" t="s">
        <v>26</v>
      </c>
      <c r="G3130" s="53"/>
    </row>
    <row r="3131">
      <c r="A3131" s="49">
        <v>44545.81763792824</v>
      </c>
      <c r="B3131" s="50">
        <v>44545.9426089351</v>
      </c>
      <c r="C3131" s="51">
        <v>1.022</v>
      </c>
      <c r="D3131" s="51">
        <v>63.0</v>
      </c>
      <c r="E3131" s="52" t="s">
        <v>25</v>
      </c>
      <c r="F3131" s="52" t="s">
        <v>26</v>
      </c>
      <c r="G3131" s="53"/>
    </row>
    <row r="3132">
      <c r="A3132" s="49">
        <v>44545.82808355324</v>
      </c>
      <c r="B3132" s="50">
        <v>44545.9530543634</v>
      </c>
      <c r="C3132" s="51">
        <v>1.022</v>
      </c>
      <c r="D3132" s="51">
        <v>63.0</v>
      </c>
      <c r="E3132" s="52" t="s">
        <v>25</v>
      </c>
      <c r="F3132" s="52" t="s">
        <v>26</v>
      </c>
      <c r="G3132" s="53"/>
    </row>
    <row r="3133">
      <c r="A3133" s="49">
        <v>44545.838557511575</v>
      </c>
      <c r="B3133" s="50">
        <v>44545.9635236111</v>
      </c>
      <c r="C3133" s="51">
        <v>1.022</v>
      </c>
      <c r="D3133" s="51">
        <v>63.0</v>
      </c>
      <c r="E3133" s="52" t="s">
        <v>25</v>
      </c>
      <c r="F3133" s="52" t="s">
        <v>26</v>
      </c>
      <c r="G3133" s="53"/>
    </row>
    <row r="3134">
      <c r="A3134" s="49">
        <v>44545.84898333333</v>
      </c>
      <c r="B3134" s="50">
        <v>44545.9739458564</v>
      </c>
      <c r="C3134" s="51">
        <v>1.022</v>
      </c>
      <c r="D3134" s="51">
        <v>63.0</v>
      </c>
      <c r="E3134" s="52" t="s">
        <v>25</v>
      </c>
      <c r="F3134" s="52" t="s">
        <v>26</v>
      </c>
      <c r="G3134" s="53"/>
    </row>
    <row r="3135">
      <c r="A3135" s="49">
        <v>44545.85941577546</v>
      </c>
      <c r="B3135" s="50">
        <v>44545.9843790162</v>
      </c>
      <c r="C3135" s="51">
        <v>1.022</v>
      </c>
      <c r="D3135" s="51">
        <v>63.0</v>
      </c>
      <c r="E3135" s="52" t="s">
        <v>25</v>
      </c>
      <c r="F3135" s="52" t="s">
        <v>26</v>
      </c>
      <c r="G3135" s="53"/>
    </row>
    <row r="3136">
      <c r="A3136" s="49">
        <v>44545.869845625</v>
      </c>
      <c r="B3136" s="50">
        <v>44545.994811412</v>
      </c>
      <c r="C3136" s="51">
        <v>1.022</v>
      </c>
      <c r="D3136" s="51">
        <v>63.0</v>
      </c>
      <c r="E3136" s="52" t="s">
        <v>25</v>
      </c>
      <c r="F3136" s="52" t="s">
        <v>26</v>
      </c>
      <c r="G3136" s="53"/>
    </row>
    <row r="3137">
      <c r="A3137" s="49">
        <v>44545.88027466435</v>
      </c>
      <c r="B3137" s="50">
        <v>44546.0052456365</v>
      </c>
      <c r="C3137" s="51">
        <v>1.022</v>
      </c>
      <c r="D3137" s="51">
        <v>63.0</v>
      </c>
      <c r="E3137" s="52" t="s">
        <v>25</v>
      </c>
      <c r="F3137" s="52" t="s">
        <v>26</v>
      </c>
      <c r="G3137" s="53"/>
    </row>
    <row r="3138">
      <c r="A3138" s="49">
        <v>44545.890704351856</v>
      </c>
      <c r="B3138" s="50">
        <v>44546.0156674189</v>
      </c>
      <c r="C3138" s="51">
        <v>1.022</v>
      </c>
      <c r="D3138" s="51">
        <v>63.0</v>
      </c>
      <c r="E3138" s="52" t="s">
        <v>25</v>
      </c>
      <c r="F3138" s="52" t="s">
        <v>26</v>
      </c>
      <c r="G3138" s="53"/>
    </row>
    <row r="3139">
      <c r="A3139" s="49">
        <v>44545.90112384259</v>
      </c>
      <c r="B3139" s="50">
        <v>44546.026089155</v>
      </c>
      <c r="C3139" s="51">
        <v>1.022</v>
      </c>
      <c r="D3139" s="51">
        <v>63.0</v>
      </c>
      <c r="E3139" s="52" t="s">
        <v>25</v>
      </c>
      <c r="F3139" s="52" t="s">
        <v>26</v>
      </c>
      <c r="G3139" s="53"/>
    </row>
    <row r="3140">
      <c r="A3140" s="49">
        <v>44545.911543124996</v>
      </c>
      <c r="B3140" s="50">
        <v>44546.0365088078</v>
      </c>
      <c r="C3140" s="51">
        <v>1.022</v>
      </c>
      <c r="D3140" s="51">
        <v>63.0</v>
      </c>
      <c r="E3140" s="52" t="s">
        <v>25</v>
      </c>
      <c r="F3140" s="52" t="s">
        <v>26</v>
      </c>
      <c r="G3140" s="53"/>
    </row>
    <row r="3141">
      <c r="A3141" s="49">
        <v>44545.92198457176</v>
      </c>
      <c r="B3141" s="50">
        <v>44546.0469511574</v>
      </c>
      <c r="C3141" s="51">
        <v>1.022</v>
      </c>
      <c r="D3141" s="51">
        <v>63.0</v>
      </c>
      <c r="E3141" s="52" t="s">
        <v>25</v>
      </c>
      <c r="F3141" s="52" t="s">
        <v>26</v>
      </c>
      <c r="G3141" s="53"/>
    </row>
    <row r="3142">
      <c r="A3142" s="49">
        <v>44545.93242678241</v>
      </c>
      <c r="B3142" s="50">
        <v>44546.0573961111</v>
      </c>
      <c r="C3142" s="51">
        <v>1.022</v>
      </c>
      <c r="D3142" s="51">
        <v>63.0</v>
      </c>
      <c r="E3142" s="52" t="s">
        <v>25</v>
      </c>
      <c r="F3142" s="52" t="s">
        <v>26</v>
      </c>
      <c r="G3142" s="53"/>
    </row>
    <row r="3143">
      <c r="A3143" s="49">
        <v>44545.9428505324</v>
      </c>
      <c r="B3143" s="50">
        <v>44546.0678179976</v>
      </c>
      <c r="C3143" s="51">
        <v>1.022</v>
      </c>
      <c r="D3143" s="51">
        <v>63.0</v>
      </c>
      <c r="E3143" s="52" t="s">
        <v>25</v>
      </c>
      <c r="F3143" s="52" t="s">
        <v>26</v>
      </c>
      <c r="G3143" s="53"/>
    </row>
    <row r="3144">
      <c r="A3144" s="49">
        <v>44545.953273217594</v>
      </c>
      <c r="B3144" s="50">
        <v>44546.0782400694</v>
      </c>
      <c r="C3144" s="51">
        <v>1.022</v>
      </c>
      <c r="D3144" s="51">
        <v>63.0</v>
      </c>
      <c r="E3144" s="52" t="s">
        <v>25</v>
      </c>
      <c r="F3144" s="52" t="s">
        <v>26</v>
      </c>
      <c r="G3144" s="53"/>
    </row>
    <row r="3145">
      <c r="A3145" s="49">
        <v>44545.96376056713</v>
      </c>
      <c r="B3145" s="50">
        <v>44546.0887309953</v>
      </c>
      <c r="C3145" s="51">
        <v>1.022</v>
      </c>
      <c r="D3145" s="51">
        <v>63.0</v>
      </c>
      <c r="E3145" s="52" t="s">
        <v>25</v>
      </c>
      <c r="F3145" s="52" t="s">
        <v>26</v>
      </c>
      <c r="G3145" s="53"/>
    </row>
    <row r="3146">
      <c r="A3146" s="49">
        <v>44545.97424178241</v>
      </c>
      <c r="B3146" s="50">
        <v>44546.0992082523</v>
      </c>
      <c r="C3146" s="51">
        <v>1.022</v>
      </c>
      <c r="D3146" s="51">
        <v>63.0</v>
      </c>
      <c r="E3146" s="52" t="s">
        <v>25</v>
      </c>
      <c r="F3146" s="52" t="s">
        <v>26</v>
      </c>
      <c r="G3146" s="53"/>
    </row>
    <row r="3147">
      <c r="A3147" s="49">
        <v>44545.984664131945</v>
      </c>
      <c r="B3147" s="50">
        <v>44546.1096279166</v>
      </c>
      <c r="C3147" s="51">
        <v>1.022</v>
      </c>
      <c r="D3147" s="51">
        <v>63.0</v>
      </c>
      <c r="E3147" s="52" t="s">
        <v>25</v>
      </c>
      <c r="F3147" s="52" t="s">
        <v>26</v>
      </c>
      <c r="G3147" s="53"/>
    </row>
    <row r="3148">
      <c r="A3148" s="49">
        <v>44545.9951352662</v>
      </c>
      <c r="B3148" s="50">
        <v>44546.1201091203</v>
      </c>
      <c r="C3148" s="51">
        <v>1.022</v>
      </c>
      <c r="D3148" s="51">
        <v>63.0</v>
      </c>
      <c r="E3148" s="52" t="s">
        <v>25</v>
      </c>
      <c r="F3148" s="52" t="s">
        <v>26</v>
      </c>
      <c r="G3148" s="53"/>
    </row>
    <row r="3149">
      <c r="A3149" s="49">
        <v>44546.01599064815</v>
      </c>
      <c r="B3149" s="50">
        <v>44546.1409631018</v>
      </c>
      <c r="C3149" s="51">
        <v>1.022</v>
      </c>
      <c r="D3149" s="51">
        <v>63.0</v>
      </c>
      <c r="E3149" s="52" t="s">
        <v>25</v>
      </c>
      <c r="F3149" s="52" t="s">
        <v>26</v>
      </c>
      <c r="G3149" s="53"/>
    </row>
    <row r="3150">
      <c r="A3150" s="49">
        <v>44546.02641643518</v>
      </c>
      <c r="B3150" s="50">
        <v>44546.1513847106</v>
      </c>
      <c r="C3150" s="51">
        <v>1.022</v>
      </c>
      <c r="D3150" s="51">
        <v>63.0</v>
      </c>
      <c r="E3150" s="52" t="s">
        <v>25</v>
      </c>
      <c r="F3150" s="52" t="s">
        <v>26</v>
      </c>
      <c r="G3150" s="53"/>
    </row>
    <row r="3151">
      <c r="A3151" s="49">
        <v>44546.03685506944</v>
      </c>
      <c r="B3151" s="50">
        <v>44546.1618168402</v>
      </c>
      <c r="C3151" s="51">
        <v>1.022</v>
      </c>
      <c r="D3151" s="51">
        <v>63.0</v>
      </c>
      <c r="E3151" s="52" t="s">
        <v>25</v>
      </c>
      <c r="F3151" s="52" t="s">
        <v>26</v>
      </c>
      <c r="G3151" s="53"/>
    </row>
    <row r="3152">
      <c r="A3152" s="49">
        <v>44546.04726158565</v>
      </c>
      <c r="B3152" s="50">
        <v>44546.1722366898</v>
      </c>
      <c r="C3152" s="51">
        <v>1.022</v>
      </c>
      <c r="D3152" s="51">
        <v>63.0</v>
      </c>
      <c r="E3152" s="52" t="s">
        <v>25</v>
      </c>
      <c r="F3152" s="52" t="s">
        <v>26</v>
      </c>
      <c r="G3152" s="53"/>
    </row>
    <row r="3153">
      <c r="A3153" s="49">
        <v>44546.05769232639</v>
      </c>
      <c r="B3153" s="50">
        <v>44546.1826584027</v>
      </c>
      <c r="C3153" s="51">
        <v>1.022</v>
      </c>
      <c r="D3153" s="51">
        <v>63.0</v>
      </c>
      <c r="E3153" s="52" t="s">
        <v>25</v>
      </c>
      <c r="F3153" s="52" t="s">
        <v>26</v>
      </c>
      <c r="G3153" s="53"/>
    </row>
    <row r="3154">
      <c r="A3154" s="49">
        <v>44546.06812003472</v>
      </c>
      <c r="B3154" s="50">
        <v>44546.1930807754</v>
      </c>
      <c r="C3154" s="51">
        <v>1.022</v>
      </c>
      <c r="D3154" s="51">
        <v>63.0</v>
      </c>
      <c r="E3154" s="52" t="s">
        <v>25</v>
      </c>
      <c r="F3154" s="52" t="s">
        <v>26</v>
      </c>
      <c r="G3154" s="53"/>
    </row>
    <row r="3155">
      <c r="A3155" s="49">
        <v>44546.07855708333</v>
      </c>
      <c r="B3155" s="50">
        <v>44546.2035253125</v>
      </c>
      <c r="C3155" s="51">
        <v>1.022</v>
      </c>
      <c r="D3155" s="51">
        <v>63.0</v>
      </c>
      <c r="E3155" s="52" t="s">
        <v>25</v>
      </c>
      <c r="F3155" s="52" t="s">
        <v>26</v>
      </c>
      <c r="G3155" s="53"/>
    </row>
    <row r="3156">
      <c r="A3156" s="49">
        <v>44546.088977673615</v>
      </c>
      <c r="B3156" s="50">
        <v>44546.2139468518</v>
      </c>
      <c r="C3156" s="51">
        <v>1.022</v>
      </c>
      <c r="D3156" s="51">
        <v>63.0</v>
      </c>
      <c r="E3156" s="52" t="s">
        <v>25</v>
      </c>
      <c r="F3156" s="52" t="s">
        <v>26</v>
      </c>
      <c r="G3156" s="53"/>
    </row>
    <row r="3157">
      <c r="A3157" s="49">
        <v>44546.099402893524</v>
      </c>
      <c r="B3157" s="50">
        <v>44546.2243680208</v>
      </c>
      <c r="C3157" s="51">
        <v>1.022</v>
      </c>
      <c r="D3157" s="51">
        <v>63.0</v>
      </c>
      <c r="E3157" s="52" t="s">
        <v>25</v>
      </c>
      <c r="F3157" s="52" t="s">
        <v>26</v>
      </c>
      <c r="G3157" s="53"/>
    </row>
    <row r="3158">
      <c r="A3158" s="49">
        <v>44546.10983670139</v>
      </c>
      <c r="B3158" s="50">
        <v>44546.2347885069</v>
      </c>
      <c r="C3158" s="51">
        <v>1.022</v>
      </c>
      <c r="D3158" s="51">
        <v>63.0</v>
      </c>
      <c r="E3158" s="52" t="s">
        <v>25</v>
      </c>
      <c r="F3158" s="52" t="s">
        <v>26</v>
      </c>
      <c r="G3158" s="53"/>
    </row>
    <row r="3159">
      <c r="A3159" s="49">
        <v>44546.12026170139</v>
      </c>
      <c r="B3159" s="50">
        <v>44546.2452219097</v>
      </c>
      <c r="C3159" s="51">
        <v>1.022</v>
      </c>
      <c r="D3159" s="51">
        <v>63.0</v>
      </c>
      <c r="E3159" s="52" t="s">
        <v>25</v>
      </c>
      <c r="F3159" s="52" t="s">
        <v>26</v>
      </c>
      <c r="G3159" s="53"/>
    </row>
    <row r="3160">
      <c r="A3160" s="49">
        <v>44546.13068460648</v>
      </c>
      <c r="B3160" s="50">
        <v>44546.2556533912</v>
      </c>
      <c r="C3160" s="51">
        <v>1.021</v>
      </c>
      <c r="D3160" s="51">
        <v>63.0</v>
      </c>
      <c r="E3160" s="52" t="s">
        <v>25</v>
      </c>
      <c r="F3160" s="52" t="s">
        <v>26</v>
      </c>
      <c r="G3160" s="53"/>
    </row>
    <row r="3161">
      <c r="A3161" s="49">
        <v>44546.14111619213</v>
      </c>
      <c r="B3161" s="50">
        <v>44546.2660848379</v>
      </c>
      <c r="C3161" s="51">
        <v>1.021</v>
      </c>
      <c r="D3161" s="51">
        <v>63.0</v>
      </c>
      <c r="E3161" s="52" t="s">
        <v>25</v>
      </c>
      <c r="F3161" s="52" t="s">
        <v>26</v>
      </c>
      <c r="G3161" s="53"/>
    </row>
    <row r="3162">
      <c r="A3162" s="49">
        <v>44546.15153567129</v>
      </c>
      <c r="B3162" s="50">
        <v>44546.2765056134</v>
      </c>
      <c r="C3162" s="51">
        <v>1.021</v>
      </c>
      <c r="D3162" s="51">
        <v>63.0</v>
      </c>
      <c r="E3162" s="52" t="s">
        <v>25</v>
      </c>
      <c r="F3162" s="52" t="s">
        <v>26</v>
      </c>
      <c r="G3162" s="53"/>
    </row>
    <row r="3163">
      <c r="A3163" s="49">
        <v>44546.16196175926</v>
      </c>
      <c r="B3163" s="50">
        <v>44546.2869275231</v>
      </c>
      <c r="C3163" s="51">
        <v>1.022</v>
      </c>
      <c r="D3163" s="51">
        <v>63.0</v>
      </c>
      <c r="E3163" s="52" t="s">
        <v>25</v>
      </c>
      <c r="F3163" s="52" t="s">
        <v>26</v>
      </c>
      <c r="G3163" s="53"/>
    </row>
    <row r="3164">
      <c r="A3164" s="49">
        <v>44546.172383136574</v>
      </c>
      <c r="B3164" s="50">
        <v>44546.2973489583</v>
      </c>
      <c r="C3164" s="51">
        <v>1.022</v>
      </c>
      <c r="D3164" s="51">
        <v>63.0</v>
      </c>
      <c r="E3164" s="52" t="s">
        <v>25</v>
      </c>
      <c r="F3164" s="52" t="s">
        <v>26</v>
      </c>
      <c r="G3164" s="53"/>
    </row>
    <row r="3165">
      <c r="A3165" s="49">
        <v>44546.18280112269</v>
      </c>
      <c r="B3165" s="50">
        <v>44546.307770868</v>
      </c>
      <c r="C3165" s="51">
        <v>1.021</v>
      </c>
      <c r="D3165" s="51">
        <v>63.0</v>
      </c>
      <c r="E3165" s="52" t="s">
        <v>25</v>
      </c>
      <c r="F3165" s="52" t="s">
        <v>26</v>
      </c>
      <c r="G3165" s="53"/>
    </row>
    <row r="3166">
      <c r="A3166" s="49">
        <v>44546.19321827547</v>
      </c>
      <c r="B3166" s="50">
        <v>44546.3181915856</v>
      </c>
      <c r="C3166" s="51">
        <v>1.022</v>
      </c>
      <c r="D3166" s="51">
        <v>63.0</v>
      </c>
      <c r="E3166" s="52" t="s">
        <v>25</v>
      </c>
      <c r="F3166" s="52" t="s">
        <v>26</v>
      </c>
      <c r="G3166" s="53"/>
    </row>
    <row r="3167">
      <c r="A3167" s="49">
        <v>44546.20364810185</v>
      </c>
      <c r="B3167" s="50">
        <v>44546.328613368</v>
      </c>
      <c r="C3167" s="51">
        <v>1.021</v>
      </c>
      <c r="D3167" s="51">
        <v>63.0</v>
      </c>
      <c r="E3167" s="52" t="s">
        <v>25</v>
      </c>
      <c r="F3167" s="52" t="s">
        <v>26</v>
      </c>
      <c r="G3167" s="53"/>
    </row>
    <row r="3168">
      <c r="A3168" s="49">
        <v>44546.21408302084</v>
      </c>
      <c r="B3168" s="50">
        <v>44546.3390451504</v>
      </c>
      <c r="C3168" s="51">
        <v>1.021</v>
      </c>
      <c r="D3168" s="51">
        <v>63.0</v>
      </c>
      <c r="E3168" s="52" t="s">
        <v>25</v>
      </c>
      <c r="F3168" s="52" t="s">
        <v>26</v>
      </c>
      <c r="G3168" s="53"/>
    </row>
    <row r="3169">
      <c r="A3169" s="49">
        <v>44546.22450121528</v>
      </c>
      <c r="B3169" s="50">
        <v>44546.349467743</v>
      </c>
      <c r="C3169" s="51">
        <v>1.021</v>
      </c>
      <c r="D3169" s="51">
        <v>63.0</v>
      </c>
      <c r="E3169" s="52" t="s">
        <v>25</v>
      </c>
      <c r="F3169" s="52" t="s">
        <v>26</v>
      </c>
      <c r="G3169" s="53"/>
    </row>
    <row r="3170">
      <c r="A3170" s="49">
        <v>44546.23492754629</v>
      </c>
      <c r="B3170" s="50">
        <v>44546.3599023032</v>
      </c>
      <c r="C3170" s="51">
        <v>1.022</v>
      </c>
      <c r="D3170" s="51">
        <v>63.0</v>
      </c>
      <c r="E3170" s="52" t="s">
        <v>25</v>
      </c>
      <c r="F3170" s="52" t="s">
        <v>26</v>
      </c>
      <c r="G3170" s="53"/>
    </row>
    <row r="3171">
      <c r="A3171" s="49">
        <v>44546.245376203704</v>
      </c>
      <c r="B3171" s="50">
        <v>44546.3703361805</v>
      </c>
      <c r="C3171" s="51">
        <v>1.021</v>
      </c>
      <c r="D3171" s="51">
        <v>63.0</v>
      </c>
      <c r="E3171" s="52" t="s">
        <v>25</v>
      </c>
      <c r="F3171" s="52" t="s">
        <v>26</v>
      </c>
      <c r="G3171" s="53"/>
    </row>
    <row r="3172">
      <c r="A3172" s="49">
        <v>44546.255786319445</v>
      </c>
      <c r="B3172" s="50">
        <v>44546.3807563657</v>
      </c>
      <c r="C3172" s="51">
        <v>1.021</v>
      </c>
      <c r="D3172" s="51">
        <v>63.0</v>
      </c>
      <c r="E3172" s="52" t="s">
        <v>25</v>
      </c>
      <c r="F3172" s="52" t="s">
        <v>26</v>
      </c>
      <c r="G3172" s="53"/>
    </row>
    <row r="3173">
      <c r="A3173" s="49">
        <v>44546.266238599535</v>
      </c>
      <c r="B3173" s="50">
        <v>44546.3912017592</v>
      </c>
      <c r="C3173" s="51">
        <v>1.021</v>
      </c>
      <c r="D3173" s="51">
        <v>63.0</v>
      </c>
      <c r="E3173" s="52" t="s">
        <v>25</v>
      </c>
      <c r="F3173" s="52" t="s">
        <v>26</v>
      </c>
      <c r="G3173" s="53"/>
    </row>
    <row r="3174">
      <c r="A3174" s="49">
        <v>44546.27666974537</v>
      </c>
      <c r="B3174" s="50">
        <v>44546.4016339467</v>
      </c>
      <c r="C3174" s="51">
        <v>1.021</v>
      </c>
      <c r="D3174" s="51">
        <v>63.0</v>
      </c>
      <c r="E3174" s="52" t="s">
        <v>25</v>
      </c>
      <c r="F3174" s="52" t="s">
        <v>26</v>
      </c>
      <c r="G3174" s="53"/>
    </row>
    <row r="3175">
      <c r="A3175" s="49">
        <v>44546.287090972226</v>
      </c>
      <c r="B3175" s="50">
        <v>44546.412056574</v>
      </c>
      <c r="C3175" s="51">
        <v>1.021</v>
      </c>
      <c r="D3175" s="51">
        <v>63.0</v>
      </c>
      <c r="E3175" s="52" t="s">
        <v>25</v>
      </c>
      <c r="F3175" s="52" t="s">
        <v>26</v>
      </c>
      <c r="G3175" s="53"/>
    </row>
    <row r="3176">
      <c r="A3176" s="49">
        <v>44546.2975409375</v>
      </c>
      <c r="B3176" s="50">
        <v>44546.4224992361</v>
      </c>
      <c r="C3176" s="51">
        <v>1.021</v>
      </c>
      <c r="D3176" s="51">
        <v>63.0</v>
      </c>
      <c r="E3176" s="52" t="s">
        <v>25</v>
      </c>
      <c r="F3176" s="52" t="s">
        <v>26</v>
      </c>
      <c r="G3176" s="53"/>
    </row>
    <row r="3177">
      <c r="A3177" s="49">
        <v>44546.30801512732</v>
      </c>
      <c r="B3177" s="50">
        <v>44546.4329788773</v>
      </c>
      <c r="C3177" s="51">
        <v>1.021</v>
      </c>
      <c r="D3177" s="51">
        <v>63.0</v>
      </c>
      <c r="E3177" s="52" t="s">
        <v>25</v>
      </c>
      <c r="F3177" s="52" t="s">
        <v>26</v>
      </c>
      <c r="G3177" s="53"/>
    </row>
    <row r="3178">
      <c r="A3178" s="49">
        <v>44546.31843271991</v>
      </c>
      <c r="B3178" s="50">
        <v>44546.443400706</v>
      </c>
      <c r="C3178" s="51">
        <v>1.021</v>
      </c>
      <c r="D3178" s="51">
        <v>63.0</v>
      </c>
      <c r="E3178" s="52" t="s">
        <v>25</v>
      </c>
      <c r="F3178" s="52" t="s">
        <v>26</v>
      </c>
      <c r="G3178" s="53"/>
    </row>
    <row r="3179">
      <c r="A3179" s="49">
        <v>44546.32889039352</v>
      </c>
      <c r="B3179" s="50">
        <v>44546.4538325694</v>
      </c>
      <c r="C3179" s="51">
        <v>1.021</v>
      </c>
      <c r="D3179" s="51">
        <v>63.0</v>
      </c>
      <c r="E3179" s="52" t="s">
        <v>25</v>
      </c>
      <c r="F3179" s="52" t="s">
        <v>26</v>
      </c>
      <c r="G3179" s="53"/>
    </row>
    <row r="3180">
      <c r="A3180" s="49">
        <v>44546.339280555556</v>
      </c>
      <c r="B3180" s="50">
        <v>44546.4642538425</v>
      </c>
      <c r="C3180" s="51">
        <v>1.022</v>
      </c>
      <c r="D3180" s="51">
        <v>63.0</v>
      </c>
      <c r="E3180" s="52" t="s">
        <v>25</v>
      </c>
      <c r="F3180" s="52" t="s">
        <v>26</v>
      </c>
      <c r="G3180" s="53"/>
    </row>
    <row r="3181">
      <c r="A3181" s="49">
        <v>44546.349712615745</v>
      </c>
      <c r="B3181" s="50">
        <v>44546.4746745833</v>
      </c>
      <c r="C3181" s="51">
        <v>1.022</v>
      </c>
      <c r="D3181" s="51">
        <v>63.0</v>
      </c>
      <c r="E3181" s="52" t="s">
        <v>25</v>
      </c>
      <c r="F3181" s="52" t="s">
        <v>26</v>
      </c>
      <c r="G3181" s="53"/>
    </row>
    <row r="3182">
      <c r="A3182" s="49">
        <v>44546.36014148148</v>
      </c>
      <c r="B3182" s="50">
        <v>44546.4851064004</v>
      </c>
      <c r="C3182" s="51">
        <v>1.021</v>
      </c>
      <c r="D3182" s="51">
        <v>63.0</v>
      </c>
      <c r="E3182" s="52" t="s">
        <v>25</v>
      </c>
      <c r="F3182" s="52" t="s">
        <v>26</v>
      </c>
      <c r="G3182" s="53"/>
    </row>
    <row r="3183">
      <c r="A3183" s="49">
        <v>44546.37056459491</v>
      </c>
      <c r="B3183" s="50">
        <v>44546.4955270023</v>
      </c>
      <c r="C3183" s="51">
        <v>1.021</v>
      </c>
      <c r="D3183" s="51">
        <v>63.0</v>
      </c>
      <c r="E3183" s="52" t="s">
        <v>25</v>
      </c>
      <c r="F3183" s="52" t="s">
        <v>26</v>
      </c>
      <c r="G3183" s="53"/>
    </row>
    <row r="3184">
      <c r="A3184" s="49">
        <v>44546.38102315972</v>
      </c>
      <c r="B3184" s="50">
        <v>44546.5059837384</v>
      </c>
      <c r="C3184" s="51">
        <v>1.021</v>
      </c>
      <c r="D3184" s="51">
        <v>63.0</v>
      </c>
      <c r="E3184" s="52" t="s">
        <v>25</v>
      </c>
      <c r="F3184" s="52" t="s">
        <v>26</v>
      </c>
      <c r="G3184" s="53"/>
    </row>
    <row r="3185">
      <c r="A3185" s="49">
        <v>44546.39145134259</v>
      </c>
      <c r="B3185" s="50">
        <v>44546.5164171759</v>
      </c>
      <c r="C3185" s="51">
        <v>1.021</v>
      </c>
      <c r="D3185" s="51">
        <v>63.0</v>
      </c>
      <c r="E3185" s="52" t="s">
        <v>25</v>
      </c>
      <c r="F3185" s="52" t="s">
        <v>26</v>
      </c>
      <c r="G3185" s="53"/>
    </row>
    <row r="3186">
      <c r="A3186" s="49">
        <v>44546.40189577546</v>
      </c>
      <c r="B3186" s="50">
        <v>44546.5268603819</v>
      </c>
      <c r="C3186" s="51">
        <v>1.021</v>
      </c>
      <c r="D3186" s="51">
        <v>63.0</v>
      </c>
      <c r="E3186" s="52" t="s">
        <v>25</v>
      </c>
      <c r="F3186" s="52" t="s">
        <v>26</v>
      </c>
      <c r="G3186" s="53"/>
    </row>
    <row r="3187">
      <c r="A3187" s="49">
        <v>44546.41231986111</v>
      </c>
      <c r="B3187" s="50">
        <v>44546.5372822106</v>
      </c>
      <c r="C3187" s="51">
        <v>1.021</v>
      </c>
      <c r="D3187" s="51">
        <v>63.0</v>
      </c>
      <c r="E3187" s="52" t="s">
        <v>25</v>
      </c>
      <c r="F3187" s="52" t="s">
        <v>26</v>
      </c>
      <c r="G3187" s="53"/>
    </row>
    <row r="3188">
      <c r="A3188" s="49">
        <v>44546.42276238426</v>
      </c>
      <c r="B3188" s="50">
        <v>44546.5477276504</v>
      </c>
      <c r="C3188" s="51">
        <v>1.021</v>
      </c>
      <c r="D3188" s="51">
        <v>63.0</v>
      </c>
      <c r="E3188" s="52" t="s">
        <v>25</v>
      </c>
      <c r="F3188" s="52" t="s">
        <v>26</v>
      </c>
      <c r="G3188" s="53"/>
    </row>
    <row r="3189">
      <c r="A3189" s="49">
        <v>44546.43322928241</v>
      </c>
      <c r="B3189" s="50">
        <v>44546.5581942476</v>
      </c>
      <c r="C3189" s="51">
        <v>1.022</v>
      </c>
      <c r="D3189" s="51">
        <v>63.0</v>
      </c>
      <c r="E3189" s="52" t="s">
        <v>25</v>
      </c>
      <c r="F3189" s="52" t="s">
        <v>26</v>
      </c>
      <c r="G3189" s="53"/>
    </row>
    <row r="3190">
      <c r="A3190" s="49">
        <v>44546.44366883102</v>
      </c>
      <c r="B3190" s="50">
        <v>44546.5686382407</v>
      </c>
      <c r="C3190" s="51">
        <v>1.021</v>
      </c>
      <c r="D3190" s="51">
        <v>63.0</v>
      </c>
      <c r="E3190" s="52" t="s">
        <v>25</v>
      </c>
      <c r="F3190" s="52" t="s">
        <v>26</v>
      </c>
      <c r="G3190" s="53"/>
    </row>
    <row r="3191">
      <c r="A3191" s="49">
        <v>44546.454113935186</v>
      </c>
      <c r="B3191" s="50">
        <v>44546.579082662</v>
      </c>
      <c r="C3191" s="51">
        <v>1.022</v>
      </c>
      <c r="D3191" s="51">
        <v>63.0</v>
      </c>
      <c r="E3191" s="52" t="s">
        <v>25</v>
      </c>
      <c r="F3191" s="52" t="s">
        <v>26</v>
      </c>
      <c r="G3191" s="53"/>
    </row>
    <row r="3192">
      <c r="A3192" s="49">
        <v>44546.464564548616</v>
      </c>
      <c r="B3192" s="50">
        <v>44546.5895259374</v>
      </c>
      <c r="C3192" s="51">
        <v>1.021</v>
      </c>
      <c r="D3192" s="51">
        <v>63.0</v>
      </c>
      <c r="E3192" s="52" t="s">
        <v>25</v>
      </c>
      <c r="F3192" s="52" t="s">
        <v>26</v>
      </c>
      <c r="G3192" s="53"/>
    </row>
    <row r="3193">
      <c r="A3193" s="49">
        <v>44546.47497571759</v>
      </c>
      <c r="B3193" s="50">
        <v>44546.5999487615</v>
      </c>
      <c r="C3193" s="51">
        <v>1.021</v>
      </c>
      <c r="D3193" s="51">
        <v>63.0</v>
      </c>
      <c r="E3193" s="52" t="s">
        <v>25</v>
      </c>
      <c r="F3193" s="52" t="s">
        <v>26</v>
      </c>
      <c r="G3193" s="53"/>
    </row>
    <row r="3194">
      <c r="A3194" s="49">
        <v>44546.48540456018</v>
      </c>
      <c r="B3194" s="50">
        <v>44546.6103701851</v>
      </c>
      <c r="C3194" s="51">
        <v>1.021</v>
      </c>
      <c r="D3194" s="51">
        <v>63.0</v>
      </c>
      <c r="E3194" s="52" t="s">
        <v>25</v>
      </c>
      <c r="F3194" s="52" t="s">
        <v>26</v>
      </c>
      <c r="G3194" s="53"/>
    </row>
    <row r="3195">
      <c r="A3195" s="49">
        <v>44546.495827754625</v>
      </c>
      <c r="B3195" s="50">
        <v>44546.6207918402</v>
      </c>
      <c r="C3195" s="51">
        <v>1.021</v>
      </c>
      <c r="D3195" s="51">
        <v>63.0</v>
      </c>
      <c r="E3195" s="52" t="s">
        <v>25</v>
      </c>
      <c r="F3195" s="52" t="s">
        <v>26</v>
      </c>
      <c r="G3195" s="53"/>
    </row>
    <row r="3196">
      <c r="A3196" s="49">
        <v>44546.50630165509</v>
      </c>
      <c r="B3196" s="50">
        <v>44546.63126125</v>
      </c>
      <c r="C3196" s="51">
        <v>1.021</v>
      </c>
      <c r="D3196" s="51">
        <v>63.0</v>
      </c>
      <c r="E3196" s="52" t="s">
        <v>25</v>
      </c>
      <c r="F3196" s="52" t="s">
        <v>26</v>
      </c>
      <c r="G3196" s="53"/>
    </row>
    <row r="3197">
      <c r="A3197" s="49">
        <v>44546.51673040509</v>
      </c>
      <c r="B3197" s="50">
        <v>44546.6416944444</v>
      </c>
      <c r="C3197" s="51">
        <v>1.022</v>
      </c>
      <c r="D3197" s="51">
        <v>63.0</v>
      </c>
      <c r="E3197" s="52" t="s">
        <v>25</v>
      </c>
      <c r="F3197" s="52" t="s">
        <v>26</v>
      </c>
      <c r="G3197" s="53"/>
    </row>
    <row r="3198">
      <c r="A3198" s="49">
        <v>44546.52715270834</v>
      </c>
      <c r="B3198" s="50">
        <v>44546.6521168981</v>
      </c>
      <c r="C3198" s="51">
        <v>1.021</v>
      </c>
      <c r="D3198" s="51">
        <v>63.0</v>
      </c>
      <c r="E3198" s="52" t="s">
        <v>25</v>
      </c>
      <c r="F3198" s="52" t="s">
        <v>26</v>
      </c>
      <c r="G3198" s="53"/>
    </row>
    <row r="3199">
      <c r="A3199" s="49">
        <v>44546.53757425926</v>
      </c>
      <c r="B3199" s="50">
        <v>44546.6625402893</v>
      </c>
      <c r="C3199" s="51">
        <v>1.021</v>
      </c>
      <c r="D3199" s="51">
        <v>63.0</v>
      </c>
      <c r="E3199" s="52" t="s">
        <v>25</v>
      </c>
      <c r="F3199" s="52" t="s">
        <v>26</v>
      </c>
      <c r="G3199" s="53"/>
    </row>
    <row r="3200">
      <c r="A3200" s="49">
        <v>44546.54800609953</v>
      </c>
      <c r="B3200" s="50">
        <v>44546.672973449</v>
      </c>
      <c r="C3200" s="51">
        <v>1.021</v>
      </c>
      <c r="D3200" s="51">
        <v>63.0</v>
      </c>
      <c r="E3200" s="52" t="s">
        <v>25</v>
      </c>
      <c r="F3200" s="52" t="s">
        <v>26</v>
      </c>
      <c r="G3200" s="53"/>
    </row>
    <row r="3201">
      <c r="A3201" s="49">
        <v>44546.55842469908</v>
      </c>
      <c r="B3201" s="50">
        <v>44546.6833932523</v>
      </c>
      <c r="C3201" s="51">
        <v>1.021</v>
      </c>
      <c r="D3201" s="51">
        <v>63.0</v>
      </c>
      <c r="E3201" s="52" t="s">
        <v>25</v>
      </c>
      <c r="F3201" s="52" t="s">
        <v>26</v>
      </c>
      <c r="G3201" s="53"/>
    </row>
    <row r="3202">
      <c r="A3202" s="49">
        <v>44546.568851550925</v>
      </c>
      <c r="B3202" s="50">
        <v>44546.6938265046</v>
      </c>
      <c r="C3202" s="51">
        <v>1.021</v>
      </c>
      <c r="D3202" s="51">
        <v>63.0</v>
      </c>
      <c r="E3202" s="52" t="s">
        <v>25</v>
      </c>
      <c r="F3202" s="52" t="s">
        <v>26</v>
      </c>
      <c r="G3202" s="53"/>
    </row>
    <row r="3203">
      <c r="A3203" s="49">
        <v>44546.57927608796</v>
      </c>
      <c r="B3203" s="50">
        <v>44546.7042467824</v>
      </c>
      <c r="C3203" s="51">
        <v>1.021</v>
      </c>
      <c r="D3203" s="51">
        <v>63.0</v>
      </c>
      <c r="E3203" s="52" t="s">
        <v>25</v>
      </c>
      <c r="F3203" s="52" t="s">
        <v>26</v>
      </c>
      <c r="G3203" s="53"/>
    </row>
    <row r="3204">
      <c r="A3204" s="49">
        <v>44546.589708935186</v>
      </c>
      <c r="B3204" s="50">
        <v>44546.7146788425</v>
      </c>
      <c r="C3204" s="51">
        <v>1.021</v>
      </c>
      <c r="D3204" s="51">
        <v>63.0</v>
      </c>
      <c r="E3204" s="52" t="s">
        <v>25</v>
      </c>
      <c r="F3204" s="52" t="s">
        <v>26</v>
      </c>
      <c r="G3204" s="53"/>
    </row>
    <row r="3205">
      <c r="A3205" s="49">
        <v>44546.60014166667</v>
      </c>
      <c r="B3205" s="50">
        <v>44546.7251121296</v>
      </c>
      <c r="C3205" s="51">
        <v>1.021</v>
      </c>
      <c r="D3205" s="51">
        <v>64.0</v>
      </c>
      <c r="E3205" s="52" t="s">
        <v>25</v>
      </c>
      <c r="F3205" s="52" t="s">
        <v>26</v>
      </c>
      <c r="G3205" s="53"/>
    </row>
    <row r="3206">
      <c r="A3206" s="49">
        <v>44546.61056746528</v>
      </c>
      <c r="B3206" s="50">
        <v>44546.7355332523</v>
      </c>
      <c r="C3206" s="51">
        <v>1.021</v>
      </c>
      <c r="D3206" s="51">
        <v>64.0</v>
      </c>
      <c r="E3206" s="52" t="s">
        <v>25</v>
      </c>
      <c r="F3206" s="52" t="s">
        <v>26</v>
      </c>
      <c r="G3206" s="53"/>
    </row>
    <row r="3207">
      <c r="A3207" s="49">
        <v>44546.621013564814</v>
      </c>
      <c r="B3207" s="50">
        <v>44546.745990706</v>
      </c>
      <c r="C3207" s="51">
        <v>1.021</v>
      </c>
      <c r="D3207" s="51">
        <v>65.0</v>
      </c>
      <c r="E3207" s="52" t="s">
        <v>25</v>
      </c>
      <c r="F3207" s="52" t="s">
        <v>26</v>
      </c>
      <c r="G3207" s="53"/>
    </row>
    <row r="3208">
      <c r="A3208" s="49">
        <v>44546.63144814815</v>
      </c>
      <c r="B3208" s="50">
        <v>44546.7564229745</v>
      </c>
      <c r="C3208" s="51">
        <v>1.021</v>
      </c>
      <c r="D3208" s="51">
        <v>65.0</v>
      </c>
      <c r="E3208" s="52" t="s">
        <v>25</v>
      </c>
      <c r="F3208" s="52" t="s">
        <v>26</v>
      </c>
      <c r="G3208" s="53"/>
    </row>
    <row r="3209">
      <c r="A3209" s="49">
        <v>44546.64188394676</v>
      </c>
      <c r="B3209" s="50">
        <v>44546.7668564814</v>
      </c>
      <c r="C3209" s="51">
        <v>1.021</v>
      </c>
      <c r="D3209" s="51">
        <v>66.0</v>
      </c>
      <c r="E3209" s="52" t="s">
        <v>25</v>
      </c>
      <c r="F3209" s="52" t="s">
        <v>26</v>
      </c>
      <c r="G3209" s="53"/>
    </row>
    <row r="3210">
      <c r="A3210" s="49">
        <v>44546.65230431713</v>
      </c>
      <c r="B3210" s="50">
        <v>44546.777278449</v>
      </c>
      <c r="C3210" s="51">
        <v>1.021</v>
      </c>
      <c r="D3210" s="51">
        <v>66.0</v>
      </c>
      <c r="E3210" s="52" t="s">
        <v>25</v>
      </c>
      <c r="F3210" s="52" t="s">
        <v>26</v>
      </c>
      <c r="G3210" s="53"/>
    </row>
    <row r="3211">
      <c r="A3211" s="49">
        <v>44546.66272903935</v>
      </c>
      <c r="B3211" s="50">
        <v>44546.7876998032</v>
      </c>
      <c r="C3211" s="51">
        <v>1.021</v>
      </c>
      <c r="D3211" s="51">
        <v>67.0</v>
      </c>
      <c r="E3211" s="52" t="s">
        <v>25</v>
      </c>
      <c r="F3211" s="52" t="s">
        <v>26</v>
      </c>
      <c r="G3211" s="53"/>
    </row>
    <row r="3212">
      <c r="A3212" s="49">
        <v>44546.67319630787</v>
      </c>
      <c r="B3212" s="50">
        <v>44546.7981677314</v>
      </c>
      <c r="C3212" s="51">
        <v>1.021</v>
      </c>
      <c r="D3212" s="51">
        <v>67.0</v>
      </c>
      <c r="E3212" s="52" t="s">
        <v>25</v>
      </c>
      <c r="F3212" s="52" t="s">
        <v>26</v>
      </c>
      <c r="G3212" s="53"/>
    </row>
    <row r="3213">
      <c r="A3213" s="49">
        <v>44546.68363990741</v>
      </c>
      <c r="B3213" s="50">
        <v>44546.8086014236</v>
      </c>
      <c r="C3213" s="51">
        <v>1.021</v>
      </c>
      <c r="D3213" s="51">
        <v>67.0</v>
      </c>
      <c r="E3213" s="52" t="s">
        <v>25</v>
      </c>
      <c r="F3213" s="52" t="s">
        <v>26</v>
      </c>
      <c r="G3213" s="53"/>
    </row>
    <row r="3214">
      <c r="A3214" s="49">
        <v>44546.694071157406</v>
      </c>
      <c r="B3214" s="50">
        <v>44546.8190342245</v>
      </c>
      <c r="C3214" s="51">
        <v>1.021</v>
      </c>
      <c r="D3214" s="51">
        <v>68.0</v>
      </c>
      <c r="E3214" s="52" t="s">
        <v>25</v>
      </c>
      <c r="F3214" s="52" t="s">
        <v>26</v>
      </c>
      <c r="G3214" s="53"/>
    </row>
    <row r="3215">
      <c r="A3215" s="49">
        <v>44546.70449229167</v>
      </c>
      <c r="B3215" s="50">
        <v>44546.8294543981</v>
      </c>
      <c r="C3215" s="51">
        <v>1.021</v>
      </c>
      <c r="D3215" s="51">
        <v>68.0</v>
      </c>
      <c r="E3215" s="52" t="s">
        <v>25</v>
      </c>
      <c r="F3215" s="52" t="s">
        <v>26</v>
      </c>
      <c r="G3215" s="53"/>
    </row>
    <row r="3216">
      <c r="A3216" s="49">
        <v>44546.714921192135</v>
      </c>
      <c r="B3216" s="50">
        <v>44546.8398864351</v>
      </c>
      <c r="C3216" s="51">
        <v>1.02</v>
      </c>
      <c r="D3216" s="51">
        <v>68.0</v>
      </c>
      <c r="E3216" s="52" t="s">
        <v>25</v>
      </c>
      <c r="F3216" s="52" t="s">
        <v>26</v>
      </c>
      <c r="G3216" s="53"/>
    </row>
    <row r="3217">
      <c r="A3217" s="49">
        <v>44546.72535032408</v>
      </c>
      <c r="B3217" s="50">
        <v>44546.8503189351</v>
      </c>
      <c r="C3217" s="51">
        <v>1.021</v>
      </c>
      <c r="D3217" s="51">
        <v>68.0</v>
      </c>
      <c r="E3217" s="52" t="s">
        <v>25</v>
      </c>
      <c r="F3217" s="52" t="s">
        <v>26</v>
      </c>
      <c r="G3217" s="53"/>
    </row>
    <row r="3218">
      <c r="A3218" s="49">
        <v>44546.73578354166</v>
      </c>
      <c r="B3218" s="50">
        <v>44546.8607524768</v>
      </c>
      <c r="C3218" s="51">
        <v>1.021</v>
      </c>
      <c r="D3218" s="51">
        <v>68.0</v>
      </c>
      <c r="E3218" s="52" t="s">
        <v>25</v>
      </c>
      <c r="F3218" s="52" t="s">
        <v>26</v>
      </c>
      <c r="G3218" s="53"/>
    </row>
    <row r="3219">
      <c r="A3219" s="49">
        <v>44546.74621824074</v>
      </c>
      <c r="B3219" s="50">
        <v>44546.8711846064</v>
      </c>
      <c r="C3219" s="51">
        <v>1.021</v>
      </c>
      <c r="D3219" s="51">
        <v>68.0</v>
      </c>
      <c r="E3219" s="52" t="s">
        <v>25</v>
      </c>
      <c r="F3219" s="52" t="s">
        <v>26</v>
      </c>
      <c r="G3219" s="53"/>
    </row>
    <row r="3220">
      <c r="A3220" s="49">
        <v>44546.75665085648</v>
      </c>
      <c r="B3220" s="50">
        <v>44546.8816182407</v>
      </c>
      <c r="C3220" s="51">
        <v>1.021</v>
      </c>
      <c r="D3220" s="51">
        <v>68.0</v>
      </c>
      <c r="E3220" s="52" t="s">
        <v>25</v>
      </c>
      <c r="F3220" s="52" t="s">
        <v>26</v>
      </c>
      <c r="G3220" s="53"/>
    </row>
    <row r="3221">
      <c r="A3221" s="49">
        <v>44546.76707994213</v>
      </c>
      <c r="B3221" s="50">
        <v>44546.8920521064</v>
      </c>
      <c r="C3221" s="51">
        <v>1.021</v>
      </c>
      <c r="D3221" s="51">
        <v>68.0</v>
      </c>
      <c r="E3221" s="52" t="s">
        <v>25</v>
      </c>
      <c r="F3221" s="52" t="s">
        <v>26</v>
      </c>
      <c r="G3221" s="53"/>
    </row>
    <row r="3222">
      <c r="A3222" s="49">
        <v>44546.77750149305</v>
      </c>
      <c r="B3222" s="50">
        <v>44546.9024722222</v>
      </c>
      <c r="C3222" s="51">
        <v>1.021</v>
      </c>
      <c r="D3222" s="51">
        <v>68.0</v>
      </c>
      <c r="E3222" s="52" t="s">
        <v>25</v>
      </c>
      <c r="F3222" s="52" t="s">
        <v>26</v>
      </c>
      <c r="G3222" s="53"/>
    </row>
    <row r="3223">
      <c r="A3223" s="49">
        <v>44546.78793543982</v>
      </c>
      <c r="B3223" s="50">
        <v>44546.912904456</v>
      </c>
      <c r="C3223" s="51">
        <v>1.021</v>
      </c>
      <c r="D3223" s="51">
        <v>68.0</v>
      </c>
      <c r="E3223" s="52" t="s">
        <v>25</v>
      </c>
      <c r="F3223" s="52" t="s">
        <v>26</v>
      </c>
      <c r="G3223" s="53"/>
    </row>
    <row r="3224">
      <c r="A3224" s="49">
        <v>44546.79838980324</v>
      </c>
      <c r="B3224" s="50">
        <v>44546.9233608101</v>
      </c>
      <c r="C3224" s="51">
        <v>1.021</v>
      </c>
      <c r="D3224" s="51">
        <v>68.0</v>
      </c>
      <c r="E3224" s="52" t="s">
        <v>25</v>
      </c>
      <c r="F3224" s="52" t="s">
        <v>26</v>
      </c>
      <c r="G3224" s="53"/>
    </row>
    <row r="3225">
      <c r="A3225" s="49">
        <v>44546.808822453706</v>
      </c>
      <c r="B3225" s="50">
        <v>44546.9337841666</v>
      </c>
      <c r="C3225" s="51">
        <v>1.021</v>
      </c>
      <c r="D3225" s="51">
        <v>68.0</v>
      </c>
      <c r="E3225" s="52" t="s">
        <v>25</v>
      </c>
      <c r="F3225" s="52" t="s">
        <v>26</v>
      </c>
      <c r="G3225" s="53"/>
    </row>
    <row r="3226">
      <c r="A3226" s="49">
        <v>44546.81925190972</v>
      </c>
      <c r="B3226" s="50">
        <v>44546.94421728</v>
      </c>
      <c r="C3226" s="51">
        <v>1.021</v>
      </c>
      <c r="D3226" s="51">
        <v>68.0</v>
      </c>
      <c r="E3226" s="52" t="s">
        <v>25</v>
      </c>
      <c r="F3226" s="52" t="s">
        <v>26</v>
      </c>
      <c r="G3226" s="53"/>
    </row>
    <row r="3227">
      <c r="A3227" s="49">
        <v>44546.8297213426</v>
      </c>
      <c r="B3227" s="50">
        <v>44546.9546842592</v>
      </c>
      <c r="C3227" s="51">
        <v>1.021</v>
      </c>
      <c r="D3227" s="51">
        <v>68.0</v>
      </c>
      <c r="E3227" s="52" t="s">
        <v>25</v>
      </c>
      <c r="F3227" s="52" t="s">
        <v>26</v>
      </c>
      <c r="G3227" s="53"/>
    </row>
    <row r="3228">
      <c r="A3228" s="49">
        <v>44546.84013729167</v>
      </c>
      <c r="B3228" s="50">
        <v>44546.9651155324</v>
      </c>
      <c r="C3228" s="51">
        <v>1.021</v>
      </c>
      <c r="D3228" s="51">
        <v>68.0</v>
      </c>
      <c r="E3228" s="52" t="s">
        <v>25</v>
      </c>
      <c r="F3228" s="52" t="s">
        <v>26</v>
      </c>
      <c r="G3228" s="53"/>
    </row>
    <row r="3229">
      <c r="A3229" s="49">
        <v>44546.850585057866</v>
      </c>
      <c r="B3229" s="50">
        <v>44546.9755474768</v>
      </c>
      <c r="C3229" s="51">
        <v>1.021</v>
      </c>
      <c r="D3229" s="51">
        <v>68.0</v>
      </c>
      <c r="E3229" s="52" t="s">
        <v>25</v>
      </c>
      <c r="F3229" s="52" t="s">
        <v>26</v>
      </c>
      <c r="G3229" s="53"/>
    </row>
    <row r="3230">
      <c r="A3230" s="49">
        <v>44546.86102145833</v>
      </c>
      <c r="B3230" s="50">
        <v>44546.9859818402</v>
      </c>
      <c r="C3230" s="51">
        <v>1.021</v>
      </c>
      <c r="D3230" s="51">
        <v>68.0</v>
      </c>
      <c r="E3230" s="52" t="s">
        <v>25</v>
      </c>
      <c r="F3230" s="52" t="s">
        <v>26</v>
      </c>
      <c r="G3230" s="53"/>
    </row>
    <row r="3231">
      <c r="A3231" s="49">
        <v>44546.8714546875</v>
      </c>
      <c r="B3231" s="50">
        <v>44546.9964160069</v>
      </c>
      <c r="C3231" s="51">
        <v>1.021</v>
      </c>
      <c r="D3231" s="51">
        <v>68.0</v>
      </c>
      <c r="E3231" s="52" t="s">
        <v>25</v>
      </c>
      <c r="F3231" s="52" t="s">
        <v>26</v>
      </c>
      <c r="G3231" s="53"/>
    </row>
    <row r="3232">
      <c r="A3232" s="49">
        <v>44546.892306608795</v>
      </c>
      <c r="B3232" s="50">
        <v>44547.0172713078</v>
      </c>
      <c r="C3232" s="51">
        <v>1.021</v>
      </c>
      <c r="D3232" s="51">
        <v>68.0</v>
      </c>
      <c r="E3232" s="52" t="s">
        <v>25</v>
      </c>
      <c r="F3232" s="52" t="s">
        <v>26</v>
      </c>
      <c r="G3232" s="53"/>
    </row>
    <row r="3233">
      <c r="A3233" s="49">
        <v>44546.90272748843</v>
      </c>
      <c r="B3233" s="50">
        <v>44547.0277049537</v>
      </c>
      <c r="C3233" s="51">
        <v>1.021</v>
      </c>
      <c r="D3233" s="51">
        <v>67.0</v>
      </c>
      <c r="E3233" s="52" t="s">
        <v>25</v>
      </c>
      <c r="F3233" s="52" t="s">
        <v>26</v>
      </c>
      <c r="G3233" s="53"/>
    </row>
    <row r="3234">
      <c r="A3234" s="49">
        <v>44546.91318644676</v>
      </c>
      <c r="B3234" s="50">
        <v>44547.0381606134</v>
      </c>
      <c r="C3234" s="51">
        <v>1.021</v>
      </c>
      <c r="D3234" s="51">
        <v>67.0</v>
      </c>
      <c r="E3234" s="52" t="s">
        <v>25</v>
      </c>
      <c r="F3234" s="52" t="s">
        <v>26</v>
      </c>
      <c r="G3234" s="53"/>
    </row>
    <row r="3235">
      <c r="A3235" s="49">
        <v>44546.92361953703</v>
      </c>
      <c r="B3235" s="50">
        <v>44547.0485934374</v>
      </c>
      <c r="C3235" s="51">
        <v>1.021</v>
      </c>
      <c r="D3235" s="51">
        <v>67.0</v>
      </c>
      <c r="E3235" s="52" t="s">
        <v>25</v>
      </c>
      <c r="F3235" s="52" t="s">
        <v>26</v>
      </c>
      <c r="G3235" s="53"/>
    </row>
    <row r="3236">
      <c r="A3236" s="49">
        <v>44546.93405635416</v>
      </c>
      <c r="B3236" s="50">
        <v>44547.0590271643</v>
      </c>
      <c r="C3236" s="51">
        <v>1.021</v>
      </c>
      <c r="D3236" s="51">
        <v>67.0</v>
      </c>
      <c r="E3236" s="52" t="s">
        <v>25</v>
      </c>
      <c r="F3236" s="52" t="s">
        <v>26</v>
      </c>
      <c r="G3236" s="53"/>
    </row>
    <row r="3237">
      <c r="A3237" s="49">
        <v>44546.94449042824</v>
      </c>
      <c r="B3237" s="50">
        <v>44547.0694473958</v>
      </c>
      <c r="C3237" s="51">
        <v>1.021</v>
      </c>
      <c r="D3237" s="51">
        <v>67.0</v>
      </c>
      <c r="E3237" s="52" t="s">
        <v>25</v>
      </c>
      <c r="F3237" s="52" t="s">
        <v>26</v>
      </c>
      <c r="G3237" s="53"/>
    </row>
    <row r="3238">
      <c r="A3238" s="49">
        <v>44546.954912974536</v>
      </c>
      <c r="B3238" s="50">
        <v>44547.0798798842</v>
      </c>
      <c r="C3238" s="51">
        <v>1.021</v>
      </c>
      <c r="D3238" s="51">
        <v>67.0</v>
      </c>
      <c r="E3238" s="52" t="s">
        <v>25</v>
      </c>
      <c r="F3238" s="52" t="s">
        <v>26</v>
      </c>
      <c r="G3238" s="53"/>
    </row>
    <row r="3239">
      <c r="A3239" s="49">
        <v>44546.96532991898</v>
      </c>
      <c r="B3239" s="50">
        <v>44547.0903009606</v>
      </c>
      <c r="C3239" s="51">
        <v>1.021</v>
      </c>
      <c r="D3239" s="51">
        <v>67.0</v>
      </c>
      <c r="E3239" s="52" t="s">
        <v>25</v>
      </c>
      <c r="F3239" s="52" t="s">
        <v>26</v>
      </c>
      <c r="G3239" s="53"/>
    </row>
    <row r="3240">
      <c r="A3240" s="49">
        <v>44546.975751550926</v>
      </c>
      <c r="B3240" s="50">
        <v>44547.1007218518</v>
      </c>
      <c r="C3240" s="51">
        <v>1.021</v>
      </c>
      <c r="D3240" s="51">
        <v>67.0</v>
      </c>
      <c r="E3240" s="52" t="s">
        <v>25</v>
      </c>
      <c r="F3240" s="52" t="s">
        <v>26</v>
      </c>
      <c r="G3240" s="53"/>
    </row>
    <row r="3241">
      <c r="A3241" s="49">
        <v>44546.986222858795</v>
      </c>
      <c r="B3241" s="50">
        <v>44547.1111900462</v>
      </c>
      <c r="C3241" s="51">
        <v>1.021</v>
      </c>
      <c r="D3241" s="51">
        <v>67.0</v>
      </c>
      <c r="E3241" s="52" t="s">
        <v>25</v>
      </c>
      <c r="F3241" s="52" t="s">
        <v>26</v>
      </c>
      <c r="G3241" s="53"/>
    </row>
    <row r="3242">
      <c r="A3242" s="49">
        <v>44547.00707363426</v>
      </c>
      <c r="B3242" s="50">
        <v>44547.1320440393</v>
      </c>
      <c r="C3242" s="51">
        <v>1.021</v>
      </c>
      <c r="D3242" s="51">
        <v>67.0</v>
      </c>
      <c r="E3242" s="52" t="s">
        <v>25</v>
      </c>
      <c r="F3242" s="52" t="s">
        <v>26</v>
      </c>
      <c r="G3242" s="53"/>
    </row>
    <row r="3243">
      <c r="A3243" s="49">
        <v>44547.017485439814</v>
      </c>
      <c r="B3243" s="50">
        <v>44547.1424653472</v>
      </c>
      <c r="C3243" s="51">
        <v>1.021</v>
      </c>
      <c r="D3243" s="51">
        <v>67.0</v>
      </c>
      <c r="E3243" s="52" t="s">
        <v>25</v>
      </c>
      <c r="F3243" s="52" t="s">
        <v>26</v>
      </c>
      <c r="G3243" s="53"/>
    </row>
    <row r="3244">
      <c r="A3244" s="49">
        <v>44547.02791443287</v>
      </c>
      <c r="B3244" s="50">
        <v>44547.1528860995</v>
      </c>
      <c r="C3244" s="51">
        <v>1.02</v>
      </c>
      <c r="D3244" s="51">
        <v>67.0</v>
      </c>
      <c r="E3244" s="52" t="s">
        <v>25</v>
      </c>
      <c r="F3244" s="52" t="s">
        <v>26</v>
      </c>
      <c r="G3244" s="53"/>
    </row>
    <row r="3245">
      <c r="A3245" s="49">
        <v>44547.03834085648</v>
      </c>
      <c r="B3245" s="50">
        <v>44547.1633069675</v>
      </c>
      <c r="C3245" s="51">
        <v>1.02</v>
      </c>
      <c r="D3245" s="51">
        <v>67.0</v>
      </c>
      <c r="E3245" s="52" t="s">
        <v>25</v>
      </c>
      <c r="F3245" s="52" t="s">
        <v>26</v>
      </c>
      <c r="G3245" s="53"/>
    </row>
    <row r="3246">
      <c r="A3246" s="49">
        <v>44547.048755462965</v>
      </c>
      <c r="B3246" s="50">
        <v>44547.173728831</v>
      </c>
      <c r="C3246" s="51">
        <v>1.02</v>
      </c>
      <c r="D3246" s="51">
        <v>67.0</v>
      </c>
      <c r="E3246" s="52" t="s">
        <v>25</v>
      </c>
      <c r="F3246" s="52" t="s">
        <v>26</v>
      </c>
      <c r="G3246" s="53"/>
    </row>
    <row r="3247">
      <c r="A3247" s="49">
        <v>44547.05918872685</v>
      </c>
      <c r="B3247" s="50">
        <v>44547.1841612152</v>
      </c>
      <c r="C3247" s="51">
        <v>1.02</v>
      </c>
      <c r="D3247" s="51">
        <v>67.0</v>
      </c>
      <c r="E3247" s="52" t="s">
        <v>25</v>
      </c>
      <c r="F3247" s="52" t="s">
        <v>26</v>
      </c>
      <c r="G3247" s="53"/>
    </row>
    <row r="3248">
      <c r="A3248" s="49">
        <v>44547.06962173611</v>
      </c>
      <c r="B3248" s="50">
        <v>44547.1945958449</v>
      </c>
      <c r="C3248" s="51">
        <v>1.02</v>
      </c>
      <c r="D3248" s="51">
        <v>67.0</v>
      </c>
      <c r="E3248" s="52" t="s">
        <v>25</v>
      </c>
      <c r="F3248" s="52" t="s">
        <v>26</v>
      </c>
      <c r="G3248" s="53"/>
    </row>
    <row r="3249">
      <c r="A3249" s="49">
        <v>44547.08009387732</v>
      </c>
      <c r="B3249" s="50">
        <v>44547.2050636574</v>
      </c>
      <c r="C3249" s="51">
        <v>1.02</v>
      </c>
      <c r="D3249" s="51">
        <v>67.0</v>
      </c>
      <c r="E3249" s="52" t="s">
        <v>25</v>
      </c>
      <c r="F3249" s="52" t="s">
        <v>26</v>
      </c>
      <c r="G3249" s="53"/>
    </row>
    <row r="3250">
      <c r="A3250" s="49">
        <v>44547.09052114583</v>
      </c>
      <c r="B3250" s="50">
        <v>44547.2154971412</v>
      </c>
      <c r="C3250" s="51">
        <v>1.02</v>
      </c>
      <c r="D3250" s="51">
        <v>67.0</v>
      </c>
      <c r="E3250" s="52" t="s">
        <v>25</v>
      </c>
      <c r="F3250" s="52" t="s">
        <v>26</v>
      </c>
      <c r="G3250" s="53"/>
    </row>
    <row r="3251">
      <c r="A3251" s="49">
        <v>44547.10095403936</v>
      </c>
      <c r="B3251" s="50">
        <v>44547.2259303009</v>
      </c>
      <c r="C3251" s="51">
        <v>1.02</v>
      </c>
      <c r="D3251" s="51">
        <v>67.0</v>
      </c>
      <c r="E3251" s="52" t="s">
        <v>25</v>
      </c>
      <c r="F3251" s="52" t="s">
        <v>26</v>
      </c>
      <c r="G3251" s="53"/>
    </row>
    <row r="3252">
      <c r="A3252" s="49">
        <v>44547.11138335648</v>
      </c>
      <c r="B3252" s="50">
        <v>44547.236350706</v>
      </c>
      <c r="C3252" s="51">
        <v>1.02</v>
      </c>
      <c r="D3252" s="51">
        <v>67.0</v>
      </c>
      <c r="E3252" s="52" t="s">
        <v>25</v>
      </c>
      <c r="F3252" s="52" t="s">
        <v>26</v>
      </c>
      <c r="G3252" s="53"/>
    </row>
    <row r="3253">
      <c r="A3253" s="49">
        <v>44547.12180202546</v>
      </c>
      <c r="B3253" s="50">
        <v>44547.2467709375</v>
      </c>
      <c r="C3253" s="51">
        <v>1.02</v>
      </c>
      <c r="D3253" s="51">
        <v>67.0</v>
      </c>
      <c r="E3253" s="52" t="s">
        <v>25</v>
      </c>
      <c r="F3253" s="52" t="s">
        <v>26</v>
      </c>
      <c r="G3253" s="53"/>
    </row>
    <row r="3254">
      <c r="A3254" s="49">
        <v>44547.13223393519</v>
      </c>
      <c r="B3254" s="50">
        <v>44547.2572029629</v>
      </c>
      <c r="C3254" s="51">
        <v>1.02</v>
      </c>
      <c r="D3254" s="51">
        <v>67.0</v>
      </c>
      <c r="E3254" s="52" t="s">
        <v>25</v>
      </c>
      <c r="F3254" s="52" t="s">
        <v>26</v>
      </c>
      <c r="G3254" s="53"/>
    </row>
    <row r="3255">
      <c r="A3255" s="49">
        <v>44547.142660729165</v>
      </c>
      <c r="B3255" s="50">
        <v>44547.2676245949</v>
      </c>
      <c r="C3255" s="51">
        <v>1.02</v>
      </c>
      <c r="D3255" s="51">
        <v>67.0</v>
      </c>
      <c r="E3255" s="52" t="s">
        <v>25</v>
      </c>
      <c r="F3255" s="52" t="s">
        <v>26</v>
      </c>
      <c r="G3255" s="53"/>
    </row>
    <row r="3256">
      <c r="A3256" s="49">
        <v>44547.15308925926</v>
      </c>
      <c r="B3256" s="50">
        <v>44547.2780586342</v>
      </c>
      <c r="C3256" s="51">
        <v>1.02</v>
      </c>
      <c r="D3256" s="51">
        <v>67.0</v>
      </c>
      <c r="E3256" s="52" t="s">
        <v>25</v>
      </c>
      <c r="F3256" s="52" t="s">
        <v>26</v>
      </c>
      <c r="G3256" s="53"/>
    </row>
    <row r="3257">
      <c r="A3257" s="49">
        <v>44547.16352209491</v>
      </c>
      <c r="B3257" s="50">
        <v>44547.28849228</v>
      </c>
      <c r="C3257" s="51">
        <v>1.02</v>
      </c>
      <c r="D3257" s="51">
        <v>67.0</v>
      </c>
      <c r="E3257" s="52" t="s">
        <v>25</v>
      </c>
      <c r="F3257" s="52" t="s">
        <v>26</v>
      </c>
      <c r="G3257" s="53"/>
    </row>
    <row r="3258">
      <c r="A3258" s="49">
        <v>44547.17406983796</v>
      </c>
      <c r="B3258" s="50">
        <v>44547.2990171875</v>
      </c>
      <c r="C3258" s="51">
        <v>1.02</v>
      </c>
      <c r="D3258" s="51">
        <v>67.0</v>
      </c>
      <c r="E3258" s="52" t="s">
        <v>25</v>
      </c>
      <c r="F3258" s="52" t="s">
        <v>26</v>
      </c>
      <c r="G3258" s="53"/>
    </row>
    <row r="3259">
      <c r="A3259" s="49">
        <v>44547.184459247685</v>
      </c>
      <c r="B3259" s="50">
        <v>44547.3094372685</v>
      </c>
      <c r="C3259" s="51">
        <v>1.02</v>
      </c>
      <c r="D3259" s="51">
        <v>67.0</v>
      </c>
      <c r="E3259" s="52" t="s">
        <v>25</v>
      </c>
      <c r="F3259" s="52" t="s">
        <v>26</v>
      </c>
      <c r="G3259" s="53"/>
    </row>
    <row r="3260">
      <c r="A3260" s="49">
        <v>44547.19490667824</v>
      </c>
      <c r="B3260" s="50">
        <v>44547.3198815046</v>
      </c>
      <c r="C3260" s="51">
        <v>1.02</v>
      </c>
      <c r="D3260" s="51">
        <v>67.0</v>
      </c>
      <c r="E3260" s="52" t="s">
        <v>25</v>
      </c>
      <c r="F3260" s="52" t="s">
        <v>26</v>
      </c>
      <c r="G3260" s="53"/>
    </row>
    <row r="3261">
      <c r="A3261" s="49">
        <v>44547.205342800924</v>
      </c>
      <c r="B3261" s="50">
        <v>44547.3303142013</v>
      </c>
      <c r="C3261" s="51">
        <v>1.02</v>
      </c>
      <c r="D3261" s="51">
        <v>67.0</v>
      </c>
      <c r="E3261" s="52" t="s">
        <v>25</v>
      </c>
      <c r="F3261" s="52" t="s">
        <v>26</v>
      </c>
      <c r="G3261" s="53"/>
    </row>
    <row r="3262">
      <c r="A3262" s="49">
        <v>44547.21581652778</v>
      </c>
      <c r="B3262" s="50">
        <v>44547.3407690277</v>
      </c>
      <c r="C3262" s="51">
        <v>1.02</v>
      </c>
      <c r="D3262" s="51">
        <v>67.0</v>
      </c>
      <c r="E3262" s="52" t="s">
        <v>25</v>
      </c>
      <c r="F3262" s="52" t="s">
        <v>26</v>
      </c>
      <c r="G3262" s="53"/>
    </row>
    <row r="3263">
      <c r="A3263" s="49">
        <v>44547.22621769676</v>
      </c>
      <c r="B3263" s="50">
        <v>44547.3511896643</v>
      </c>
      <c r="C3263" s="51">
        <v>1.02</v>
      </c>
      <c r="D3263" s="51">
        <v>67.0</v>
      </c>
      <c r="E3263" s="52" t="s">
        <v>25</v>
      </c>
      <c r="F3263" s="52" t="s">
        <v>26</v>
      </c>
      <c r="G3263" s="53"/>
    </row>
    <row r="3264">
      <c r="A3264" s="49">
        <v>44547.23663745371</v>
      </c>
      <c r="B3264" s="50">
        <v>44547.3616101041</v>
      </c>
      <c r="C3264" s="51">
        <v>1.02</v>
      </c>
      <c r="D3264" s="51">
        <v>67.0</v>
      </c>
      <c r="E3264" s="52" t="s">
        <v>25</v>
      </c>
      <c r="F3264" s="52" t="s">
        <v>26</v>
      </c>
      <c r="G3264" s="53"/>
    </row>
    <row r="3265">
      <c r="A3265" s="49">
        <v>44547.24705145833</v>
      </c>
      <c r="B3265" s="50">
        <v>44547.3720305902</v>
      </c>
      <c r="C3265" s="51">
        <v>1.02</v>
      </c>
      <c r="D3265" s="51">
        <v>67.0</v>
      </c>
      <c r="E3265" s="52" t="s">
        <v>25</v>
      </c>
      <c r="F3265" s="52" t="s">
        <v>26</v>
      </c>
      <c r="G3265" s="53"/>
    </row>
    <row r="3266">
      <c r="A3266" s="49">
        <v>44547.25748165509</v>
      </c>
      <c r="B3266" s="50">
        <v>44547.3824501851</v>
      </c>
      <c r="C3266" s="51">
        <v>1.02</v>
      </c>
      <c r="D3266" s="51">
        <v>67.0</v>
      </c>
      <c r="E3266" s="52" t="s">
        <v>25</v>
      </c>
      <c r="F3266" s="52" t="s">
        <v>26</v>
      </c>
      <c r="G3266" s="53"/>
    </row>
    <row r="3267">
      <c r="A3267" s="49">
        <v>44547.267909629634</v>
      </c>
      <c r="B3267" s="50">
        <v>44547.3928810648</v>
      </c>
      <c r="C3267" s="51">
        <v>1.02</v>
      </c>
      <c r="D3267" s="51">
        <v>67.0</v>
      </c>
      <c r="E3267" s="52" t="s">
        <v>25</v>
      </c>
      <c r="F3267" s="52" t="s">
        <v>26</v>
      </c>
      <c r="G3267" s="53"/>
    </row>
    <row r="3268">
      <c r="A3268" s="49">
        <v>44547.27833104167</v>
      </c>
      <c r="B3268" s="50">
        <v>44547.4033010532</v>
      </c>
      <c r="C3268" s="51">
        <v>1.02</v>
      </c>
      <c r="D3268" s="51">
        <v>67.0</v>
      </c>
      <c r="E3268" s="52" t="s">
        <v>25</v>
      </c>
      <c r="F3268" s="52" t="s">
        <v>26</v>
      </c>
      <c r="G3268" s="53"/>
    </row>
    <row r="3269">
      <c r="A3269" s="49">
        <v>44547.288764074074</v>
      </c>
      <c r="B3269" s="50">
        <v>44547.4137326736</v>
      </c>
      <c r="C3269" s="51">
        <v>1.02</v>
      </c>
      <c r="D3269" s="51">
        <v>67.0</v>
      </c>
      <c r="E3269" s="52" t="s">
        <v>25</v>
      </c>
      <c r="F3269" s="52" t="s">
        <v>26</v>
      </c>
      <c r="G3269" s="53"/>
    </row>
    <row r="3270">
      <c r="A3270" s="49">
        <v>44547.29917842592</v>
      </c>
      <c r="B3270" s="50">
        <v>44547.4241540277</v>
      </c>
      <c r="C3270" s="51">
        <v>1.02</v>
      </c>
      <c r="D3270" s="51">
        <v>67.0</v>
      </c>
      <c r="E3270" s="52" t="s">
        <v>25</v>
      </c>
      <c r="F3270" s="52" t="s">
        <v>26</v>
      </c>
      <c r="G3270" s="53"/>
    </row>
    <row r="3271">
      <c r="A3271" s="49">
        <v>44547.30959737269</v>
      </c>
      <c r="B3271" s="50">
        <v>44547.4345751388</v>
      </c>
      <c r="C3271" s="51">
        <v>1.02</v>
      </c>
      <c r="D3271" s="51">
        <v>67.0</v>
      </c>
      <c r="E3271" s="52" t="s">
        <v>25</v>
      </c>
      <c r="F3271" s="52" t="s">
        <v>26</v>
      </c>
      <c r="G3271" s="53"/>
    </row>
    <row r="3272">
      <c r="A3272" s="49">
        <v>44547.320044513894</v>
      </c>
      <c r="B3272" s="50">
        <v>44547.4450072453</v>
      </c>
      <c r="C3272" s="51">
        <v>1.02</v>
      </c>
      <c r="D3272" s="51">
        <v>67.0</v>
      </c>
      <c r="E3272" s="52" t="s">
        <v>25</v>
      </c>
      <c r="F3272" s="52" t="s">
        <v>26</v>
      </c>
      <c r="G3272" s="53"/>
    </row>
    <row r="3273">
      <c r="A3273" s="49">
        <v>44547.330486990744</v>
      </c>
      <c r="B3273" s="50">
        <v>44547.455451956</v>
      </c>
      <c r="C3273" s="51">
        <v>1.02</v>
      </c>
      <c r="D3273" s="51">
        <v>67.0</v>
      </c>
      <c r="E3273" s="52" t="s">
        <v>25</v>
      </c>
      <c r="F3273" s="52" t="s">
        <v>26</v>
      </c>
      <c r="G3273" s="53"/>
    </row>
    <row r="3274">
      <c r="A3274" s="49">
        <v>44547.34093723379</v>
      </c>
      <c r="B3274" s="50">
        <v>44547.4659087731</v>
      </c>
      <c r="C3274" s="51">
        <v>1.02</v>
      </c>
      <c r="D3274" s="51">
        <v>67.0</v>
      </c>
      <c r="E3274" s="52" t="s">
        <v>25</v>
      </c>
      <c r="F3274" s="52" t="s">
        <v>26</v>
      </c>
      <c r="G3274" s="53"/>
    </row>
    <row r="3275">
      <c r="A3275" s="49">
        <v>44547.35139976852</v>
      </c>
      <c r="B3275" s="50">
        <v>44547.4763678009</v>
      </c>
      <c r="C3275" s="51">
        <v>1.02</v>
      </c>
      <c r="D3275" s="51">
        <v>67.0</v>
      </c>
      <c r="E3275" s="52" t="s">
        <v>25</v>
      </c>
      <c r="F3275" s="52" t="s">
        <v>26</v>
      </c>
      <c r="G3275" s="53"/>
    </row>
    <row r="3276">
      <c r="A3276" s="49">
        <v>44547.361818749996</v>
      </c>
      <c r="B3276" s="50">
        <v>44547.4867897453</v>
      </c>
      <c r="C3276" s="51">
        <v>1.02</v>
      </c>
      <c r="D3276" s="51">
        <v>67.0</v>
      </c>
      <c r="E3276" s="52" t="s">
        <v>25</v>
      </c>
      <c r="F3276" s="52" t="s">
        <v>26</v>
      </c>
      <c r="G3276" s="53"/>
    </row>
    <row r="3277">
      <c r="A3277" s="49">
        <v>44547.372254201386</v>
      </c>
      <c r="B3277" s="50">
        <v>44547.4972228125</v>
      </c>
      <c r="C3277" s="51">
        <v>1.02</v>
      </c>
      <c r="D3277" s="51">
        <v>67.0</v>
      </c>
      <c r="E3277" s="52" t="s">
        <v>25</v>
      </c>
      <c r="F3277" s="52" t="s">
        <v>26</v>
      </c>
      <c r="G3277" s="53"/>
    </row>
    <row r="3278">
      <c r="A3278" s="49">
        <v>44547.38269104167</v>
      </c>
      <c r="B3278" s="50">
        <v>44547.5076566666</v>
      </c>
      <c r="C3278" s="51">
        <v>1.02</v>
      </c>
      <c r="D3278" s="51">
        <v>67.0</v>
      </c>
      <c r="E3278" s="52" t="s">
        <v>25</v>
      </c>
      <c r="F3278" s="52" t="s">
        <v>26</v>
      </c>
      <c r="G3278" s="53"/>
    </row>
    <row r="3279">
      <c r="A3279" s="49">
        <v>44547.3931641088</v>
      </c>
      <c r="B3279" s="50">
        <v>44547.5181367592</v>
      </c>
      <c r="C3279" s="51">
        <v>1.02</v>
      </c>
      <c r="D3279" s="51">
        <v>67.0</v>
      </c>
      <c r="E3279" s="52" t="s">
        <v>25</v>
      </c>
      <c r="F3279" s="52" t="s">
        <v>26</v>
      </c>
      <c r="G3279" s="53"/>
    </row>
    <row r="3280">
      <c r="A3280" s="49">
        <v>44547.40359631945</v>
      </c>
      <c r="B3280" s="50">
        <v>44547.5285698379</v>
      </c>
      <c r="C3280" s="51">
        <v>1.02</v>
      </c>
      <c r="D3280" s="51">
        <v>67.0</v>
      </c>
      <c r="E3280" s="52" t="s">
        <v>25</v>
      </c>
      <c r="F3280" s="52" t="s">
        <v>26</v>
      </c>
      <c r="G3280" s="53"/>
    </row>
    <row r="3281">
      <c r="A3281" s="49">
        <v>44547.41401099537</v>
      </c>
      <c r="B3281" s="50">
        <v>44547.5389919328</v>
      </c>
      <c r="C3281" s="51">
        <v>1.02</v>
      </c>
      <c r="D3281" s="51">
        <v>67.0</v>
      </c>
      <c r="E3281" s="52" t="s">
        <v>25</v>
      </c>
      <c r="F3281" s="52" t="s">
        <v>26</v>
      </c>
      <c r="G3281" s="53"/>
    </row>
    <row r="3282">
      <c r="A3282" s="49">
        <v>44547.42446383102</v>
      </c>
      <c r="B3282" s="50">
        <v>44547.5494348148</v>
      </c>
      <c r="C3282" s="51">
        <v>1.02</v>
      </c>
      <c r="D3282" s="51">
        <v>67.0</v>
      </c>
      <c r="E3282" s="52" t="s">
        <v>25</v>
      </c>
      <c r="F3282" s="52" t="s">
        <v>26</v>
      </c>
      <c r="G3282" s="53"/>
    </row>
    <row r="3283">
      <c r="A3283" s="49">
        <v>44547.434883842594</v>
      </c>
      <c r="B3283" s="50">
        <v>44547.5598551967</v>
      </c>
      <c r="C3283" s="51">
        <v>1.02</v>
      </c>
      <c r="D3283" s="51">
        <v>67.0</v>
      </c>
      <c r="E3283" s="52" t="s">
        <v>25</v>
      </c>
      <c r="F3283" s="52" t="s">
        <v>26</v>
      </c>
      <c r="G3283" s="53"/>
    </row>
    <row r="3284">
      <c r="A3284" s="49">
        <v>44547.44531837963</v>
      </c>
      <c r="B3284" s="50">
        <v>44547.5702883333</v>
      </c>
      <c r="C3284" s="51">
        <v>1.02</v>
      </c>
      <c r="D3284" s="51">
        <v>67.0</v>
      </c>
      <c r="E3284" s="52" t="s">
        <v>25</v>
      </c>
      <c r="F3284" s="52" t="s">
        <v>26</v>
      </c>
      <c r="G3284" s="53"/>
    </row>
    <row r="3285">
      <c r="A3285" s="49">
        <v>44547.455748761575</v>
      </c>
      <c r="B3285" s="50">
        <v>44547.5807197569</v>
      </c>
      <c r="C3285" s="51">
        <v>1.02</v>
      </c>
      <c r="D3285" s="51">
        <v>67.0</v>
      </c>
      <c r="E3285" s="52" t="s">
        <v>25</v>
      </c>
      <c r="F3285" s="52" t="s">
        <v>26</v>
      </c>
      <c r="G3285" s="53"/>
    </row>
    <row r="3286">
      <c r="A3286" s="49">
        <v>44547.46616615741</v>
      </c>
      <c r="B3286" s="50">
        <v>44547.5911381597</v>
      </c>
      <c r="C3286" s="51">
        <v>1.02</v>
      </c>
      <c r="D3286" s="51">
        <v>67.0</v>
      </c>
      <c r="E3286" s="52" t="s">
        <v>25</v>
      </c>
      <c r="F3286" s="52" t="s">
        <v>26</v>
      </c>
      <c r="G3286" s="53"/>
    </row>
    <row r="3287">
      <c r="A3287" s="49">
        <v>44547.4765946875</v>
      </c>
      <c r="B3287" s="50">
        <v>44547.6015605208</v>
      </c>
      <c r="C3287" s="51">
        <v>1.02</v>
      </c>
      <c r="D3287" s="51">
        <v>67.0</v>
      </c>
      <c r="E3287" s="52" t="s">
        <v>25</v>
      </c>
      <c r="F3287" s="52" t="s">
        <v>26</v>
      </c>
      <c r="G3287" s="53"/>
    </row>
    <row r="3288">
      <c r="A3288" s="49">
        <v>44547.487019583335</v>
      </c>
      <c r="B3288" s="50">
        <v>44547.6119936574</v>
      </c>
      <c r="C3288" s="51">
        <v>1.02</v>
      </c>
      <c r="D3288" s="51">
        <v>67.0</v>
      </c>
      <c r="E3288" s="52" t="s">
        <v>25</v>
      </c>
      <c r="F3288" s="52" t="s">
        <v>26</v>
      </c>
      <c r="G3288" s="53"/>
    </row>
    <row r="3289">
      <c r="A3289" s="49">
        <v>44547.49744435185</v>
      </c>
      <c r="B3289" s="50">
        <v>44547.6224160995</v>
      </c>
      <c r="C3289" s="51">
        <v>1.02</v>
      </c>
      <c r="D3289" s="51">
        <v>67.0</v>
      </c>
      <c r="E3289" s="52" t="s">
        <v>25</v>
      </c>
      <c r="F3289" s="52" t="s">
        <v>26</v>
      </c>
      <c r="G3289" s="53"/>
    </row>
    <row r="3290">
      <c r="A3290" s="49">
        <v>44547.507914305555</v>
      </c>
      <c r="B3290" s="50">
        <v>44547.6328846643</v>
      </c>
      <c r="C3290" s="51">
        <v>1.02</v>
      </c>
      <c r="D3290" s="51">
        <v>67.0</v>
      </c>
      <c r="E3290" s="52" t="s">
        <v>25</v>
      </c>
      <c r="F3290" s="52" t="s">
        <v>26</v>
      </c>
      <c r="G3290" s="53"/>
    </row>
    <row r="3291">
      <c r="A3291" s="49">
        <v>44547.51833143519</v>
      </c>
      <c r="B3291" s="50">
        <v>44547.6433060416</v>
      </c>
      <c r="C3291" s="51">
        <v>1.02</v>
      </c>
      <c r="D3291" s="51">
        <v>67.0</v>
      </c>
      <c r="E3291" s="52" t="s">
        <v>25</v>
      </c>
      <c r="F3291" s="52" t="s">
        <v>26</v>
      </c>
      <c r="G3291" s="53"/>
    </row>
    <row r="3292">
      <c r="A3292" s="49">
        <v>44547.52876347222</v>
      </c>
      <c r="B3292" s="50">
        <v>44547.6537367592</v>
      </c>
      <c r="C3292" s="51">
        <v>1.02</v>
      </c>
      <c r="D3292" s="51">
        <v>67.0</v>
      </c>
      <c r="E3292" s="52" t="s">
        <v>25</v>
      </c>
      <c r="F3292" s="52" t="s">
        <v>26</v>
      </c>
      <c r="G3292" s="53"/>
    </row>
    <row r="3293">
      <c r="A3293" s="49">
        <v>44547.539211180556</v>
      </c>
      <c r="B3293" s="50">
        <v>44547.6641812152</v>
      </c>
      <c r="C3293" s="51">
        <v>1.02</v>
      </c>
      <c r="D3293" s="51">
        <v>67.0</v>
      </c>
      <c r="E3293" s="52" t="s">
        <v>25</v>
      </c>
      <c r="F3293" s="52" t="s">
        <v>26</v>
      </c>
      <c r="G3293" s="53"/>
    </row>
    <row r="3294">
      <c r="A3294" s="49">
        <v>44547.54963450231</v>
      </c>
      <c r="B3294" s="50">
        <v>44547.674614699</v>
      </c>
      <c r="C3294" s="51">
        <v>1.02</v>
      </c>
      <c r="D3294" s="51">
        <v>66.0</v>
      </c>
      <c r="E3294" s="52" t="s">
        <v>25</v>
      </c>
      <c r="F3294" s="52" t="s">
        <v>26</v>
      </c>
      <c r="G3294" s="53"/>
    </row>
    <row r="3295">
      <c r="A3295" s="49">
        <v>44547.56005969907</v>
      </c>
      <c r="B3295" s="50">
        <v>44547.6850355092</v>
      </c>
      <c r="C3295" s="51">
        <v>1.02</v>
      </c>
      <c r="D3295" s="51">
        <v>67.0</v>
      </c>
      <c r="E3295" s="52" t="s">
        <v>25</v>
      </c>
      <c r="F3295" s="52" t="s">
        <v>26</v>
      </c>
      <c r="G3295" s="53"/>
    </row>
    <row r="3296">
      <c r="A3296" s="49">
        <v>44547.57048008102</v>
      </c>
      <c r="B3296" s="50">
        <v>44547.6954586689</v>
      </c>
      <c r="C3296" s="51">
        <v>1.02</v>
      </c>
      <c r="D3296" s="51">
        <v>67.0</v>
      </c>
      <c r="E3296" s="52" t="s">
        <v>25</v>
      </c>
      <c r="F3296" s="52" t="s">
        <v>26</v>
      </c>
      <c r="G3296" s="53"/>
    </row>
    <row r="3297">
      <c r="A3297" s="49">
        <v>44547.58092302083</v>
      </c>
      <c r="B3297" s="50">
        <v>44547.7058934606</v>
      </c>
      <c r="C3297" s="51">
        <v>1.02</v>
      </c>
      <c r="D3297" s="51">
        <v>66.0</v>
      </c>
      <c r="E3297" s="52" t="s">
        <v>25</v>
      </c>
      <c r="F3297" s="52" t="s">
        <v>26</v>
      </c>
      <c r="G3297" s="53"/>
    </row>
    <row r="3298">
      <c r="A3298" s="49">
        <v>44547.59135685185</v>
      </c>
      <c r="B3298" s="50">
        <v>44547.7163258796</v>
      </c>
      <c r="C3298" s="51">
        <v>1.02</v>
      </c>
      <c r="D3298" s="51">
        <v>66.0</v>
      </c>
      <c r="E3298" s="52" t="s">
        <v>25</v>
      </c>
      <c r="F3298" s="52" t="s">
        <v>26</v>
      </c>
      <c r="G3298" s="53"/>
    </row>
    <row r="3299">
      <c r="A3299" s="49">
        <v>44547.60177905092</v>
      </c>
      <c r="B3299" s="50">
        <v>44547.7267576157</v>
      </c>
      <c r="C3299" s="51">
        <v>1.02</v>
      </c>
      <c r="D3299" s="51">
        <v>66.0</v>
      </c>
      <c r="E3299" s="52" t="s">
        <v>25</v>
      </c>
      <c r="F3299" s="52" t="s">
        <v>26</v>
      </c>
      <c r="G3299" s="53"/>
    </row>
    <row r="3300">
      <c r="A3300" s="49">
        <v>44547.61221046296</v>
      </c>
      <c r="B3300" s="50">
        <v>44547.7371800925</v>
      </c>
      <c r="C3300" s="51">
        <v>1.02</v>
      </c>
      <c r="D3300" s="51">
        <v>66.0</v>
      </c>
      <c r="E3300" s="52" t="s">
        <v>25</v>
      </c>
      <c r="F3300" s="52" t="s">
        <v>26</v>
      </c>
      <c r="G3300" s="53"/>
    </row>
    <row r="3301">
      <c r="A3301" s="49">
        <v>44547.62263201389</v>
      </c>
      <c r="B3301" s="50">
        <v>44547.7476013078</v>
      </c>
      <c r="C3301" s="51">
        <v>1.02</v>
      </c>
      <c r="D3301" s="51">
        <v>66.0</v>
      </c>
      <c r="E3301" s="52" t="s">
        <v>25</v>
      </c>
      <c r="F3301" s="52" t="s">
        <v>26</v>
      </c>
      <c r="G3301" s="53"/>
    </row>
    <row r="3302">
      <c r="A3302" s="49">
        <v>44547.633054687496</v>
      </c>
      <c r="B3302" s="50">
        <v>44547.7580235532</v>
      </c>
      <c r="C3302" s="51">
        <v>1.02</v>
      </c>
      <c r="D3302" s="51">
        <v>66.0</v>
      </c>
      <c r="E3302" s="52" t="s">
        <v>25</v>
      </c>
      <c r="F3302" s="52" t="s">
        <v>26</v>
      </c>
      <c r="G3302" s="53"/>
    </row>
    <row r="3303">
      <c r="A3303" s="49">
        <v>44547.64347314815</v>
      </c>
      <c r="B3303" s="50">
        <v>44547.7684452314</v>
      </c>
      <c r="C3303" s="51">
        <v>1.02</v>
      </c>
      <c r="D3303" s="51">
        <v>66.0</v>
      </c>
      <c r="E3303" s="52" t="s">
        <v>25</v>
      </c>
      <c r="F3303" s="52" t="s">
        <v>26</v>
      </c>
      <c r="G3303" s="53"/>
    </row>
    <row r="3304">
      <c r="A3304" s="49">
        <v>44547.65389055556</v>
      </c>
      <c r="B3304" s="50">
        <v>44547.7788680324</v>
      </c>
      <c r="C3304" s="51">
        <v>1.02</v>
      </c>
      <c r="D3304" s="51">
        <v>66.0</v>
      </c>
      <c r="E3304" s="52" t="s">
        <v>25</v>
      </c>
      <c r="F3304" s="52" t="s">
        <v>26</v>
      </c>
      <c r="G3304" s="53"/>
    </row>
    <row r="3305">
      <c r="A3305" s="49">
        <v>44547.664310092594</v>
      </c>
      <c r="B3305" s="50">
        <v>44547.7892875925</v>
      </c>
      <c r="C3305" s="51">
        <v>1.02</v>
      </c>
      <c r="D3305" s="51">
        <v>66.0</v>
      </c>
      <c r="E3305" s="52" t="s">
        <v>25</v>
      </c>
      <c r="F3305" s="52" t="s">
        <v>26</v>
      </c>
      <c r="G3305" s="53"/>
    </row>
    <row r="3306">
      <c r="A3306" s="49">
        <v>44547.67473106481</v>
      </c>
      <c r="B3306" s="50">
        <v>44547.7997089004</v>
      </c>
      <c r="C3306" s="51">
        <v>1.02</v>
      </c>
      <c r="D3306" s="51">
        <v>66.0</v>
      </c>
      <c r="E3306" s="52" t="s">
        <v>25</v>
      </c>
      <c r="F3306" s="52" t="s">
        <v>26</v>
      </c>
      <c r="G3306" s="53"/>
    </row>
    <row r="3307">
      <c r="A3307" s="49">
        <v>44547.68516775463</v>
      </c>
      <c r="B3307" s="50">
        <v>44547.8101401504</v>
      </c>
      <c r="C3307" s="51">
        <v>1.02</v>
      </c>
      <c r="D3307" s="51">
        <v>66.0</v>
      </c>
      <c r="E3307" s="52" t="s">
        <v>25</v>
      </c>
      <c r="F3307" s="52" t="s">
        <v>26</v>
      </c>
      <c r="G3307" s="53"/>
    </row>
    <row r="3308">
      <c r="A3308" s="49">
        <v>44547.695629270835</v>
      </c>
      <c r="B3308" s="50">
        <v>44547.8205970254</v>
      </c>
      <c r="C3308" s="51">
        <v>1.02</v>
      </c>
      <c r="D3308" s="51">
        <v>66.0</v>
      </c>
      <c r="E3308" s="52" t="s">
        <v>25</v>
      </c>
      <c r="F3308" s="52" t="s">
        <v>26</v>
      </c>
      <c r="G3308" s="53"/>
    </row>
    <row r="3309">
      <c r="A3309" s="49">
        <v>44547.7060700463</v>
      </c>
      <c r="B3309" s="50">
        <v>44547.8310424189</v>
      </c>
      <c r="C3309" s="51">
        <v>1.02</v>
      </c>
      <c r="D3309" s="51">
        <v>66.0</v>
      </c>
      <c r="E3309" s="52" t="s">
        <v>25</v>
      </c>
      <c r="F3309" s="52" t="s">
        <v>26</v>
      </c>
      <c r="G3309" s="53"/>
    </row>
    <row r="3310">
      <c r="A3310" s="49">
        <v>44547.716525219905</v>
      </c>
      <c r="B3310" s="50">
        <v>44547.8414977546</v>
      </c>
      <c r="C3310" s="51">
        <v>1.02</v>
      </c>
      <c r="D3310" s="51">
        <v>66.0</v>
      </c>
      <c r="E3310" s="52" t="s">
        <v>25</v>
      </c>
      <c r="F3310" s="52" t="s">
        <v>26</v>
      </c>
      <c r="G3310" s="53"/>
    </row>
    <row r="3311">
      <c r="A3311" s="49">
        <v>44547.72694717592</v>
      </c>
      <c r="B3311" s="50">
        <v>44547.8519182986</v>
      </c>
      <c r="C3311" s="51">
        <v>1.02</v>
      </c>
      <c r="D3311" s="51">
        <v>66.0</v>
      </c>
      <c r="E3311" s="52" t="s">
        <v>25</v>
      </c>
      <c r="F3311" s="52" t="s">
        <v>26</v>
      </c>
      <c r="G3311" s="53"/>
    </row>
    <row r="3312">
      <c r="A3312" s="49">
        <v>44547.73736513889</v>
      </c>
      <c r="B3312" s="50">
        <v>44547.8623400347</v>
      </c>
      <c r="C3312" s="51">
        <v>1.02</v>
      </c>
      <c r="D3312" s="51">
        <v>66.0</v>
      </c>
      <c r="E3312" s="52" t="s">
        <v>25</v>
      </c>
      <c r="F3312" s="52" t="s">
        <v>26</v>
      </c>
      <c r="G3312" s="53"/>
    </row>
    <row r="3313">
      <c r="A3313" s="49">
        <v>44547.74778421296</v>
      </c>
      <c r="B3313" s="50">
        <v>44547.872760706</v>
      </c>
      <c r="C3313" s="51">
        <v>1.02</v>
      </c>
      <c r="D3313" s="51">
        <v>66.0</v>
      </c>
      <c r="E3313" s="52" t="s">
        <v>25</v>
      </c>
      <c r="F3313" s="52" t="s">
        <v>26</v>
      </c>
      <c r="G3313" s="53"/>
    </row>
    <row r="3314">
      <c r="A3314" s="49">
        <v>44547.758209039355</v>
      </c>
      <c r="B3314" s="50">
        <v>44547.8831832986</v>
      </c>
      <c r="C3314" s="51">
        <v>1.02</v>
      </c>
      <c r="D3314" s="51">
        <v>66.0</v>
      </c>
      <c r="E3314" s="52" t="s">
        <v>25</v>
      </c>
      <c r="F3314" s="52" t="s">
        <v>26</v>
      </c>
      <c r="G3314" s="53"/>
    </row>
    <row r="3315">
      <c r="A3315" s="49">
        <v>44547.768634837965</v>
      </c>
      <c r="B3315" s="50">
        <v>44547.8936031944</v>
      </c>
      <c r="C3315" s="51">
        <v>1.02</v>
      </c>
      <c r="D3315" s="51">
        <v>66.0</v>
      </c>
      <c r="E3315" s="52" t="s">
        <v>25</v>
      </c>
      <c r="F3315" s="52" t="s">
        <v>26</v>
      </c>
      <c r="G3315" s="53"/>
    </row>
    <row r="3316">
      <c r="A3316" s="49">
        <v>44547.779056631945</v>
      </c>
      <c r="B3316" s="50">
        <v>44547.9040348958</v>
      </c>
      <c r="C3316" s="51">
        <v>1.02</v>
      </c>
      <c r="D3316" s="51">
        <v>66.0</v>
      </c>
      <c r="E3316" s="52" t="s">
        <v>25</v>
      </c>
      <c r="F3316" s="52" t="s">
        <v>26</v>
      </c>
      <c r="G3316" s="53"/>
    </row>
    <row r="3317">
      <c r="A3317" s="49">
        <v>44547.78950414352</v>
      </c>
      <c r="B3317" s="50">
        <v>44547.9144805902</v>
      </c>
      <c r="C3317" s="51">
        <v>1.02</v>
      </c>
      <c r="D3317" s="51">
        <v>66.0</v>
      </c>
      <c r="E3317" s="52" t="s">
        <v>25</v>
      </c>
      <c r="F3317" s="52" t="s">
        <v>26</v>
      </c>
      <c r="G3317" s="53"/>
    </row>
    <row r="3318">
      <c r="A3318" s="49">
        <v>44547.799942858794</v>
      </c>
      <c r="B3318" s="50">
        <v>44547.9249135879</v>
      </c>
      <c r="C3318" s="51">
        <v>1.02</v>
      </c>
      <c r="D3318" s="51">
        <v>66.0</v>
      </c>
      <c r="E3318" s="52" t="s">
        <v>25</v>
      </c>
      <c r="F3318" s="52" t="s">
        <v>26</v>
      </c>
      <c r="G3318" s="53"/>
    </row>
    <row r="3319">
      <c r="A3319" s="49">
        <v>44547.81036501157</v>
      </c>
      <c r="B3319" s="50">
        <v>44547.9353333796</v>
      </c>
      <c r="C3319" s="51">
        <v>1.02</v>
      </c>
      <c r="D3319" s="51">
        <v>66.0</v>
      </c>
      <c r="E3319" s="52" t="s">
        <v>25</v>
      </c>
      <c r="F3319" s="52" t="s">
        <v>26</v>
      </c>
      <c r="G3319" s="53"/>
    </row>
    <row r="3320">
      <c r="A3320" s="49">
        <v>44547.8207937963</v>
      </c>
      <c r="B3320" s="50">
        <v>44547.9457669907</v>
      </c>
      <c r="C3320" s="51">
        <v>1.019</v>
      </c>
      <c r="D3320" s="51">
        <v>66.0</v>
      </c>
      <c r="E3320" s="52" t="s">
        <v>25</v>
      </c>
      <c r="F3320" s="52" t="s">
        <v>26</v>
      </c>
      <c r="G3320" s="53"/>
    </row>
    <row r="3321">
      <c r="A3321" s="49">
        <v>44547.831237604165</v>
      </c>
      <c r="B3321" s="50">
        <v>44547.9562118865</v>
      </c>
      <c r="C3321" s="51">
        <v>1.02</v>
      </c>
      <c r="D3321" s="51">
        <v>66.0</v>
      </c>
      <c r="E3321" s="52" t="s">
        <v>25</v>
      </c>
      <c r="F3321" s="52" t="s">
        <v>26</v>
      </c>
      <c r="G3321" s="53"/>
    </row>
    <row r="3322">
      <c r="A3322" s="49">
        <v>44547.841665949076</v>
      </c>
      <c r="B3322" s="50">
        <v>44547.9666459143</v>
      </c>
      <c r="C3322" s="51">
        <v>1.019</v>
      </c>
      <c r="D3322" s="51">
        <v>66.0</v>
      </c>
      <c r="E3322" s="52" t="s">
        <v>25</v>
      </c>
      <c r="F3322" s="52" t="s">
        <v>26</v>
      </c>
      <c r="G3322" s="53"/>
    </row>
    <row r="3323">
      <c r="A3323" s="49">
        <v>44547.85210748843</v>
      </c>
      <c r="B3323" s="50">
        <v>44547.9770803125</v>
      </c>
      <c r="C3323" s="51">
        <v>1.02</v>
      </c>
      <c r="D3323" s="51">
        <v>66.0</v>
      </c>
      <c r="E3323" s="52" t="s">
        <v>25</v>
      </c>
      <c r="F3323" s="52" t="s">
        <v>26</v>
      </c>
      <c r="G3323" s="53"/>
    </row>
    <row r="3324">
      <c r="A3324" s="49">
        <v>44547.86252534723</v>
      </c>
      <c r="B3324" s="50">
        <v>44547.9875007754</v>
      </c>
      <c r="C3324" s="51">
        <v>1.02</v>
      </c>
      <c r="D3324" s="51">
        <v>66.0</v>
      </c>
      <c r="E3324" s="52" t="s">
        <v>25</v>
      </c>
      <c r="F3324" s="52" t="s">
        <v>26</v>
      </c>
      <c r="G3324" s="53"/>
    </row>
    <row r="3325">
      <c r="A3325" s="49">
        <v>44547.87294253473</v>
      </c>
      <c r="B3325" s="50">
        <v>44547.9979234027</v>
      </c>
      <c r="C3325" s="51">
        <v>1.02</v>
      </c>
      <c r="D3325" s="51">
        <v>66.0</v>
      </c>
      <c r="E3325" s="52" t="s">
        <v>25</v>
      </c>
      <c r="F3325" s="52" t="s">
        <v>26</v>
      </c>
      <c r="G3325" s="53"/>
    </row>
    <row r="3326">
      <c r="A3326" s="49">
        <v>44547.88337950232</v>
      </c>
      <c r="B3326" s="50">
        <v>44548.0083561805</v>
      </c>
      <c r="C3326" s="51">
        <v>1.02</v>
      </c>
      <c r="D3326" s="51">
        <v>66.0</v>
      </c>
      <c r="E3326" s="52" t="s">
        <v>25</v>
      </c>
      <c r="F3326" s="52" t="s">
        <v>26</v>
      </c>
      <c r="G3326" s="53"/>
    </row>
    <row r="3327">
      <c r="A3327" s="49">
        <v>44547.89382106482</v>
      </c>
      <c r="B3327" s="50">
        <v>44548.0187899768</v>
      </c>
      <c r="C3327" s="51">
        <v>1.02</v>
      </c>
      <c r="D3327" s="51">
        <v>66.0</v>
      </c>
      <c r="E3327" s="52" t="s">
        <v>25</v>
      </c>
      <c r="F3327" s="52" t="s">
        <v>26</v>
      </c>
      <c r="G3327" s="53"/>
    </row>
    <row r="3328">
      <c r="A3328" s="49">
        <v>44547.90424440972</v>
      </c>
      <c r="B3328" s="50">
        <v>44548.0292124768</v>
      </c>
      <c r="C3328" s="51">
        <v>1.019</v>
      </c>
      <c r="D3328" s="51">
        <v>66.0</v>
      </c>
      <c r="E3328" s="52" t="s">
        <v>25</v>
      </c>
      <c r="F3328" s="52" t="s">
        <v>26</v>
      </c>
      <c r="G3328" s="53"/>
    </row>
    <row r="3329">
      <c r="A3329" s="49">
        <v>44547.91468703704</v>
      </c>
      <c r="B3329" s="50">
        <v>44548.0396675925</v>
      </c>
      <c r="C3329" s="51">
        <v>1.02</v>
      </c>
      <c r="D3329" s="51">
        <v>66.0</v>
      </c>
      <c r="E3329" s="52" t="s">
        <v>25</v>
      </c>
      <c r="F3329" s="52" t="s">
        <v>26</v>
      </c>
      <c r="G3329" s="53"/>
    </row>
    <row r="3330">
      <c r="A3330" s="49">
        <v>44547.925154641205</v>
      </c>
      <c r="B3330" s="50">
        <v>44548.0501250578</v>
      </c>
      <c r="C3330" s="51">
        <v>1.02</v>
      </c>
      <c r="D3330" s="51">
        <v>66.0</v>
      </c>
      <c r="E3330" s="52" t="s">
        <v>25</v>
      </c>
      <c r="F3330" s="52" t="s">
        <v>26</v>
      </c>
      <c r="G3330" s="53"/>
    </row>
    <row r="3331">
      <c r="A3331" s="49">
        <v>44547.935572789356</v>
      </c>
      <c r="B3331" s="50">
        <v>44548.0605457291</v>
      </c>
      <c r="C3331" s="51">
        <v>1.019</v>
      </c>
      <c r="D3331" s="51">
        <v>66.0</v>
      </c>
      <c r="E3331" s="52" t="s">
        <v>25</v>
      </c>
      <c r="F3331" s="52" t="s">
        <v>26</v>
      </c>
      <c r="G3331" s="53"/>
    </row>
    <row r="3332">
      <c r="A3332" s="49">
        <v>44547.94600063657</v>
      </c>
      <c r="B3332" s="50">
        <v>44548.070978206</v>
      </c>
      <c r="C3332" s="51">
        <v>1.02</v>
      </c>
      <c r="D3332" s="51">
        <v>66.0</v>
      </c>
      <c r="E3332" s="52" t="s">
        <v>25</v>
      </c>
      <c r="F3332" s="52" t="s">
        <v>26</v>
      </c>
      <c r="G3332" s="53"/>
    </row>
    <row r="3333">
      <c r="A3333" s="49">
        <v>44547.95643853009</v>
      </c>
      <c r="B3333" s="50">
        <v>44548.0814097916</v>
      </c>
      <c r="C3333" s="51">
        <v>1.02</v>
      </c>
      <c r="D3333" s="51">
        <v>66.0</v>
      </c>
      <c r="E3333" s="52" t="s">
        <v>25</v>
      </c>
      <c r="F3333" s="52" t="s">
        <v>26</v>
      </c>
      <c r="G3333" s="53"/>
    </row>
    <row r="3334">
      <c r="A3334" s="49">
        <v>44547.966883125</v>
      </c>
      <c r="B3334" s="50">
        <v>44548.0918539699</v>
      </c>
      <c r="C3334" s="51">
        <v>1.019</v>
      </c>
      <c r="D3334" s="51">
        <v>66.0</v>
      </c>
      <c r="E3334" s="52" t="s">
        <v>25</v>
      </c>
      <c r="F3334" s="52" t="s">
        <v>26</v>
      </c>
      <c r="G3334" s="53"/>
    </row>
    <row r="3335">
      <c r="A3335" s="49">
        <v>44547.97733274306</v>
      </c>
      <c r="B3335" s="50">
        <v>44548.1023078356</v>
      </c>
      <c r="C3335" s="51">
        <v>1.019</v>
      </c>
      <c r="D3335" s="51">
        <v>66.0</v>
      </c>
      <c r="E3335" s="52" t="s">
        <v>25</v>
      </c>
      <c r="F3335" s="52" t="s">
        <v>26</v>
      </c>
      <c r="G3335" s="53"/>
    </row>
    <row r="3336">
      <c r="A3336" s="49">
        <v>44547.987756365736</v>
      </c>
      <c r="B3336" s="50">
        <v>44548.1127271643</v>
      </c>
      <c r="C3336" s="51">
        <v>1.019</v>
      </c>
      <c r="D3336" s="51">
        <v>66.0</v>
      </c>
      <c r="E3336" s="52" t="s">
        <v>25</v>
      </c>
      <c r="F3336" s="52" t="s">
        <v>26</v>
      </c>
      <c r="G3336" s="53"/>
    </row>
    <row r="3337">
      <c r="A3337" s="49">
        <v>44547.998177002315</v>
      </c>
      <c r="B3337" s="50">
        <v>44548.1231490856</v>
      </c>
      <c r="C3337" s="51">
        <v>1.02</v>
      </c>
      <c r="D3337" s="51">
        <v>66.0</v>
      </c>
      <c r="E3337" s="52" t="s">
        <v>25</v>
      </c>
      <c r="F3337" s="52" t="s">
        <v>26</v>
      </c>
      <c r="G3337" s="53"/>
    </row>
    <row r="3338">
      <c r="A3338" s="49">
        <v>44548.008598726854</v>
      </c>
      <c r="B3338" s="50">
        <v>44548.1335688078</v>
      </c>
      <c r="C3338" s="51">
        <v>1.019</v>
      </c>
      <c r="D3338" s="51">
        <v>66.0</v>
      </c>
      <c r="E3338" s="52" t="s">
        <v>25</v>
      </c>
      <c r="F3338" s="52" t="s">
        <v>26</v>
      </c>
      <c r="G3338" s="53"/>
    </row>
    <row r="3339">
      <c r="A3339" s="49">
        <v>44548.01901690972</v>
      </c>
      <c r="B3339" s="50">
        <v>44548.1439893518</v>
      </c>
      <c r="C3339" s="51">
        <v>1.019</v>
      </c>
      <c r="D3339" s="51">
        <v>66.0</v>
      </c>
      <c r="E3339" s="52" t="s">
        <v>25</v>
      </c>
      <c r="F3339" s="52" t="s">
        <v>26</v>
      </c>
      <c r="G3339" s="53"/>
    </row>
    <row r="3340">
      <c r="A3340" s="49">
        <v>44548.02946398148</v>
      </c>
      <c r="B3340" s="50">
        <v>44548.1544344907</v>
      </c>
      <c r="C3340" s="51">
        <v>1.019</v>
      </c>
      <c r="D3340" s="51">
        <v>66.0</v>
      </c>
      <c r="E3340" s="52" t="s">
        <v>25</v>
      </c>
      <c r="F3340" s="52" t="s">
        <v>26</v>
      </c>
      <c r="G3340" s="53"/>
    </row>
    <row r="3341">
      <c r="A3341" s="49">
        <v>44548.03987912037</v>
      </c>
      <c r="B3341" s="50">
        <v>44548.1648561458</v>
      </c>
      <c r="C3341" s="51">
        <v>1.019</v>
      </c>
      <c r="D3341" s="51">
        <v>66.0</v>
      </c>
      <c r="E3341" s="52" t="s">
        <v>25</v>
      </c>
      <c r="F3341" s="52" t="s">
        <v>26</v>
      </c>
      <c r="G3341" s="53"/>
    </row>
    <row r="3342">
      <c r="A3342" s="49">
        <v>44548.050303819444</v>
      </c>
      <c r="B3342" s="50">
        <v>44548.1752764583</v>
      </c>
      <c r="C3342" s="51">
        <v>1.019</v>
      </c>
      <c r="D3342" s="51">
        <v>66.0</v>
      </c>
      <c r="E3342" s="52" t="s">
        <v>25</v>
      </c>
      <c r="F3342" s="52" t="s">
        <v>26</v>
      </c>
      <c r="G3342" s="53"/>
    </row>
    <row r="3343">
      <c r="A3343" s="49">
        <v>44548.060736631945</v>
      </c>
      <c r="B3343" s="50">
        <v>44548.185710162</v>
      </c>
      <c r="C3343" s="51">
        <v>1.019</v>
      </c>
      <c r="D3343" s="51">
        <v>66.0</v>
      </c>
      <c r="E3343" s="52" t="s">
        <v>25</v>
      </c>
      <c r="F3343" s="52" t="s">
        <v>26</v>
      </c>
      <c r="G3343" s="53"/>
    </row>
    <row r="3344">
      <c r="A3344" s="49">
        <v>44548.07117403935</v>
      </c>
      <c r="B3344" s="50">
        <v>44548.1961416087</v>
      </c>
      <c r="C3344" s="51">
        <v>1.019</v>
      </c>
      <c r="D3344" s="51">
        <v>66.0</v>
      </c>
      <c r="E3344" s="52" t="s">
        <v>25</v>
      </c>
      <c r="F3344" s="52" t="s">
        <v>26</v>
      </c>
      <c r="G3344" s="53"/>
    </row>
    <row r="3345">
      <c r="A3345" s="49">
        <v>44548.08164527778</v>
      </c>
      <c r="B3345" s="50">
        <v>44548.2066200694</v>
      </c>
      <c r="C3345" s="51">
        <v>1.019</v>
      </c>
      <c r="D3345" s="51">
        <v>66.0</v>
      </c>
      <c r="E3345" s="52" t="s">
        <v>25</v>
      </c>
      <c r="F3345" s="52" t="s">
        <v>26</v>
      </c>
      <c r="G3345" s="53"/>
    </row>
    <row r="3346">
      <c r="A3346" s="49">
        <v>44548.09206819444</v>
      </c>
      <c r="B3346" s="50">
        <v>44548.2170425</v>
      </c>
      <c r="C3346" s="51">
        <v>1.02</v>
      </c>
      <c r="D3346" s="51">
        <v>66.0</v>
      </c>
      <c r="E3346" s="52" t="s">
        <v>25</v>
      </c>
      <c r="F3346" s="52" t="s">
        <v>26</v>
      </c>
      <c r="G3346" s="53"/>
    </row>
    <row r="3347">
      <c r="A3347" s="49">
        <v>44548.10249488426</v>
      </c>
      <c r="B3347" s="50">
        <v>44548.2274641087</v>
      </c>
      <c r="C3347" s="51">
        <v>1.019</v>
      </c>
      <c r="D3347" s="51">
        <v>66.0</v>
      </c>
      <c r="E3347" s="52" t="s">
        <v>25</v>
      </c>
      <c r="F3347" s="52" t="s">
        <v>26</v>
      </c>
      <c r="G3347" s="53"/>
    </row>
    <row r="3348">
      <c r="A3348" s="49">
        <v>44548.112925243055</v>
      </c>
      <c r="B3348" s="50">
        <v>44548.2378966435</v>
      </c>
      <c r="C3348" s="51">
        <v>1.019</v>
      </c>
      <c r="D3348" s="51">
        <v>66.0</v>
      </c>
      <c r="E3348" s="52" t="s">
        <v>25</v>
      </c>
      <c r="F3348" s="52" t="s">
        <v>26</v>
      </c>
      <c r="G3348" s="53"/>
    </row>
    <row r="3349">
      <c r="A3349" s="49">
        <v>44548.12336805556</v>
      </c>
      <c r="B3349" s="50">
        <v>44548.248341331</v>
      </c>
      <c r="C3349" s="51">
        <v>1.019</v>
      </c>
      <c r="D3349" s="51">
        <v>66.0</v>
      </c>
      <c r="E3349" s="52" t="s">
        <v>25</v>
      </c>
      <c r="F3349" s="52" t="s">
        <v>26</v>
      </c>
      <c r="G3349" s="53"/>
    </row>
    <row r="3350">
      <c r="A3350" s="49">
        <v>44548.13378709491</v>
      </c>
      <c r="B3350" s="50">
        <v>44548.2587610416</v>
      </c>
      <c r="C3350" s="51">
        <v>1.019</v>
      </c>
      <c r="D3350" s="51">
        <v>66.0</v>
      </c>
      <c r="E3350" s="52" t="s">
        <v>25</v>
      </c>
      <c r="F3350" s="52" t="s">
        <v>26</v>
      </c>
      <c r="G3350" s="53"/>
    </row>
    <row r="3351">
      <c r="A3351" s="49">
        <v>44548.14422857639</v>
      </c>
      <c r="B3351" s="50">
        <v>44548.2692054976</v>
      </c>
      <c r="C3351" s="51">
        <v>1.019</v>
      </c>
      <c r="D3351" s="51">
        <v>66.0</v>
      </c>
      <c r="E3351" s="52" t="s">
        <v>25</v>
      </c>
      <c r="F3351" s="52" t="s">
        <v>26</v>
      </c>
      <c r="G3351" s="53"/>
    </row>
    <row r="3352">
      <c r="A3352" s="49">
        <v>44548.1546640625</v>
      </c>
      <c r="B3352" s="50">
        <v>44548.279638206</v>
      </c>
      <c r="C3352" s="51">
        <v>1.019</v>
      </c>
      <c r="D3352" s="51">
        <v>66.0</v>
      </c>
      <c r="E3352" s="52" t="s">
        <v>25</v>
      </c>
      <c r="F3352" s="52" t="s">
        <v>26</v>
      </c>
      <c r="G3352" s="53"/>
    </row>
    <row r="3353">
      <c r="A3353" s="49">
        <v>44548.16512356482</v>
      </c>
      <c r="B3353" s="50">
        <v>44548.2900928819</v>
      </c>
      <c r="C3353" s="51">
        <v>1.019</v>
      </c>
      <c r="D3353" s="51">
        <v>66.0</v>
      </c>
      <c r="E3353" s="52" t="s">
        <v>25</v>
      </c>
      <c r="F3353" s="52" t="s">
        <v>26</v>
      </c>
      <c r="G3353" s="53"/>
    </row>
    <row r="3354">
      <c r="A3354" s="49">
        <v>44548.17554193287</v>
      </c>
      <c r="B3354" s="50">
        <v>44548.3005120833</v>
      </c>
      <c r="C3354" s="51">
        <v>1.019</v>
      </c>
      <c r="D3354" s="51">
        <v>66.0</v>
      </c>
      <c r="E3354" s="52" t="s">
        <v>25</v>
      </c>
      <c r="F3354" s="52" t="s">
        <v>26</v>
      </c>
      <c r="G3354" s="53"/>
    </row>
    <row r="3355">
      <c r="A3355" s="49">
        <v>44548.185969513885</v>
      </c>
      <c r="B3355" s="50">
        <v>44548.3109455787</v>
      </c>
      <c r="C3355" s="51">
        <v>1.019</v>
      </c>
      <c r="D3355" s="51">
        <v>66.0</v>
      </c>
      <c r="E3355" s="52" t="s">
        <v>25</v>
      </c>
      <c r="F3355" s="52" t="s">
        <v>26</v>
      </c>
      <c r="G3355" s="53"/>
    </row>
    <row r="3356">
      <c r="A3356" s="49">
        <v>44548.19639834491</v>
      </c>
      <c r="B3356" s="50">
        <v>44548.3213672569</v>
      </c>
      <c r="C3356" s="51">
        <v>1.019</v>
      </c>
      <c r="D3356" s="51">
        <v>66.0</v>
      </c>
      <c r="E3356" s="52" t="s">
        <v>25</v>
      </c>
      <c r="F3356" s="52" t="s">
        <v>26</v>
      </c>
      <c r="G3356" s="53"/>
    </row>
    <row r="3357">
      <c r="A3357" s="49">
        <v>44548.206821203705</v>
      </c>
      <c r="B3357" s="50">
        <v>44548.3317874421</v>
      </c>
      <c r="C3357" s="51">
        <v>1.019</v>
      </c>
      <c r="D3357" s="51">
        <v>66.0</v>
      </c>
      <c r="E3357" s="52" t="s">
        <v>25</v>
      </c>
      <c r="F3357" s="52" t="s">
        <v>26</v>
      </c>
      <c r="G3357" s="53"/>
    </row>
    <row r="3358">
      <c r="A3358" s="49">
        <v>44548.21725421296</v>
      </c>
      <c r="B3358" s="50">
        <v>44548.3422317245</v>
      </c>
      <c r="C3358" s="51">
        <v>1.019</v>
      </c>
      <c r="D3358" s="51">
        <v>66.0</v>
      </c>
      <c r="E3358" s="52" t="s">
        <v>25</v>
      </c>
      <c r="F3358" s="52" t="s">
        <v>26</v>
      </c>
      <c r="G3358" s="53"/>
    </row>
    <row r="3359">
      <c r="A3359" s="49">
        <v>44548.227684722224</v>
      </c>
      <c r="B3359" s="50">
        <v>44548.3526523611</v>
      </c>
      <c r="C3359" s="51">
        <v>1.019</v>
      </c>
      <c r="D3359" s="51">
        <v>66.0</v>
      </c>
      <c r="E3359" s="52" t="s">
        <v>25</v>
      </c>
      <c r="F3359" s="52" t="s">
        <v>26</v>
      </c>
      <c r="G3359" s="53"/>
    </row>
    <row r="3360">
      <c r="A3360" s="49">
        <v>44548.23811443287</v>
      </c>
      <c r="B3360" s="50">
        <v>44548.3630844444</v>
      </c>
      <c r="C3360" s="51">
        <v>1.019</v>
      </c>
      <c r="D3360" s="51">
        <v>66.0</v>
      </c>
      <c r="E3360" s="52" t="s">
        <v>25</v>
      </c>
      <c r="F3360" s="52" t="s">
        <v>26</v>
      </c>
      <c r="G3360" s="53"/>
    </row>
    <row r="3361">
      <c r="A3361" s="49">
        <v>44548.24853405093</v>
      </c>
      <c r="B3361" s="50">
        <v>44548.3735047685</v>
      </c>
      <c r="C3361" s="51">
        <v>1.019</v>
      </c>
      <c r="D3361" s="51">
        <v>66.0</v>
      </c>
      <c r="E3361" s="52" t="s">
        <v>25</v>
      </c>
      <c r="F3361" s="52" t="s">
        <v>26</v>
      </c>
      <c r="G3361" s="53"/>
    </row>
    <row r="3362">
      <c r="A3362" s="49">
        <v>44548.25896597222</v>
      </c>
      <c r="B3362" s="50">
        <v>44548.3839375578</v>
      </c>
      <c r="C3362" s="51">
        <v>1.019</v>
      </c>
      <c r="D3362" s="51">
        <v>66.0</v>
      </c>
      <c r="E3362" s="52" t="s">
        <v>25</v>
      </c>
      <c r="F3362" s="52" t="s">
        <v>26</v>
      </c>
      <c r="G3362" s="53"/>
    </row>
    <row r="3363">
      <c r="A3363" s="49">
        <v>44548.26938596065</v>
      </c>
      <c r="B3363" s="50">
        <v>44548.3943593402</v>
      </c>
      <c r="C3363" s="51">
        <v>1.019</v>
      </c>
      <c r="D3363" s="51">
        <v>66.0</v>
      </c>
      <c r="E3363" s="52" t="s">
        <v>25</v>
      </c>
      <c r="F3363" s="52" t="s">
        <v>26</v>
      </c>
      <c r="G3363" s="53"/>
    </row>
    <row r="3364">
      <c r="A3364" s="49">
        <v>44548.279822916666</v>
      </c>
      <c r="B3364" s="50">
        <v>44548.4047933912</v>
      </c>
      <c r="C3364" s="51">
        <v>1.019</v>
      </c>
      <c r="D3364" s="51">
        <v>66.0</v>
      </c>
      <c r="E3364" s="52" t="s">
        <v>25</v>
      </c>
      <c r="F3364" s="52" t="s">
        <v>26</v>
      </c>
      <c r="G3364" s="53"/>
    </row>
    <row r="3365">
      <c r="A3365" s="49">
        <v>44548.29024803241</v>
      </c>
      <c r="B3365" s="50">
        <v>44548.4152136805</v>
      </c>
      <c r="C3365" s="51">
        <v>1.019</v>
      </c>
      <c r="D3365" s="51">
        <v>66.0</v>
      </c>
      <c r="E3365" s="52" t="s">
        <v>25</v>
      </c>
      <c r="F3365" s="52" t="s">
        <v>26</v>
      </c>
      <c r="G3365" s="53"/>
    </row>
    <row r="3366">
      <c r="A3366" s="49">
        <v>44548.300703726854</v>
      </c>
      <c r="B3366" s="50">
        <v>44548.425672037</v>
      </c>
      <c r="C3366" s="51">
        <v>1.019</v>
      </c>
      <c r="D3366" s="51">
        <v>66.0</v>
      </c>
      <c r="E3366" s="52" t="s">
        <v>25</v>
      </c>
      <c r="F3366" s="52" t="s">
        <v>26</v>
      </c>
      <c r="G3366" s="53"/>
    </row>
    <row r="3367">
      <c r="A3367" s="49">
        <v>44548.31113793982</v>
      </c>
      <c r="B3367" s="50">
        <v>44548.4361055324</v>
      </c>
      <c r="C3367" s="51">
        <v>1.019</v>
      </c>
      <c r="D3367" s="51">
        <v>66.0</v>
      </c>
      <c r="E3367" s="52" t="s">
        <v>25</v>
      </c>
      <c r="F3367" s="52" t="s">
        <v>26</v>
      </c>
      <c r="G3367" s="53"/>
    </row>
    <row r="3368">
      <c r="A3368" s="49">
        <v>44548.32160892361</v>
      </c>
      <c r="B3368" s="50">
        <v>44548.4465740856</v>
      </c>
      <c r="C3368" s="51">
        <v>1.019</v>
      </c>
      <c r="D3368" s="51">
        <v>66.0</v>
      </c>
      <c r="E3368" s="52" t="s">
        <v>25</v>
      </c>
      <c r="F3368" s="52" t="s">
        <v>26</v>
      </c>
      <c r="G3368" s="53"/>
    </row>
    <row r="3369">
      <c r="A3369" s="49">
        <v>44548.33205334491</v>
      </c>
      <c r="B3369" s="50">
        <v>44548.4570187268</v>
      </c>
      <c r="C3369" s="51">
        <v>1.019</v>
      </c>
      <c r="D3369" s="51">
        <v>66.0</v>
      </c>
      <c r="E3369" s="52" t="s">
        <v>25</v>
      </c>
      <c r="F3369" s="52" t="s">
        <v>26</v>
      </c>
      <c r="G3369" s="53"/>
    </row>
    <row r="3370">
      <c r="A3370" s="49">
        <v>44548.342476261576</v>
      </c>
      <c r="B3370" s="50">
        <v>44548.4674509143</v>
      </c>
      <c r="C3370" s="51">
        <v>1.019</v>
      </c>
      <c r="D3370" s="51">
        <v>66.0</v>
      </c>
      <c r="E3370" s="52" t="s">
        <v>25</v>
      </c>
      <c r="F3370" s="52" t="s">
        <v>26</v>
      </c>
      <c r="G3370" s="53"/>
    </row>
    <row r="3371">
      <c r="A3371" s="49">
        <v>44548.35290146991</v>
      </c>
      <c r="B3371" s="50">
        <v>44548.4778736226</v>
      </c>
      <c r="C3371" s="51">
        <v>1.019</v>
      </c>
      <c r="D3371" s="51">
        <v>66.0</v>
      </c>
      <c r="E3371" s="52" t="s">
        <v>25</v>
      </c>
      <c r="F3371" s="52" t="s">
        <v>26</v>
      </c>
      <c r="G3371" s="53"/>
    </row>
    <row r="3372">
      <c r="A3372" s="49">
        <v>44548.36333086806</v>
      </c>
      <c r="B3372" s="50">
        <v>44548.4883072106</v>
      </c>
      <c r="C3372" s="51">
        <v>1.019</v>
      </c>
      <c r="D3372" s="51">
        <v>66.0</v>
      </c>
      <c r="E3372" s="52" t="s">
        <v>25</v>
      </c>
      <c r="F3372" s="52" t="s">
        <v>26</v>
      </c>
      <c r="G3372" s="53"/>
    </row>
    <row r="3373">
      <c r="A3373" s="49">
        <v>44548.37376594907</v>
      </c>
      <c r="B3373" s="50">
        <v>44548.4987397453</v>
      </c>
      <c r="C3373" s="51">
        <v>1.019</v>
      </c>
      <c r="D3373" s="51">
        <v>66.0</v>
      </c>
      <c r="E3373" s="52" t="s">
        <v>25</v>
      </c>
      <c r="F3373" s="52" t="s">
        <v>26</v>
      </c>
      <c r="G3373" s="53"/>
    </row>
    <row r="3374">
      <c r="A3374" s="49">
        <v>44548.38419152777</v>
      </c>
      <c r="B3374" s="50">
        <v>44548.5091605555</v>
      </c>
      <c r="C3374" s="51">
        <v>1.019</v>
      </c>
      <c r="D3374" s="51">
        <v>66.0</v>
      </c>
      <c r="E3374" s="52" t="s">
        <v>25</v>
      </c>
      <c r="F3374" s="52" t="s">
        <v>26</v>
      </c>
      <c r="G3374" s="53"/>
    </row>
    <row r="3375">
      <c r="A3375" s="49">
        <v>44548.39461131944</v>
      </c>
      <c r="B3375" s="50">
        <v>44548.5195809838</v>
      </c>
      <c r="C3375" s="51">
        <v>1.019</v>
      </c>
      <c r="D3375" s="51">
        <v>66.0</v>
      </c>
      <c r="E3375" s="52" t="s">
        <v>25</v>
      </c>
      <c r="F3375" s="52" t="s">
        <v>26</v>
      </c>
      <c r="G3375" s="53"/>
    </row>
    <row r="3376">
      <c r="A3376" s="49">
        <v>44548.405039108795</v>
      </c>
      <c r="B3376" s="50">
        <v>44548.5300146527</v>
      </c>
      <c r="C3376" s="51">
        <v>1.019</v>
      </c>
      <c r="D3376" s="51">
        <v>66.0</v>
      </c>
      <c r="E3376" s="52" t="s">
        <v>25</v>
      </c>
      <c r="F3376" s="52" t="s">
        <v>26</v>
      </c>
      <c r="G3376" s="53"/>
    </row>
    <row r="3377">
      <c r="A3377" s="49">
        <v>44548.41545681713</v>
      </c>
      <c r="B3377" s="50">
        <v>44548.5404356481</v>
      </c>
      <c r="C3377" s="51">
        <v>1.019</v>
      </c>
      <c r="D3377" s="51">
        <v>66.0</v>
      </c>
      <c r="E3377" s="52" t="s">
        <v>25</v>
      </c>
      <c r="F3377" s="52" t="s">
        <v>26</v>
      </c>
      <c r="G3377" s="53"/>
    </row>
    <row r="3378">
      <c r="A3378" s="49">
        <v>44548.42588325232</v>
      </c>
      <c r="B3378" s="50">
        <v>44548.5508575347</v>
      </c>
      <c r="C3378" s="51">
        <v>1.019</v>
      </c>
      <c r="D3378" s="51">
        <v>66.0</v>
      </c>
      <c r="E3378" s="52" t="s">
        <v>25</v>
      </c>
      <c r="F3378" s="52" t="s">
        <v>26</v>
      </c>
      <c r="G3378" s="53"/>
    </row>
    <row r="3379">
      <c r="A3379" s="49">
        <v>44548.43630233796</v>
      </c>
      <c r="B3379" s="50">
        <v>44548.5612782407</v>
      </c>
      <c r="C3379" s="51">
        <v>1.019</v>
      </c>
      <c r="D3379" s="51">
        <v>66.0</v>
      </c>
      <c r="E3379" s="52" t="s">
        <v>25</v>
      </c>
      <c r="F3379" s="52" t="s">
        <v>26</v>
      </c>
      <c r="G3379" s="53"/>
    </row>
    <row r="3380">
      <c r="A3380" s="49">
        <v>44548.44676348379</v>
      </c>
      <c r="B3380" s="50">
        <v>44548.5717339236</v>
      </c>
      <c r="C3380" s="51">
        <v>1.019</v>
      </c>
      <c r="D3380" s="51">
        <v>66.0</v>
      </c>
      <c r="E3380" s="52" t="s">
        <v>25</v>
      </c>
      <c r="F3380" s="52" t="s">
        <v>26</v>
      </c>
      <c r="G3380" s="53"/>
    </row>
    <row r="3381">
      <c r="A3381" s="49">
        <v>44548.45718063657</v>
      </c>
      <c r="B3381" s="50">
        <v>44548.5821524768</v>
      </c>
      <c r="C3381" s="51">
        <v>1.019</v>
      </c>
      <c r="D3381" s="51">
        <v>66.0</v>
      </c>
      <c r="E3381" s="52" t="s">
        <v>25</v>
      </c>
      <c r="F3381" s="52" t="s">
        <v>26</v>
      </c>
      <c r="G3381" s="53"/>
    </row>
    <row r="3382">
      <c r="A3382" s="49">
        <v>44548.46761552083</v>
      </c>
      <c r="B3382" s="50">
        <v>44548.5925853587</v>
      </c>
      <c r="C3382" s="51">
        <v>1.019</v>
      </c>
      <c r="D3382" s="51">
        <v>66.0</v>
      </c>
      <c r="E3382" s="52" t="s">
        <v>25</v>
      </c>
      <c r="F3382" s="52" t="s">
        <v>26</v>
      </c>
      <c r="G3382" s="53"/>
    </row>
    <row r="3383">
      <c r="A3383" s="49">
        <v>44548.47804599537</v>
      </c>
      <c r="B3383" s="50">
        <v>44548.6030186689</v>
      </c>
      <c r="C3383" s="51">
        <v>1.019</v>
      </c>
      <c r="D3383" s="51">
        <v>66.0</v>
      </c>
      <c r="E3383" s="52" t="s">
        <v>25</v>
      </c>
      <c r="F3383" s="52" t="s">
        <v>26</v>
      </c>
      <c r="G3383" s="53"/>
    </row>
    <row r="3384">
      <c r="A3384" s="49">
        <v>44548.48847125</v>
      </c>
      <c r="B3384" s="50">
        <v>44548.6134393402</v>
      </c>
      <c r="C3384" s="51">
        <v>1.019</v>
      </c>
      <c r="D3384" s="51">
        <v>66.0</v>
      </c>
      <c r="E3384" s="52" t="s">
        <v>25</v>
      </c>
      <c r="F3384" s="52" t="s">
        <v>26</v>
      </c>
      <c r="G3384" s="53"/>
    </row>
    <row r="3385">
      <c r="A3385" s="49">
        <v>44548.49889991898</v>
      </c>
      <c r="B3385" s="50">
        <v>44548.6238717708</v>
      </c>
      <c r="C3385" s="51">
        <v>1.019</v>
      </c>
      <c r="D3385" s="51">
        <v>66.0</v>
      </c>
      <c r="E3385" s="52" t="s">
        <v>25</v>
      </c>
      <c r="F3385" s="52" t="s">
        <v>26</v>
      </c>
      <c r="G3385" s="53"/>
    </row>
    <row r="3386">
      <c r="A3386" s="49">
        <v>44548.509353518515</v>
      </c>
      <c r="B3386" s="50">
        <v>44548.6343281018</v>
      </c>
      <c r="C3386" s="51">
        <v>1.019</v>
      </c>
      <c r="D3386" s="51">
        <v>66.0</v>
      </c>
      <c r="E3386" s="52" t="s">
        <v>25</v>
      </c>
      <c r="F3386" s="52" t="s">
        <v>26</v>
      </c>
      <c r="G3386" s="53"/>
    </row>
    <row r="3387">
      <c r="A3387" s="49">
        <v>44548.51977575231</v>
      </c>
      <c r="B3387" s="50">
        <v>44548.6447488425</v>
      </c>
      <c r="C3387" s="51">
        <v>1.019</v>
      </c>
      <c r="D3387" s="51">
        <v>66.0</v>
      </c>
      <c r="E3387" s="52" t="s">
        <v>25</v>
      </c>
      <c r="F3387" s="52" t="s">
        <v>26</v>
      </c>
      <c r="G3387" s="53"/>
    </row>
    <row r="3388">
      <c r="A3388" s="49">
        <v>44548.53020631944</v>
      </c>
      <c r="B3388" s="50">
        <v>44548.6551816319</v>
      </c>
      <c r="C3388" s="51">
        <v>1.019</v>
      </c>
      <c r="D3388" s="51">
        <v>66.0</v>
      </c>
      <c r="E3388" s="52" t="s">
        <v>25</v>
      </c>
      <c r="F3388" s="52" t="s">
        <v>26</v>
      </c>
      <c r="G3388" s="53"/>
    </row>
    <row r="3389">
      <c r="A3389" s="49">
        <v>44548.54062637732</v>
      </c>
      <c r="B3389" s="50">
        <v>44548.6656032986</v>
      </c>
      <c r="C3389" s="51">
        <v>1.019</v>
      </c>
      <c r="D3389" s="51">
        <v>66.0</v>
      </c>
      <c r="E3389" s="52" t="s">
        <v>25</v>
      </c>
      <c r="F3389" s="52" t="s">
        <v>26</v>
      </c>
      <c r="G3389" s="53"/>
    </row>
    <row r="3390">
      <c r="A3390" s="49">
        <v>44548.55104528935</v>
      </c>
      <c r="B3390" s="50">
        <v>44548.6760241435</v>
      </c>
      <c r="C3390" s="51">
        <v>1.019</v>
      </c>
      <c r="D3390" s="51">
        <v>66.0</v>
      </c>
      <c r="E3390" s="52" t="s">
        <v>25</v>
      </c>
      <c r="F3390" s="52" t="s">
        <v>26</v>
      </c>
      <c r="G3390" s="53"/>
    </row>
    <row r="3391">
      <c r="A3391" s="49">
        <v>44548.56147701389</v>
      </c>
      <c r="B3391" s="50">
        <v>44548.6864462731</v>
      </c>
      <c r="C3391" s="51">
        <v>1.019</v>
      </c>
      <c r="D3391" s="51">
        <v>66.0</v>
      </c>
      <c r="E3391" s="52" t="s">
        <v>25</v>
      </c>
      <c r="F3391" s="52" t="s">
        <v>26</v>
      </c>
      <c r="G3391" s="53"/>
    </row>
    <row r="3392">
      <c r="A3392" s="49">
        <v>44548.57189457176</v>
      </c>
      <c r="B3392" s="50">
        <v>44548.6968665277</v>
      </c>
      <c r="C3392" s="51">
        <v>1.019</v>
      </c>
      <c r="D3392" s="51">
        <v>66.0</v>
      </c>
      <c r="E3392" s="52" t="s">
        <v>25</v>
      </c>
      <c r="F3392" s="52" t="s">
        <v>26</v>
      </c>
      <c r="G3392" s="53"/>
    </row>
    <row r="3393">
      <c r="A3393" s="49">
        <v>44548.582320381945</v>
      </c>
      <c r="B3393" s="50">
        <v>44548.7072985532</v>
      </c>
      <c r="C3393" s="51">
        <v>1.019</v>
      </c>
      <c r="D3393" s="51">
        <v>66.0</v>
      </c>
      <c r="E3393" s="52" t="s">
        <v>25</v>
      </c>
      <c r="F3393" s="52" t="s">
        <v>26</v>
      </c>
      <c r="G3393" s="53"/>
    </row>
    <row r="3394">
      <c r="A3394" s="49">
        <v>44548.59276241898</v>
      </c>
      <c r="B3394" s="50">
        <v>44548.7177420486</v>
      </c>
      <c r="C3394" s="51">
        <v>1.019</v>
      </c>
      <c r="D3394" s="51">
        <v>66.0</v>
      </c>
      <c r="E3394" s="52" t="s">
        <v>25</v>
      </c>
      <c r="F3394" s="52" t="s">
        <v>26</v>
      </c>
      <c r="G3394" s="53"/>
    </row>
    <row r="3395">
      <c r="A3395" s="49">
        <v>44548.603204687504</v>
      </c>
      <c r="B3395" s="50">
        <v>44548.7281747569</v>
      </c>
      <c r="C3395" s="51">
        <v>1.019</v>
      </c>
      <c r="D3395" s="51">
        <v>65.0</v>
      </c>
      <c r="E3395" s="52" t="s">
        <v>25</v>
      </c>
      <c r="F3395" s="52" t="s">
        <v>26</v>
      </c>
      <c r="G3395" s="53"/>
    </row>
    <row r="3396">
      <c r="A3396" s="49">
        <v>44548.6240946412</v>
      </c>
      <c r="B3396" s="50">
        <v>44548.7490520254</v>
      </c>
      <c r="C3396" s="51">
        <v>1.019</v>
      </c>
      <c r="D3396" s="51">
        <v>66.0</v>
      </c>
      <c r="E3396" s="52" t="s">
        <v>25</v>
      </c>
      <c r="F3396" s="52" t="s">
        <v>26</v>
      </c>
      <c r="G3396" s="53"/>
    </row>
    <row r="3397">
      <c r="A3397" s="49">
        <v>44548.6345015625</v>
      </c>
      <c r="B3397" s="50">
        <v>44548.7594739236</v>
      </c>
      <c r="C3397" s="51">
        <v>1.019</v>
      </c>
      <c r="D3397" s="51">
        <v>66.0</v>
      </c>
      <c r="E3397" s="52" t="s">
        <v>25</v>
      </c>
      <c r="F3397" s="52" t="s">
        <v>26</v>
      </c>
      <c r="G3397" s="53"/>
    </row>
    <row r="3398">
      <c r="A3398" s="49">
        <v>44548.64492876157</v>
      </c>
      <c r="B3398" s="50">
        <v>44548.7698962731</v>
      </c>
      <c r="C3398" s="51">
        <v>1.019</v>
      </c>
      <c r="D3398" s="51">
        <v>66.0</v>
      </c>
      <c r="E3398" s="52" t="s">
        <v>25</v>
      </c>
      <c r="F3398" s="52" t="s">
        <v>26</v>
      </c>
      <c r="G3398" s="53"/>
    </row>
    <row r="3399">
      <c r="A3399" s="49">
        <v>44548.6553521875</v>
      </c>
      <c r="B3399" s="50">
        <v>44548.7803162731</v>
      </c>
      <c r="C3399" s="51">
        <v>1.019</v>
      </c>
      <c r="D3399" s="51">
        <v>66.0</v>
      </c>
      <c r="E3399" s="52" t="s">
        <v>25</v>
      </c>
      <c r="F3399" s="52" t="s">
        <v>26</v>
      </c>
      <c r="G3399" s="53"/>
    </row>
    <row r="3400">
      <c r="A3400" s="49">
        <v>44548.66579254629</v>
      </c>
      <c r="B3400" s="50">
        <v>44548.790735949</v>
      </c>
      <c r="C3400" s="51">
        <v>1.019</v>
      </c>
      <c r="D3400" s="51">
        <v>66.0</v>
      </c>
      <c r="E3400" s="52" t="s">
        <v>25</v>
      </c>
      <c r="F3400" s="52" t="s">
        <v>26</v>
      </c>
      <c r="G3400" s="53"/>
    </row>
    <row r="3401">
      <c r="A3401" s="49">
        <v>44548.67619305555</v>
      </c>
      <c r="B3401" s="50">
        <v>44548.8011584259</v>
      </c>
      <c r="C3401" s="51">
        <v>1.019</v>
      </c>
      <c r="D3401" s="51">
        <v>66.0</v>
      </c>
      <c r="E3401" s="52" t="s">
        <v>25</v>
      </c>
      <c r="F3401" s="52" t="s">
        <v>26</v>
      </c>
      <c r="G3401" s="53"/>
    </row>
    <row r="3402">
      <c r="A3402" s="49">
        <v>44548.68660728009</v>
      </c>
      <c r="B3402" s="50">
        <v>44548.8115813194</v>
      </c>
      <c r="C3402" s="51">
        <v>1.019</v>
      </c>
      <c r="D3402" s="51">
        <v>66.0</v>
      </c>
      <c r="E3402" s="52" t="s">
        <v>25</v>
      </c>
      <c r="F3402" s="52" t="s">
        <v>26</v>
      </c>
      <c r="G3402" s="53"/>
    </row>
    <row r="3403">
      <c r="A3403" s="49">
        <v>44548.69705362269</v>
      </c>
      <c r="B3403" s="50">
        <v>44548.8220144328</v>
      </c>
      <c r="C3403" s="51">
        <v>1.019</v>
      </c>
      <c r="D3403" s="51">
        <v>65.0</v>
      </c>
      <c r="E3403" s="52" t="s">
        <v>25</v>
      </c>
      <c r="F3403" s="52" t="s">
        <v>26</v>
      </c>
      <c r="G3403" s="53"/>
    </row>
    <row r="3404">
      <c r="A3404" s="49">
        <v>44548.70747869213</v>
      </c>
      <c r="B3404" s="50">
        <v>44548.8324497106</v>
      </c>
      <c r="C3404" s="51">
        <v>1.019</v>
      </c>
      <c r="D3404" s="51">
        <v>66.0</v>
      </c>
      <c r="E3404" s="52" t="s">
        <v>25</v>
      </c>
      <c r="F3404" s="52" t="s">
        <v>26</v>
      </c>
      <c r="G3404" s="53"/>
    </row>
    <row r="3405">
      <c r="A3405" s="49">
        <v>44548.717916064816</v>
      </c>
      <c r="B3405" s="50">
        <v>44548.84288478</v>
      </c>
      <c r="C3405" s="51">
        <v>1.019</v>
      </c>
      <c r="D3405" s="51">
        <v>65.0</v>
      </c>
      <c r="E3405" s="52" t="s">
        <v>25</v>
      </c>
      <c r="F3405" s="52" t="s">
        <v>26</v>
      </c>
      <c r="G3405" s="53"/>
    </row>
    <row r="3406">
      <c r="A3406" s="49">
        <v>44548.72833873842</v>
      </c>
      <c r="B3406" s="50">
        <v>44548.8533064583</v>
      </c>
      <c r="C3406" s="51">
        <v>1.019</v>
      </c>
      <c r="D3406" s="51">
        <v>65.0</v>
      </c>
      <c r="E3406" s="52" t="s">
        <v>25</v>
      </c>
      <c r="F3406" s="52" t="s">
        <v>26</v>
      </c>
      <c r="G3406" s="53"/>
    </row>
    <row r="3407">
      <c r="A3407" s="49">
        <v>44548.73875934028</v>
      </c>
      <c r="B3407" s="50">
        <v>44548.8637273726</v>
      </c>
      <c r="C3407" s="51">
        <v>1.019</v>
      </c>
      <c r="D3407" s="51">
        <v>65.0</v>
      </c>
      <c r="E3407" s="52" t="s">
        <v>25</v>
      </c>
      <c r="F3407" s="52" t="s">
        <v>26</v>
      </c>
      <c r="G3407" s="53"/>
    </row>
    <row r="3408">
      <c r="A3408" s="49">
        <v>44548.749207430556</v>
      </c>
      <c r="B3408" s="50">
        <v>44548.8741717129</v>
      </c>
      <c r="C3408" s="51">
        <v>1.019</v>
      </c>
      <c r="D3408" s="51">
        <v>65.0</v>
      </c>
      <c r="E3408" s="52" t="s">
        <v>25</v>
      </c>
      <c r="F3408" s="52" t="s">
        <v>26</v>
      </c>
      <c r="G3408" s="53"/>
    </row>
    <row r="3409">
      <c r="A3409" s="49">
        <v>44548.75971600694</v>
      </c>
      <c r="B3409" s="50">
        <v>44548.8845936805</v>
      </c>
      <c r="C3409" s="51">
        <v>1.018</v>
      </c>
      <c r="D3409" s="51">
        <v>65.0</v>
      </c>
      <c r="E3409" s="52" t="s">
        <v>25</v>
      </c>
      <c r="F3409" s="52" t="s">
        <v>26</v>
      </c>
      <c r="G3409" s="53"/>
    </row>
    <row r="3410">
      <c r="A3410" s="49">
        <v>44548.770049004626</v>
      </c>
      <c r="B3410" s="50">
        <v>44548.8950243055</v>
      </c>
      <c r="C3410" s="51">
        <v>1.019</v>
      </c>
      <c r="D3410" s="51">
        <v>66.0</v>
      </c>
      <c r="E3410" s="52" t="s">
        <v>25</v>
      </c>
      <c r="F3410" s="52" t="s">
        <v>26</v>
      </c>
      <c r="G3410" s="53"/>
    </row>
    <row r="3411">
      <c r="A3411" s="49">
        <v>44548.78048163194</v>
      </c>
      <c r="B3411" s="50">
        <v>44548.9054562037</v>
      </c>
      <c r="C3411" s="51">
        <v>1.019</v>
      </c>
      <c r="D3411" s="51">
        <v>65.0</v>
      </c>
      <c r="E3411" s="52" t="s">
        <v>25</v>
      </c>
      <c r="F3411" s="52" t="s">
        <v>26</v>
      </c>
      <c r="G3411" s="53"/>
    </row>
    <row r="3412">
      <c r="A3412" s="49">
        <v>44548.79091833333</v>
      </c>
      <c r="B3412" s="50">
        <v>44548.9158888541</v>
      </c>
      <c r="C3412" s="51">
        <v>1.019</v>
      </c>
      <c r="D3412" s="51">
        <v>65.0</v>
      </c>
      <c r="E3412" s="52" t="s">
        <v>25</v>
      </c>
      <c r="F3412" s="52" t="s">
        <v>26</v>
      </c>
      <c r="G3412" s="53"/>
    </row>
    <row r="3413">
      <c r="A3413" s="49">
        <v>44548.801368333334</v>
      </c>
      <c r="B3413" s="50">
        <v>44548.9263334375</v>
      </c>
      <c r="C3413" s="51">
        <v>1.019</v>
      </c>
      <c r="D3413" s="51">
        <v>65.0</v>
      </c>
      <c r="E3413" s="52" t="s">
        <v>25</v>
      </c>
      <c r="F3413" s="52" t="s">
        <v>26</v>
      </c>
      <c r="G3413" s="53"/>
    </row>
    <row r="3414">
      <c r="A3414" s="49">
        <v>44548.8117866088</v>
      </c>
      <c r="B3414" s="50">
        <v>44548.9367555786</v>
      </c>
      <c r="C3414" s="51">
        <v>1.019</v>
      </c>
      <c r="D3414" s="51">
        <v>65.0</v>
      </c>
      <c r="E3414" s="52" t="s">
        <v>25</v>
      </c>
      <c r="F3414" s="52" t="s">
        <v>26</v>
      </c>
      <c r="G3414" s="53"/>
    </row>
    <row r="3415">
      <c r="A3415" s="49">
        <v>44548.82221868055</v>
      </c>
      <c r="B3415" s="50">
        <v>44548.947188368</v>
      </c>
      <c r="C3415" s="51">
        <v>1.019</v>
      </c>
      <c r="D3415" s="51">
        <v>65.0</v>
      </c>
      <c r="E3415" s="52" t="s">
        <v>25</v>
      </c>
      <c r="F3415" s="52" t="s">
        <v>26</v>
      </c>
      <c r="G3415" s="53"/>
    </row>
    <row r="3416">
      <c r="A3416" s="49">
        <v>44548.832685104164</v>
      </c>
      <c r="B3416" s="50">
        <v>44548.9576545486</v>
      </c>
      <c r="C3416" s="51">
        <v>1.019</v>
      </c>
      <c r="D3416" s="51">
        <v>65.0</v>
      </c>
      <c r="E3416" s="52" t="s">
        <v>25</v>
      </c>
      <c r="F3416" s="52" t="s">
        <v>26</v>
      </c>
      <c r="G3416" s="53"/>
    </row>
    <row r="3417">
      <c r="A3417" s="49">
        <v>44548.84311943287</v>
      </c>
      <c r="B3417" s="50">
        <v>44548.9680862152</v>
      </c>
      <c r="C3417" s="51">
        <v>1.019</v>
      </c>
      <c r="D3417" s="51">
        <v>65.0</v>
      </c>
      <c r="E3417" s="52" t="s">
        <v>25</v>
      </c>
      <c r="F3417" s="52" t="s">
        <v>26</v>
      </c>
      <c r="G3417" s="53"/>
    </row>
    <row r="3418">
      <c r="A3418" s="49">
        <v>44548.85353680556</v>
      </c>
      <c r="B3418" s="50">
        <v>44548.9785084606</v>
      </c>
      <c r="C3418" s="51">
        <v>1.019</v>
      </c>
      <c r="D3418" s="51">
        <v>65.0</v>
      </c>
      <c r="E3418" s="52" t="s">
        <v>25</v>
      </c>
      <c r="F3418" s="52" t="s">
        <v>26</v>
      </c>
      <c r="G3418" s="53"/>
    </row>
    <row r="3419">
      <c r="A3419" s="49">
        <v>44548.863955486115</v>
      </c>
      <c r="B3419" s="50">
        <v>44548.9889294097</v>
      </c>
      <c r="C3419" s="51">
        <v>1.019</v>
      </c>
      <c r="D3419" s="51">
        <v>65.0</v>
      </c>
      <c r="E3419" s="52" t="s">
        <v>25</v>
      </c>
      <c r="F3419" s="52" t="s">
        <v>26</v>
      </c>
      <c r="G3419" s="53"/>
    </row>
    <row r="3420">
      <c r="A3420" s="49">
        <v>44548.87438869213</v>
      </c>
      <c r="B3420" s="50">
        <v>44548.9993511458</v>
      </c>
      <c r="C3420" s="51">
        <v>1.018</v>
      </c>
      <c r="D3420" s="51">
        <v>65.0</v>
      </c>
      <c r="E3420" s="52" t="s">
        <v>25</v>
      </c>
      <c r="F3420" s="52" t="s">
        <v>26</v>
      </c>
      <c r="G3420" s="53"/>
    </row>
    <row r="3421">
      <c r="A3421" s="49">
        <v>44548.884822708336</v>
      </c>
      <c r="B3421" s="50">
        <v>44549.0097832638</v>
      </c>
      <c r="C3421" s="51">
        <v>1.019</v>
      </c>
      <c r="D3421" s="51">
        <v>65.0</v>
      </c>
      <c r="E3421" s="52" t="s">
        <v>25</v>
      </c>
      <c r="F3421" s="52" t="s">
        <v>26</v>
      </c>
      <c r="G3421" s="53"/>
    </row>
    <row r="3422">
      <c r="A3422" s="49">
        <v>44548.8952519213</v>
      </c>
      <c r="B3422" s="50">
        <v>44549.0202172453</v>
      </c>
      <c r="C3422" s="51">
        <v>1.019</v>
      </c>
      <c r="D3422" s="51">
        <v>65.0</v>
      </c>
      <c r="E3422" s="52" t="s">
        <v>25</v>
      </c>
      <c r="F3422" s="52" t="s">
        <v>26</v>
      </c>
      <c r="G3422" s="53"/>
    </row>
    <row r="3423">
      <c r="A3423" s="49">
        <v>44548.905688009254</v>
      </c>
      <c r="B3423" s="50">
        <v>44549.0306503935</v>
      </c>
      <c r="C3423" s="51">
        <v>1.018</v>
      </c>
      <c r="D3423" s="51">
        <v>65.0</v>
      </c>
      <c r="E3423" s="52" t="s">
        <v>25</v>
      </c>
      <c r="F3423" s="52" t="s">
        <v>26</v>
      </c>
      <c r="G3423" s="53"/>
    </row>
    <row r="3424">
      <c r="A3424" s="49">
        <v>44548.916110763894</v>
      </c>
      <c r="B3424" s="50">
        <v>44549.0410849537</v>
      </c>
      <c r="C3424" s="51">
        <v>1.018</v>
      </c>
      <c r="D3424" s="51">
        <v>65.0</v>
      </c>
      <c r="E3424" s="52" t="s">
        <v>25</v>
      </c>
      <c r="F3424" s="52" t="s">
        <v>26</v>
      </c>
      <c r="G3424" s="53"/>
    </row>
    <row r="3425">
      <c r="A3425" s="49">
        <v>44548.92655393518</v>
      </c>
      <c r="B3425" s="50">
        <v>44549.05151728</v>
      </c>
      <c r="C3425" s="51">
        <v>1.019</v>
      </c>
      <c r="D3425" s="51">
        <v>65.0</v>
      </c>
      <c r="E3425" s="52" t="s">
        <v>25</v>
      </c>
      <c r="F3425" s="52" t="s">
        <v>26</v>
      </c>
      <c r="G3425" s="53"/>
    </row>
    <row r="3426">
      <c r="A3426" s="49">
        <v>44548.93696443287</v>
      </c>
      <c r="B3426" s="50">
        <v>44549.0619385069</v>
      </c>
      <c r="C3426" s="51">
        <v>1.019</v>
      </c>
      <c r="D3426" s="51">
        <v>65.0</v>
      </c>
      <c r="E3426" s="52" t="s">
        <v>25</v>
      </c>
      <c r="F3426" s="52" t="s">
        <v>26</v>
      </c>
      <c r="G3426" s="53"/>
    </row>
    <row r="3427">
      <c r="A3427" s="49">
        <v>44548.947407569445</v>
      </c>
      <c r="B3427" s="50">
        <v>44549.0723709374</v>
      </c>
      <c r="C3427" s="51">
        <v>1.018</v>
      </c>
      <c r="D3427" s="51">
        <v>65.0</v>
      </c>
      <c r="E3427" s="52" t="s">
        <v>25</v>
      </c>
      <c r="F3427" s="52" t="s">
        <v>26</v>
      </c>
      <c r="G3427" s="53"/>
    </row>
    <row r="3428">
      <c r="A3428" s="49">
        <v>44548.957833912034</v>
      </c>
      <c r="B3428" s="50">
        <v>44549.082793449</v>
      </c>
      <c r="C3428" s="51">
        <v>1.018</v>
      </c>
      <c r="D3428" s="51">
        <v>65.0</v>
      </c>
      <c r="E3428" s="52" t="s">
        <v>25</v>
      </c>
      <c r="F3428" s="52" t="s">
        <v>26</v>
      </c>
      <c r="G3428" s="53"/>
    </row>
    <row r="3429">
      <c r="A3429" s="49">
        <v>44548.968265868054</v>
      </c>
      <c r="B3429" s="50">
        <v>44549.0932269444</v>
      </c>
      <c r="C3429" s="51">
        <v>1.019</v>
      </c>
      <c r="D3429" s="51">
        <v>65.0</v>
      </c>
      <c r="E3429" s="52" t="s">
        <v>25</v>
      </c>
      <c r="F3429" s="52" t="s">
        <v>26</v>
      </c>
      <c r="G3429" s="53"/>
    </row>
    <row r="3430">
      <c r="A3430" s="49">
        <v>44548.978681712964</v>
      </c>
      <c r="B3430" s="50">
        <v>44549.1036480208</v>
      </c>
      <c r="C3430" s="51">
        <v>1.019</v>
      </c>
      <c r="D3430" s="51">
        <v>65.0</v>
      </c>
      <c r="E3430" s="52" t="s">
        <v>25</v>
      </c>
      <c r="F3430" s="52" t="s">
        <v>26</v>
      </c>
      <c r="G3430" s="53"/>
    </row>
    <row r="3431">
      <c r="A3431" s="49">
        <v>44548.98911537037</v>
      </c>
      <c r="B3431" s="50">
        <v>44549.1140801504</v>
      </c>
      <c r="C3431" s="51">
        <v>1.018</v>
      </c>
      <c r="D3431" s="51">
        <v>65.0</v>
      </c>
      <c r="E3431" s="52" t="s">
        <v>25</v>
      </c>
      <c r="F3431" s="52" t="s">
        <v>26</v>
      </c>
      <c r="G3431" s="53"/>
    </row>
    <row r="3432">
      <c r="A3432" s="49">
        <v>44548.99954188657</v>
      </c>
      <c r="B3432" s="50">
        <v>44549.124512118</v>
      </c>
      <c r="C3432" s="51">
        <v>1.019</v>
      </c>
      <c r="D3432" s="51">
        <v>65.0</v>
      </c>
      <c r="E3432" s="52" t="s">
        <v>25</v>
      </c>
      <c r="F3432" s="52" t="s">
        <v>26</v>
      </c>
      <c r="G3432" s="53"/>
    </row>
    <row r="3433">
      <c r="A3433" s="49">
        <v>44549.00995613426</v>
      </c>
      <c r="B3433" s="50">
        <v>44549.1349346064</v>
      </c>
      <c r="C3433" s="51">
        <v>1.018</v>
      </c>
      <c r="D3433" s="51">
        <v>65.0</v>
      </c>
      <c r="E3433" s="52" t="s">
        <v>25</v>
      </c>
      <c r="F3433" s="52" t="s">
        <v>26</v>
      </c>
      <c r="G3433" s="53"/>
    </row>
    <row r="3434">
      <c r="A3434" s="49">
        <v>44549.020423043985</v>
      </c>
      <c r="B3434" s="50">
        <v>44549.1453906365</v>
      </c>
      <c r="C3434" s="51">
        <v>1.019</v>
      </c>
      <c r="D3434" s="51">
        <v>65.0</v>
      </c>
      <c r="E3434" s="52" t="s">
        <v>25</v>
      </c>
      <c r="F3434" s="52" t="s">
        <v>26</v>
      </c>
      <c r="G3434" s="53"/>
    </row>
    <row r="3435">
      <c r="A3435" s="49">
        <v>44549.030873587966</v>
      </c>
      <c r="B3435" s="50">
        <v>44549.1558473958</v>
      </c>
      <c r="C3435" s="51">
        <v>1.019</v>
      </c>
      <c r="D3435" s="51">
        <v>65.0</v>
      </c>
      <c r="E3435" s="52" t="s">
        <v>25</v>
      </c>
      <c r="F3435" s="52" t="s">
        <v>26</v>
      </c>
      <c r="G3435" s="53"/>
    </row>
    <row r="3436">
      <c r="A3436" s="49">
        <v>44549.04130619213</v>
      </c>
      <c r="B3436" s="50">
        <v>44549.1662683217</v>
      </c>
      <c r="C3436" s="51">
        <v>1.019</v>
      </c>
      <c r="D3436" s="51">
        <v>65.0</v>
      </c>
      <c r="E3436" s="52" t="s">
        <v>25</v>
      </c>
      <c r="F3436" s="52" t="s">
        <v>26</v>
      </c>
      <c r="G3436" s="53"/>
    </row>
    <row r="3437">
      <c r="A3437" s="49">
        <v>44549.05173902778</v>
      </c>
      <c r="B3437" s="50">
        <v>44549.1767020254</v>
      </c>
      <c r="C3437" s="51">
        <v>1.019</v>
      </c>
      <c r="D3437" s="51">
        <v>65.0</v>
      </c>
      <c r="E3437" s="52" t="s">
        <v>25</v>
      </c>
      <c r="F3437" s="52" t="s">
        <v>26</v>
      </c>
      <c r="G3437" s="53"/>
    </row>
    <row r="3438">
      <c r="A3438" s="49">
        <v>44549.06215900463</v>
      </c>
      <c r="B3438" s="50">
        <v>44549.1871244212</v>
      </c>
      <c r="C3438" s="51">
        <v>1.019</v>
      </c>
      <c r="D3438" s="51">
        <v>65.0</v>
      </c>
      <c r="E3438" s="52" t="s">
        <v>25</v>
      </c>
      <c r="F3438" s="52" t="s">
        <v>26</v>
      </c>
      <c r="G3438" s="53"/>
    </row>
    <row r="3439">
      <c r="A3439" s="49">
        <v>44549.0725837963</v>
      </c>
      <c r="B3439" s="50">
        <v>44549.197557905</v>
      </c>
      <c r="C3439" s="51">
        <v>1.018</v>
      </c>
      <c r="D3439" s="51">
        <v>65.0</v>
      </c>
      <c r="E3439" s="52" t="s">
        <v>25</v>
      </c>
      <c r="F3439" s="52" t="s">
        <v>26</v>
      </c>
      <c r="G3439" s="53"/>
    </row>
    <row r="3440">
      <c r="A3440" s="49">
        <v>44549.08304290509</v>
      </c>
      <c r="B3440" s="50">
        <v>44549.2080028587</v>
      </c>
      <c r="C3440" s="51">
        <v>1.018</v>
      </c>
      <c r="D3440" s="51">
        <v>65.0</v>
      </c>
      <c r="E3440" s="52" t="s">
        <v>25</v>
      </c>
      <c r="F3440" s="52" t="s">
        <v>26</v>
      </c>
      <c r="G3440" s="53"/>
    </row>
    <row r="3441">
      <c r="A3441" s="49">
        <v>44549.093457511575</v>
      </c>
      <c r="B3441" s="50">
        <v>44549.2184248032</v>
      </c>
      <c r="C3441" s="51">
        <v>1.018</v>
      </c>
      <c r="D3441" s="51">
        <v>65.0</v>
      </c>
      <c r="E3441" s="52" t="s">
        <v>25</v>
      </c>
      <c r="F3441" s="52" t="s">
        <v>26</v>
      </c>
      <c r="G3441" s="53"/>
    </row>
    <row r="3442">
      <c r="A3442" s="49">
        <v>44549.1038803588</v>
      </c>
      <c r="B3442" s="50">
        <v>44549.2288470138</v>
      </c>
      <c r="C3442" s="51">
        <v>1.019</v>
      </c>
      <c r="D3442" s="51">
        <v>65.0</v>
      </c>
      <c r="E3442" s="52" t="s">
        <v>25</v>
      </c>
      <c r="F3442" s="52" t="s">
        <v>26</v>
      </c>
      <c r="G3442" s="53"/>
    </row>
    <row r="3443">
      <c r="A3443" s="49">
        <v>44549.11429707176</v>
      </c>
      <c r="B3443" s="50">
        <v>44549.2392676967</v>
      </c>
      <c r="C3443" s="51">
        <v>1.018</v>
      </c>
      <c r="D3443" s="51">
        <v>65.0</v>
      </c>
      <c r="E3443" s="52" t="s">
        <v>25</v>
      </c>
      <c r="F3443" s="52" t="s">
        <v>26</v>
      </c>
      <c r="G3443" s="53"/>
    </row>
    <row r="3444">
      <c r="A3444" s="49">
        <v>44549.12474554398</v>
      </c>
      <c r="B3444" s="50">
        <v>44549.2497130439</v>
      </c>
      <c r="C3444" s="51">
        <v>1.018</v>
      </c>
      <c r="D3444" s="51">
        <v>65.0</v>
      </c>
      <c r="E3444" s="52" t="s">
        <v>25</v>
      </c>
      <c r="F3444" s="52" t="s">
        <v>26</v>
      </c>
      <c r="G3444" s="53"/>
    </row>
    <row r="3445">
      <c r="A3445" s="49">
        <v>44549.13516439815</v>
      </c>
      <c r="B3445" s="50">
        <v>44549.2601323148</v>
      </c>
      <c r="C3445" s="51">
        <v>1.018</v>
      </c>
      <c r="D3445" s="51">
        <v>65.0</v>
      </c>
      <c r="E3445" s="52" t="s">
        <v>25</v>
      </c>
      <c r="F3445" s="52" t="s">
        <v>26</v>
      </c>
      <c r="G3445" s="53"/>
    </row>
    <row r="3446">
      <c r="A3446" s="49">
        <v>44549.145597407405</v>
      </c>
      <c r="B3446" s="50">
        <v>44549.2705660879</v>
      </c>
      <c r="C3446" s="51">
        <v>1.018</v>
      </c>
      <c r="D3446" s="51">
        <v>65.0</v>
      </c>
      <c r="E3446" s="52" t="s">
        <v>25</v>
      </c>
      <c r="F3446" s="52" t="s">
        <v>26</v>
      </c>
      <c r="G3446" s="53"/>
    </row>
    <row r="3447">
      <c r="A3447" s="49">
        <v>44549.156030694445</v>
      </c>
      <c r="B3447" s="50">
        <v>44549.2809992592</v>
      </c>
      <c r="C3447" s="51">
        <v>1.018</v>
      </c>
      <c r="D3447" s="51">
        <v>65.0</v>
      </c>
      <c r="E3447" s="52" t="s">
        <v>25</v>
      </c>
      <c r="F3447" s="52" t="s">
        <v>26</v>
      </c>
      <c r="G3447" s="53"/>
    </row>
    <row r="3448">
      <c r="A3448" s="49">
        <v>44549.16645746528</v>
      </c>
      <c r="B3448" s="50">
        <v>44549.2914308912</v>
      </c>
      <c r="C3448" s="51">
        <v>1.018</v>
      </c>
      <c r="D3448" s="51">
        <v>65.0</v>
      </c>
      <c r="E3448" s="52" t="s">
        <v>25</v>
      </c>
      <c r="F3448" s="52" t="s">
        <v>26</v>
      </c>
      <c r="G3448" s="53"/>
    </row>
    <row r="3449">
      <c r="A3449" s="49">
        <v>44549.17687640047</v>
      </c>
      <c r="B3449" s="50">
        <v>44549.3018514583</v>
      </c>
      <c r="C3449" s="51">
        <v>1.018</v>
      </c>
      <c r="D3449" s="51">
        <v>65.0</v>
      </c>
      <c r="E3449" s="52" t="s">
        <v>25</v>
      </c>
      <c r="F3449" s="52" t="s">
        <v>26</v>
      </c>
      <c r="G3449" s="53"/>
    </row>
    <row r="3450">
      <c r="A3450" s="49">
        <v>44549.187306631946</v>
      </c>
      <c r="B3450" s="50">
        <v>44549.3122725578</v>
      </c>
      <c r="C3450" s="51">
        <v>1.018</v>
      </c>
      <c r="D3450" s="51">
        <v>65.0</v>
      </c>
      <c r="E3450" s="52" t="s">
        <v>25</v>
      </c>
      <c r="F3450" s="52" t="s">
        <v>26</v>
      </c>
      <c r="G3450" s="53"/>
    </row>
    <row r="3451">
      <c r="A3451" s="49">
        <v>44549.19772452547</v>
      </c>
      <c r="B3451" s="50">
        <v>44549.3226943865</v>
      </c>
      <c r="C3451" s="51">
        <v>1.018</v>
      </c>
      <c r="D3451" s="51">
        <v>65.0</v>
      </c>
      <c r="E3451" s="52" t="s">
        <v>25</v>
      </c>
      <c r="F3451" s="52" t="s">
        <v>26</v>
      </c>
      <c r="G3451" s="53"/>
    </row>
    <row r="3452">
      <c r="A3452" s="49">
        <v>44549.208141689815</v>
      </c>
      <c r="B3452" s="50">
        <v>44549.333115949</v>
      </c>
      <c r="C3452" s="51">
        <v>1.018</v>
      </c>
      <c r="D3452" s="51">
        <v>65.0</v>
      </c>
      <c r="E3452" s="52" t="s">
        <v>25</v>
      </c>
      <c r="F3452" s="52" t="s">
        <v>26</v>
      </c>
      <c r="G3452" s="53"/>
    </row>
    <row r="3453">
      <c r="A3453" s="49">
        <v>44549.21857241898</v>
      </c>
      <c r="B3453" s="50">
        <v>44549.3435495138</v>
      </c>
      <c r="C3453" s="51">
        <v>1.018</v>
      </c>
      <c r="D3453" s="51">
        <v>65.0</v>
      </c>
      <c r="E3453" s="52" t="s">
        <v>25</v>
      </c>
      <c r="F3453" s="52" t="s">
        <v>26</v>
      </c>
      <c r="G3453" s="53"/>
    </row>
    <row r="3454">
      <c r="A3454" s="49">
        <v>44549.229012048614</v>
      </c>
      <c r="B3454" s="50">
        <v>44549.3539823611</v>
      </c>
      <c r="C3454" s="51">
        <v>1.018</v>
      </c>
      <c r="D3454" s="51">
        <v>65.0</v>
      </c>
      <c r="E3454" s="52" t="s">
        <v>25</v>
      </c>
      <c r="F3454" s="52" t="s">
        <v>26</v>
      </c>
      <c r="G3454" s="53"/>
    </row>
    <row r="3455">
      <c r="A3455" s="49">
        <v>44549.23944489584</v>
      </c>
      <c r="B3455" s="50">
        <v>44549.3644153125</v>
      </c>
      <c r="C3455" s="51">
        <v>1.018</v>
      </c>
      <c r="D3455" s="51">
        <v>65.0</v>
      </c>
      <c r="E3455" s="52" t="s">
        <v>25</v>
      </c>
      <c r="F3455" s="52" t="s">
        <v>26</v>
      </c>
      <c r="G3455" s="53"/>
    </row>
    <row r="3456">
      <c r="A3456" s="49">
        <v>44549.24988451389</v>
      </c>
      <c r="B3456" s="50">
        <v>44549.3748498032</v>
      </c>
      <c r="C3456" s="51">
        <v>1.018</v>
      </c>
      <c r="D3456" s="51">
        <v>65.0</v>
      </c>
      <c r="E3456" s="52" t="s">
        <v>25</v>
      </c>
      <c r="F3456" s="52" t="s">
        <v>26</v>
      </c>
      <c r="G3456" s="53"/>
    </row>
    <row r="3457">
      <c r="A3457" s="49">
        <v>44549.26032887731</v>
      </c>
      <c r="B3457" s="50">
        <v>44549.385293831</v>
      </c>
      <c r="C3457" s="51">
        <v>1.018</v>
      </c>
      <c r="D3457" s="51">
        <v>65.0</v>
      </c>
      <c r="E3457" s="52" t="s">
        <v>25</v>
      </c>
      <c r="F3457" s="52" t="s">
        <v>26</v>
      </c>
      <c r="G3457" s="53"/>
    </row>
    <row r="3458">
      <c r="A3458" s="49">
        <v>44549.270776875</v>
      </c>
      <c r="B3458" s="50">
        <v>44549.3957514236</v>
      </c>
      <c r="C3458" s="51">
        <v>1.018</v>
      </c>
      <c r="D3458" s="51">
        <v>65.0</v>
      </c>
      <c r="E3458" s="52" t="s">
        <v>25</v>
      </c>
      <c r="F3458" s="52" t="s">
        <v>26</v>
      </c>
      <c r="G3458" s="53"/>
    </row>
    <row r="3459">
      <c r="A3459" s="49">
        <v>44549.28122884259</v>
      </c>
      <c r="B3459" s="50">
        <v>44549.4061957754</v>
      </c>
      <c r="C3459" s="51">
        <v>1.018</v>
      </c>
      <c r="D3459" s="51">
        <v>65.0</v>
      </c>
      <c r="E3459" s="52" t="s">
        <v>25</v>
      </c>
      <c r="F3459" s="52" t="s">
        <v>26</v>
      </c>
      <c r="G3459" s="53"/>
    </row>
    <row r="3460">
      <c r="A3460" s="49">
        <v>44549.29168480324</v>
      </c>
      <c r="B3460" s="50">
        <v>44549.4166515856</v>
      </c>
      <c r="C3460" s="51">
        <v>1.018</v>
      </c>
      <c r="D3460" s="51">
        <v>65.0</v>
      </c>
      <c r="E3460" s="52" t="s">
        <v>25</v>
      </c>
      <c r="F3460" s="52" t="s">
        <v>26</v>
      </c>
      <c r="G3460" s="53"/>
    </row>
    <row r="3461">
      <c r="A3461" s="49">
        <v>44549.30211386574</v>
      </c>
      <c r="B3461" s="50">
        <v>44549.42707375</v>
      </c>
      <c r="C3461" s="51">
        <v>1.018</v>
      </c>
      <c r="D3461" s="51">
        <v>65.0</v>
      </c>
      <c r="E3461" s="52" t="s">
        <v>25</v>
      </c>
      <c r="F3461" s="52" t="s">
        <v>26</v>
      </c>
      <c r="G3461" s="53"/>
    </row>
    <row r="3462">
      <c r="A3462" s="49">
        <v>44549.312530243056</v>
      </c>
      <c r="B3462" s="50">
        <v>44549.4374944675</v>
      </c>
      <c r="C3462" s="51">
        <v>1.018</v>
      </c>
      <c r="D3462" s="51">
        <v>65.0</v>
      </c>
      <c r="E3462" s="52" t="s">
        <v>25</v>
      </c>
      <c r="F3462" s="52" t="s">
        <v>26</v>
      </c>
      <c r="G3462" s="53"/>
    </row>
    <row r="3463">
      <c r="A3463" s="49">
        <v>44549.32295818287</v>
      </c>
      <c r="B3463" s="50">
        <v>44549.4479275925</v>
      </c>
      <c r="C3463" s="51">
        <v>1.018</v>
      </c>
      <c r="D3463" s="51">
        <v>65.0</v>
      </c>
      <c r="E3463" s="52" t="s">
        <v>25</v>
      </c>
      <c r="F3463" s="52" t="s">
        <v>26</v>
      </c>
      <c r="G3463" s="53"/>
    </row>
    <row r="3464">
      <c r="A3464" s="49">
        <v>44549.33342378472</v>
      </c>
      <c r="B3464" s="50">
        <v>44549.4583933449</v>
      </c>
      <c r="C3464" s="51">
        <v>1.018</v>
      </c>
      <c r="D3464" s="51">
        <v>65.0</v>
      </c>
      <c r="E3464" s="52" t="s">
        <v>25</v>
      </c>
      <c r="F3464" s="52" t="s">
        <v>26</v>
      </c>
      <c r="G3464" s="53"/>
    </row>
    <row r="3465">
      <c r="A3465" s="49">
        <v>44549.343846284726</v>
      </c>
      <c r="B3465" s="50">
        <v>44549.4688142361</v>
      </c>
      <c r="C3465" s="51">
        <v>1.018</v>
      </c>
      <c r="D3465" s="51">
        <v>65.0</v>
      </c>
      <c r="E3465" s="52" t="s">
        <v>25</v>
      </c>
      <c r="F3465" s="52" t="s">
        <v>26</v>
      </c>
      <c r="G3465" s="53"/>
    </row>
    <row r="3466">
      <c r="A3466" s="49">
        <v>44549.35426986111</v>
      </c>
      <c r="B3466" s="50">
        <v>44549.4792352546</v>
      </c>
      <c r="C3466" s="51">
        <v>1.018</v>
      </c>
      <c r="D3466" s="51">
        <v>65.0</v>
      </c>
      <c r="E3466" s="52" t="s">
        <v>25</v>
      </c>
      <c r="F3466" s="52" t="s">
        <v>26</v>
      </c>
      <c r="G3466" s="53"/>
    </row>
    <row r="3467">
      <c r="A3467" s="49">
        <v>44549.36469236111</v>
      </c>
      <c r="B3467" s="50">
        <v>44549.4896573032</v>
      </c>
      <c r="C3467" s="51">
        <v>1.017</v>
      </c>
      <c r="D3467" s="51">
        <v>65.0</v>
      </c>
      <c r="E3467" s="52" t="s">
        <v>25</v>
      </c>
      <c r="F3467" s="52" t="s">
        <v>26</v>
      </c>
      <c r="G3467" s="53"/>
    </row>
    <row r="3468">
      <c r="A3468" s="49">
        <v>44549.375117557865</v>
      </c>
      <c r="B3468" s="50">
        <v>44549.5000902546</v>
      </c>
      <c r="C3468" s="51">
        <v>1.018</v>
      </c>
      <c r="D3468" s="51">
        <v>65.0</v>
      </c>
      <c r="E3468" s="52" t="s">
        <v>25</v>
      </c>
      <c r="F3468" s="52" t="s">
        <v>26</v>
      </c>
      <c r="G3468" s="53"/>
    </row>
    <row r="3469">
      <c r="A3469" s="49">
        <v>44549.38555142361</v>
      </c>
      <c r="B3469" s="50">
        <v>44549.5105228124</v>
      </c>
      <c r="C3469" s="51">
        <v>1.018</v>
      </c>
      <c r="D3469" s="51">
        <v>65.0</v>
      </c>
      <c r="E3469" s="52" t="s">
        <v>25</v>
      </c>
      <c r="F3469" s="52" t="s">
        <v>26</v>
      </c>
      <c r="G3469" s="53"/>
    </row>
    <row r="3470">
      <c r="A3470" s="49">
        <v>44549.39597795139</v>
      </c>
      <c r="B3470" s="50">
        <v>44549.5209442013</v>
      </c>
      <c r="C3470" s="51">
        <v>1.018</v>
      </c>
      <c r="D3470" s="51">
        <v>65.0</v>
      </c>
      <c r="E3470" s="52" t="s">
        <v>25</v>
      </c>
      <c r="F3470" s="52" t="s">
        <v>26</v>
      </c>
      <c r="G3470" s="53"/>
    </row>
    <row r="3471">
      <c r="A3471" s="49">
        <v>44549.406402858796</v>
      </c>
      <c r="B3471" s="50">
        <v>44549.5313653356</v>
      </c>
      <c r="C3471" s="51">
        <v>1.018</v>
      </c>
      <c r="D3471" s="51">
        <v>65.0</v>
      </c>
      <c r="E3471" s="52" t="s">
        <v>25</v>
      </c>
      <c r="F3471" s="52" t="s">
        <v>26</v>
      </c>
      <c r="G3471" s="53"/>
    </row>
    <row r="3472">
      <c r="A3472" s="49">
        <v>44549.41682453704</v>
      </c>
      <c r="B3472" s="50">
        <v>44549.5417985416</v>
      </c>
      <c r="C3472" s="51">
        <v>1.018</v>
      </c>
      <c r="D3472" s="51">
        <v>65.0</v>
      </c>
      <c r="E3472" s="52" t="s">
        <v>25</v>
      </c>
      <c r="F3472" s="52" t="s">
        <v>26</v>
      </c>
      <c r="G3472" s="53"/>
    </row>
    <row r="3473">
      <c r="A3473" s="49">
        <v>44549.427266493054</v>
      </c>
      <c r="B3473" s="50">
        <v>44549.5522324652</v>
      </c>
      <c r="C3473" s="51">
        <v>1.018</v>
      </c>
      <c r="D3473" s="51">
        <v>65.0</v>
      </c>
      <c r="E3473" s="52" t="s">
        <v>25</v>
      </c>
      <c r="F3473" s="52" t="s">
        <v>26</v>
      </c>
      <c r="G3473" s="53"/>
    </row>
    <row r="3474">
      <c r="A3474" s="49">
        <v>44549.43767980324</v>
      </c>
      <c r="B3474" s="50">
        <v>44549.5626513078</v>
      </c>
      <c r="C3474" s="51">
        <v>1.018</v>
      </c>
      <c r="D3474" s="51">
        <v>65.0</v>
      </c>
      <c r="E3474" s="52" t="s">
        <v>25</v>
      </c>
      <c r="F3474" s="52" t="s">
        <v>26</v>
      </c>
      <c r="G3474" s="53"/>
    </row>
    <row r="3475">
      <c r="A3475" s="49">
        <v>44549.448127118056</v>
      </c>
      <c r="B3475" s="50">
        <v>44549.5730858101</v>
      </c>
      <c r="C3475" s="51">
        <v>1.018</v>
      </c>
      <c r="D3475" s="51">
        <v>65.0</v>
      </c>
      <c r="E3475" s="52" t="s">
        <v>25</v>
      </c>
      <c r="F3475" s="52" t="s">
        <v>26</v>
      </c>
      <c r="G3475" s="53"/>
    </row>
    <row r="3476">
      <c r="A3476" s="49">
        <v>44549.458554826386</v>
      </c>
      <c r="B3476" s="50">
        <v>44549.5835196527</v>
      </c>
      <c r="C3476" s="51">
        <v>1.018</v>
      </c>
      <c r="D3476" s="51">
        <v>65.0</v>
      </c>
      <c r="E3476" s="52" t="s">
        <v>25</v>
      </c>
      <c r="F3476" s="52" t="s">
        <v>26</v>
      </c>
      <c r="G3476" s="53"/>
    </row>
    <row r="3477">
      <c r="A3477" s="49">
        <v>44549.468993159724</v>
      </c>
      <c r="B3477" s="50">
        <v>44549.5939529861</v>
      </c>
      <c r="C3477" s="51">
        <v>1.018</v>
      </c>
      <c r="D3477" s="51">
        <v>65.0</v>
      </c>
      <c r="E3477" s="52" t="s">
        <v>25</v>
      </c>
      <c r="F3477" s="52" t="s">
        <v>26</v>
      </c>
      <c r="G3477" s="53"/>
    </row>
    <row r="3478">
      <c r="A3478" s="49">
        <v>44549.47940376158</v>
      </c>
      <c r="B3478" s="50">
        <v>44549.6043726736</v>
      </c>
      <c r="C3478" s="51">
        <v>1.018</v>
      </c>
      <c r="D3478" s="51">
        <v>65.0</v>
      </c>
      <c r="E3478" s="52" t="s">
        <v>25</v>
      </c>
      <c r="F3478" s="52" t="s">
        <v>26</v>
      </c>
      <c r="G3478" s="53"/>
    </row>
    <row r="3479">
      <c r="A3479" s="49">
        <v>44549.48983478009</v>
      </c>
      <c r="B3479" s="50">
        <v>44549.6148040393</v>
      </c>
      <c r="C3479" s="51">
        <v>1.018</v>
      </c>
      <c r="D3479" s="51">
        <v>65.0</v>
      </c>
      <c r="E3479" s="52" t="s">
        <v>25</v>
      </c>
      <c r="F3479" s="52" t="s">
        <v>26</v>
      </c>
      <c r="G3479" s="53"/>
    </row>
    <row r="3480">
      <c r="A3480" s="49">
        <v>44549.50025515046</v>
      </c>
      <c r="B3480" s="50">
        <v>44549.6252249305</v>
      </c>
      <c r="C3480" s="51">
        <v>1.017</v>
      </c>
      <c r="D3480" s="51">
        <v>65.0</v>
      </c>
      <c r="E3480" s="52" t="s">
        <v>25</v>
      </c>
      <c r="F3480" s="52" t="s">
        <v>26</v>
      </c>
      <c r="G3480" s="53"/>
    </row>
    <row r="3481">
      <c r="A3481" s="49">
        <v>44549.51067309028</v>
      </c>
      <c r="B3481" s="50">
        <v>44549.6356465856</v>
      </c>
      <c r="C3481" s="51">
        <v>1.018</v>
      </c>
      <c r="D3481" s="51">
        <v>65.0</v>
      </c>
      <c r="E3481" s="52" t="s">
        <v>25</v>
      </c>
      <c r="F3481" s="52" t="s">
        <v>26</v>
      </c>
      <c r="G3481" s="53"/>
    </row>
    <row r="3482">
      <c r="A3482" s="49">
        <v>44549.521089409725</v>
      </c>
      <c r="B3482" s="50">
        <v>44549.6460679282</v>
      </c>
      <c r="C3482" s="51">
        <v>1.018</v>
      </c>
      <c r="D3482" s="51">
        <v>65.0</v>
      </c>
      <c r="E3482" s="52" t="s">
        <v>25</v>
      </c>
      <c r="F3482" s="52" t="s">
        <v>26</v>
      </c>
      <c r="G3482" s="53"/>
    </row>
    <row r="3483">
      <c r="A3483" s="49">
        <v>44549.53152225695</v>
      </c>
      <c r="B3483" s="50">
        <v>44549.6564888425</v>
      </c>
      <c r="C3483" s="51">
        <v>1.018</v>
      </c>
      <c r="D3483" s="51">
        <v>65.0</v>
      </c>
      <c r="E3483" s="52" t="s">
        <v>25</v>
      </c>
      <c r="F3483" s="52" t="s">
        <v>26</v>
      </c>
      <c r="G3483" s="53"/>
    </row>
    <row r="3484">
      <c r="A3484" s="49">
        <v>44549.541944236116</v>
      </c>
      <c r="B3484" s="50">
        <v>44549.666910625</v>
      </c>
      <c r="C3484" s="51">
        <v>1.018</v>
      </c>
      <c r="D3484" s="51">
        <v>65.0</v>
      </c>
      <c r="E3484" s="52" t="s">
        <v>25</v>
      </c>
      <c r="F3484" s="52" t="s">
        <v>26</v>
      </c>
      <c r="G3484" s="53"/>
    </row>
    <row r="3485">
      <c r="A3485" s="49">
        <v>44549.55237538194</v>
      </c>
      <c r="B3485" s="50">
        <v>44549.677344699</v>
      </c>
      <c r="C3485" s="51">
        <v>1.018</v>
      </c>
      <c r="D3485" s="51">
        <v>65.0</v>
      </c>
      <c r="E3485" s="52" t="s">
        <v>25</v>
      </c>
      <c r="F3485" s="52" t="s">
        <v>26</v>
      </c>
      <c r="G3485" s="53"/>
    </row>
    <row r="3486">
      <c r="A3486" s="49">
        <v>44549.562795798614</v>
      </c>
      <c r="B3486" s="50">
        <v>44549.6877653819</v>
      </c>
      <c r="C3486" s="51">
        <v>1.018</v>
      </c>
      <c r="D3486" s="51">
        <v>65.0</v>
      </c>
      <c r="E3486" s="52" t="s">
        <v>25</v>
      </c>
      <c r="F3486" s="52" t="s">
        <v>26</v>
      </c>
      <c r="G3486" s="53"/>
    </row>
    <row r="3487">
      <c r="A3487" s="49">
        <v>44549.57322215277</v>
      </c>
      <c r="B3487" s="50">
        <v>44549.6981872916</v>
      </c>
      <c r="C3487" s="51">
        <v>1.018</v>
      </c>
      <c r="D3487" s="51">
        <v>65.0</v>
      </c>
      <c r="E3487" s="52" t="s">
        <v>25</v>
      </c>
      <c r="F3487" s="52" t="s">
        <v>26</v>
      </c>
      <c r="G3487" s="53"/>
    </row>
    <row r="3488">
      <c r="A3488" s="49">
        <v>44549.583643668986</v>
      </c>
      <c r="B3488" s="50">
        <v>44549.708609375</v>
      </c>
      <c r="C3488" s="51">
        <v>1.018</v>
      </c>
      <c r="D3488" s="51">
        <v>65.0</v>
      </c>
      <c r="E3488" s="52" t="s">
        <v>25</v>
      </c>
      <c r="F3488" s="52" t="s">
        <v>26</v>
      </c>
      <c r="G3488" s="53"/>
    </row>
    <row r="3489">
      <c r="A3489" s="49">
        <v>44549.59405646991</v>
      </c>
      <c r="B3489" s="50">
        <v>44549.71903</v>
      </c>
      <c r="C3489" s="51">
        <v>1.018</v>
      </c>
      <c r="D3489" s="51">
        <v>65.0</v>
      </c>
      <c r="E3489" s="52" t="s">
        <v>25</v>
      </c>
      <c r="F3489" s="52" t="s">
        <v>26</v>
      </c>
      <c r="G3489" s="53"/>
    </row>
    <row r="3490">
      <c r="A3490" s="49">
        <v>44549.60448534723</v>
      </c>
      <c r="B3490" s="50">
        <v>44549.7294519444</v>
      </c>
      <c r="C3490" s="51">
        <v>1.018</v>
      </c>
      <c r="D3490" s="51">
        <v>65.0</v>
      </c>
      <c r="E3490" s="52" t="s">
        <v>25</v>
      </c>
      <c r="F3490" s="52" t="s">
        <v>26</v>
      </c>
      <c r="G3490" s="53"/>
    </row>
    <row r="3491">
      <c r="A3491" s="49">
        <v>44549.614911400466</v>
      </c>
      <c r="B3491" s="50">
        <v>44549.7398843981</v>
      </c>
      <c r="C3491" s="51">
        <v>1.018</v>
      </c>
      <c r="D3491" s="51">
        <v>65.0</v>
      </c>
      <c r="E3491" s="52" t="s">
        <v>25</v>
      </c>
      <c r="F3491" s="52" t="s">
        <v>26</v>
      </c>
      <c r="G3491" s="53"/>
    </row>
    <row r="3492">
      <c r="A3492" s="49">
        <v>44549.62533689815</v>
      </c>
      <c r="B3492" s="50">
        <v>44549.7503050462</v>
      </c>
      <c r="C3492" s="51">
        <v>1.018</v>
      </c>
      <c r="D3492" s="51">
        <v>65.0</v>
      </c>
      <c r="E3492" s="52" t="s">
        <v>25</v>
      </c>
      <c r="F3492" s="52" t="s">
        <v>26</v>
      </c>
      <c r="G3492" s="53"/>
    </row>
    <row r="3493">
      <c r="A3493" s="49">
        <v>44549.63578512731</v>
      </c>
      <c r="B3493" s="50">
        <v>44549.7607494907</v>
      </c>
      <c r="C3493" s="51">
        <v>1.018</v>
      </c>
      <c r="D3493" s="51">
        <v>65.0</v>
      </c>
      <c r="E3493" s="52" t="s">
        <v>25</v>
      </c>
      <c r="F3493" s="52" t="s">
        <v>26</v>
      </c>
      <c r="G3493" s="53"/>
    </row>
    <row r="3494">
      <c r="A3494" s="49">
        <v>44549.64621236111</v>
      </c>
      <c r="B3494" s="50">
        <v>44549.771182199</v>
      </c>
      <c r="C3494" s="51">
        <v>1.018</v>
      </c>
      <c r="D3494" s="51">
        <v>65.0</v>
      </c>
      <c r="E3494" s="52" t="s">
        <v>25</v>
      </c>
      <c r="F3494" s="52" t="s">
        <v>26</v>
      </c>
      <c r="G3494" s="53"/>
    </row>
    <row r="3495">
      <c r="A3495" s="49">
        <v>44549.6566487963</v>
      </c>
      <c r="B3495" s="50">
        <v>44549.7816159722</v>
      </c>
      <c r="C3495" s="51">
        <v>1.018</v>
      </c>
      <c r="D3495" s="51">
        <v>65.0</v>
      </c>
      <c r="E3495" s="52" t="s">
        <v>25</v>
      </c>
      <c r="F3495" s="52" t="s">
        <v>26</v>
      </c>
      <c r="G3495" s="53"/>
    </row>
    <row r="3496">
      <c r="A3496" s="49">
        <v>44549.667068043986</v>
      </c>
      <c r="B3496" s="50">
        <v>44549.7920368865</v>
      </c>
      <c r="C3496" s="51">
        <v>1.018</v>
      </c>
      <c r="D3496" s="51">
        <v>65.0</v>
      </c>
      <c r="E3496" s="52" t="s">
        <v>25</v>
      </c>
      <c r="F3496" s="52" t="s">
        <v>26</v>
      </c>
      <c r="G3496" s="53"/>
    </row>
    <row r="3497">
      <c r="A3497" s="49">
        <v>44549.67750769676</v>
      </c>
      <c r="B3497" s="50">
        <v>44549.8024678472</v>
      </c>
      <c r="C3497" s="51">
        <v>1.018</v>
      </c>
      <c r="D3497" s="51">
        <v>65.0</v>
      </c>
      <c r="E3497" s="52" t="s">
        <v>25</v>
      </c>
      <c r="F3497" s="52" t="s">
        <v>26</v>
      </c>
      <c r="G3497" s="53"/>
    </row>
    <row r="3498">
      <c r="A3498" s="49">
        <v>44549.68791796296</v>
      </c>
      <c r="B3498" s="50">
        <v>44549.8128903588</v>
      </c>
      <c r="C3498" s="51">
        <v>1.018</v>
      </c>
      <c r="D3498" s="51">
        <v>65.0</v>
      </c>
      <c r="E3498" s="52" t="s">
        <v>25</v>
      </c>
      <c r="F3498" s="52" t="s">
        <v>26</v>
      </c>
      <c r="G3498" s="53"/>
    </row>
    <row r="3499">
      <c r="A3499" s="49">
        <v>44549.698355995366</v>
      </c>
      <c r="B3499" s="50">
        <v>44549.8233234259</v>
      </c>
      <c r="C3499" s="51">
        <v>1.018</v>
      </c>
      <c r="D3499" s="51">
        <v>65.0</v>
      </c>
      <c r="E3499" s="52" t="s">
        <v>25</v>
      </c>
      <c r="F3499" s="52" t="s">
        <v>26</v>
      </c>
      <c r="G3499" s="53"/>
    </row>
    <row r="3500">
      <c r="A3500" s="49">
        <v>44549.7087866088</v>
      </c>
      <c r="B3500" s="50">
        <v>44549.833754618</v>
      </c>
      <c r="C3500" s="51">
        <v>1.018</v>
      </c>
      <c r="D3500" s="51">
        <v>65.0</v>
      </c>
      <c r="E3500" s="52" t="s">
        <v>25</v>
      </c>
      <c r="F3500" s="52" t="s">
        <v>26</v>
      </c>
      <c r="G3500" s="53"/>
    </row>
    <row r="3501">
      <c r="A3501" s="49">
        <v>44549.71920178241</v>
      </c>
      <c r="B3501" s="50">
        <v>44549.8441750578</v>
      </c>
      <c r="C3501" s="51">
        <v>1.018</v>
      </c>
      <c r="D3501" s="51">
        <v>65.0</v>
      </c>
      <c r="E3501" s="52" t="s">
        <v>25</v>
      </c>
      <c r="F3501" s="52" t="s">
        <v>26</v>
      </c>
      <c r="G3501" s="53"/>
    </row>
    <row r="3502">
      <c r="A3502" s="49">
        <v>44549.729626886576</v>
      </c>
      <c r="B3502" s="50">
        <v>44549.8545953009</v>
      </c>
      <c r="C3502" s="51">
        <v>1.018</v>
      </c>
      <c r="D3502" s="51">
        <v>65.0</v>
      </c>
      <c r="E3502" s="52" t="s">
        <v>25</v>
      </c>
      <c r="F3502" s="52" t="s">
        <v>26</v>
      </c>
      <c r="G3502" s="53"/>
    </row>
    <row r="3503">
      <c r="A3503" s="49">
        <v>44549.740074710644</v>
      </c>
      <c r="B3503" s="50">
        <v>44549.8650405555</v>
      </c>
      <c r="C3503" s="51">
        <v>1.017</v>
      </c>
      <c r="D3503" s="51">
        <v>65.0</v>
      </c>
      <c r="E3503" s="52" t="s">
        <v>25</v>
      </c>
      <c r="F3503" s="52" t="s">
        <v>26</v>
      </c>
      <c r="G3503" s="53"/>
    </row>
    <row r="3504">
      <c r="A3504" s="49">
        <v>44549.7505053125</v>
      </c>
      <c r="B3504" s="50">
        <v>44549.8754721643</v>
      </c>
      <c r="C3504" s="51">
        <v>1.018</v>
      </c>
      <c r="D3504" s="51">
        <v>65.0</v>
      </c>
      <c r="E3504" s="52" t="s">
        <v>25</v>
      </c>
      <c r="F3504" s="52" t="s">
        <v>26</v>
      </c>
      <c r="G3504" s="53"/>
    </row>
    <row r="3505">
      <c r="A3505" s="49">
        <v>44549.76092418982</v>
      </c>
      <c r="B3505" s="50">
        <v>44549.885893206</v>
      </c>
      <c r="C3505" s="51">
        <v>1.017</v>
      </c>
      <c r="D3505" s="51">
        <v>65.0</v>
      </c>
      <c r="E3505" s="52" t="s">
        <v>25</v>
      </c>
      <c r="F3505" s="52" t="s">
        <v>26</v>
      </c>
      <c r="G3505" s="53"/>
    </row>
    <row r="3506">
      <c r="A3506" s="49">
        <v>44549.771348842594</v>
      </c>
      <c r="B3506" s="50">
        <v>44549.8963161342</v>
      </c>
      <c r="C3506" s="51">
        <v>1.017</v>
      </c>
      <c r="D3506" s="51">
        <v>65.0</v>
      </c>
      <c r="E3506" s="52" t="s">
        <v>25</v>
      </c>
      <c r="F3506" s="52" t="s">
        <v>26</v>
      </c>
      <c r="G3506" s="53"/>
    </row>
    <row r="3507">
      <c r="A3507" s="49">
        <v>44549.78177486111</v>
      </c>
      <c r="B3507" s="50">
        <v>44549.9067388773</v>
      </c>
      <c r="C3507" s="51">
        <v>1.018</v>
      </c>
      <c r="D3507" s="51">
        <v>65.0</v>
      </c>
      <c r="E3507" s="52" t="s">
        <v>25</v>
      </c>
      <c r="F3507" s="52" t="s">
        <v>26</v>
      </c>
      <c r="G3507" s="53"/>
    </row>
    <row r="3508">
      <c r="A3508" s="49">
        <v>44549.79224001158</v>
      </c>
      <c r="B3508" s="50">
        <v>44549.917205405</v>
      </c>
      <c r="C3508" s="51">
        <v>1.018</v>
      </c>
      <c r="D3508" s="51">
        <v>65.0</v>
      </c>
      <c r="E3508" s="52" t="s">
        <v>25</v>
      </c>
      <c r="F3508" s="52" t="s">
        <v>26</v>
      </c>
      <c r="G3508" s="53"/>
    </row>
    <row r="3509">
      <c r="A3509" s="49">
        <v>44549.80265405093</v>
      </c>
      <c r="B3509" s="50">
        <v>44549.9276248958</v>
      </c>
      <c r="C3509" s="51">
        <v>1.018</v>
      </c>
      <c r="D3509" s="51">
        <v>65.0</v>
      </c>
      <c r="E3509" s="52" t="s">
        <v>25</v>
      </c>
      <c r="F3509" s="52" t="s">
        <v>26</v>
      </c>
      <c r="G3509" s="53"/>
    </row>
    <row r="3510">
      <c r="A3510" s="49">
        <v>44549.813082974535</v>
      </c>
      <c r="B3510" s="50">
        <v>44549.9380467939</v>
      </c>
      <c r="C3510" s="51">
        <v>1.018</v>
      </c>
      <c r="D3510" s="51">
        <v>65.0</v>
      </c>
      <c r="E3510" s="52" t="s">
        <v>25</v>
      </c>
      <c r="F3510" s="52" t="s">
        <v>26</v>
      </c>
      <c r="G3510" s="53"/>
    </row>
    <row r="3511">
      <c r="A3511" s="49">
        <v>44549.82350537037</v>
      </c>
      <c r="B3511" s="50">
        <v>44549.9484677083</v>
      </c>
      <c r="C3511" s="51">
        <v>1.017</v>
      </c>
      <c r="D3511" s="51">
        <v>65.0</v>
      </c>
      <c r="E3511" s="52" t="s">
        <v>25</v>
      </c>
      <c r="F3511" s="52" t="s">
        <v>26</v>
      </c>
      <c r="G3511" s="53"/>
    </row>
    <row r="3512">
      <c r="A3512" s="49">
        <v>44549.8339419213</v>
      </c>
      <c r="B3512" s="50">
        <v>44549.9589143634</v>
      </c>
      <c r="C3512" s="51">
        <v>1.018</v>
      </c>
      <c r="D3512" s="51">
        <v>65.0</v>
      </c>
      <c r="E3512" s="52" t="s">
        <v>25</v>
      </c>
      <c r="F3512" s="52" t="s">
        <v>26</v>
      </c>
      <c r="G3512" s="53"/>
    </row>
    <row r="3513">
      <c r="A3513" s="49">
        <v>44549.84438256944</v>
      </c>
      <c r="B3513" s="50">
        <v>44549.9693479976</v>
      </c>
      <c r="C3513" s="51">
        <v>1.018</v>
      </c>
      <c r="D3513" s="51">
        <v>65.0</v>
      </c>
      <c r="E3513" s="52" t="s">
        <v>25</v>
      </c>
      <c r="F3513" s="52" t="s">
        <v>26</v>
      </c>
      <c r="G3513" s="53"/>
    </row>
    <row r="3514">
      <c r="A3514" s="49">
        <v>44549.85479384259</v>
      </c>
      <c r="B3514" s="50">
        <v>44549.9797678588</v>
      </c>
      <c r="C3514" s="51">
        <v>1.018</v>
      </c>
      <c r="D3514" s="51">
        <v>65.0</v>
      </c>
      <c r="E3514" s="52" t="s">
        <v>25</v>
      </c>
      <c r="F3514" s="52" t="s">
        <v>26</v>
      </c>
      <c r="G3514" s="53"/>
    </row>
    <row r="3515">
      <c r="A3515" s="49">
        <v>44549.86523793981</v>
      </c>
      <c r="B3515" s="50">
        <v>44549.9902009259</v>
      </c>
      <c r="C3515" s="51">
        <v>1.018</v>
      </c>
      <c r="D3515" s="51">
        <v>65.0</v>
      </c>
      <c r="E3515" s="52" t="s">
        <v>25</v>
      </c>
      <c r="F3515" s="52" t="s">
        <v>26</v>
      </c>
      <c r="G3515" s="53"/>
    </row>
    <row r="3516">
      <c r="A3516" s="49">
        <v>44549.87566790509</v>
      </c>
      <c r="B3516" s="50">
        <v>44550.0006329745</v>
      </c>
      <c r="C3516" s="51">
        <v>1.018</v>
      </c>
      <c r="D3516" s="51">
        <v>65.0</v>
      </c>
      <c r="E3516" s="52" t="s">
        <v>25</v>
      </c>
      <c r="F3516" s="52" t="s">
        <v>26</v>
      </c>
      <c r="G3516" s="53"/>
    </row>
    <row r="3517">
      <c r="A3517" s="49">
        <v>44549.88608418981</v>
      </c>
      <c r="B3517" s="50">
        <v>44550.0110546875</v>
      </c>
      <c r="C3517" s="51">
        <v>1.018</v>
      </c>
      <c r="D3517" s="51">
        <v>65.0</v>
      </c>
      <c r="E3517" s="52" t="s">
        <v>25</v>
      </c>
      <c r="F3517" s="52" t="s">
        <v>26</v>
      </c>
      <c r="G3517" s="53"/>
    </row>
    <row r="3518">
      <c r="A3518" s="49">
        <v>44549.896540648144</v>
      </c>
      <c r="B3518" s="50">
        <v>44550.0215103703</v>
      </c>
      <c r="C3518" s="51">
        <v>1.017</v>
      </c>
      <c r="D3518" s="51">
        <v>65.0</v>
      </c>
      <c r="E3518" s="52" t="s">
        <v>25</v>
      </c>
      <c r="F3518" s="52" t="s">
        <v>26</v>
      </c>
      <c r="G3518" s="53"/>
    </row>
    <row r="3519">
      <c r="A3519" s="49">
        <v>44549.906962430556</v>
      </c>
      <c r="B3519" s="50">
        <v>44550.031931493</v>
      </c>
      <c r="C3519" s="51">
        <v>1.017</v>
      </c>
      <c r="D3519" s="51">
        <v>65.0</v>
      </c>
      <c r="E3519" s="52" t="s">
        <v>25</v>
      </c>
      <c r="F3519" s="52" t="s">
        <v>26</v>
      </c>
      <c r="G3519" s="53"/>
    </row>
    <row r="3520">
      <c r="A3520" s="49">
        <v>44549.917391678246</v>
      </c>
      <c r="B3520" s="50">
        <v>44550.0423645023</v>
      </c>
      <c r="C3520" s="51">
        <v>1.017</v>
      </c>
      <c r="D3520" s="51">
        <v>65.0</v>
      </c>
      <c r="E3520" s="52" t="s">
        <v>25</v>
      </c>
      <c r="F3520" s="52" t="s">
        <v>26</v>
      </c>
      <c r="G3520" s="53"/>
    </row>
    <row r="3521">
      <c r="A3521" s="49">
        <v>44549.92782445602</v>
      </c>
      <c r="B3521" s="50">
        <v>44550.0527966898</v>
      </c>
      <c r="C3521" s="51">
        <v>1.017</v>
      </c>
      <c r="D3521" s="51">
        <v>65.0</v>
      </c>
      <c r="E3521" s="52" t="s">
        <v>25</v>
      </c>
      <c r="F3521" s="52" t="s">
        <v>26</v>
      </c>
      <c r="G3521" s="53"/>
    </row>
    <row r="3522">
      <c r="A3522" s="49">
        <v>44549.93825910879</v>
      </c>
      <c r="B3522" s="50">
        <v>44550.0632310995</v>
      </c>
      <c r="C3522" s="51">
        <v>1.017</v>
      </c>
      <c r="D3522" s="51">
        <v>65.0</v>
      </c>
      <c r="E3522" s="52" t="s">
        <v>25</v>
      </c>
      <c r="F3522" s="52" t="s">
        <v>26</v>
      </c>
      <c r="G3522" s="53"/>
    </row>
    <row r="3523">
      <c r="A3523" s="49">
        <v>44549.9486949537</v>
      </c>
      <c r="B3523" s="50">
        <v>44550.0736662037</v>
      </c>
      <c r="C3523" s="51">
        <v>1.017</v>
      </c>
      <c r="D3523" s="51">
        <v>65.0</v>
      </c>
      <c r="E3523" s="52" t="s">
        <v>25</v>
      </c>
      <c r="F3523" s="52" t="s">
        <v>26</v>
      </c>
      <c r="G3523" s="53"/>
    </row>
    <row r="3524">
      <c r="A3524" s="49">
        <v>44549.959124409725</v>
      </c>
      <c r="B3524" s="50">
        <v>44550.0840987615</v>
      </c>
      <c r="C3524" s="51">
        <v>1.017</v>
      </c>
      <c r="D3524" s="51">
        <v>65.0</v>
      </c>
      <c r="E3524" s="52" t="s">
        <v>25</v>
      </c>
      <c r="F3524" s="52" t="s">
        <v>26</v>
      </c>
      <c r="G3524" s="53"/>
    </row>
    <row r="3525">
      <c r="A3525" s="49">
        <v>44549.969554317126</v>
      </c>
      <c r="B3525" s="50">
        <v>44550.0945310069</v>
      </c>
      <c r="C3525" s="51">
        <v>1.017</v>
      </c>
      <c r="D3525" s="51">
        <v>64.0</v>
      </c>
      <c r="E3525" s="52" t="s">
        <v>25</v>
      </c>
      <c r="F3525" s="52" t="s">
        <v>26</v>
      </c>
      <c r="G3525" s="53"/>
    </row>
    <row r="3526">
      <c r="A3526" s="49">
        <v>44549.979974409725</v>
      </c>
      <c r="B3526" s="50">
        <v>44550.1049511921</v>
      </c>
      <c r="C3526" s="51">
        <v>1.017</v>
      </c>
      <c r="D3526" s="51">
        <v>65.0</v>
      </c>
      <c r="E3526" s="52" t="s">
        <v>25</v>
      </c>
      <c r="F3526" s="52" t="s">
        <v>26</v>
      </c>
      <c r="G3526" s="53"/>
    </row>
    <row r="3527">
      <c r="A3527" s="49">
        <v>44549.99042417824</v>
      </c>
      <c r="B3527" s="50">
        <v>44550.1153924768</v>
      </c>
      <c r="C3527" s="51">
        <v>1.018</v>
      </c>
      <c r="D3527" s="51">
        <v>65.0</v>
      </c>
      <c r="E3527" s="52" t="s">
        <v>25</v>
      </c>
      <c r="F3527" s="52" t="s">
        <v>26</v>
      </c>
      <c r="G3527" s="53"/>
    </row>
    <row r="3528">
      <c r="A3528" s="49">
        <v>44550.0008499074</v>
      </c>
      <c r="B3528" s="50">
        <v>44550.1258135532</v>
      </c>
      <c r="C3528" s="51">
        <v>1.017</v>
      </c>
      <c r="D3528" s="51">
        <v>64.0</v>
      </c>
      <c r="E3528" s="52" t="s">
        <v>25</v>
      </c>
      <c r="F3528" s="52" t="s">
        <v>26</v>
      </c>
      <c r="G3528" s="53"/>
    </row>
    <row r="3529">
      <c r="A3529" s="49">
        <v>44550.01128826389</v>
      </c>
      <c r="B3529" s="50">
        <v>44550.1362584259</v>
      </c>
      <c r="C3529" s="51">
        <v>1.017</v>
      </c>
      <c r="D3529" s="51">
        <v>64.0</v>
      </c>
      <c r="E3529" s="52" t="s">
        <v>25</v>
      </c>
      <c r="F3529" s="52" t="s">
        <v>26</v>
      </c>
      <c r="G3529" s="53"/>
    </row>
    <row r="3530">
      <c r="A3530" s="49">
        <v>44550.02170783565</v>
      </c>
      <c r="B3530" s="50">
        <v>44550.1466785185</v>
      </c>
      <c r="C3530" s="51">
        <v>1.017</v>
      </c>
      <c r="D3530" s="51">
        <v>64.0</v>
      </c>
      <c r="E3530" s="52" t="s">
        <v>25</v>
      </c>
      <c r="F3530" s="52" t="s">
        <v>26</v>
      </c>
      <c r="G3530" s="53"/>
    </row>
    <row r="3531">
      <c r="A3531" s="49">
        <v>44550.032138090275</v>
      </c>
      <c r="B3531" s="50">
        <v>44550.1571128703</v>
      </c>
      <c r="C3531" s="51">
        <v>1.017</v>
      </c>
      <c r="D3531" s="51">
        <v>65.0</v>
      </c>
      <c r="E3531" s="52" t="s">
        <v>25</v>
      </c>
      <c r="F3531" s="52" t="s">
        <v>26</v>
      </c>
      <c r="G3531" s="53"/>
    </row>
    <row r="3532">
      <c r="A3532" s="49">
        <v>44550.042559270834</v>
      </c>
      <c r="B3532" s="50">
        <v>44550.1675345833</v>
      </c>
      <c r="C3532" s="51">
        <v>1.017</v>
      </c>
      <c r="D3532" s="51">
        <v>64.0</v>
      </c>
      <c r="E3532" s="52" t="s">
        <v>25</v>
      </c>
      <c r="F3532" s="52" t="s">
        <v>26</v>
      </c>
      <c r="G3532" s="53"/>
    </row>
    <row r="3533">
      <c r="A3533" s="49">
        <v>44550.052985891205</v>
      </c>
      <c r="B3533" s="50">
        <v>44550.1779552314</v>
      </c>
      <c r="C3533" s="51">
        <v>1.018</v>
      </c>
      <c r="D3533" s="51">
        <v>64.0</v>
      </c>
      <c r="E3533" s="52" t="s">
        <v>25</v>
      </c>
      <c r="F3533" s="52" t="s">
        <v>26</v>
      </c>
      <c r="G3533" s="53"/>
    </row>
    <row r="3534">
      <c r="A3534" s="49">
        <v>44550.06344159722</v>
      </c>
      <c r="B3534" s="50">
        <v>44550.1884117245</v>
      </c>
      <c r="C3534" s="51">
        <v>1.018</v>
      </c>
      <c r="D3534" s="51">
        <v>64.0</v>
      </c>
      <c r="E3534" s="52" t="s">
        <v>25</v>
      </c>
      <c r="F3534" s="52" t="s">
        <v>26</v>
      </c>
      <c r="G3534" s="53"/>
    </row>
    <row r="3535">
      <c r="A3535" s="49">
        <v>44550.07385878472</v>
      </c>
      <c r="B3535" s="50">
        <v>44550.1988331828</v>
      </c>
      <c r="C3535" s="51">
        <v>1.017</v>
      </c>
      <c r="D3535" s="51">
        <v>64.0</v>
      </c>
      <c r="E3535" s="52" t="s">
        <v>25</v>
      </c>
      <c r="F3535" s="52" t="s">
        <v>26</v>
      </c>
      <c r="G3535" s="53"/>
    </row>
    <row r="3536">
      <c r="A3536" s="49">
        <v>44550.08429297454</v>
      </c>
      <c r="B3536" s="50">
        <v>44550.2092672106</v>
      </c>
      <c r="C3536" s="51">
        <v>1.018</v>
      </c>
      <c r="D3536" s="51">
        <v>64.0</v>
      </c>
      <c r="E3536" s="52" t="s">
        <v>25</v>
      </c>
      <c r="F3536" s="52" t="s">
        <v>26</v>
      </c>
      <c r="G3536" s="53"/>
    </row>
    <row r="3537">
      <c r="A3537" s="49">
        <v>44550.09474800926</v>
      </c>
      <c r="B3537" s="50">
        <v>44550.2197223148</v>
      </c>
      <c r="C3537" s="51">
        <v>1.017</v>
      </c>
      <c r="D3537" s="51">
        <v>64.0</v>
      </c>
      <c r="E3537" s="52" t="s">
        <v>25</v>
      </c>
      <c r="F3537" s="52" t="s">
        <v>26</v>
      </c>
      <c r="G3537" s="53"/>
    </row>
    <row r="3538">
      <c r="A3538" s="49">
        <v>44550.105187106485</v>
      </c>
      <c r="B3538" s="50">
        <v>44550.2301550115</v>
      </c>
      <c r="C3538" s="51">
        <v>1.017</v>
      </c>
      <c r="D3538" s="51">
        <v>64.0</v>
      </c>
      <c r="E3538" s="52" t="s">
        <v>25</v>
      </c>
      <c r="F3538" s="52" t="s">
        <v>26</v>
      </c>
      <c r="G3538" s="53"/>
    </row>
    <row r="3539">
      <c r="A3539" s="49">
        <v>44550.115622083336</v>
      </c>
      <c r="B3539" s="50">
        <v>44550.2405857175</v>
      </c>
      <c r="C3539" s="51">
        <v>1.018</v>
      </c>
      <c r="D3539" s="51">
        <v>64.0</v>
      </c>
      <c r="E3539" s="52" t="s">
        <v>25</v>
      </c>
      <c r="F3539" s="52" t="s">
        <v>26</v>
      </c>
      <c r="G3539" s="53"/>
    </row>
    <row r="3540">
      <c r="A3540" s="49">
        <v>44550.12605909722</v>
      </c>
      <c r="B3540" s="50">
        <v>44550.251030243</v>
      </c>
      <c r="C3540" s="51">
        <v>1.018</v>
      </c>
      <c r="D3540" s="51">
        <v>64.0</v>
      </c>
      <c r="E3540" s="52" t="s">
        <v>25</v>
      </c>
      <c r="F3540" s="52" t="s">
        <v>26</v>
      </c>
      <c r="G3540" s="53"/>
    </row>
    <row r="3541">
      <c r="A3541" s="49">
        <v>44550.13647802084</v>
      </c>
      <c r="B3541" s="50">
        <v>44550.261451875</v>
      </c>
      <c r="C3541" s="51">
        <v>1.017</v>
      </c>
      <c r="D3541" s="51">
        <v>64.0</v>
      </c>
      <c r="E3541" s="52" t="s">
        <v>25</v>
      </c>
      <c r="F3541" s="52" t="s">
        <v>26</v>
      </c>
      <c r="G3541" s="53"/>
    </row>
    <row r="3542">
      <c r="A3542" s="49">
        <v>44550.14689871528</v>
      </c>
      <c r="B3542" s="50">
        <v>44550.2718736226</v>
      </c>
      <c r="C3542" s="51">
        <v>1.018</v>
      </c>
      <c r="D3542" s="51">
        <v>64.0</v>
      </c>
      <c r="E3542" s="52" t="s">
        <v>25</v>
      </c>
      <c r="F3542" s="52" t="s">
        <v>26</v>
      </c>
      <c r="G3542" s="53"/>
    </row>
    <row r="3543">
      <c r="A3543" s="49">
        <v>44550.15734913194</v>
      </c>
      <c r="B3543" s="50">
        <v>44550.282318287</v>
      </c>
      <c r="C3543" s="51">
        <v>1.017</v>
      </c>
      <c r="D3543" s="51">
        <v>64.0</v>
      </c>
      <c r="E3543" s="52" t="s">
        <v>25</v>
      </c>
      <c r="F3543" s="52" t="s">
        <v>26</v>
      </c>
      <c r="G3543" s="53"/>
    </row>
    <row r="3544">
      <c r="A3544" s="49">
        <v>44550.16777024306</v>
      </c>
      <c r="B3544" s="50">
        <v>44550.2927403819</v>
      </c>
      <c r="C3544" s="51">
        <v>1.017</v>
      </c>
      <c r="D3544" s="51">
        <v>64.0</v>
      </c>
      <c r="E3544" s="52" t="s">
        <v>25</v>
      </c>
      <c r="F3544" s="52" t="s">
        <v>26</v>
      </c>
      <c r="G3544" s="53"/>
    </row>
    <row r="3545">
      <c r="A3545" s="49">
        <v>44550.178192824074</v>
      </c>
      <c r="B3545" s="50">
        <v>44550.3031609953</v>
      </c>
      <c r="C3545" s="51">
        <v>1.017</v>
      </c>
      <c r="D3545" s="51">
        <v>64.0</v>
      </c>
      <c r="E3545" s="52" t="s">
        <v>25</v>
      </c>
      <c r="F3545" s="52" t="s">
        <v>26</v>
      </c>
      <c r="G3545" s="53"/>
    </row>
    <row r="3546">
      <c r="A3546" s="49">
        <v>44550.18861840278</v>
      </c>
      <c r="B3546" s="50">
        <v>44550.313593206</v>
      </c>
      <c r="C3546" s="51">
        <v>1.017</v>
      </c>
      <c r="D3546" s="51">
        <v>64.0</v>
      </c>
      <c r="E3546" s="52" t="s">
        <v>25</v>
      </c>
      <c r="F3546" s="52" t="s">
        <v>26</v>
      </c>
      <c r="G3546" s="53"/>
    </row>
    <row r="3547">
      <c r="A3547" s="49">
        <v>44550.19904475694</v>
      </c>
      <c r="B3547" s="50">
        <v>44550.3240150578</v>
      </c>
      <c r="C3547" s="51">
        <v>1.017</v>
      </c>
      <c r="D3547" s="51">
        <v>64.0</v>
      </c>
      <c r="E3547" s="52" t="s">
        <v>25</v>
      </c>
      <c r="F3547" s="52" t="s">
        <v>26</v>
      </c>
      <c r="G3547" s="53"/>
    </row>
    <row r="3548">
      <c r="A3548" s="49">
        <v>44550.20947883102</v>
      </c>
      <c r="B3548" s="50">
        <v>44550.3344484837</v>
      </c>
      <c r="C3548" s="51">
        <v>1.017</v>
      </c>
      <c r="D3548" s="51">
        <v>64.0</v>
      </c>
      <c r="E3548" s="52" t="s">
        <v>25</v>
      </c>
      <c r="F3548" s="52" t="s">
        <v>26</v>
      </c>
      <c r="G3548" s="53"/>
    </row>
    <row r="3549">
      <c r="A3549" s="49">
        <v>44550.21989467593</v>
      </c>
      <c r="B3549" s="50">
        <v>44550.3448684722</v>
      </c>
      <c r="C3549" s="51">
        <v>1.017</v>
      </c>
      <c r="D3549" s="51">
        <v>64.0</v>
      </c>
      <c r="E3549" s="52" t="s">
        <v>25</v>
      </c>
      <c r="F3549" s="52" t="s">
        <v>26</v>
      </c>
      <c r="G3549" s="53"/>
    </row>
    <row r="3550">
      <c r="A3550" s="49">
        <v>44550.230312789354</v>
      </c>
      <c r="B3550" s="50">
        <v>44550.3552894675</v>
      </c>
      <c r="C3550" s="51">
        <v>1.017</v>
      </c>
      <c r="D3550" s="51">
        <v>64.0</v>
      </c>
      <c r="E3550" s="52" t="s">
        <v>25</v>
      </c>
      <c r="F3550" s="52" t="s">
        <v>26</v>
      </c>
      <c r="G3550" s="53"/>
    </row>
    <row r="3551">
      <c r="A3551" s="49">
        <v>44550.240757210646</v>
      </c>
      <c r="B3551" s="50">
        <v>44550.3657222337</v>
      </c>
      <c r="C3551" s="51">
        <v>1.017</v>
      </c>
      <c r="D3551" s="51">
        <v>64.0</v>
      </c>
      <c r="E3551" s="52" t="s">
        <v>25</v>
      </c>
      <c r="F3551" s="52" t="s">
        <v>26</v>
      </c>
      <c r="G3551" s="53"/>
    </row>
    <row r="3552">
      <c r="A3552" s="49">
        <v>44550.25117084491</v>
      </c>
      <c r="B3552" s="50">
        <v>44550.3761447916</v>
      </c>
      <c r="C3552" s="51">
        <v>1.017</v>
      </c>
      <c r="D3552" s="51">
        <v>64.0</v>
      </c>
      <c r="E3552" s="52" t="s">
        <v>25</v>
      </c>
      <c r="F3552" s="52" t="s">
        <v>26</v>
      </c>
      <c r="G3552" s="53"/>
    </row>
    <row r="3553">
      <c r="A3553" s="49">
        <v>44550.26162542824</v>
      </c>
      <c r="B3553" s="50">
        <v>44550.3866003472</v>
      </c>
      <c r="C3553" s="51">
        <v>1.017</v>
      </c>
      <c r="D3553" s="51">
        <v>64.0</v>
      </c>
      <c r="E3553" s="52" t="s">
        <v>25</v>
      </c>
      <c r="F3553" s="52" t="s">
        <v>26</v>
      </c>
      <c r="G3553" s="53"/>
    </row>
    <row r="3554">
      <c r="A3554" s="49">
        <v>44550.27205363426</v>
      </c>
      <c r="B3554" s="50">
        <v>44550.3970222916</v>
      </c>
      <c r="C3554" s="51">
        <v>1.017</v>
      </c>
      <c r="D3554" s="51">
        <v>64.0</v>
      </c>
      <c r="E3554" s="52" t="s">
        <v>25</v>
      </c>
      <c r="F3554" s="52" t="s">
        <v>26</v>
      </c>
      <c r="G3554" s="53"/>
    </row>
    <row r="3555">
      <c r="A3555" s="49">
        <v>44550.282510185185</v>
      </c>
      <c r="B3555" s="50">
        <v>44550.4074788425</v>
      </c>
      <c r="C3555" s="51">
        <v>1.017</v>
      </c>
      <c r="D3555" s="51">
        <v>64.0</v>
      </c>
      <c r="E3555" s="52" t="s">
        <v>25</v>
      </c>
      <c r="F3555" s="52" t="s">
        <v>26</v>
      </c>
      <c r="G3555" s="53"/>
    </row>
    <row r="3556">
      <c r="A3556" s="49">
        <v>44550.292952118056</v>
      </c>
      <c r="B3556" s="50">
        <v>44550.4179222916</v>
      </c>
      <c r="C3556" s="51">
        <v>1.017</v>
      </c>
      <c r="D3556" s="51">
        <v>64.0</v>
      </c>
      <c r="E3556" s="52" t="s">
        <v>25</v>
      </c>
      <c r="F3556" s="52" t="s">
        <v>26</v>
      </c>
      <c r="G3556" s="53"/>
    </row>
    <row r="3557">
      <c r="A3557" s="49">
        <v>44550.30339945602</v>
      </c>
      <c r="B3557" s="50">
        <v>44550.4283660763</v>
      </c>
      <c r="C3557" s="51">
        <v>1.017</v>
      </c>
      <c r="D3557" s="51">
        <v>64.0</v>
      </c>
      <c r="E3557" s="52" t="s">
        <v>25</v>
      </c>
      <c r="F3557" s="52" t="s">
        <v>26</v>
      </c>
      <c r="G3557" s="53"/>
    </row>
    <row r="3558">
      <c r="A3558" s="49">
        <v>44550.31382215278</v>
      </c>
      <c r="B3558" s="50">
        <v>44550.4387995254</v>
      </c>
      <c r="C3558" s="51">
        <v>1.017</v>
      </c>
      <c r="D3558" s="51">
        <v>64.0</v>
      </c>
      <c r="E3558" s="52" t="s">
        <v>25</v>
      </c>
      <c r="F3558" s="52" t="s">
        <v>26</v>
      </c>
      <c r="G3558" s="53"/>
    </row>
    <row r="3559">
      <c r="A3559" s="49">
        <v>44550.32425415509</v>
      </c>
      <c r="B3559" s="50">
        <v>44550.44922125</v>
      </c>
      <c r="C3559" s="51">
        <v>1.017</v>
      </c>
      <c r="D3559" s="51">
        <v>64.0</v>
      </c>
      <c r="E3559" s="52" t="s">
        <v>25</v>
      </c>
      <c r="F3559" s="52" t="s">
        <v>26</v>
      </c>
      <c r="G3559" s="53"/>
    </row>
    <row r="3560">
      <c r="A3560" s="49">
        <v>44550.334723946755</v>
      </c>
      <c r="B3560" s="50">
        <v>44550.4596786574</v>
      </c>
      <c r="C3560" s="51">
        <v>1.017</v>
      </c>
      <c r="D3560" s="51">
        <v>64.0</v>
      </c>
      <c r="E3560" s="52" t="s">
        <v>25</v>
      </c>
      <c r="F3560" s="52" t="s">
        <v>26</v>
      </c>
      <c r="G3560" s="53"/>
    </row>
    <row r="3561">
      <c r="A3561" s="49">
        <v>44550.34513962963</v>
      </c>
      <c r="B3561" s="50">
        <v>44550.4701102546</v>
      </c>
      <c r="C3561" s="51">
        <v>1.017</v>
      </c>
      <c r="D3561" s="51">
        <v>64.0</v>
      </c>
      <c r="E3561" s="52" t="s">
        <v>25</v>
      </c>
      <c r="F3561" s="52" t="s">
        <v>26</v>
      </c>
      <c r="G3561" s="53"/>
    </row>
    <row r="3562">
      <c r="A3562" s="49">
        <v>44550.35554971065</v>
      </c>
      <c r="B3562" s="50">
        <v>44550.4805309143</v>
      </c>
      <c r="C3562" s="51">
        <v>1.017</v>
      </c>
      <c r="D3562" s="51">
        <v>64.0</v>
      </c>
      <c r="E3562" s="52" t="s">
        <v>25</v>
      </c>
      <c r="F3562" s="52" t="s">
        <v>26</v>
      </c>
      <c r="G3562" s="53"/>
    </row>
    <row r="3563">
      <c r="A3563" s="49">
        <v>44550.366035011575</v>
      </c>
      <c r="B3563" s="50">
        <v>44550.4910006712</v>
      </c>
      <c r="C3563" s="51">
        <v>1.017</v>
      </c>
      <c r="D3563" s="51">
        <v>64.0</v>
      </c>
      <c r="E3563" s="52" t="s">
        <v>25</v>
      </c>
      <c r="F3563" s="52" t="s">
        <v>26</v>
      </c>
      <c r="G3563" s="53"/>
    </row>
    <row r="3564">
      <c r="A3564" s="49">
        <v>44550.37645605324</v>
      </c>
      <c r="B3564" s="50">
        <v>44550.5014203703</v>
      </c>
      <c r="C3564" s="51">
        <v>1.017</v>
      </c>
      <c r="D3564" s="51">
        <v>64.0</v>
      </c>
      <c r="E3564" s="52" t="s">
        <v>25</v>
      </c>
      <c r="F3564" s="52" t="s">
        <v>26</v>
      </c>
      <c r="G3564" s="53"/>
    </row>
    <row r="3565">
      <c r="A3565" s="49">
        <v>44550.38687728009</v>
      </c>
      <c r="B3565" s="50">
        <v>44550.5118406828</v>
      </c>
      <c r="C3565" s="51">
        <v>1.017</v>
      </c>
      <c r="D3565" s="51">
        <v>64.0</v>
      </c>
      <c r="E3565" s="52" t="s">
        <v>25</v>
      </c>
      <c r="F3565" s="52" t="s">
        <v>26</v>
      </c>
      <c r="G3565" s="53"/>
    </row>
    <row r="3566">
      <c r="A3566" s="49">
        <v>44550.39729579861</v>
      </c>
      <c r="B3566" s="50">
        <v>44550.5222609606</v>
      </c>
      <c r="C3566" s="51">
        <v>1.017</v>
      </c>
      <c r="D3566" s="51">
        <v>64.0</v>
      </c>
      <c r="E3566" s="52" t="s">
        <v>25</v>
      </c>
      <c r="F3566" s="52" t="s">
        <v>26</v>
      </c>
      <c r="G3566" s="53"/>
    </row>
    <row r="3567">
      <c r="A3567" s="49">
        <v>44550.40772621528</v>
      </c>
      <c r="B3567" s="50">
        <v>44550.5326924652</v>
      </c>
      <c r="C3567" s="51">
        <v>1.017</v>
      </c>
      <c r="D3567" s="51">
        <v>64.0</v>
      </c>
      <c r="E3567" s="52" t="s">
        <v>25</v>
      </c>
      <c r="F3567" s="52" t="s">
        <v>26</v>
      </c>
      <c r="G3567" s="53"/>
    </row>
    <row r="3568">
      <c r="A3568" s="49">
        <v>44550.41817559028</v>
      </c>
      <c r="B3568" s="50">
        <v>44550.5431485416</v>
      </c>
      <c r="C3568" s="51">
        <v>1.017</v>
      </c>
      <c r="D3568" s="51">
        <v>64.0</v>
      </c>
      <c r="E3568" s="52" t="s">
        <v>25</v>
      </c>
      <c r="F3568" s="52" t="s">
        <v>26</v>
      </c>
      <c r="G3568" s="53"/>
    </row>
    <row r="3569">
      <c r="A3569" s="49">
        <v>44550.42860668981</v>
      </c>
      <c r="B3569" s="50">
        <v>44550.5535815856</v>
      </c>
      <c r="C3569" s="51">
        <v>1.017</v>
      </c>
      <c r="D3569" s="51">
        <v>64.0</v>
      </c>
      <c r="E3569" s="52" t="s">
        <v>25</v>
      </c>
      <c r="F3569" s="52" t="s">
        <v>26</v>
      </c>
      <c r="G3569" s="53"/>
    </row>
    <row r="3570">
      <c r="A3570" s="49">
        <v>44550.439042557875</v>
      </c>
      <c r="B3570" s="50">
        <v>44550.5640142592</v>
      </c>
      <c r="C3570" s="51">
        <v>1.018</v>
      </c>
      <c r="D3570" s="51">
        <v>64.0</v>
      </c>
      <c r="E3570" s="52" t="s">
        <v>25</v>
      </c>
      <c r="F3570" s="52" t="s">
        <v>26</v>
      </c>
      <c r="G3570" s="53"/>
    </row>
    <row r="3571">
      <c r="A3571" s="49">
        <v>44550.449473125</v>
      </c>
      <c r="B3571" s="50">
        <v>44550.5744349189</v>
      </c>
      <c r="C3571" s="51">
        <v>1.017</v>
      </c>
      <c r="D3571" s="51">
        <v>64.0</v>
      </c>
      <c r="E3571" s="52" t="s">
        <v>25</v>
      </c>
      <c r="F3571" s="52" t="s">
        <v>26</v>
      </c>
      <c r="G3571" s="53"/>
    </row>
    <row r="3572">
      <c r="A3572" s="49">
        <v>44550.4598916088</v>
      </c>
      <c r="B3572" s="50">
        <v>44550.5848550231</v>
      </c>
      <c r="C3572" s="51">
        <v>1.017</v>
      </c>
      <c r="D3572" s="51">
        <v>64.0</v>
      </c>
      <c r="E3572" s="52" t="s">
        <v>25</v>
      </c>
      <c r="F3572" s="52" t="s">
        <v>26</v>
      </c>
      <c r="G3572" s="53"/>
    </row>
    <row r="3573">
      <c r="A3573" s="49">
        <v>44550.47031365741</v>
      </c>
      <c r="B3573" s="50">
        <v>44550.5952750694</v>
      </c>
      <c r="C3573" s="51">
        <v>1.017</v>
      </c>
      <c r="D3573" s="51">
        <v>64.0</v>
      </c>
      <c r="E3573" s="52" t="s">
        <v>25</v>
      </c>
      <c r="F3573" s="52" t="s">
        <v>26</v>
      </c>
      <c r="G3573" s="53"/>
    </row>
    <row r="3574">
      <c r="A3574" s="49">
        <v>44550.48073009259</v>
      </c>
      <c r="B3574" s="50">
        <v>44550.6056968518</v>
      </c>
      <c r="C3574" s="51">
        <v>1.017</v>
      </c>
      <c r="D3574" s="51">
        <v>64.0</v>
      </c>
      <c r="E3574" s="52" t="s">
        <v>25</v>
      </c>
      <c r="F3574" s="52" t="s">
        <v>26</v>
      </c>
      <c r="G3574" s="53"/>
    </row>
    <row r="3575">
      <c r="A3575" s="49">
        <v>44550.49115869213</v>
      </c>
      <c r="B3575" s="50">
        <v>44550.6161299652</v>
      </c>
      <c r="C3575" s="51">
        <v>1.017</v>
      </c>
      <c r="D3575" s="51">
        <v>64.0</v>
      </c>
      <c r="E3575" s="52" t="s">
        <v>25</v>
      </c>
      <c r="F3575" s="52" t="s">
        <v>26</v>
      </c>
      <c r="G3575" s="53"/>
    </row>
    <row r="3576">
      <c r="A3576" s="49">
        <v>44550.50158159722</v>
      </c>
      <c r="B3576" s="50">
        <v>44550.6265513541</v>
      </c>
      <c r="C3576" s="51">
        <v>1.017</v>
      </c>
      <c r="D3576" s="51">
        <v>64.0</v>
      </c>
      <c r="E3576" s="52" t="s">
        <v>25</v>
      </c>
      <c r="F3576" s="52" t="s">
        <v>26</v>
      </c>
      <c r="G3576" s="53"/>
    </row>
    <row r="3577">
      <c r="A3577" s="49">
        <v>44550.51200440973</v>
      </c>
      <c r="B3577" s="50">
        <v>44550.6369716898</v>
      </c>
      <c r="C3577" s="51">
        <v>1.017</v>
      </c>
      <c r="D3577" s="51">
        <v>64.0</v>
      </c>
      <c r="E3577" s="52" t="s">
        <v>25</v>
      </c>
      <c r="F3577" s="52" t="s">
        <v>26</v>
      </c>
      <c r="G3577" s="53"/>
    </row>
    <row r="3578">
      <c r="A3578" s="49">
        <v>44550.52243696759</v>
      </c>
      <c r="B3578" s="50">
        <v>44550.6474053009</v>
      </c>
      <c r="C3578" s="51">
        <v>1.017</v>
      </c>
      <c r="D3578" s="51">
        <v>64.0</v>
      </c>
      <c r="E3578" s="52" t="s">
        <v>25</v>
      </c>
      <c r="F3578" s="52" t="s">
        <v>26</v>
      </c>
      <c r="G3578" s="53"/>
    </row>
    <row r="3579">
      <c r="A3579" s="49">
        <v>44550.53284988426</v>
      </c>
      <c r="B3579" s="50">
        <v>44550.6578236805</v>
      </c>
      <c r="C3579" s="51">
        <v>1.017</v>
      </c>
      <c r="D3579" s="51">
        <v>64.0</v>
      </c>
      <c r="E3579" s="52" t="s">
        <v>25</v>
      </c>
      <c r="F3579" s="52" t="s">
        <v>26</v>
      </c>
      <c r="G3579" s="53"/>
    </row>
    <row r="3580">
      <c r="A3580" s="49">
        <v>44550.543288796296</v>
      </c>
      <c r="B3580" s="50">
        <v>44550.6682564583</v>
      </c>
      <c r="C3580" s="51">
        <v>1.017</v>
      </c>
      <c r="D3580" s="51">
        <v>64.0</v>
      </c>
      <c r="E3580" s="52" t="s">
        <v>25</v>
      </c>
      <c r="F3580" s="52" t="s">
        <v>26</v>
      </c>
      <c r="G3580" s="53"/>
    </row>
    <row r="3581">
      <c r="A3581" s="49">
        <v>44550.5537365162</v>
      </c>
      <c r="B3581" s="50">
        <v>44550.6787003125</v>
      </c>
      <c r="C3581" s="51">
        <v>1.017</v>
      </c>
      <c r="D3581" s="51">
        <v>64.0</v>
      </c>
      <c r="E3581" s="52" t="s">
        <v>25</v>
      </c>
      <c r="F3581" s="52" t="s">
        <v>26</v>
      </c>
      <c r="G3581" s="53"/>
    </row>
    <row r="3582">
      <c r="A3582" s="49">
        <v>44550.56416609954</v>
      </c>
      <c r="B3582" s="50">
        <v>44550.6891328819</v>
      </c>
      <c r="C3582" s="51">
        <v>1.017</v>
      </c>
      <c r="D3582" s="51">
        <v>64.0</v>
      </c>
      <c r="E3582" s="52" t="s">
        <v>25</v>
      </c>
      <c r="F3582" s="52" t="s">
        <v>26</v>
      </c>
      <c r="G3582" s="53"/>
    </row>
    <row r="3583">
      <c r="A3583" s="49">
        <v>44550.585017523146</v>
      </c>
      <c r="B3583" s="50">
        <v>44550.7099858912</v>
      </c>
      <c r="C3583" s="51">
        <v>1.017</v>
      </c>
      <c r="D3583" s="51">
        <v>64.0</v>
      </c>
      <c r="E3583" s="52" t="s">
        <v>25</v>
      </c>
      <c r="F3583" s="52" t="s">
        <v>26</v>
      </c>
      <c r="G3583" s="53"/>
    </row>
    <row r="3584">
      <c r="A3584" s="49">
        <v>44550.595438923614</v>
      </c>
      <c r="B3584" s="50">
        <v>44550.7204066898</v>
      </c>
      <c r="C3584" s="51">
        <v>1.017</v>
      </c>
      <c r="D3584" s="51">
        <v>64.0</v>
      </c>
      <c r="E3584" s="52" t="s">
        <v>25</v>
      </c>
      <c r="F3584" s="52" t="s">
        <v>26</v>
      </c>
      <c r="G3584" s="53"/>
    </row>
    <row r="3585">
      <c r="A3585" s="49">
        <v>44550.60587032407</v>
      </c>
      <c r="B3585" s="50">
        <v>44550.730840625</v>
      </c>
      <c r="C3585" s="51">
        <v>1.017</v>
      </c>
      <c r="D3585" s="51">
        <v>64.0</v>
      </c>
      <c r="E3585" s="52" t="s">
        <v>25</v>
      </c>
      <c r="F3585" s="52" t="s">
        <v>26</v>
      </c>
      <c r="G3585" s="53"/>
    </row>
    <row r="3586">
      <c r="A3586" s="49">
        <v>44550.61629011574</v>
      </c>
      <c r="B3586" s="50">
        <v>44550.7412629745</v>
      </c>
      <c r="C3586" s="51">
        <v>1.017</v>
      </c>
      <c r="D3586" s="51">
        <v>64.0</v>
      </c>
      <c r="E3586" s="52" t="s">
        <v>25</v>
      </c>
      <c r="F3586" s="52" t="s">
        <v>26</v>
      </c>
      <c r="G3586" s="53"/>
    </row>
    <row r="3587">
      <c r="A3587" s="49">
        <v>44550.62673739583</v>
      </c>
      <c r="B3587" s="50">
        <v>44550.7516984143</v>
      </c>
      <c r="C3587" s="51">
        <v>1.017</v>
      </c>
      <c r="D3587" s="51">
        <v>64.0</v>
      </c>
      <c r="E3587" s="52" t="s">
        <v>25</v>
      </c>
      <c r="F3587" s="52" t="s">
        <v>26</v>
      </c>
      <c r="G3587" s="53"/>
    </row>
    <row r="3588">
      <c r="A3588" s="49">
        <v>44550.63714644676</v>
      </c>
      <c r="B3588" s="50">
        <v>44550.762120081</v>
      </c>
      <c r="C3588" s="51">
        <v>1.017</v>
      </c>
      <c r="D3588" s="51">
        <v>64.0</v>
      </c>
      <c r="E3588" s="52" t="s">
        <v>25</v>
      </c>
      <c r="F3588" s="52" t="s">
        <v>26</v>
      </c>
      <c r="G3588" s="53"/>
    </row>
    <row r="3589">
      <c r="A3589" s="49">
        <v>44550.647576469906</v>
      </c>
      <c r="B3589" s="50">
        <v>44550.7725434143</v>
      </c>
      <c r="C3589" s="51">
        <v>1.017</v>
      </c>
      <c r="D3589" s="51">
        <v>64.0</v>
      </c>
      <c r="E3589" s="52" t="s">
        <v>25</v>
      </c>
      <c r="F3589" s="52" t="s">
        <v>26</v>
      </c>
      <c r="G3589" s="53"/>
    </row>
    <row r="3590">
      <c r="A3590" s="49">
        <v>44550.65799766204</v>
      </c>
      <c r="B3590" s="50">
        <v>44550.7829647106</v>
      </c>
      <c r="C3590" s="51">
        <v>1.017</v>
      </c>
      <c r="D3590" s="51">
        <v>64.0</v>
      </c>
      <c r="E3590" s="52" t="s">
        <v>25</v>
      </c>
      <c r="F3590" s="52" t="s">
        <v>26</v>
      </c>
      <c r="G3590" s="53"/>
    </row>
    <row r="3591">
      <c r="A3591" s="49">
        <v>44550.66843041667</v>
      </c>
      <c r="B3591" s="50">
        <v>44550.7933971064</v>
      </c>
      <c r="C3591" s="51">
        <v>1.017</v>
      </c>
      <c r="D3591" s="51">
        <v>64.0</v>
      </c>
      <c r="E3591" s="52" t="s">
        <v>25</v>
      </c>
      <c r="F3591" s="52" t="s">
        <v>26</v>
      </c>
      <c r="G3591" s="53"/>
    </row>
    <row r="3592">
      <c r="A3592" s="49">
        <v>44550.67884616899</v>
      </c>
      <c r="B3592" s="50">
        <v>44550.8038190509</v>
      </c>
      <c r="C3592" s="51">
        <v>1.017</v>
      </c>
      <c r="D3592" s="51">
        <v>64.0</v>
      </c>
      <c r="E3592" s="52" t="s">
        <v>25</v>
      </c>
      <c r="F3592" s="52" t="s">
        <v>26</v>
      </c>
      <c r="G3592" s="53"/>
    </row>
    <row r="3593">
      <c r="A3593" s="49">
        <v>44550.6892715162</v>
      </c>
      <c r="B3593" s="50">
        <v>44550.8142394212</v>
      </c>
      <c r="C3593" s="51">
        <v>1.017</v>
      </c>
      <c r="D3593" s="51">
        <v>64.0</v>
      </c>
      <c r="E3593" s="52" t="s">
        <v>25</v>
      </c>
      <c r="F3593" s="52" t="s">
        <v>26</v>
      </c>
      <c r="G3593" s="53"/>
    </row>
    <row r="3594">
      <c r="A3594" s="49">
        <v>44550.69970776621</v>
      </c>
      <c r="B3594" s="50">
        <v>44550.8246715509</v>
      </c>
      <c r="C3594" s="51">
        <v>1.017</v>
      </c>
      <c r="D3594" s="51">
        <v>64.0</v>
      </c>
      <c r="E3594" s="52" t="s">
        <v>25</v>
      </c>
      <c r="F3594" s="52" t="s">
        <v>26</v>
      </c>
      <c r="G3594" s="53"/>
    </row>
    <row r="3595">
      <c r="A3595" s="49">
        <v>44550.710139421295</v>
      </c>
      <c r="B3595" s="50">
        <v>44550.8351045717</v>
      </c>
      <c r="C3595" s="51">
        <v>1.017</v>
      </c>
      <c r="D3595" s="51">
        <v>64.0</v>
      </c>
      <c r="E3595" s="52" t="s">
        <v>25</v>
      </c>
      <c r="F3595" s="52" t="s">
        <v>26</v>
      </c>
      <c r="G3595" s="53"/>
    </row>
    <row r="3596">
      <c r="A3596" s="49">
        <v>44550.72056261574</v>
      </c>
      <c r="B3596" s="50">
        <v>44550.8455272106</v>
      </c>
      <c r="C3596" s="51">
        <v>1.017</v>
      </c>
      <c r="D3596" s="51">
        <v>64.0</v>
      </c>
      <c r="E3596" s="52" t="s">
        <v>25</v>
      </c>
      <c r="F3596" s="52" t="s">
        <v>26</v>
      </c>
      <c r="G3596" s="53"/>
    </row>
    <row r="3597">
      <c r="A3597" s="49">
        <v>44550.73099574074</v>
      </c>
      <c r="B3597" s="50">
        <v>44550.8559619213</v>
      </c>
      <c r="C3597" s="51">
        <v>1.017</v>
      </c>
      <c r="D3597" s="51">
        <v>64.0</v>
      </c>
      <c r="E3597" s="52" t="s">
        <v>25</v>
      </c>
      <c r="F3597" s="52" t="s">
        <v>26</v>
      </c>
      <c r="G3597" s="53"/>
    </row>
    <row r="3598">
      <c r="A3598" s="49">
        <v>44550.741412476855</v>
      </c>
      <c r="B3598" s="50">
        <v>44550.8663824305</v>
      </c>
      <c r="C3598" s="51">
        <v>1.016</v>
      </c>
      <c r="D3598" s="51">
        <v>64.0</v>
      </c>
      <c r="E3598" s="52" t="s">
        <v>25</v>
      </c>
      <c r="F3598" s="52" t="s">
        <v>26</v>
      </c>
      <c r="G3598" s="53"/>
    </row>
    <row r="3599">
      <c r="A3599" s="49">
        <v>44550.751869722226</v>
      </c>
      <c r="B3599" s="50">
        <v>44550.8768381944</v>
      </c>
      <c r="C3599" s="51">
        <v>1.017</v>
      </c>
      <c r="D3599" s="51">
        <v>64.0</v>
      </c>
      <c r="E3599" s="52" t="s">
        <v>25</v>
      </c>
      <c r="F3599" s="52" t="s">
        <v>26</v>
      </c>
      <c r="G3599" s="53"/>
    </row>
    <row r="3600">
      <c r="A3600" s="49">
        <v>44550.76229150463</v>
      </c>
      <c r="B3600" s="50">
        <v>44550.8872601504</v>
      </c>
      <c r="C3600" s="51">
        <v>1.017</v>
      </c>
      <c r="D3600" s="51">
        <v>64.0</v>
      </c>
      <c r="E3600" s="52" t="s">
        <v>25</v>
      </c>
      <c r="F3600" s="52" t="s">
        <v>26</v>
      </c>
      <c r="G3600" s="53"/>
    </row>
    <row r="3601">
      <c r="A3601" s="49">
        <v>44550.77271409723</v>
      </c>
      <c r="B3601" s="50">
        <v>44550.8976803703</v>
      </c>
      <c r="C3601" s="51">
        <v>1.017</v>
      </c>
      <c r="D3601" s="51">
        <v>64.0</v>
      </c>
      <c r="E3601" s="52" t="s">
        <v>25</v>
      </c>
      <c r="F3601" s="52" t="s">
        <v>26</v>
      </c>
      <c r="G3601" s="53"/>
    </row>
    <row r="3602">
      <c r="A3602" s="49">
        <v>44550.78313239584</v>
      </c>
      <c r="B3602" s="50">
        <v>44550.908102581</v>
      </c>
      <c r="C3602" s="51">
        <v>1.017</v>
      </c>
      <c r="D3602" s="51">
        <v>64.0</v>
      </c>
      <c r="E3602" s="52" t="s">
        <v>25</v>
      </c>
      <c r="F3602" s="52" t="s">
        <v>26</v>
      </c>
      <c r="G3602" s="53"/>
    </row>
    <row r="3603">
      <c r="A3603" s="49">
        <v>44550.79363078704</v>
      </c>
      <c r="B3603" s="50">
        <v>44550.9185948842</v>
      </c>
      <c r="C3603" s="51">
        <v>1.017</v>
      </c>
      <c r="D3603" s="51">
        <v>64.0</v>
      </c>
      <c r="E3603" s="52" t="s">
        <v>25</v>
      </c>
      <c r="F3603" s="52" t="s">
        <v>26</v>
      </c>
      <c r="G3603" s="53"/>
    </row>
    <row r="3604">
      <c r="A3604" s="49">
        <v>44550.80405416667</v>
      </c>
      <c r="B3604" s="50">
        <v>44550.9290163078</v>
      </c>
      <c r="C3604" s="51">
        <v>1.017</v>
      </c>
      <c r="D3604" s="51">
        <v>64.0</v>
      </c>
      <c r="E3604" s="52" t="s">
        <v>25</v>
      </c>
      <c r="F3604" s="52" t="s">
        <v>26</v>
      </c>
      <c r="G3604" s="53"/>
    </row>
    <row r="3605">
      <c r="A3605" s="49">
        <v>44550.814476203705</v>
      </c>
      <c r="B3605" s="50">
        <v>44550.9394489467</v>
      </c>
      <c r="C3605" s="51">
        <v>1.017</v>
      </c>
      <c r="D3605" s="51">
        <v>64.0</v>
      </c>
      <c r="E3605" s="52" t="s">
        <v>25</v>
      </c>
      <c r="F3605" s="52" t="s">
        <v>26</v>
      </c>
      <c r="G3605" s="53"/>
    </row>
    <row r="3606">
      <c r="A3606" s="49">
        <v>44550.82490386574</v>
      </c>
      <c r="B3606" s="50">
        <v>44550.9498709606</v>
      </c>
      <c r="C3606" s="51">
        <v>1.017</v>
      </c>
      <c r="D3606" s="51">
        <v>64.0</v>
      </c>
      <c r="E3606" s="52" t="s">
        <v>25</v>
      </c>
      <c r="F3606" s="52" t="s">
        <v>26</v>
      </c>
      <c r="G3606" s="53"/>
    </row>
    <row r="3607">
      <c r="A3607" s="49">
        <v>44550.83533967593</v>
      </c>
      <c r="B3607" s="50">
        <v>44550.9603040856</v>
      </c>
      <c r="C3607" s="51">
        <v>1.017</v>
      </c>
      <c r="D3607" s="51">
        <v>64.0</v>
      </c>
      <c r="E3607" s="52" t="s">
        <v>25</v>
      </c>
      <c r="F3607" s="52" t="s">
        <v>26</v>
      </c>
      <c r="G3607" s="53"/>
    </row>
    <row r="3608">
      <c r="A3608" s="49">
        <v>44550.84577060185</v>
      </c>
      <c r="B3608" s="50">
        <v>44550.9707361805</v>
      </c>
      <c r="C3608" s="51">
        <v>1.017</v>
      </c>
      <c r="D3608" s="51">
        <v>64.0</v>
      </c>
      <c r="E3608" s="52" t="s">
        <v>25</v>
      </c>
      <c r="F3608" s="52" t="s">
        <v>26</v>
      </c>
      <c r="G3608" s="53"/>
    </row>
    <row r="3609">
      <c r="A3609" s="49">
        <v>44550.85621445602</v>
      </c>
      <c r="B3609" s="50">
        <v>44550.9811825462</v>
      </c>
      <c r="C3609" s="51">
        <v>1.016</v>
      </c>
      <c r="D3609" s="51">
        <v>64.0</v>
      </c>
      <c r="E3609" s="52" t="s">
        <v>25</v>
      </c>
      <c r="F3609" s="52" t="s">
        <v>26</v>
      </c>
      <c r="G3609" s="53"/>
    </row>
    <row r="3610">
      <c r="A3610" s="49">
        <v>44550.86664177083</v>
      </c>
      <c r="B3610" s="50">
        <v>44550.9916172685</v>
      </c>
      <c r="C3610" s="51">
        <v>1.017</v>
      </c>
      <c r="D3610" s="51">
        <v>64.0</v>
      </c>
      <c r="E3610" s="52" t="s">
        <v>25</v>
      </c>
      <c r="F3610" s="52" t="s">
        <v>26</v>
      </c>
      <c r="G3610" s="53"/>
    </row>
    <row r="3611">
      <c r="A3611" s="49">
        <v>44550.8770624537</v>
      </c>
      <c r="B3611" s="50">
        <v>44551.0020381944</v>
      </c>
      <c r="C3611" s="51">
        <v>1.017</v>
      </c>
      <c r="D3611" s="51">
        <v>64.0</v>
      </c>
      <c r="E3611" s="52" t="s">
        <v>25</v>
      </c>
      <c r="F3611" s="52" t="s">
        <v>26</v>
      </c>
      <c r="G3611" s="53"/>
    </row>
    <row r="3612">
      <c r="A3612" s="49">
        <v>44550.88752041667</v>
      </c>
      <c r="B3612" s="50">
        <v>44551.012481574</v>
      </c>
      <c r="C3612" s="51">
        <v>1.017</v>
      </c>
      <c r="D3612" s="51">
        <v>63.0</v>
      </c>
      <c r="E3612" s="52" t="s">
        <v>25</v>
      </c>
      <c r="F3612" s="52" t="s">
        <v>26</v>
      </c>
      <c r="G3612" s="53"/>
    </row>
    <row r="3613">
      <c r="A3613" s="49">
        <v>44550.89794967593</v>
      </c>
      <c r="B3613" s="50">
        <v>44551.0229146296</v>
      </c>
      <c r="C3613" s="51">
        <v>1.017</v>
      </c>
      <c r="D3613" s="51">
        <v>64.0</v>
      </c>
      <c r="E3613" s="52" t="s">
        <v>25</v>
      </c>
      <c r="F3613" s="52" t="s">
        <v>26</v>
      </c>
      <c r="G3613" s="53"/>
    </row>
    <row r="3614">
      <c r="A3614" s="49">
        <v>44550.908378368054</v>
      </c>
      <c r="B3614" s="50">
        <v>44551.0333473842</v>
      </c>
      <c r="C3614" s="51">
        <v>1.017</v>
      </c>
      <c r="D3614" s="51">
        <v>64.0</v>
      </c>
      <c r="E3614" s="52" t="s">
        <v>25</v>
      </c>
      <c r="F3614" s="52" t="s">
        <v>26</v>
      </c>
      <c r="G3614" s="53"/>
    </row>
    <row r="3615">
      <c r="A3615" s="49">
        <v>44550.91879694445</v>
      </c>
      <c r="B3615" s="50">
        <v>44551.0437682638</v>
      </c>
      <c r="C3615" s="51">
        <v>1.017</v>
      </c>
      <c r="D3615" s="51">
        <v>63.0</v>
      </c>
      <c r="E3615" s="52" t="s">
        <v>25</v>
      </c>
      <c r="F3615" s="52" t="s">
        <v>26</v>
      </c>
      <c r="G3615" s="53"/>
    </row>
    <row r="3616">
      <c r="A3616" s="49">
        <v>44550.929228622685</v>
      </c>
      <c r="B3616" s="50">
        <v>44551.0542004166</v>
      </c>
      <c r="C3616" s="51">
        <v>1.017</v>
      </c>
      <c r="D3616" s="51">
        <v>64.0</v>
      </c>
      <c r="E3616" s="52" t="s">
        <v>25</v>
      </c>
      <c r="F3616" s="52" t="s">
        <v>26</v>
      </c>
      <c r="G3616" s="53"/>
    </row>
    <row r="3617">
      <c r="A3617" s="49">
        <v>44550.93966202546</v>
      </c>
      <c r="B3617" s="50">
        <v>44551.0646345254</v>
      </c>
      <c r="C3617" s="51">
        <v>1.016</v>
      </c>
      <c r="D3617" s="51">
        <v>63.0</v>
      </c>
      <c r="E3617" s="52" t="s">
        <v>25</v>
      </c>
      <c r="F3617" s="52" t="s">
        <v>26</v>
      </c>
      <c r="G3617" s="53"/>
    </row>
    <row r="3618">
      <c r="A3618" s="49">
        <v>44550.95009140046</v>
      </c>
      <c r="B3618" s="50">
        <v>44551.0750568171</v>
      </c>
      <c r="C3618" s="51">
        <v>1.017</v>
      </c>
      <c r="D3618" s="51">
        <v>63.0</v>
      </c>
      <c r="E3618" s="52" t="s">
        <v>25</v>
      </c>
      <c r="F3618" s="52" t="s">
        <v>26</v>
      </c>
      <c r="G3618" s="53"/>
    </row>
    <row r="3619">
      <c r="A3619" s="49">
        <v>44550.960509745375</v>
      </c>
      <c r="B3619" s="50">
        <v>44551.0854780671</v>
      </c>
      <c r="C3619" s="51">
        <v>1.017</v>
      </c>
      <c r="D3619" s="51">
        <v>63.0</v>
      </c>
      <c r="E3619" s="52" t="s">
        <v>25</v>
      </c>
      <c r="F3619" s="52" t="s">
        <v>26</v>
      </c>
      <c r="G3619" s="53"/>
    </row>
    <row r="3620">
      <c r="A3620" s="49">
        <v>44550.970938541665</v>
      </c>
      <c r="B3620" s="50">
        <v>44551.09590978</v>
      </c>
      <c r="C3620" s="51">
        <v>1.017</v>
      </c>
      <c r="D3620" s="51">
        <v>63.0</v>
      </c>
      <c r="E3620" s="52" t="s">
        <v>25</v>
      </c>
      <c r="F3620" s="52" t="s">
        <v>26</v>
      </c>
      <c r="G3620" s="53"/>
    </row>
    <row r="3621">
      <c r="A3621" s="49">
        <v>44550.981358425925</v>
      </c>
      <c r="B3621" s="50">
        <v>44551.1063315972</v>
      </c>
      <c r="C3621" s="51">
        <v>1.017</v>
      </c>
      <c r="D3621" s="51">
        <v>63.0</v>
      </c>
      <c r="E3621" s="52" t="s">
        <v>25</v>
      </c>
      <c r="F3621" s="52" t="s">
        <v>26</v>
      </c>
      <c r="G3621" s="53"/>
    </row>
    <row r="3622">
      <c r="A3622" s="49">
        <v>44550.99178931713</v>
      </c>
      <c r="B3622" s="50">
        <v>44551.1167525694</v>
      </c>
      <c r="C3622" s="51">
        <v>1.017</v>
      </c>
      <c r="D3622" s="51">
        <v>63.0</v>
      </c>
      <c r="E3622" s="52" t="s">
        <v>25</v>
      </c>
      <c r="F3622" s="52" t="s">
        <v>26</v>
      </c>
      <c r="G3622" s="53"/>
    </row>
    <row r="3623">
      <c r="A3623" s="49">
        <v>44551.002205173616</v>
      </c>
      <c r="B3623" s="50">
        <v>44551.1271742592</v>
      </c>
      <c r="C3623" s="51">
        <v>1.017</v>
      </c>
      <c r="D3623" s="51">
        <v>63.0</v>
      </c>
      <c r="E3623" s="52" t="s">
        <v>25</v>
      </c>
      <c r="F3623" s="52" t="s">
        <v>26</v>
      </c>
      <c r="G3623" s="53"/>
    </row>
    <row r="3624">
      <c r="A3624" s="49">
        <v>44551.0126321875</v>
      </c>
      <c r="B3624" s="50">
        <v>44551.1376071759</v>
      </c>
      <c r="C3624" s="51">
        <v>1.016</v>
      </c>
      <c r="D3624" s="51">
        <v>63.0</v>
      </c>
      <c r="E3624" s="52" t="s">
        <v>25</v>
      </c>
      <c r="F3624" s="52" t="s">
        <v>26</v>
      </c>
      <c r="G3624" s="53"/>
    </row>
    <row r="3625">
      <c r="A3625" s="49">
        <v>44551.023085451394</v>
      </c>
      <c r="B3625" s="50">
        <v>44551.1480514699</v>
      </c>
      <c r="C3625" s="51">
        <v>1.016</v>
      </c>
      <c r="D3625" s="51">
        <v>63.0</v>
      </c>
      <c r="E3625" s="52" t="s">
        <v>25</v>
      </c>
      <c r="F3625" s="52" t="s">
        <v>26</v>
      </c>
      <c r="G3625" s="53"/>
    </row>
    <row r="3626">
      <c r="A3626" s="49">
        <v>44551.03352548611</v>
      </c>
      <c r="B3626" s="50">
        <v>44551.1584853125</v>
      </c>
      <c r="C3626" s="51">
        <v>1.017</v>
      </c>
      <c r="D3626" s="51">
        <v>63.0</v>
      </c>
      <c r="E3626" s="52" t="s">
        <v>25</v>
      </c>
      <c r="F3626" s="52" t="s">
        <v>26</v>
      </c>
      <c r="G3626" s="53"/>
    </row>
    <row r="3627">
      <c r="A3627" s="49">
        <v>44551.04393474537</v>
      </c>
      <c r="B3627" s="50">
        <v>44551.1689059722</v>
      </c>
      <c r="C3627" s="51">
        <v>1.016</v>
      </c>
      <c r="D3627" s="51">
        <v>63.0</v>
      </c>
      <c r="E3627" s="52" t="s">
        <v>25</v>
      </c>
      <c r="F3627" s="52" t="s">
        <v>26</v>
      </c>
      <c r="G3627" s="53"/>
    </row>
    <row r="3628">
      <c r="A3628" s="49">
        <v>44551.05436603009</v>
      </c>
      <c r="B3628" s="50">
        <v>44551.1793278009</v>
      </c>
      <c r="C3628" s="51">
        <v>1.016</v>
      </c>
      <c r="D3628" s="51">
        <v>63.0</v>
      </c>
      <c r="E3628" s="52" t="s">
        <v>25</v>
      </c>
      <c r="F3628" s="52" t="s">
        <v>26</v>
      </c>
      <c r="G3628" s="53"/>
    </row>
    <row r="3629">
      <c r="A3629" s="49">
        <v>44551.06479049769</v>
      </c>
      <c r="B3629" s="50">
        <v>44551.1897510995</v>
      </c>
      <c r="C3629" s="51">
        <v>1.017</v>
      </c>
      <c r="D3629" s="51">
        <v>63.0</v>
      </c>
      <c r="E3629" s="52" t="s">
        <v>25</v>
      </c>
      <c r="F3629" s="52" t="s">
        <v>26</v>
      </c>
      <c r="G3629" s="53"/>
    </row>
    <row r="3630">
      <c r="A3630" s="49">
        <v>44551.07521678241</v>
      </c>
      <c r="B3630" s="50">
        <v>44551.2001856365</v>
      </c>
      <c r="C3630" s="51">
        <v>1.017</v>
      </c>
      <c r="D3630" s="51">
        <v>63.0</v>
      </c>
      <c r="E3630" s="52" t="s">
        <v>25</v>
      </c>
      <c r="F3630" s="52" t="s">
        <v>26</v>
      </c>
      <c r="G3630" s="53"/>
    </row>
    <row r="3631">
      <c r="A3631" s="49">
        <v>44551.08563803241</v>
      </c>
      <c r="B3631" s="50">
        <v>44551.210605625</v>
      </c>
      <c r="C3631" s="51">
        <v>1.017</v>
      </c>
      <c r="D3631" s="51">
        <v>63.0</v>
      </c>
      <c r="E3631" s="52" t="s">
        <v>25</v>
      </c>
      <c r="F3631" s="52" t="s">
        <v>26</v>
      </c>
      <c r="G3631" s="53"/>
    </row>
    <row r="3632">
      <c r="A3632" s="49">
        <v>44551.09607349537</v>
      </c>
      <c r="B3632" s="50">
        <v>44551.2210379745</v>
      </c>
      <c r="C3632" s="51">
        <v>1.017</v>
      </c>
      <c r="D3632" s="51">
        <v>63.0</v>
      </c>
      <c r="E3632" s="52" t="s">
        <v>25</v>
      </c>
      <c r="F3632" s="52" t="s">
        <v>26</v>
      </c>
      <c r="G3632" s="53"/>
    </row>
    <row r="3633">
      <c r="A3633" s="49">
        <v>44551.10652170139</v>
      </c>
      <c r="B3633" s="50">
        <v>44551.2314823032</v>
      </c>
      <c r="C3633" s="51">
        <v>1.017</v>
      </c>
      <c r="D3633" s="51">
        <v>63.0</v>
      </c>
      <c r="E3633" s="52" t="s">
        <v>25</v>
      </c>
      <c r="F3633" s="52" t="s">
        <v>26</v>
      </c>
      <c r="G3633" s="53"/>
    </row>
    <row r="3634">
      <c r="A3634" s="49">
        <v>44551.11693671296</v>
      </c>
      <c r="B3634" s="50">
        <v>44551.2419129861</v>
      </c>
      <c r="C3634" s="51">
        <v>1.017</v>
      </c>
      <c r="D3634" s="51">
        <v>63.0</v>
      </c>
      <c r="E3634" s="52" t="s">
        <v>25</v>
      </c>
      <c r="F3634" s="52" t="s">
        <v>26</v>
      </c>
      <c r="G3634" s="53"/>
    </row>
    <row r="3635">
      <c r="A3635" s="49">
        <v>44551.12737725694</v>
      </c>
      <c r="B3635" s="50">
        <v>44551.2523435416</v>
      </c>
      <c r="C3635" s="51">
        <v>1.017</v>
      </c>
      <c r="D3635" s="51">
        <v>63.0</v>
      </c>
      <c r="E3635" s="52" t="s">
        <v>25</v>
      </c>
      <c r="F3635" s="52" t="s">
        <v>26</v>
      </c>
      <c r="G3635" s="53"/>
    </row>
    <row r="3636">
      <c r="A3636" s="49">
        <v>44551.13779907407</v>
      </c>
      <c r="B3636" s="50">
        <v>44551.2627652083</v>
      </c>
      <c r="C3636" s="51">
        <v>1.017</v>
      </c>
      <c r="D3636" s="51">
        <v>63.0</v>
      </c>
      <c r="E3636" s="52" t="s">
        <v>25</v>
      </c>
      <c r="F3636" s="52" t="s">
        <v>26</v>
      </c>
      <c r="G3636" s="53"/>
    </row>
    <row r="3637">
      <c r="A3637" s="49">
        <v>44551.148230590275</v>
      </c>
      <c r="B3637" s="50">
        <v>44551.2731990972</v>
      </c>
      <c r="C3637" s="51">
        <v>1.017</v>
      </c>
      <c r="D3637" s="51">
        <v>63.0</v>
      </c>
      <c r="E3637" s="52" t="s">
        <v>25</v>
      </c>
      <c r="F3637" s="52" t="s">
        <v>26</v>
      </c>
      <c r="G3637" s="53"/>
    </row>
    <row r="3638">
      <c r="A3638" s="49">
        <v>44551.158652048616</v>
      </c>
      <c r="B3638" s="50">
        <v>44551.2836207754</v>
      </c>
      <c r="C3638" s="51">
        <v>1.017</v>
      </c>
      <c r="D3638" s="51">
        <v>63.0</v>
      </c>
      <c r="E3638" s="52" t="s">
        <v>25</v>
      </c>
      <c r="F3638" s="52" t="s">
        <v>26</v>
      </c>
      <c r="G3638" s="53"/>
    </row>
    <row r="3639">
      <c r="A3639" s="49">
        <v>44551.16907616898</v>
      </c>
      <c r="B3639" s="50">
        <v>44551.294041956</v>
      </c>
      <c r="C3639" s="51">
        <v>1.017</v>
      </c>
      <c r="D3639" s="51">
        <v>63.0</v>
      </c>
      <c r="E3639" s="52" t="s">
        <v>25</v>
      </c>
      <c r="F3639" s="52" t="s">
        <v>26</v>
      </c>
      <c r="G3639" s="53"/>
    </row>
    <row r="3640">
      <c r="A3640" s="49">
        <v>44551.17950704861</v>
      </c>
      <c r="B3640" s="50">
        <v>44551.304462037</v>
      </c>
      <c r="C3640" s="51">
        <v>1.016</v>
      </c>
      <c r="D3640" s="51">
        <v>63.0</v>
      </c>
      <c r="E3640" s="52" t="s">
        <v>25</v>
      </c>
      <c r="F3640" s="52" t="s">
        <v>26</v>
      </c>
      <c r="G3640" s="53"/>
    </row>
    <row r="3641">
      <c r="A3641" s="49">
        <v>44551.18991054398</v>
      </c>
      <c r="B3641" s="50">
        <v>44551.3148838888</v>
      </c>
      <c r="C3641" s="51">
        <v>1.017</v>
      </c>
      <c r="D3641" s="51">
        <v>63.0</v>
      </c>
      <c r="E3641" s="52" t="s">
        <v>25</v>
      </c>
      <c r="F3641" s="52" t="s">
        <v>26</v>
      </c>
      <c r="G3641" s="53"/>
    </row>
    <row r="3642">
      <c r="A3642" s="49">
        <v>44551.20032748843</v>
      </c>
      <c r="B3642" s="50">
        <v>44551.3253042129</v>
      </c>
      <c r="C3642" s="51">
        <v>1.017</v>
      </c>
      <c r="D3642" s="51">
        <v>63.0</v>
      </c>
      <c r="E3642" s="52" t="s">
        <v>25</v>
      </c>
      <c r="F3642" s="52" t="s">
        <v>26</v>
      </c>
      <c r="G3642" s="53"/>
    </row>
    <row r="3643">
      <c r="A3643" s="49">
        <v>44551.210759525464</v>
      </c>
      <c r="B3643" s="50">
        <v>44551.335725243</v>
      </c>
      <c r="C3643" s="51">
        <v>1.016</v>
      </c>
      <c r="D3643" s="51">
        <v>63.0</v>
      </c>
      <c r="E3643" s="52" t="s">
        <v>25</v>
      </c>
      <c r="F3643" s="52" t="s">
        <v>26</v>
      </c>
      <c r="G3643" s="53"/>
    </row>
    <row r="3644">
      <c r="A3644" s="49">
        <v>44551.22118956019</v>
      </c>
      <c r="B3644" s="50">
        <v>44551.3461606481</v>
      </c>
      <c r="C3644" s="51">
        <v>1.016</v>
      </c>
      <c r="D3644" s="51">
        <v>63.0</v>
      </c>
      <c r="E3644" s="52" t="s">
        <v>25</v>
      </c>
      <c r="F3644" s="52" t="s">
        <v>26</v>
      </c>
      <c r="G3644" s="53"/>
    </row>
    <row r="3645">
      <c r="A3645" s="49">
        <v>44551.23163030093</v>
      </c>
      <c r="B3645" s="50">
        <v>44551.3565928472</v>
      </c>
      <c r="C3645" s="51">
        <v>1.016</v>
      </c>
      <c r="D3645" s="51">
        <v>63.0</v>
      </c>
      <c r="E3645" s="52" t="s">
        <v>25</v>
      </c>
      <c r="F3645" s="52" t="s">
        <v>26</v>
      </c>
      <c r="G3645" s="53"/>
    </row>
    <row r="3646">
      <c r="A3646" s="49">
        <v>44551.24205616898</v>
      </c>
      <c r="B3646" s="50">
        <v>44551.367023831</v>
      </c>
      <c r="C3646" s="51">
        <v>1.016</v>
      </c>
      <c r="D3646" s="51">
        <v>63.0</v>
      </c>
      <c r="E3646" s="52" t="s">
        <v>25</v>
      </c>
      <c r="F3646" s="52" t="s">
        <v>26</v>
      </c>
      <c r="G3646" s="53"/>
    </row>
    <row r="3647">
      <c r="A3647" s="49">
        <v>44551.25247490741</v>
      </c>
      <c r="B3647" s="50">
        <v>44551.3774448958</v>
      </c>
      <c r="C3647" s="51">
        <v>1.016</v>
      </c>
      <c r="D3647" s="51">
        <v>63.0</v>
      </c>
      <c r="E3647" s="52" t="s">
        <v>25</v>
      </c>
      <c r="F3647" s="52" t="s">
        <v>26</v>
      </c>
      <c r="G3647" s="53"/>
    </row>
    <row r="3648">
      <c r="A3648" s="49">
        <v>44551.262961493056</v>
      </c>
      <c r="B3648" s="50">
        <v>44551.3879237847</v>
      </c>
      <c r="C3648" s="51">
        <v>1.016</v>
      </c>
      <c r="D3648" s="51">
        <v>63.0</v>
      </c>
      <c r="E3648" s="52" t="s">
        <v>25</v>
      </c>
      <c r="F3648" s="52" t="s">
        <v>26</v>
      </c>
      <c r="G3648" s="53"/>
    </row>
    <row r="3649">
      <c r="A3649" s="49">
        <v>44551.27338125</v>
      </c>
      <c r="B3649" s="50">
        <v>44551.3983445254</v>
      </c>
      <c r="C3649" s="51">
        <v>1.016</v>
      </c>
      <c r="D3649" s="51">
        <v>63.0</v>
      </c>
      <c r="E3649" s="52" t="s">
        <v>25</v>
      </c>
      <c r="F3649" s="52" t="s">
        <v>26</v>
      </c>
      <c r="G3649" s="53"/>
    </row>
    <row r="3650">
      <c r="A3650" s="49">
        <v>44551.28384015046</v>
      </c>
      <c r="B3650" s="50">
        <v>44551.4088010763</v>
      </c>
      <c r="C3650" s="51">
        <v>1.016</v>
      </c>
      <c r="D3650" s="51">
        <v>63.0</v>
      </c>
      <c r="E3650" s="52" t="s">
        <v>25</v>
      </c>
      <c r="F3650" s="52" t="s">
        <v>26</v>
      </c>
      <c r="G3650" s="53"/>
    </row>
    <row r="3651">
      <c r="A3651" s="49">
        <v>44551.29425157407</v>
      </c>
      <c r="B3651" s="50">
        <v>44551.4192230324</v>
      </c>
      <c r="C3651" s="51">
        <v>1.016</v>
      </c>
      <c r="D3651" s="51">
        <v>63.0</v>
      </c>
      <c r="E3651" s="52" t="s">
        <v>25</v>
      </c>
      <c r="F3651" s="52" t="s">
        <v>26</v>
      </c>
      <c r="G3651" s="53"/>
    </row>
    <row r="3652">
      <c r="A3652" s="49">
        <v>44551.30468265046</v>
      </c>
      <c r="B3652" s="50">
        <v>44551.4296561111</v>
      </c>
      <c r="C3652" s="51">
        <v>1.017</v>
      </c>
      <c r="D3652" s="51">
        <v>63.0</v>
      </c>
      <c r="E3652" s="52" t="s">
        <v>25</v>
      </c>
      <c r="F3652" s="52" t="s">
        <v>26</v>
      </c>
      <c r="G3652" s="53"/>
    </row>
    <row r="3653">
      <c r="A3653" s="49">
        <v>44551.3151316088</v>
      </c>
      <c r="B3653" s="50">
        <v>44551.4400888773</v>
      </c>
      <c r="C3653" s="51">
        <v>1.016</v>
      </c>
      <c r="D3653" s="51">
        <v>63.0</v>
      </c>
      <c r="E3653" s="52" t="s">
        <v>25</v>
      </c>
      <c r="F3653" s="52" t="s">
        <v>26</v>
      </c>
      <c r="G3653" s="53"/>
    </row>
    <row r="3654">
      <c r="A3654" s="49">
        <v>44551.32554771991</v>
      </c>
      <c r="B3654" s="50">
        <v>44551.4505105208</v>
      </c>
      <c r="C3654" s="51">
        <v>1.016</v>
      </c>
      <c r="D3654" s="51">
        <v>63.0</v>
      </c>
      <c r="E3654" s="52" t="s">
        <v>25</v>
      </c>
      <c r="F3654" s="52" t="s">
        <v>26</v>
      </c>
      <c r="G3654" s="53"/>
    </row>
    <row r="3655">
      <c r="A3655" s="49">
        <v>44551.3359712963</v>
      </c>
      <c r="B3655" s="50">
        <v>44551.4609325578</v>
      </c>
      <c r="C3655" s="51">
        <v>1.016</v>
      </c>
      <c r="D3655" s="51">
        <v>63.0</v>
      </c>
      <c r="E3655" s="52" t="s">
        <v>25</v>
      </c>
      <c r="F3655" s="52" t="s">
        <v>26</v>
      </c>
      <c r="G3655" s="53"/>
    </row>
    <row r="3656">
      <c r="A3656" s="49">
        <v>44551.34641670139</v>
      </c>
      <c r="B3656" s="50">
        <v>44551.4713878935</v>
      </c>
      <c r="C3656" s="51">
        <v>1.016</v>
      </c>
      <c r="D3656" s="51">
        <v>63.0</v>
      </c>
      <c r="E3656" s="52" t="s">
        <v>25</v>
      </c>
      <c r="F3656" s="52" t="s">
        <v>26</v>
      </c>
      <c r="G3656" s="53"/>
    </row>
    <row r="3657">
      <c r="A3657" s="49">
        <v>44551.356840567125</v>
      </c>
      <c r="B3657" s="50">
        <v>44551.4818091435</v>
      </c>
      <c r="C3657" s="51">
        <v>1.016</v>
      </c>
      <c r="D3657" s="51">
        <v>63.0</v>
      </c>
      <c r="E3657" s="52" t="s">
        <v>25</v>
      </c>
      <c r="F3657" s="52" t="s">
        <v>26</v>
      </c>
      <c r="G3657" s="53"/>
    </row>
    <row r="3658">
      <c r="A3658" s="49">
        <v>44551.36726234954</v>
      </c>
      <c r="B3658" s="50">
        <v>44551.4922305555</v>
      </c>
      <c r="C3658" s="51">
        <v>1.017</v>
      </c>
      <c r="D3658" s="51">
        <v>63.0</v>
      </c>
      <c r="E3658" s="52" t="s">
        <v>25</v>
      </c>
      <c r="F3658" s="52" t="s">
        <v>26</v>
      </c>
      <c r="G3658" s="53"/>
    </row>
    <row r="3659">
      <c r="A3659" s="49">
        <v>44551.3776965162</v>
      </c>
      <c r="B3659" s="50">
        <v>44551.5026624768</v>
      </c>
      <c r="C3659" s="51">
        <v>1.017</v>
      </c>
      <c r="D3659" s="51">
        <v>63.0</v>
      </c>
      <c r="E3659" s="52" t="s">
        <v>25</v>
      </c>
      <c r="F3659" s="52" t="s">
        <v>26</v>
      </c>
      <c r="G3659" s="53"/>
    </row>
    <row r="3660">
      <c r="A3660" s="49">
        <v>44551.3881280787</v>
      </c>
      <c r="B3660" s="50">
        <v>44551.5130930902</v>
      </c>
      <c r="C3660" s="51">
        <v>1.016</v>
      </c>
      <c r="D3660" s="51">
        <v>63.0</v>
      </c>
      <c r="E3660" s="52" t="s">
        <v>25</v>
      </c>
      <c r="F3660" s="52" t="s">
        <v>26</v>
      </c>
      <c r="G3660" s="53"/>
    </row>
    <row r="3661">
      <c r="A3661" s="49">
        <v>44551.39854429398</v>
      </c>
      <c r="B3661" s="50">
        <v>44551.52351478</v>
      </c>
      <c r="C3661" s="51">
        <v>1.016</v>
      </c>
      <c r="D3661" s="51">
        <v>63.0</v>
      </c>
      <c r="E3661" s="52" t="s">
        <v>25</v>
      </c>
      <c r="F3661" s="52" t="s">
        <v>26</v>
      </c>
      <c r="G3661" s="53"/>
    </row>
    <row r="3662">
      <c r="A3662" s="49">
        <v>44551.408967511576</v>
      </c>
      <c r="B3662" s="50">
        <v>44551.5339362731</v>
      </c>
      <c r="C3662" s="51">
        <v>1.016</v>
      </c>
      <c r="D3662" s="51">
        <v>63.0</v>
      </c>
      <c r="E3662" s="52" t="s">
        <v>25</v>
      </c>
      <c r="F3662" s="52" t="s">
        <v>26</v>
      </c>
      <c r="G3662" s="53"/>
    </row>
    <row r="3663">
      <c r="A3663" s="49">
        <v>44551.41938936342</v>
      </c>
      <c r="B3663" s="50">
        <v>44551.5443561111</v>
      </c>
      <c r="C3663" s="51">
        <v>1.016</v>
      </c>
      <c r="D3663" s="51">
        <v>63.0</v>
      </c>
      <c r="E3663" s="52" t="s">
        <v>25</v>
      </c>
      <c r="F3663" s="52" t="s">
        <v>26</v>
      </c>
      <c r="G3663" s="53"/>
    </row>
    <row r="3664">
      <c r="A3664" s="49">
        <v>44551.42981804398</v>
      </c>
      <c r="B3664" s="50">
        <v>44551.5547881134</v>
      </c>
      <c r="C3664" s="51">
        <v>1.016</v>
      </c>
      <c r="D3664" s="51">
        <v>63.0</v>
      </c>
      <c r="E3664" s="52" t="s">
        <v>25</v>
      </c>
      <c r="F3664" s="52" t="s">
        <v>26</v>
      </c>
      <c r="G3664" s="53"/>
    </row>
    <row r="3665">
      <c r="A3665" s="49">
        <v>44551.44023633102</v>
      </c>
      <c r="B3665" s="50">
        <v>44551.5652100347</v>
      </c>
      <c r="C3665" s="51">
        <v>1.016</v>
      </c>
      <c r="D3665" s="51">
        <v>63.0</v>
      </c>
      <c r="E3665" s="52" t="s">
        <v>25</v>
      </c>
      <c r="F3665" s="52" t="s">
        <v>26</v>
      </c>
      <c r="G3665" s="53"/>
    </row>
    <row r="3666">
      <c r="A3666" s="49">
        <v>44551.45067355324</v>
      </c>
      <c r="B3666" s="50">
        <v>44551.575642581</v>
      </c>
      <c r="C3666" s="51">
        <v>1.016</v>
      </c>
      <c r="D3666" s="51">
        <v>63.0</v>
      </c>
      <c r="E3666" s="52" t="s">
        <v>25</v>
      </c>
      <c r="F3666" s="52" t="s">
        <v>26</v>
      </c>
      <c r="G3666" s="53"/>
    </row>
    <row r="3667">
      <c r="A3667" s="49">
        <v>44551.4610916088</v>
      </c>
      <c r="B3667" s="50">
        <v>44551.5860632638</v>
      </c>
      <c r="C3667" s="51">
        <v>1.016</v>
      </c>
      <c r="D3667" s="51">
        <v>63.0</v>
      </c>
      <c r="E3667" s="52" t="s">
        <v>25</v>
      </c>
      <c r="F3667" s="52" t="s">
        <v>26</v>
      </c>
      <c r="G3667" s="53"/>
    </row>
    <row r="3668">
      <c r="A3668" s="49">
        <v>44551.47151505787</v>
      </c>
      <c r="B3668" s="50">
        <v>44551.5964873032</v>
      </c>
      <c r="C3668" s="51">
        <v>1.016</v>
      </c>
      <c r="D3668" s="51">
        <v>63.0</v>
      </c>
      <c r="E3668" s="52" t="s">
        <v>25</v>
      </c>
      <c r="F3668" s="52" t="s">
        <v>26</v>
      </c>
      <c r="G3668" s="53"/>
    </row>
    <row r="3669">
      <c r="A3669" s="49">
        <v>44551.48193628472</v>
      </c>
      <c r="B3669" s="50">
        <v>44551.6069092129</v>
      </c>
      <c r="C3669" s="51">
        <v>1.016</v>
      </c>
      <c r="D3669" s="51">
        <v>63.0</v>
      </c>
      <c r="E3669" s="52" t="s">
        <v>25</v>
      </c>
      <c r="F3669" s="52" t="s">
        <v>26</v>
      </c>
      <c r="G3669" s="53"/>
    </row>
    <row r="3670">
      <c r="A3670" s="49">
        <v>44551.49235534722</v>
      </c>
      <c r="B3670" s="50">
        <v>44551.6173300925</v>
      </c>
      <c r="C3670" s="51">
        <v>1.016</v>
      </c>
      <c r="D3670" s="51">
        <v>63.0</v>
      </c>
      <c r="E3670" s="52" t="s">
        <v>25</v>
      </c>
      <c r="F3670" s="52" t="s">
        <v>26</v>
      </c>
      <c r="G3670" s="53"/>
    </row>
    <row r="3671">
      <c r="A3671" s="49">
        <v>44551.5028065625</v>
      </c>
      <c r="B3671" s="50">
        <v>44551.6277746296</v>
      </c>
      <c r="C3671" s="51">
        <v>1.016</v>
      </c>
      <c r="D3671" s="51">
        <v>63.0</v>
      </c>
      <c r="E3671" s="52" t="s">
        <v>25</v>
      </c>
      <c r="F3671" s="52" t="s">
        <v>26</v>
      </c>
      <c r="G3671" s="53"/>
    </row>
    <row r="3672">
      <c r="A3672" s="49">
        <v>44551.513234259255</v>
      </c>
      <c r="B3672" s="50">
        <v>44551.6381948611</v>
      </c>
      <c r="C3672" s="51">
        <v>1.016</v>
      </c>
      <c r="D3672" s="51">
        <v>63.0</v>
      </c>
      <c r="E3672" s="52" t="s">
        <v>25</v>
      </c>
      <c r="F3672" s="52" t="s">
        <v>26</v>
      </c>
      <c r="G3672" s="53"/>
    </row>
    <row r="3673">
      <c r="A3673" s="49">
        <v>44551.523643831024</v>
      </c>
      <c r="B3673" s="50">
        <v>44551.6486159259</v>
      </c>
      <c r="C3673" s="51">
        <v>1.016</v>
      </c>
      <c r="D3673" s="51">
        <v>63.0</v>
      </c>
      <c r="E3673" s="52" t="s">
        <v>25</v>
      </c>
      <c r="F3673" s="52" t="s">
        <v>26</v>
      </c>
      <c r="G3673" s="53"/>
    </row>
    <row r="3674">
      <c r="A3674" s="49">
        <v>44551.53407525463</v>
      </c>
      <c r="B3674" s="50">
        <v>44551.6590492013</v>
      </c>
      <c r="C3674" s="51">
        <v>1.016</v>
      </c>
      <c r="D3674" s="51">
        <v>63.0</v>
      </c>
      <c r="E3674" s="52" t="s">
        <v>25</v>
      </c>
      <c r="F3674" s="52" t="s">
        <v>26</v>
      </c>
      <c r="G3674" s="53"/>
    </row>
    <row r="3675">
      <c r="A3675" s="49">
        <v>44551.544506562495</v>
      </c>
      <c r="B3675" s="50">
        <v>44551.6694816435</v>
      </c>
      <c r="C3675" s="51">
        <v>1.016</v>
      </c>
      <c r="D3675" s="51">
        <v>63.0</v>
      </c>
      <c r="E3675" s="52" t="s">
        <v>25</v>
      </c>
      <c r="F3675" s="52" t="s">
        <v>26</v>
      </c>
      <c r="G3675" s="53"/>
    </row>
    <row r="3676">
      <c r="A3676" s="49">
        <v>44551.55494037037</v>
      </c>
      <c r="B3676" s="50">
        <v>44551.6799124537</v>
      </c>
      <c r="C3676" s="51">
        <v>1.016</v>
      </c>
      <c r="D3676" s="51">
        <v>63.0</v>
      </c>
      <c r="E3676" s="52" t="s">
        <v>25</v>
      </c>
      <c r="F3676" s="52" t="s">
        <v>26</v>
      </c>
      <c r="G3676" s="53"/>
    </row>
    <row r="3677">
      <c r="A3677" s="49">
        <v>44551.5653840625</v>
      </c>
      <c r="B3677" s="50">
        <v>44551.6903451273</v>
      </c>
      <c r="C3677" s="51">
        <v>1.016</v>
      </c>
      <c r="D3677" s="51">
        <v>63.0</v>
      </c>
      <c r="E3677" s="52" t="s">
        <v>25</v>
      </c>
      <c r="F3677" s="52" t="s">
        <v>26</v>
      </c>
      <c r="G3677" s="53"/>
    </row>
    <row r="3678">
      <c r="A3678" s="49">
        <v>44551.575848402776</v>
      </c>
      <c r="B3678" s="50">
        <v>44551.7008139699</v>
      </c>
      <c r="C3678" s="51">
        <v>1.016</v>
      </c>
      <c r="D3678" s="51">
        <v>63.0</v>
      </c>
      <c r="E3678" s="52" t="s">
        <v>25</v>
      </c>
      <c r="F3678" s="52" t="s">
        <v>26</v>
      </c>
      <c r="G3678" s="53"/>
    </row>
    <row r="3679">
      <c r="A3679" s="49">
        <v>44551.58628004629</v>
      </c>
      <c r="B3679" s="50">
        <v>44551.7112451967</v>
      </c>
      <c r="C3679" s="51">
        <v>1.016</v>
      </c>
      <c r="D3679" s="51">
        <v>63.0</v>
      </c>
      <c r="E3679" s="52" t="s">
        <v>25</v>
      </c>
      <c r="F3679" s="52" t="s">
        <v>26</v>
      </c>
      <c r="G3679" s="53"/>
    </row>
    <row r="3680">
      <c r="A3680" s="49">
        <v>44551.59669010417</v>
      </c>
      <c r="B3680" s="50">
        <v>44551.7216662847</v>
      </c>
      <c r="C3680" s="51">
        <v>1.016</v>
      </c>
      <c r="D3680" s="51">
        <v>63.0</v>
      </c>
      <c r="E3680" s="52" t="s">
        <v>25</v>
      </c>
      <c r="F3680" s="52" t="s">
        <v>26</v>
      </c>
      <c r="G3680" s="53"/>
    </row>
    <row r="3681">
      <c r="A3681" s="49">
        <v>44551.60714591436</v>
      </c>
      <c r="B3681" s="50">
        <v>44551.7321114004</v>
      </c>
      <c r="C3681" s="51">
        <v>1.016</v>
      </c>
      <c r="D3681" s="51">
        <v>63.0</v>
      </c>
      <c r="E3681" s="52" t="s">
        <v>25</v>
      </c>
      <c r="F3681" s="52" t="s">
        <v>26</v>
      </c>
      <c r="G3681" s="53"/>
    </row>
    <row r="3682">
      <c r="A3682" s="49">
        <v>44551.61755782407</v>
      </c>
      <c r="B3682" s="50">
        <v>44551.7425324421</v>
      </c>
      <c r="C3682" s="51">
        <v>1.016</v>
      </c>
      <c r="D3682" s="51">
        <v>63.0</v>
      </c>
      <c r="E3682" s="52" t="s">
        <v>25</v>
      </c>
      <c r="F3682" s="52" t="s">
        <v>26</v>
      </c>
      <c r="G3682" s="53"/>
    </row>
    <row r="3683">
      <c r="A3683" s="49">
        <v>44551.62799736111</v>
      </c>
      <c r="B3683" s="50">
        <v>44551.7529648726</v>
      </c>
      <c r="C3683" s="51">
        <v>1.016</v>
      </c>
      <c r="D3683" s="51">
        <v>63.0</v>
      </c>
      <c r="E3683" s="52" t="s">
        <v>25</v>
      </c>
      <c r="F3683" s="52" t="s">
        <v>26</v>
      </c>
      <c r="G3683" s="53"/>
    </row>
    <row r="3684">
      <c r="A3684" s="49">
        <v>44551.63841208333</v>
      </c>
      <c r="B3684" s="50">
        <v>44551.7633857291</v>
      </c>
      <c r="C3684" s="51">
        <v>1.016</v>
      </c>
      <c r="D3684" s="51">
        <v>63.0</v>
      </c>
      <c r="E3684" s="52" t="s">
        <v>25</v>
      </c>
      <c r="F3684" s="52" t="s">
        <v>26</v>
      </c>
      <c r="G3684" s="53"/>
    </row>
    <row r="3685">
      <c r="A3685" s="49">
        <v>44551.64886282408</v>
      </c>
      <c r="B3685" s="50">
        <v>44551.7738192824</v>
      </c>
      <c r="C3685" s="51">
        <v>1.016</v>
      </c>
      <c r="D3685" s="51">
        <v>63.0</v>
      </c>
      <c r="E3685" s="52" t="s">
        <v>25</v>
      </c>
      <c r="F3685" s="52" t="s">
        <v>26</v>
      </c>
      <c r="G3685" s="53"/>
    </row>
    <row r="3686">
      <c r="A3686" s="49">
        <v>44551.65928041667</v>
      </c>
      <c r="B3686" s="50">
        <v>44551.784252118</v>
      </c>
      <c r="C3686" s="51">
        <v>1.016</v>
      </c>
      <c r="D3686" s="51">
        <v>63.0</v>
      </c>
      <c r="E3686" s="52" t="s">
        <v>25</v>
      </c>
      <c r="F3686" s="52" t="s">
        <v>26</v>
      </c>
      <c r="G3686" s="53"/>
    </row>
    <row r="3687">
      <c r="A3687" s="49">
        <v>44551.66969707176</v>
      </c>
      <c r="B3687" s="50">
        <v>44551.7946734953</v>
      </c>
      <c r="C3687" s="51">
        <v>1.016</v>
      </c>
      <c r="D3687" s="51">
        <v>63.0</v>
      </c>
      <c r="E3687" s="52" t="s">
        <v>25</v>
      </c>
      <c r="F3687" s="52" t="s">
        <v>26</v>
      </c>
      <c r="G3687" s="53"/>
    </row>
    <row r="3688">
      <c r="A3688" s="49">
        <v>44551.680142384255</v>
      </c>
      <c r="B3688" s="50">
        <v>44551.8051059027</v>
      </c>
      <c r="C3688" s="51">
        <v>1.016</v>
      </c>
      <c r="D3688" s="51">
        <v>63.0</v>
      </c>
      <c r="E3688" s="52" t="s">
        <v>25</v>
      </c>
      <c r="F3688" s="52" t="s">
        <v>26</v>
      </c>
      <c r="G3688" s="53"/>
    </row>
    <row r="3689">
      <c r="A3689" s="49">
        <v>44551.69056120371</v>
      </c>
      <c r="B3689" s="50">
        <v>44551.815526493</v>
      </c>
      <c r="C3689" s="51">
        <v>1.016</v>
      </c>
      <c r="D3689" s="51">
        <v>63.0</v>
      </c>
      <c r="E3689" s="52" t="s">
        <v>25</v>
      </c>
      <c r="F3689" s="52" t="s">
        <v>26</v>
      </c>
      <c r="G3689" s="53"/>
    </row>
    <row r="3690">
      <c r="A3690" s="49">
        <v>44551.700988240744</v>
      </c>
      <c r="B3690" s="50">
        <v>44551.8259578588</v>
      </c>
      <c r="C3690" s="51">
        <v>1.016</v>
      </c>
      <c r="D3690" s="51">
        <v>63.0</v>
      </c>
      <c r="E3690" s="52" t="s">
        <v>25</v>
      </c>
      <c r="F3690" s="52" t="s">
        <v>26</v>
      </c>
      <c r="G3690" s="53"/>
    </row>
    <row r="3691">
      <c r="A3691" s="49">
        <v>44551.7114155787</v>
      </c>
      <c r="B3691" s="50">
        <v>44551.8363777083</v>
      </c>
      <c r="C3691" s="51">
        <v>1.016</v>
      </c>
      <c r="D3691" s="51">
        <v>63.0</v>
      </c>
      <c r="E3691" s="52" t="s">
        <v>25</v>
      </c>
      <c r="F3691" s="52" t="s">
        <v>26</v>
      </c>
      <c r="G3691" s="53"/>
    </row>
    <row r="3692">
      <c r="A3692" s="49">
        <v>44551.721830497685</v>
      </c>
      <c r="B3692" s="50">
        <v>44551.8467991087</v>
      </c>
      <c r="C3692" s="51">
        <v>1.016</v>
      </c>
      <c r="D3692" s="51">
        <v>63.0</v>
      </c>
      <c r="E3692" s="52" t="s">
        <v>25</v>
      </c>
      <c r="F3692" s="52" t="s">
        <v>26</v>
      </c>
      <c r="G3692" s="53"/>
    </row>
    <row r="3693">
      <c r="A3693" s="49">
        <v>44551.73225861111</v>
      </c>
      <c r="B3693" s="50">
        <v>44551.8572210648</v>
      </c>
      <c r="C3693" s="51">
        <v>1.016</v>
      </c>
      <c r="D3693" s="51">
        <v>63.0</v>
      </c>
      <c r="E3693" s="52" t="s">
        <v>25</v>
      </c>
      <c r="F3693" s="52" t="s">
        <v>26</v>
      </c>
      <c r="G3693" s="53"/>
    </row>
    <row r="3694">
      <c r="A3694" s="49">
        <v>44551.74266909722</v>
      </c>
      <c r="B3694" s="50">
        <v>44551.8676418981</v>
      </c>
      <c r="C3694" s="51">
        <v>1.016</v>
      </c>
      <c r="D3694" s="51">
        <v>63.0</v>
      </c>
      <c r="E3694" s="52" t="s">
        <v>25</v>
      </c>
      <c r="F3694" s="52" t="s">
        <v>26</v>
      </c>
      <c r="G3694" s="53"/>
    </row>
    <row r="3695">
      <c r="A3695" s="49">
        <v>44551.753093935185</v>
      </c>
      <c r="B3695" s="50">
        <v>44551.8780623148</v>
      </c>
      <c r="C3695" s="51">
        <v>1.016</v>
      </c>
      <c r="D3695" s="51">
        <v>63.0</v>
      </c>
      <c r="E3695" s="52" t="s">
        <v>25</v>
      </c>
      <c r="F3695" s="52" t="s">
        <v>26</v>
      </c>
      <c r="G3695" s="53"/>
    </row>
    <row r="3696">
      <c r="A3696" s="49">
        <v>44551.76355516203</v>
      </c>
      <c r="B3696" s="50">
        <v>44551.8885193287</v>
      </c>
      <c r="C3696" s="51">
        <v>1.016</v>
      </c>
      <c r="D3696" s="51">
        <v>63.0</v>
      </c>
      <c r="E3696" s="52" t="s">
        <v>25</v>
      </c>
      <c r="F3696" s="52" t="s">
        <v>26</v>
      </c>
      <c r="G3696" s="53"/>
    </row>
    <row r="3697">
      <c r="A3697" s="49">
        <v>44551.77398591435</v>
      </c>
      <c r="B3697" s="50">
        <v>44551.8989534027</v>
      </c>
      <c r="C3697" s="51">
        <v>1.016</v>
      </c>
      <c r="D3697" s="51">
        <v>63.0</v>
      </c>
      <c r="E3697" s="52" t="s">
        <v>25</v>
      </c>
      <c r="F3697" s="52" t="s">
        <v>26</v>
      </c>
      <c r="G3697" s="53"/>
    </row>
    <row r="3698">
      <c r="A3698" s="49">
        <v>44551.78441966436</v>
      </c>
      <c r="B3698" s="50">
        <v>44551.9093867824</v>
      </c>
      <c r="C3698" s="51">
        <v>1.016</v>
      </c>
      <c r="D3698" s="51">
        <v>63.0</v>
      </c>
      <c r="E3698" s="52" t="s">
        <v>25</v>
      </c>
      <c r="F3698" s="52" t="s">
        <v>26</v>
      </c>
      <c r="G3698" s="53"/>
    </row>
    <row r="3699">
      <c r="A3699" s="49">
        <v>44551.79483829861</v>
      </c>
      <c r="B3699" s="50">
        <v>44551.9198085995</v>
      </c>
      <c r="C3699" s="51">
        <v>1.016</v>
      </c>
      <c r="D3699" s="51">
        <v>63.0</v>
      </c>
      <c r="E3699" s="52" t="s">
        <v>25</v>
      </c>
      <c r="F3699" s="52" t="s">
        <v>26</v>
      </c>
      <c r="G3699" s="53"/>
    </row>
    <row r="3700">
      <c r="A3700" s="49">
        <v>44551.80533519676</v>
      </c>
      <c r="B3700" s="50">
        <v>44551.9302529398</v>
      </c>
      <c r="C3700" s="51">
        <v>1.016</v>
      </c>
      <c r="D3700" s="51">
        <v>63.0</v>
      </c>
      <c r="E3700" s="52" t="s">
        <v>25</v>
      </c>
      <c r="F3700" s="52" t="s">
        <v>26</v>
      </c>
      <c r="G3700" s="53"/>
    </row>
    <row r="3701">
      <c r="A3701" s="49">
        <v>44551.81572537037</v>
      </c>
      <c r="B3701" s="50">
        <v>44551.9406862847</v>
      </c>
      <c r="C3701" s="51">
        <v>1.016</v>
      </c>
      <c r="D3701" s="51">
        <v>63.0</v>
      </c>
      <c r="E3701" s="52" t="s">
        <v>25</v>
      </c>
      <c r="F3701" s="52" t="s">
        <v>26</v>
      </c>
      <c r="G3701" s="53"/>
    </row>
    <row r="3702">
      <c r="A3702" s="49">
        <v>44551.82613086805</v>
      </c>
      <c r="B3702" s="50">
        <v>44551.9511068171</v>
      </c>
      <c r="C3702" s="51">
        <v>1.016</v>
      </c>
      <c r="D3702" s="51">
        <v>63.0</v>
      </c>
      <c r="E3702" s="52" t="s">
        <v>25</v>
      </c>
      <c r="F3702" s="52" t="s">
        <v>26</v>
      </c>
      <c r="G3702" s="53"/>
    </row>
    <row r="3703">
      <c r="A3703" s="49">
        <v>44551.83656704861</v>
      </c>
      <c r="B3703" s="50">
        <v>44551.9615416435</v>
      </c>
      <c r="C3703" s="51">
        <v>1.016</v>
      </c>
      <c r="D3703" s="51">
        <v>63.0</v>
      </c>
      <c r="E3703" s="52" t="s">
        <v>25</v>
      </c>
      <c r="F3703" s="52" t="s">
        <v>26</v>
      </c>
      <c r="G3703" s="53"/>
    </row>
    <row r="3704">
      <c r="A3704" s="49">
        <v>44551.84700454861</v>
      </c>
      <c r="B3704" s="50">
        <v>44551.9719626041</v>
      </c>
      <c r="C3704" s="51">
        <v>1.016</v>
      </c>
      <c r="D3704" s="51">
        <v>63.0</v>
      </c>
      <c r="E3704" s="52" t="s">
        <v>25</v>
      </c>
      <c r="F3704" s="52" t="s">
        <v>26</v>
      </c>
      <c r="G3704" s="53"/>
    </row>
    <row r="3705">
      <c r="A3705" s="49">
        <v>44551.85741736111</v>
      </c>
      <c r="B3705" s="50">
        <v>44551.9823830555</v>
      </c>
      <c r="C3705" s="51">
        <v>1.016</v>
      </c>
      <c r="D3705" s="51">
        <v>63.0</v>
      </c>
      <c r="E3705" s="52" t="s">
        <v>25</v>
      </c>
      <c r="F3705" s="52" t="s">
        <v>26</v>
      </c>
      <c r="G3705" s="53"/>
    </row>
    <row r="3706">
      <c r="A3706" s="49">
        <v>44551.86787458333</v>
      </c>
      <c r="B3706" s="50">
        <v>44551.9928401736</v>
      </c>
      <c r="C3706" s="51">
        <v>1.016</v>
      </c>
      <c r="D3706" s="51">
        <v>63.0</v>
      </c>
      <c r="E3706" s="52" t="s">
        <v>25</v>
      </c>
      <c r="F3706" s="52" t="s">
        <v>26</v>
      </c>
      <c r="G3706" s="53"/>
    </row>
    <row r="3707">
      <c r="A3707" s="49">
        <v>44551.87829605324</v>
      </c>
      <c r="B3707" s="50">
        <v>44552.0032637268</v>
      </c>
      <c r="C3707" s="51">
        <v>1.016</v>
      </c>
      <c r="D3707" s="51">
        <v>63.0</v>
      </c>
      <c r="E3707" s="52" t="s">
        <v>25</v>
      </c>
      <c r="F3707" s="52" t="s">
        <v>26</v>
      </c>
      <c r="G3707" s="53"/>
    </row>
    <row r="3708">
      <c r="A3708" s="49">
        <v>44551.88873016204</v>
      </c>
      <c r="B3708" s="50">
        <v>44552.0136965277</v>
      </c>
      <c r="C3708" s="51">
        <v>1.016</v>
      </c>
      <c r="D3708" s="51">
        <v>63.0</v>
      </c>
      <c r="E3708" s="52" t="s">
        <v>25</v>
      </c>
      <c r="F3708" s="52" t="s">
        <v>26</v>
      </c>
      <c r="G3708" s="53"/>
    </row>
    <row r="3709">
      <c r="A3709" s="49">
        <v>44551.89914138889</v>
      </c>
      <c r="B3709" s="50">
        <v>44552.0241175347</v>
      </c>
      <c r="C3709" s="51">
        <v>1.016</v>
      </c>
      <c r="D3709" s="51">
        <v>63.0</v>
      </c>
      <c r="E3709" s="52" t="s">
        <v>25</v>
      </c>
      <c r="F3709" s="52" t="s">
        <v>26</v>
      </c>
      <c r="G3709" s="53"/>
    </row>
    <row r="3710">
      <c r="A3710" s="49">
        <v>44551.90957729166</v>
      </c>
      <c r="B3710" s="50">
        <v>44552.0345477662</v>
      </c>
      <c r="C3710" s="51">
        <v>1.016</v>
      </c>
      <c r="D3710" s="51">
        <v>63.0</v>
      </c>
      <c r="E3710" s="52" t="s">
        <v>25</v>
      </c>
      <c r="F3710" s="52" t="s">
        <v>26</v>
      </c>
      <c r="G3710" s="53"/>
    </row>
    <row r="3711">
      <c r="A3711" s="49">
        <v>44551.9200459375</v>
      </c>
      <c r="B3711" s="50">
        <v>44552.0450149074</v>
      </c>
      <c r="C3711" s="51">
        <v>1.016</v>
      </c>
      <c r="D3711" s="51">
        <v>63.0</v>
      </c>
      <c r="E3711" s="52" t="s">
        <v>25</v>
      </c>
      <c r="F3711" s="52" t="s">
        <v>26</v>
      </c>
      <c r="G3711" s="53"/>
    </row>
    <row r="3712">
      <c r="A3712" s="49">
        <v>44551.93048534723</v>
      </c>
      <c r="B3712" s="50">
        <v>44552.055437037</v>
      </c>
      <c r="C3712" s="51">
        <v>1.016</v>
      </c>
      <c r="D3712" s="51">
        <v>63.0</v>
      </c>
      <c r="E3712" s="52" t="s">
        <v>25</v>
      </c>
      <c r="F3712" s="52" t="s">
        <v>26</v>
      </c>
      <c r="G3712" s="53"/>
    </row>
    <row r="3713">
      <c r="A3713" s="49">
        <v>44551.94090857639</v>
      </c>
      <c r="B3713" s="50">
        <v>44552.065870706</v>
      </c>
      <c r="C3713" s="51">
        <v>1.016</v>
      </c>
      <c r="D3713" s="51">
        <v>63.0</v>
      </c>
      <c r="E3713" s="52" t="s">
        <v>25</v>
      </c>
      <c r="F3713" s="52" t="s">
        <v>26</v>
      </c>
      <c r="G3713" s="53"/>
    </row>
    <row r="3714">
      <c r="A3714" s="49">
        <v>44551.951346180555</v>
      </c>
      <c r="B3714" s="50">
        <v>44552.0763146296</v>
      </c>
      <c r="C3714" s="51">
        <v>1.016</v>
      </c>
      <c r="D3714" s="51">
        <v>63.0</v>
      </c>
      <c r="E3714" s="52" t="s">
        <v>25</v>
      </c>
      <c r="F3714" s="52" t="s">
        <v>26</v>
      </c>
      <c r="G3714" s="53"/>
    </row>
    <row r="3715">
      <c r="A3715" s="49">
        <v>44551.96178835648</v>
      </c>
      <c r="B3715" s="50">
        <v>44552.0867588657</v>
      </c>
      <c r="C3715" s="51">
        <v>1.016</v>
      </c>
      <c r="D3715" s="51">
        <v>63.0</v>
      </c>
      <c r="E3715" s="52" t="s">
        <v>25</v>
      </c>
      <c r="F3715" s="52" t="s">
        <v>26</v>
      </c>
      <c r="G3715" s="53"/>
    </row>
    <row r="3716">
      <c r="A3716" s="49">
        <v>44551.97221921296</v>
      </c>
      <c r="B3716" s="50">
        <v>44552.0971921643</v>
      </c>
      <c r="C3716" s="51">
        <v>1.016</v>
      </c>
      <c r="D3716" s="51">
        <v>63.0</v>
      </c>
      <c r="E3716" s="52" t="s">
        <v>25</v>
      </c>
      <c r="F3716" s="52" t="s">
        <v>26</v>
      </c>
      <c r="G3716" s="53"/>
    </row>
    <row r="3717">
      <c r="A3717" s="49">
        <v>44551.982684120376</v>
      </c>
      <c r="B3717" s="50">
        <v>44552.1076482754</v>
      </c>
      <c r="C3717" s="51">
        <v>1.016</v>
      </c>
      <c r="D3717" s="51">
        <v>63.0</v>
      </c>
      <c r="E3717" s="52" t="s">
        <v>25</v>
      </c>
      <c r="F3717" s="52" t="s">
        <v>26</v>
      </c>
      <c r="G3717" s="53"/>
    </row>
    <row r="3718">
      <c r="A3718" s="49">
        <v>44551.993137604164</v>
      </c>
      <c r="B3718" s="50">
        <v>44552.1181045833</v>
      </c>
      <c r="C3718" s="51">
        <v>1.016</v>
      </c>
      <c r="D3718" s="51">
        <v>63.0</v>
      </c>
      <c r="E3718" s="52" t="s">
        <v>25</v>
      </c>
      <c r="F3718" s="52" t="s">
        <v>26</v>
      </c>
      <c r="G3718" s="53"/>
    </row>
    <row r="3719">
      <c r="A3719" s="49">
        <v>44552.00356745371</v>
      </c>
      <c r="B3719" s="50">
        <v>44552.128535949</v>
      </c>
      <c r="C3719" s="51">
        <v>1.016</v>
      </c>
      <c r="D3719" s="51">
        <v>63.0</v>
      </c>
      <c r="E3719" s="52" t="s">
        <v>25</v>
      </c>
      <c r="F3719" s="52" t="s">
        <v>26</v>
      </c>
      <c r="G3719" s="53"/>
    </row>
    <row r="3720">
      <c r="A3720" s="49">
        <v>44552.014001261574</v>
      </c>
      <c r="B3720" s="50">
        <v>44552.1389682986</v>
      </c>
      <c r="C3720" s="51">
        <v>1.016</v>
      </c>
      <c r="D3720" s="51">
        <v>63.0</v>
      </c>
      <c r="E3720" s="52" t="s">
        <v>25</v>
      </c>
      <c r="F3720" s="52" t="s">
        <v>26</v>
      </c>
      <c r="G3720" s="53"/>
    </row>
    <row r="3721">
      <c r="A3721" s="49">
        <v>44552.024471400466</v>
      </c>
      <c r="B3721" s="50">
        <v>44552.149448449</v>
      </c>
      <c r="C3721" s="51">
        <v>1.016</v>
      </c>
      <c r="D3721" s="51">
        <v>63.0</v>
      </c>
      <c r="E3721" s="52" t="s">
        <v>25</v>
      </c>
      <c r="F3721" s="52" t="s">
        <v>26</v>
      </c>
      <c r="G3721" s="53"/>
    </row>
    <row r="3722">
      <c r="A3722" s="49">
        <v>44552.03489473379</v>
      </c>
      <c r="B3722" s="50">
        <v>44552.1598676967</v>
      </c>
      <c r="C3722" s="51">
        <v>1.016</v>
      </c>
      <c r="D3722" s="51">
        <v>63.0</v>
      </c>
      <c r="E3722" s="52" t="s">
        <v>25</v>
      </c>
      <c r="F3722" s="52" t="s">
        <v>26</v>
      </c>
      <c r="G3722" s="53"/>
    </row>
    <row r="3723">
      <c r="A3723" s="49">
        <v>44552.045334270835</v>
      </c>
      <c r="B3723" s="50">
        <v>44552.1703002546</v>
      </c>
      <c r="C3723" s="51">
        <v>1.016</v>
      </c>
      <c r="D3723" s="51">
        <v>63.0</v>
      </c>
      <c r="E3723" s="52" t="s">
        <v>25</v>
      </c>
      <c r="F3723" s="52" t="s">
        <v>26</v>
      </c>
      <c r="G3723" s="53"/>
    </row>
    <row r="3724">
      <c r="A3724" s="49">
        <v>44552.0557562037</v>
      </c>
      <c r="B3724" s="50">
        <v>44552.1807191435</v>
      </c>
      <c r="C3724" s="51">
        <v>1.016</v>
      </c>
      <c r="D3724" s="51">
        <v>63.0</v>
      </c>
      <c r="E3724" s="52" t="s">
        <v>25</v>
      </c>
      <c r="F3724" s="52" t="s">
        <v>26</v>
      </c>
      <c r="G3724" s="53"/>
    </row>
    <row r="3725">
      <c r="A3725" s="49">
        <v>44552.06616631945</v>
      </c>
      <c r="B3725" s="50">
        <v>44552.1911394097</v>
      </c>
      <c r="C3725" s="51">
        <v>1.016</v>
      </c>
      <c r="D3725" s="51">
        <v>63.0</v>
      </c>
      <c r="E3725" s="52" t="s">
        <v>25</v>
      </c>
      <c r="F3725" s="52" t="s">
        <v>26</v>
      </c>
      <c r="G3725" s="53"/>
    </row>
    <row r="3726">
      <c r="A3726" s="49">
        <v>44552.07659210648</v>
      </c>
      <c r="B3726" s="50">
        <v>44552.201561331</v>
      </c>
      <c r="C3726" s="51">
        <v>1.016</v>
      </c>
      <c r="D3726" s="51">
        <v>63.0</v>
      </c>
      <c r="E3726" s="52" t="s">
        <v>25</v>
      </c>
      <c r="F3726" s="52" t="s">
        <v>26</v>
      </c>
      <c r="G3726" s="53"/>
    </row>
    <row r="3727">
      <c r="A3727" s="49">
        <v>44552.087026388894</v>
      </c>
      <c r="B3727" s="50">
        <v>44552.2119826736</v>
      </c>
      <c r="C3727" s="51">
        <v>1.016</v>
      </c>
      <c r="D3727" s="51">
        <v>63.0</v>
      </c>
      <c r="E3727" s="52" t="s">
        <v>25</v>
      </c>
      <c r="F3727" s="52" t="s">
        <v>26</v>
      </c>
      <c r="G3727" s="53"/>
    </row>
    <row r="3728">
      <c r="A3728" s="49">
        <v>44552.09743998843</v>
      </c>
      <c r="B3728" s="50">
        <v>44552.2224158101</v>
      </c>
      <c r="C3728" s="51">
        <v>1.016</v>
      </c>
      <c r="D3728" s="51">
        <v>63.0</v>
      </c>
      <c r="E3728" s="52" t="s">
        <v>25</v>
      </c>
      <c r="F3728" s="52" t="s">
        <v>26</v>
      </c>
      <c r="G3728" s="53"/>
    </row>
    <row r="3729">
      <c r="A3729" s="49">
        <v>44552.1078834838</v>
      </c>
      <c r="B3729" s="50">
        <v>44552.2328478703</v>
      </c>
      <c r="C3729" s="51">
        <v>1.016</v>
      </c>
      <c r="D3729" s="51">
        <v>63.0</v>
      </c>
      <c r="E3729" s="52" t="s">
        <v>25</v>
      </c>
      <c r="F3729" s="52" t="s">
        <v>26</v>
      </c>
      <c r="G3729" s="53"/>
    </row>
    <row r="3730">
      <c r="A3730" s="49">
        <v>44552.11829979166</v>
      </c>
      <c r="B3730" s="50">
        <v>44552.24326728</v>
      </c>
      <c r="C3730" s="51">
        <v>1.016</v>
      </c>
      <c r="D3730" s="51">
        <v>63.0</v>
      </c>
      <c r="E3730" s="52" t="s">
        <v>25</v>
      </c>
      <c r="F3730" s="52" t="s">
        <v>26</v>
      </c>
      <c r="G3730" s="53"/>
    </row>
    <row r="3731">
      <c r="A3731" s="49">
        <v>44552.12872357639</v>
      </c>
      <c r="B3731" s="50">
        <v>44552.2536879513</v>
      </c>
      <c r="C3731" s="51">
        <v>1.016</v>
      </c>
      <c r="D3731" s="51">
        <v>63.0</v>
      </c>
      <c r="E3731" s="52" t="s">
        <v>25</v>
      </c>
      <c r="F3731" s="52" t="s">
        <v>26</v>
      </c>
      <c r="G3731" s="53"/>
    </row>
    <row r="3732">
      <c r="A3732" s="49">
        <v>44552.13915476852</v>
      </c>
      <c r="B3732" s="50">
        <v>44552.2641222916</v>
      </c>
      <c r="C3732" s="51">
        <v>1.016</v>
      </c>
      <c r="D3732" s="51">
        <v>64.0</v>
      </c>
      <c r="E3732" s="52" t="s">
        <v>25</v>
      </c>
      <c r="F3732" s="52" t="s">
        <v>26</v>
      </c>
      <c r="G3732" s="53"/>
    </row>
    <row r="3733">
      <c r="A3733" s="49">
        <v>44552.149577488424</v>
      </c>
      <c r="B3733" s="50">
        <v>44552.2745428356</v>
      </c>
      <c r="C3733" s="51">
        <v>1.016</v>
      </c>
      <c r="D3733" s="51">
        <v>64.0</v>
      </c>
      <c r="E3733" s="52" t="s">
        <v>25</v>
      </c>
      <c r="F3733" s="52" t="s">
        <v>26</v>
      </c>
      <c r="G3733" s="53"/>
    </row>
    <row r="3734">
      <c r="A3734" s="49">
        <v>44552.16000462963</v>
      </c>
      <c r="B3734" s="50">
        <v>44552.2849657638</v>
      </c>
      <c r="C3734" s="51">
        <v>1.016</v>
      </c>
      <c r="D3734" s="51">
        <v>65.0</v>
      </c>
      <c r="E3734" s="52" t="s">
        <v>25</v>
      </c>
      <c r="F3734" s="52" t="s">
        <v>26</v>
      </c>
      <c r="G3734" s="53"/>
    </row>
    <row r="3735">
      <c r="A3735" s="49">
        <v>44552.17043436343</v>
      </c>
      <c r="B3735" s="50">
        <v>44552.2953986458</v>
      </c>
      <c r="C3735" s="51">
        <v>1.016</v>
      </c>
      <c r="D3735" s="51">
        <v>65.0</v>
      </c>
      <c r="E3735" s="52" t="s">
        <v>25</v>
      </c>
      <c r="F3735" s="52" t="s">
        <v>26</v>
      </c>
      <c r="G3735" s="53"/>
    </row>
    <row r="3736">
      <c r="A3736" s="49">
        <v>44552.18088944444</v>
      </c>
      <c r="B3736" s="50">
        <v>44552.3058433333</v>
      </c>
      <c r="C3736" s="51">
        <v>1.016</v>
      </c>
      <c r="D3736" s="51">
        <v>65.0</v>
      </c>
      <c r="E3736" s="52" t="s">
        <v>25</v>
      </c>
      <c r="F3736" s="52" t="s">
        <v>26</v>
      </c>
      <c r="G3736" s="53"/>
    </row>
    <row r="3737">
      <c r="A3737" s="49">
        <v>44552.1912877662</v>
      </c>
      <c r="B3737" s="50">
        <v>44552.3162632407</v>
      </c>
      <c r="C3737" s="51">
        <v>1.016</v>
      </c>
      <c r="D3737" s="51">
        <v>66.0</v>
      </c>
      <c r="E3737" s="52" t="s">
        <v>25</v>
      </c>
      <c r="F3737" s="52" t="s">
        <v>26</v>
      </c>
      <c r="G3737" s="53"/>
    </row>
    <row r="3738">
      <c r="A3738" s="49">
        <v>44552.20171724537</v>
      </c>
      <c r="B3738" s="50">
        <v>44552.3266849768</v>
      </c>
      <c r="C3738" s="51">
        <v>1.016</v>
      </c>
      <c r="D3738" s="51">
        <v>66.0</v>
      </c>
      <c r="E3738" s="52" t="s">
        <v>25</v>
      </c>
      <c r="F3738" s="52" t="s">
        <v>26</v>
      </c>
      <c r="G3738" s="53"/>
    </row>
    <row r="3739">
      <c r="A3739" s="49">
        <v>44552.212174409724</v>
      </c>
      <c r="B3739" s="50">
        <v>44552.337128912</v>
      </c>
      <c r="C3739" s="51">
        <v>1.016</v>
      </c>
      <c r="D3739" s="51">
        <v>67.0</v>
      </c>
      <c r="E3739" s="52" t="s">
        <v>25</v>
      </c>
      <c r="F3739" s="52" t="s">
        <v>26</v>
      </c>
      <c r="G3739" s="53"/>
    </row>
    <row r="3740">
      <c r="A3740" s="49">
        <v>44552.22258835648</v>
      </c>
      <c r="B3740" s="50">
        <v>44552.3475508101</v>
      </c>
      <c r="C3740" s="51">
        <v>1.016</v>
      </c>
      <c r="D3740" s="51">
        <v>67.0</v>
      </c>
      <c r="E3740" s="52" t="s">
        <v>25</v>
      </c>
      <c r="F3740" s="52" t="s">
        <v>26</v>
      </c>
      <c r="G3740" s="53"/>
    </row>
    <row r="3741">
      <c r="A3741" s="49">
        <v>44552.23301891204</v>
      </c>
      <c r="B3741" s="50">
        <v>44552.3579824189</v>
      </c>
      <c r="C3741" s="51">
        <v>1.016</v>
      </c>
      <c r="D3741" s="51">
        <v>67.0</v>
      </c>
      <c r="E3741" s="52" t="s">
        <v>25</v>
      </c>
      <c r="F3741" s="52" t="s">
        <v>26</v>
      </c>
      <c r="G3741" s="53"/>
    </row>
    <row r="3742">
      <c r="A3742" s="49">
        <v>44552.243540868054</v>
      </c>
      <c r="B3742" s="50">
        <v>44552.3685076736</v>
      </c>
      <c r="C3742" s="51">
        <v>1.016</v>
      </c>
      <c r="D3742" s="51">
        <v>68.0</v>
      </c>
      <c r="E3742" s="52" t="s">
        <v>25</v>
      </c>
      <c r="F3742" s="52" t="s">
        <v>26</v>
      </c>
      <c r="G3742" s="53"/>
    </row>
    <row r="3743">
      <c r="A3743" s="49">
        <v>44552.253975266205</v>
      </c>
      <c r="B3743" s="50">
        <v>44552.378941574</v>
      </c>
      <c r="C3743" s="51">
        <v>1.016</v>
      </c>
      <c r="D3743" s="51">
        <v>68.0</v>
      </c>
      <c r="E3743" s="52" t="s">
        <v>25</v>
      </c>
      <c r="F3743" s="52" t="s">
        <v>26</v>
      </c>
      <c r="G3743" s="53"/>
    </row>
    <row r="3744">
      <c r="A3744" s="49">
        <v>44552.264396921295</v>
      </c>
      <c r="B3744" s="50">
        <v>44552.3893626504</v>
      </c>
      <c r="C3744" s="51">
        <v>1.015</v>
      </c>
      <c r="D3744" s="51">
        <v>68.0</v>
      </c>
      <c r="E3744" s="52" t="s">
        <v>25</v>
      </c>
      <c r="F3744" s="52" t="s">
        <v>26</v>
      </c>
      <c r="G3744" s="53"/>
    </row>
    <row r="3745">
      <c r="A3745" s="49">
        <v>44552.27482701388</v>
      </c>
      <c r="B3745" s="50">
        <v>44552.3997954398</v>
      </c>
      <c r="C3745" s="51">
        <v>1.016</v>
      </c>
      <c r="D3745" s="51">
        <v>68.0</v>
      </c>
      <c r="E3745" s="52" t="s">
        <v>25</v>
      </c>
      <c r="F3745" s="52" t="s">
        <v>26</v>
      </c>
      <c r="G3745" s="53"/>
    </row>
    <row r="3746">
      <c r="A3746" s="49">
        <v>44552.28527237268</v>
      </c>
      <c r="B3746" s="50">
        <v>44552.4102303703</v>
      </c>
      <c r="C3746" s="51">
        <v>1.016</v>
      </c>
      <c r="D3746" s="51">
        <v>68.0</v>
      </c>
      <c r="E3746" s="52" t="s">
        <v>25</v>
      </c>
      <c r="F3746" s="52" t="s">
        <v>26</v>
      </c>
      <c r="G3746" s="53"/>
    </row>
    <row r="3747">
      <c r="A3747" s="49">
        <v>44552.295701446754</v>
      </c>
      <c r="B3747" s="50">
        <v>44552.4206630787</v>
      </c>
      <c r="C3747" s="51">
        <v>1.015</v>
      </c>
      <c r="D3747" s="51">
        <v>68.0</v>
      </c>
      <c r="E3747" s="52" t="s">
        <v>25</v>
      </c>
      <c r="F3747" s="52" t="s">
        <v>26</v>
      </c>
      <c r="G3747" s="53"/>
    </row>
    <row r="3748">
      <c r="A3748" s="49">
        <v>44552.30614247685</v>
      </c>
      <c r="B3748" s="50">
        <v>44552.4311079976</v>
      </c>
      <c r="C3748" s="51">
        <v>1.016</v>
      </c>
      <c r="D3748" s="51">
        <v>68.0</v>
      </c>
      <c r="E3748" s="52" t="s">
        <v>25</v>
      </c>
      <c r="F3748" s="52" t="s">
        <v>26</v>
      </c>
      <c r="G3748" s="53"/>
    </row>
    <row r="3749">
      <c r="A3749" s="49">
        <v>44552.31655710648</v>
      </c>
      <c r="B3749" s="50">
        <v>44552.4415301041</v>
      </c>
      <c r="C3749" s="51">
        <v>1.016</v>
      </c>
      <c r="D3749" s="51">
        <v>68.0</v>
      </c>
      <c r="E3749" s="52" t="s">
        <v>25</v>
      </c>
      <c r="F3749" s="52" t="s">
        <v>26</v>
      </c>
      <c r="G3749" s="53"/>
    </row>
    <row r="3750">
      <c r="A3750" s="49">
        <v>44552.326994166666</v>
      </c>
      <c r="B3750" s="50">
        <v>44552.4519617824</v>
      </c>
      <c r="C3750" s="51">
        <v>1.016</v>
      </c>
      <c r="D3750" s="51">
        <v>68.0</v>
      </c>
      <c r="E3750" s="52" t="s">
        <v>25</v>
      </c>
      <c r="F3750" s="52" t="s">
        <v>26</v>
      </c>
      <c r="G3750" s="53"/>
    </row>
    <row r="3751">
      <c r="A3751" s="49">
        <v>44552.337415393515</v>
      </c>
      <c r="B3751" s="50">
        <v>44552.4623827314</v>
      </c>
      <c r="C3751" s="51">
        <v>1.016</v>
      </c>
      <c r="D3751" s="51">
        <v>68.0</v>
      </c>
      <c r="E3751" s="52" t="s">
        <v>25</v>
      </c>
      <c r="F3751" s="52" t="s">
        <v>26</v>
      </c>
      <c r="G3751" s="53"/>
    </row>
    <row r="3752">
      <c r="A3752" s="49">
        <v>44552.34783273148</v>
      </c>
      <c r="B3752" s="50">
        <v>44552.472803368</v>
      </c>
      <c r="C3752" s="51">
        <v>1.016</v>
      </c>
      <c r="D3752" s="51">
        <v>68.0</v>
      </c>
      <c r="E3752" s="52" t="s">
        <v>25</v>
      </c>
      <c r="F3752" s="52" t="s">
        <v>26</v>
      </c>
      <c r="G3752" s="53"/>
    </row>
    <row r="3753">
      <c r="A3753" s="49">
        <v>44552.35828079861</v>
      </c>
      <c r="B3753" s="50">
        <v>44552.4832473379</v>
      </c>
      <c r="C3753" s="51">
        <v>1.015</v>
      </c>
      <c r="D3753" s="51">
        <v>68.0</v>
      </c>
      <c r="E3753" s="52" t="s">
        <v>25</v>
      </c>
      <c r="F3753" s="52" t="s">
        <v>26</v>
      </c>
      <c r="G3753" s="53"/>
    </row>
    <row r="3754">
      <c r="A3754" s="49">
        <v>44552.3687240162</v>
      </c>
      <c r="B3754" s="50">
        <v>44552.4936930092</v>
      </c>
      <c r="C3754" s="51">
        <v>1.015</v>
      </c>
      <c r="D3754" s="51">
        <v>68.0</v>
      </c>
      <c r="E3754" s="52" t="s">
        <v>25</v>
      </c>
      <c r="F3754" s="52" t="s">
        <v>26</v>
      </c>
      <c r="G3754" s="53"/>
    </row>
    <row r="3755">
      <c r="A3755" s="49">
        <v>44552.379146481486</v>
      </c>
      <c r="B3755" s="50">
        <v>44552.5041134953</v>
      </c>
      <c r="C3755" s="51">
        <v>1.015</v>
      </c>
      <c r="D3755" s="51">
        <v>68.0</v>
      </c>
      <c r="E3755" s="52" t="s">
        <v>25</v>
      </c>
      <c r="F3755" s="52" t="s">
        <v>26</v>
      </c>
      <c r="G3755" s="53"/>
    </row>
    <row r="3756">
      <c r="A3756" s="49">
        <v>44552.38958658565</v>
      </c>
      <c r="B3756" s="50">
        <v>44552.51454603</v>
      </c>
      <c r="C3756" s="51">
        <v>1.016</v>
      </c>
      <c r="D3756" s="51">
        <v>68.0</v>
      </c>
      <c r="E3756" s="52" t="s">
        <v>25</v>
      </c>
      <c r="F3756" s="52" t="s">
        <v>26</v>
      </c>
      <c r="G3756" s="53"/>
    </row>
    <row r="3757">
      <c r="A3757" s="49">
        <v>44552.4000000463</v>
      </c>
      <c r="B3757" s="50">
        <v>44552.5249678587</v>
      </c>
      <c r="C3757" s="51">
        <v>1.016</v>
      </c>
      <c r="D3757" s="51">
        <v>68.0</v>
      </c>
      <c r="E3757" s="52" t="s">
        <v>25</v>
      </c>
      <c r="F3757" s="52" t="s">
        <v>26</v>
      </c>
      <c r="G3757" s="53"/>
    </row>
    <row r="3758">
      <c r="A3758" s="49">
        <v>44552.410437314815</v>
      </c>
      <c r="B3758" s="50">
        <v>44552.5354013425</v>
      </c>
      <c r="C3758" s="51">
        <v>1.015</v>
      </c>
      <c r="D3758" s="51">
        <v>68.0</v>
      </c>
      <c r="E3758" s="52" t="s">
        <v>25</v>
      </c>
      <c r="F3758" s="52" t="s">
        <v>26</v>
      </c>
      <c r="G3758" s="53"/>
    </row>
    <row r="3759">
      <c r="A3759" s="49">
        <v>44552.42086641204</v>
      </c>
      <c r="B3759" s="50">
        <v>44552.5458348958</v>
      </c>
      <c r="C3759" s="51">
        <v>1.015</v>
      </c>
      <c r="D3759" s="51">
        <v>67.0</v>
      </c>
      <c r="E3759" s="52" t="s">
        <v>25</v>
      </c>
      <c r="F3759" s="52" t="s">
        <v>26</v>
      </c>
      <c r="G3759" s="53"/>
    </row>
    <row r="3760">
      <c r="A3760" s="49">
        <v>44552.43129399305</v>
      </c>
      <c r="B3760" s="50">
        <v>44552.5562546412</v>
      </c>
      <c r="C3760" s="51">
        <v>1.016</v>
      </c>
      <c r="D3760" s="51">
        <v>68.0</v>
      </c>
      <c r="E3760" s="52" t="s">
        <v>25</v>
      </c>
      <c r="F3760" s="52" t="s">
        <v>26</v>
      </c>
      <c r="G3760" s="53"/>
    </row>
    <row r="3761">
      <c r="A3761" s="49">
        <v>44552.44171568287</v>
      </c>
      <c r="B3761" s="50">
        <v>44552.5666883449</v>
      </c>
      <c r="C3761" s="51">
        <v>1.016</v>
      </c>
      <c r="D3761" s="51">
        <v>67.0</v>
      </c>
      <c r="E3761" s="52" t="s">
        <v>25</v>
      </c>
      <c r="F3761" s="52" t="s">
        <v>26</v>
      </c>
      <c r="G3761" s="53"/>
    </row>
    <row r="3762">
      <c r="A3762" s="49">
        <v>44552.45215327546</v>
      </c>
      <c r="B3762" s="50">
        <v>44552.5771198842</v>
      </c>
      <c r="C3762" s="51">
        <v>1.016</v>
      </c>
      <c r="D3762" s="51">
        <v>67.0</v>
      </c>
      <c r="E3762" s="52" t="s">
        <v>25</v>
      </c>
      <c r="F3762" s="52" t="s">
        <v>26</v>
      </c>
      <c r="G3762" s="53"/>
    </row>
    <row r="3763">
      <c r="A3763" s="49">
        <v>44552.46261690972</v>
      </c>
      <c r="B3763" s="50">
        <v>44552.5875772569</v>
      </c>
      <c r="C3763" s="51">
        <v>1.015</v>
      </c>
      <c r="D3763" s="51">
        <v>67.0</v>
      </c>
      <c r="E3763" s="52" t="s">
        <v>25</v>
      </c>
      <c r="F3763" s="52" t="s">
        <v>26</v>
      </c>
      <c r="G3763" s="53"/>
    </row>
    <row r="3764">
      <c r="A3764" s="49">
        <v>44552.473028148146</v>
      </c>
      <c r="B3764" s="50">
        <v>44552.5979988194</v>
      </c>
      <c r="C3764" s="51">
        <v>1.016</v>
      </c>
      <c r="D3764" s="51">
        <v>67.0</v>
      </c>
      <c r="E3764" s="52" t="s">
        <v>25</v>
      </c>
      <c r="F3764" s="52" t="s">
        <v>26</v>
      </c>
      <c r="G3764" s="53"/>
    </row>
    <row r="3765">
      <c r="A3765" s="49">
        <v>44552.483489583334</v>
      </c>
      <c r="B3765" s="50">
        <v>44552.6084540277</v>
      </c>
      <c r="C3765" s="51">
        <v>1.015</v>
      </c>
      <c r="D3765" s="51">
        <v>67.0</v>
      </c>
      <c r="E3765" s="52" t="s">
        <v>25</v>
      </c>
      <c r="F3765" s="52" t="s">
        <v>26</v>
      </c>
      <c r="G3765" s="53"/>
    </row>
    <row r="3766">
      <c r="A3766" s="49">
        <v>44552.4939130787</v>
      </c>
      <c r="B3766" s="50">
        <v>44552.6188761111</v>
      </c>
      <c r="C3766" s="51">
        <v>1.015</v>
      </c>
      <c r="D3766" s="51">
        <v>67.0</v>
      </c>
      <c r="E3766" s="52" t="s">
        <v>25</v>
      </c>
      <c r="F3766" s="52" t="s">
        <v>26</v>
      </c>
      <c r="G3766" s="53"/>
    </row>
    <row r="3767">
      <c r="A3767" s="49">
        <v>44552.50433616898</v>
      </c>
      <c r="B3767" s="50">
        <v>44552.6292984837</v>
      </c>
      <c r="C3767" s="51">
        <v>1.016</v>
      </c>
      <c r="D3767" s="51">
        <v>67.0</v>
      </c>
      <c r="E3767" s="52" t="s">
        <v>25</v>
      </c>
      <c r="F3767" s="52" t="s">
        <v>26</v>
      </c>
      <c r="G3767" s="53"/>
    </row>
    <row r="3768">
      <c r="A3768" s="49">
        <v>44552.51475456019</v>
      </c>
      <c r="B3768" s="50">
        <v>44552.6397214351</v>
      </c>
      <c r="C3768" s="51">
        <v>1.015</v>
      </c>
      <c r="D3768" s="51">
        <v>67.0</v>
      </c>
      <c r="E3768" s="52" t="s">
        <v>25</v>
      </c>
      <c r="F3768" s="52" t="s">
        <v>26</v>
      </c>
      <c r="G3768" s="53"/>
    </row>
    <row r="3769">
      <c r="A3769" s="49">
        <v>44552.52517446759</v>
      </c>
      <c r="B3769" s="50">
        <v>44552.6501423958</v>
      </c>
      <c r="C3769" s="51">
        <v>1.016</v>
      </c>
      <c r="D3769" s="51">
        <v>67.0</v>
      </c>
      <c r="E3769" s="52" t="s">
        <v>25</v>
      </c>
      <c r="F3769" s="52" t="s">
        <v>26</v>
      </c>
      <c r="G3769" s="53"/>
    </row>
    <row r="3770">
      <c r="A3770" s="49">
        <v>44552.535593946755</v>
      </c>
      <c r="B3770" s="50">
        <v>44552.6605635416</v>
      </c>
      <c r="C3770" s="51">
        <v>1.016</v>
      </c>
      <c r="D3770" s="51">
        <v>67.0</v>
      </c>
      <c r="E3770" s="52" t="s">
        <v>25</v>
      </c>
      <c r="F3770" s="52" t="s">
        <v>26</v>
      </c>
      <c r="G3770" s="53"/>
    </row>
    <row r="3771">
      <c r="A3771" s="49">
        <v>44552.54602108797</v>
      </c>
      <c r="B3771" s="50">
        <v>44552.6709852893</v>
      </c>
      <c r="C3771" s="51">
        <v>1.015</v>
      </c>
      <c r="D3771" s="51">
        <v>67.0</v>
      </c>
      <c r="E3771" s="52" t="s">
        <v>25</v>
      </c>
      <c r="F3771" s="52" t="s">
        <v>26</v>
      </c>
      <c r="G3771" s="53"/>
    </row>
    <row r="3772">
      <c r="A3772" s="49">
        <v>44552.55646371528</v>
      </c>
      <c r="B3772" s="50">
        <v>44552.6814186689</v>
      </c>
      <c r="C3772" s="51">
        <v>1.015</v>
      </c>
      <c r="D3772" s="51">
        <v>67.0</v>
      </c>
      <c r="E3772" s="52" t="s">
        <v>25</v>
      </c>
      <c r="F3772" s="52" t="s">
        <v>26</v>
      </c>
      <c r="G3772" s="53"/>
    </row>
    <row r="3773">
      <c r="A3773" s="49">
        <v>44552.56687613426</v>
      </c>
      <c r="B3773" s="50">
        <v>44552.6918393055</v>
      </c>
      <c r="C3773" s="51">
        <v>1.015</v>
      </c>
      <c r="D3773" s="51">
        <v>67.0</v>
      </c>
      <c r="E3773" s="52" t="s">
        <v>25</v>
      </c>
      <c r="F3773" s="52" t="s">
        <v>26</v>
      </c>
      <c r="G3773" s="53"/>
    </row>
    <row r="3774">
      <c r="A3774" s="49">
        <v>44552.577297372685</v>
      </c>
      <c r="B3774" s="50">
        <v>44552.7022597916</v>
      </c>
      <c r="C3774" s="51">
        <v>1.015</v>
      </c>
      <c r="D3774" s="51">
        <v>67.0</v>
      </c>
      <c r="E3774" s="52" t="s">
        <v>25</v>
      </c>
      <c r="F3774" s="52" t="s">
        <v>26</v>
      </c>
      <c r="G3774" s="53"/>
    </row>
    <row r="3775">
      <c r="A3775" s="49">
        <v>44552.587732326385</v>
      </c>
      <c r="B3775" s="50">
        <v>44552.7126934027</v>
      </c>
      <c r="C3775" s="51">
        <v>1.015</v>
      </c>
      <c r="D3775" s="51">
        <v>67.0</v>
      </c>
      <c r="E3775" s="52" t="s">
        <v>25</v>
      </c>
      <c r="F3775" s="52" t="s">
        <v>26</v>
      </c>
      <c r="G3775" s="53"/>
    </row>
    <row r="3776">
      <c r="A3776" s="49">
        <v>44552.598158900466</v>
      </c>
      <c r="B3776" s="50">
        <v>44552.7231267824</v>
      </c>
      <c r="C3776" s="51">
        <v>1.015</v>
      </c>
      <c r="D3776" s="51">
        <v>67.0</v>
      </c>
      <c r="E3776" s="52" t="s">
        <v>25</v>
      </c>
      <c r="F3776" s="52" t="s">
        <v>26</v>
      </c>
      <c r="G3776" s="53"/>
    </row>
    <row r="3777">
      <c r="A3777" s="49">
        <v>44552.60860530093</v>
      </c>
      <c r="B3777" s="50">
        <v>44552.7335715972</v>
      </c>
      <c r="C3777" s="51">
        <v>1.015</v>
      </c>
      <c r="D3777" s="51">
        <v>67.0</v>
      </c>
      <c r="E3777" s="52" t="s">
        <v>25</v>
      </c>
      <c r="F3777" s="52" t="s">
        <v>26</v>
      </c>
      <c r="G3777" s="53"/>
    </row>
    <row r="3778">
      <c r="A3778" s="49">
        <v>44552.61901581018</v>
      </c>
      <c r="B3778" s="50">
        <v>44552.7439908333</v>
      </c>
      <c r="C3778" s="51">
        <v>1.015</v>
      </c>
      <c r="D3778" s="51">
        <v>67.0</v>
      </c>
      <c r="E3778" s="52" t="s">
        <v>25</v>
      </c>
      <c r="F3778" s="52" t="s">
        <v>26</v>
      </c>
      <c r="G3778" s="53"/>
    </row>
    <row r="3779">
      <c r="A3779" s="49">
        <v>44552.62944483796</v>
      </c>
      <c r="B3779" s="50">
        <v>44552.7544129282</v>
      </c>
      <c r="C3779" s="51">
        <v>1.015</v>
      </c>
      <c r="D3779" s="51">
        <v>67.0</v>
      </c>
      <c r="E3779" s="52" t="s">
        <v>25</v>
      </c>
      <c r="F3779" s="52" t="s">
        <v>26</v>
      </c>
      <c r="G3779" s="53"/>
    </row>
    <row r="3780">
      <c r="A3780" s="49">
        <v>44552.63988295139</v>
      </c>
      <c r="B3780" s="50">
        <v>44552.7648471064</v>
      </c>
      <c r="C3780" s="51">
        <v>1.015</v>
      </c>
      <c r="D3780" s="51">
        <v>67.0</v>
      </c>
      <c r="E3780" s="52" t="s">
        <v>25</v>
      </c>
      <c r="F3780" s="52" t="s">
        <v>26</v>
      </c>
      <c r="G3780" s="53"/>
    </row>
    <row r="3781">
      <c r="A3781" s="49">
        <v>44552.65029642361</v>
      </c>
      <c r="B3781" s="50">
        <v>44552.7752677893</v>
      </c>
      <c r="C3781" s="51">
        <v>1.015</v>
      </c>
      <c r="D3781" s="51">
        <v>67.0</v>
      </c>
      <c r="E3781" s="52" t="s">
        <v>25</v>
      </c>
      <c r="F3781" s="52" t="s">
        <v>26</v>
      </c>
      <c r="G3781" s="53"/>
    </row>
    <row r="3782">
      <c r="A3782" s="49">
        <v>44552.66080633102</v>
      </c>
      <c r="B3782" s="50">
        <v>44552.7857717013</v>
      </c>
      <c r="C3782" s="51">
        <v>1.015</v>
      </c>
      <c r="D3782" s="51">
        <v>67.0</v>
      </c>
      <c r="E3782" s="52" t="s">
        <v>25</v>
      </c>
      <c r="F3782" s="52" t="s">
        <v>26</v>
      </c>
      <c r="G3782" s="53"/>
    </row>
    <row r="3783">
      <c r="A3783" s="49">
        <v>44552.67125328704</v>
      </c>
      <c r="B3783" s="50">
        <v>44552.7962162962</v>
      </c>
      <c r="C3783" s="51">
        <v>1.015</v>
      </c>
      <c r="D3783" s="51">
        <v>67.0</v>
      </c>
      <c r="E3783" s="52" t="s">
        <v>25</v>
      </c>
      <c r="F3783" s="52" t="s">
        <v>26</v>
      </c>
      <c r="G3783" s="53"/>
    </row>
    <row r="3784">
      <c r="A3784" s="49">
        <v>44552.68167340278</v>
      </c>
      <c r="B3784" s="50">
        <v>44552.8066372337</v>
      </c>
      <c r="C3784" s="51">
        <v>1.015</v>
      </c>
      <c r="D3784" s="51">
        <v>67.0</v>
      </c>
      <c r="E3784" s="52" t="s">
        <v>25</v>
      </c>
      <c r="F3784" s="52" t="s">
        <v>26</v>
      </c>
      <c r="G3784" s="53"/>
    </row>
    <row r="3785">
      <c r="A3785" s="49">
        <v>44552.69208758102</v>
      </c>
      <c r="B3785" s="50">
        <v>44552.8170574074</v>
      </c>
      <c r="C3785" s="51">
        <v>1.015</v>
      </c>
      <c r="D3785" s="51">
        <v>67.0</v>
      </c>
      <c r="E3785" s="52" t="s">
        <v>25</v>
      </c>
      <c r="F3785" s="52" t="s">
        <v>26</v>
      </c>
      <c r="G3785" s="53"/>
    </row>
    <row r="3786">
      <c r="A3786" s="49">
        <v>44552.7025278125</v>
      </c>
      <c r="B3786" s="50">
        <v>44552.8274906944</v>
      </c>
      <c r="C3786" s="51">
        <v>1.015</v>
      </c>
      <c r="D3786" s="51">
        <v>67.0</v>
      </c>
      <c r="E3786" s="52" t="s">
        <v>25</v>
      </c>
      <c r="F3786" s="52" t="s">
        <v>26</v>
      </c>
      <c r="G3786" s="53"/>
    </row>
    <row r="3787">
      <c r="A3787" s="49">
        <v>44552.712965</v>
      </c>
      <c r="B3787" s="50">
        <v>44552.8379236805</v>
      </c>
      <c r="C3787" s="51">
        <v>1.015</v>
      </c>
      <c r="D3787" s="51">
        <v>67.0</v>
      </c>
      <c r="E3787" s="52" t="s">
        <v>25</v>
      </c>
      <c r="F3787" s="52" t="s">
        <v>26</v>
      </c>
      <c r="G3787" s="53"/>
    </row>
    <row r="3788">
      <c r="A3788" s="49">
        <v>44552.72340451389</v>
      </c>
      <c r="B3788" s="50">
        <v>44552.8483681712</v>
      </c>
      <c r="C3788" s="51">
        <v>1.015</v>
      </c>
      <c r="D3788" s="51">
        <v>67.0</v>
      </c>
      <c r="E3788" s="52" t="s">
        <v>25</v>
      </c>
      <c r="F3788" s="52" t="s">
        <v>26</v>
      </c>
      <c r="G3788" s="53"/>
    </row>
    <row r="3789">
      <c r="A3789" s="49">
        <v>44552.73381346065</v>
      </c>
      <c r="B3789" s="50">
        <v>44552.8587893634</v>
      </c>
      <c r="C3789" s="51">
        <v>1.015</v>
      </c>
      <c r="D3789" s="51">
        <v>67.0</v>
      </c>
      <c r="E3789" s="52" t="s">
        <v>25</v>
      </c>
      <c r="F3789" s="52" t="s">
        <v>26</v>
      </c>
      <c r="G3789" s="53"/>
    </row>
    <row r="3790">
      <c r="A3790" s="49">
        <v>44552.744241064815</v>
      </c>
      <c r="B3790" s="50">
        <v>44552.8692084837</v>
      </c>
      <c r="C3790" s="51">
        <v>1.015</v>
      </c>
      <c r="D3790" s="51">
        <v>67.0</v>
      </c>
      <c r="E3790" s="52" t="s">
        <v>25</v>
      </c>
      <c r="F3790" s="52" t="s">
        <v>26</v>
      </c>
      <c r="G3790" s="53"/>
    </row>
    <row r="3791">
      <c r="A3791" s="49">
        <v>44552.75465171297</v>
      </c>
      <c r="B3791" s="50">
        <v>44552.8796303125</v>
      </c>
      <c r="C3791" s="51">
        <v>1.015</v>
      </c>
      <c r="D3791" s="51">
        <v>67.0</v>
      </c>
      <c r="E3791" s="52" t="s">
        <v>25</v>
      </c>
      <c r="F3791" s="52" t="s">
        <v>26</v>
      </c>
      <c r="G3791" s="53"/>
    </row>
    <row r="3792">
      <c r="A3792" s="49">
        <v>44552.765067291664</v>
      </c>
      <c r="B3792" s="50">
        <v>44552.8900511226</v>
      </c>
      <c r="C3792" s="51">
        <v>1.015</v>
      </c>
      <c r="D3792" s="51">
        <v>67.0</v>
      </c>
      <c r="E3792" s="52" t="s">
        <v>25</v>
      </c>
      <c r="F3792" s="52" t="s">
        <v>26</v>
      </c>
      <c r="G3792" s="53"/>
    </row>
    <row r="3793">
      <c r="A3793" s="49">
        <v>44552.775520243056</v>
      </c>
      <c r="B3793" s="50">
        <v>44552.9004843402</v>
      </c>
      <c r="C3793" s="51">
        <v>1.015</v>
      </c>
      <c r="D3793" s="51">
        <v>67.0</v>
      </c>
      <c r="E3793" s="52" t="s">
        <v>25</v>
      </c>
      <c r="F3793" s="52" t="s">
        <v>26</v>
      </c>
      <c r="G3793" s="53"/>
    </row>
    <row r="3794">
      <c r="A3794" s="49">
        <v>44552.785996736115</v>
      </c>
      <c r="B3794" s="50">
        <v>44552.9109612037</v>
      </c>
      <c r="C3794" s="51">
        <v>1.015</v>
      </c>
      <c r="D3794" s="51">
        <v>67.0</v>
      </c>
      <c r="E3794" s="52" t="s">
        <v>25</v>
      </c>
      <c r="F3794" s="52" t="s">
        <v>26</v>
      </c>
      <c r="G3794" s="53"/>
    </row>
    <row r="3795">
      <c r="A3795" s="49">
        <v>44552.796419398146</v>
      </c>
      <c r="B3795" s="50">
        <v>44552.9213827546</v>
      </c>
      <c r="C3795" s="51">
        <v>1.015</v>
      </c>
      <c r="D3795" s="51">
        <v>67.0</v>
      </c>
      <c r="E3795" s="52" t="s">
        <v>25</v>
      </c>
      <c r="F3795" s="52" t="s">
        <v>26</v>
      </c>
      <c r="G3795" s="53"/>
    </row>
    <row r="3796">
      <c r="A3796" s="49">
        <v>44552.80685922454</v>
      </c>
      <c r="B3796" s="50">
        <v>44552.9318165509</v>
      </c>
      <c r="C3796" s="51">
        <v>1.015</v>
      </c>
      <c r="D3796" s="51">
        <v>67.0</v>
      </c>
      <c r="E3796" s="52" t="s">
        <v>25</v>
      </c>
      <c r="F3796" s="52" t="s">
        <v>26</v>
      </c>
      <c r="G3796" s="53"/>
    </row>
    <row r="3797">
      <c r="A3797" s="49">
        <v>44552.81728516203</v>
      </c>
      <c r="B3797" s="50">
        <v>44552.9422487847</v>
      </c>
      <c r="C3797" s="51">
        <v>1.015</v>
      </c>
      <c r="D3797" s="51">
        <v>67.0</v>
      </c>
      <c r="E3797" s="52" t="s">
        <v>25</v>
      </c>
      <c r="F3797" s="52" t="s">
        <v>26</v>
      </c>
      <c r="G3797" s="53"/>
    </row>
    <row r="3798">
      <c r="A3798" s="49">
        <v>44552.82770505787</v>
      </c>
      <c r="B3798" s="50">
        <v>44552.9526713657</v>
      </c>
      <c r="C3798" s="51">
        <v>1.015</v>
      </c>
      <c r="D3798" s="51">
        <v>67.0</v>
      </c>
      <c r="E3798" s="52" t="s">
        <v>25</v>
      </c>
      <c r="F3798" s="52" t="s">
        <v>26</v>
      </c>
      <c r="G3798" s="53"/>
    </row>
    <row r="3799">
      <c r="A3799" s="49">
        <v>44552.838123090274</v>
      </c>
      <c r="B3799" s="50">
        <v>44552.963092118</v>
      </c>
      <c r="C3799" s="51">
        <v>1.015</v>
      </c>
      <c r="D3799" s="51">
        <v>66.0</v>
      </c>
      <c r="E3799" s="52" t="s">
        <v>25</v>
      </c>
      <c r="F3799" s="52" t="s">
        <v>26</v>
      </c>
      <c r="G3799" s="53"/>
    </row>
    <row r="3800">
      <c r="A3800" s="49">
        <v>44552.84857872685</v>
      </c>
      <c r="B3800" s="50">
        <v>44552.9735481018</v>
      </c>
      <c r="C3800" s="51">
        <v>1.015</v>
      </c>
      <c r="D3800" s="51">
        <v>66.0</v>
      </c>
      <c r="E3800" s="52" t="s">
        <v>25</v>
      </c>
      <c r="F3800" s="52" t="s">
        <v>26</v>
      </c>
      <c r="G3800" s="53"/>
    </row>
    <row r="3801">
      <c r="A3801" s="49">
        <v>44552.859028946754</v>
      </c>
      <c r="B3801" s="50">
        <v>44552.9839926504</v>
      </c>
      <c r="C3801" s="51">
        <v>1.015</v>
      </c>
      <c r="D3801" s="51">
        <v>66.0</v>
      </c>
      <c r="E3801" s="52" t="s">
        <v>25</v>
      </c>
      <c r="F3801" s="52" t="s">
        <v>26</v>
      </c>
      <c r="G3801" s="53"/>
    </row>
    <row r="3802">
      <c r="A3802" s="49">
        <v>44552.869504525464</v>
      </c>
      <c r="B3802" s="50">
        <v>44552.9944593981</v>
      </c>
      <c r="C3802" s="51">
        <v>1.015</v>
      </c>
      <c r="D3802" s="51">
        <v>66.0</v>
      </c>
      <c r="E3802" s="52" t="s">
        <v>25</v>
      </c>
      <c r="F3802" s="52" t="s">
        <v>26</v>
      </c>
      <c r="G3802" s="53"/>
    </row>
    <row r="3803">
      <c r="A3803" s="49">
        <v>44552.87991653935</v>
      </c>
      <c r="B3803" s="50">
        <v>44553.0048829166</v>
      </c>
      <c r="C3803" s="51">
        <v>1.015</v>
      </c>
      <c r="D3803" s="51">
        <v>66.0</v>
      </c>
      <c r="E3803" s="52" t="s">
        <v>25</v>
      </c>
      <c r="F3803" s="52" t="s">
        <v>26</v>
      </c>
      <c r="G3803" s="53"/>
    </row>
    <row r="3804">
      <c r="A3804" s="49">
        <v>44552.89033577546</v>
      </c>
      <c r="B3804" s="50">
        <v>44553.0153033449</v>
      </c>
      <c r="C3804" s="51">
        <v>1.015</v>
      </c>
      <c r="D3804" s="51">
        <v>66.0</v>
      </c>
      <c r="E3804" s="52" t="s">
        <v>25</v>
      </c>
      <c r="F3804" s="52" t="s">
        <v>26</v>
      </c>
      <c r="G3804" s="53"/>
    </row>
    <row r="3805">
      <c r="A3805" s="49">
        <v>44552.90075339121</v>
      </c>
      <c r="B3805" s="50">
        <v>44553.0257245601</v>
      </c>
      <c r="C3805" s="51">
        <v>1.015</v>
      </c>
      <c r="D3805" s="51">
        <v>66.0</v>
      </c>
      <c r="E3805" s="52" t="s">
        <v>25</v>
      </c>
      <c r="F3805" s="52" t="s">
        <v>26</v>
      </c>
      <c r="G3805" s="53"/>
    </row>
    <row r="3806">
      <c r="A3806" s="49">
        <v>44552.911176215275</v>
      </c>
      <c r="B3806" s="50">
        <v>44553.0361470486</v>
      </c>
      <c r="C3806" s="51">
        <v>1.015</v>
      </c>
      <c r="D3806" s="51">
        <v>66.0</v>
      </c>
      <c r="E3806" s="52" t="s">
        <v>25</v>
      </c>
      <c r="F3806" s="52" t="s">
        <v>26</v>
      </c>
      <c r="G3806" s="53"/>
    </row>
    <row r="3807">
      <c r="A3807" s="49">
        <v>44552.92161513889</v>
      </c>
      <c r="B3807" s="50">
        <v>44553.0465788194</v>
      </c>
      <c r="C3807" s="51">
        <v>1.015</v>
      </c>
      <c r="D3807" s="51">
        <v>66.0</v>
      </c>
      <c r="E3807" s="52" t="s">
        <v>25</v>
      </c>
      <c r="F3807" s="52" t="s">
        <v>26</v>
      </c>
      <c r="G3807" s="53"/>
    </row>
    <row r="3808">
      <c r="A3808" s="49">
        <v>44552.93202983796</v>
      </c>
      <c r="B3808" s="50">
        <v>44553.0570008796</v>
      </c>
      <c r="C3808" s="51">
        <v>1.015</v>
      </c>
      <c r="D3808" s="51">
        <v>66.0</v>
      </c>
      <c r="E3808" s="52" t="s">
        <v>25</v>
      </c>
      <c r="F3808" s="52" t="s">
        <v>26</v>
      </c>
      <c r="G3808" s="53"/>
    </row>
    <row r="3809">
      <c r="A3809" s="49">
        <v>44552.94247775463</v>
      </c>
      <c r="B3809" s="50">
        <v>44553.0674342939</v>
      </c>
      <c r="C3809" s="51">
        <v>1.015</v>
      </c>
      <c r="D3809" s="51">
        <v>66.0</v>
      </c>
      <c r="E3809" s="52" t="s">
        <v>25</v>
      </c>
      <c r="F3809" s="52" t="s">
        <v>26</v>
      </c>
      <c r="G3809" s="53"/>
    </row>
    <row r="3810">
      <c r="A3810" s="49">
        <v>44552.95288975694</v>
      </c>
      <c r="B3810" s="50">
        <v>44553.0778567939</v>
      </c>
      <c r="C3810" s="51">
        <v>1.015</v>
      </c>
      <c r="D3810" s="51">
        <v>66.0</v>
      </c>
      <c r="E3810" s="52" t="s">
        <v>25</v>
      </c>
      <c r="F3810" s="52" t="s">
        <v>26</v>
      </c>
      <c r="G3810" s="53"/>
    </row>
    <row r="3811">
      <c r="A3811" s="49">
        <v>44552.96332189815</v>
      </c>
      <c r="B3811" s="50">
        <v>44553.0882892361</v>
      </c>
      <c r="C3811" s="51">
        <v>1.015</v>
      </c>
      <c r="D3811" s="51">
        <v>66.0</v>
      </c>
      <c r="E3811" s="52" t="s">
        <v>25</v>
      </c>
      <c r="F3811" s="52" t="s">
        <v>26</v>
      </c>
      <c r="G3811" s="53"/>
    </row>
    <row r="3812">
      <c r="A3812" s="49">
        <v>44552.97373430556</v>
      </c>
      <c r="B3812" s="50">
        <v>44553.0987093865</v>
      </c>
      <c r="C3812" s="51">
        <v>1.015</v>
      </c>
      <c r="D3812" s="51">
        <v>66.0</v>
      </c>
      <c r="E3812" s="52" t="s">
        <v>25</v>
      </c>
      <c r="F3812" s="52" t="s">
        <v>26</v>
      </c>
      <c r="G3812" s="53"/>
    </row>
    <row r="3813">
      <c r="A3813" s="49">
        <v>44552.98417570602</v>
      </c>
      <c r="B3813" s="50">
        <v>44553.1091401851</v>
      </c>
      <c r="C3813" s="51">
        <v>1.015</v>
      </c>
      <c r="D3813" s="51">
        <v>66.0</v>
      </c>
      <c r="E3813" s="52" t="s">
        <v>25</v>
      </c>
      <c r="F3813" s="52" t="s">
        <v>26</v>
      </c>
      <c r="G3813" s="53"/>
    </row>
    <row r="3814">
      <c r="A3814" s="49">
        <v>44552.994588912035</v>
      </c>
      <c r="B3814" s="50">
        <v>44553.1195611111</v>
      </c>
      <c r="C3814" s="51">
        <v>1.015</v>
      </c>
      <c r="D3814" s="51">
        <v>66.0</v>
      </c>
      <c r="E3814" s="52" t="s">
        <v>25</v>
      </c>
      <c r="F3814" s="52" t="s">
        <v>26</v>
      </c>
      <c r="G3814" s="53"/>
    </row>
    <row r="3815">
      <c r="A3815" s="49">
        <v>44553.00508207176</v>
      </c>
      <c r="B3815" s="50">
        <v>44553.1300405671</v>
      </c>
      <c r="C3815" s="51">
        <v>1.015</v>
      </c>
      <c r="D3815" s="51">
        <v>66.0</v>
      </c>
      <c r="E3815" s="52" t="s">
        <v>25</v>
      </c>
      <c r="F3815" s="52" t="s">
        <v>26</v>
      </c>
      <c r="G3815" s="53"/>
    </row>
    <row r="3816">
      <c r="A3816" s="49">
        <v>44553.01548728009</v>
      </c>
      <c r="B3816" s="50">
        <v>44553.1404589236</v>
      </c>
      <c r="C3816" s="51">
        <v>1.015</v>
      </c>
      <c r="D3816" s="51">
        <v>66.0</v>
      </c>
      <c r="E3816" s="52" t="s">
        <v>25</v>
      </c>
      <c r="F3816" s="52" t="s">
        <v>26</v>
      </c>
      <c r="G3816" s="53"/>
    </row>
    <row r="3817">
      <c r="A3817" s="49">
        <v>44553.02591655093</v>
      </c>
      <c r="B3817" s="50">
        <v>44553.1508787615</v>
      </c>
      <c r="C3817" s="51">
        <v>1.015</v>
      </c>
      <c r="D3817" s="51">
        <v>66.0</v>
      </c>
      <c r="E3817" s="52" t="s">
        <v>25</v>
      </c>
      <c r="F3817" s="52" t="s">
        <v>26</v>
      </c>
      <c r="G3817" s="53"/>
    </row>
    <row r="3818">
      <c r="A3818" s="49">
        <v>44553.03634607639</v>
      </c>
      <c r="B3818" s="50">
        <v>44553.1613001851</v>
      </c>
      <c r="C3818" s="51">
        <v>1.015</v>
      </c>
      <c r="D3818" s="51">
        <v>66.0</v>
      </c>
      <c r="E3818" s="52" t="s">
        <v>25</v>
      </c>
      <c r="F3818" s="52" t="s">
        <v>26</v>
      </c>
      <c r="G3818" s="53"/>
    </row>
    <row r="3819">
      <c r="A3819" s="49">
        <v>44553.0467853125</v>
      </c>
      <c r="B3819" s="50">
        <v>44553.1717468981</v>
      </c>
      <c r="C3819" s="51">
        <v>1.015</v>
      </c>
      <c r="D3819" s="51">
        <v>66.0</v>
      </c>
      <c r="E3819" s="52" t="s">
        <v>25</v>
      </c>
      <c r="F3819" s="52" t="s">
        <v>26</v>
      </c>
      <c r="G3819" s="53"/>
    </row>
    <row r="3820">
      <c r="A3820" s="49">
        <v>44553.057214953704</v>
      </c>
      <c r="B3820" s="50">
        <v>44553.1821809259</v>
      </c>
      <c r="C3820" s="51">
        <v>1.015</v>
      </c>
      <c r="D3820" s="51">
        <v>66.0</v>
      </c>
      <c r="E3820" s="52" t="s">
        <v>25</v>
      </c>
      <c r="F3820" s="52" t="s">
        <v>26</v>
      </c>
      <c r="G3820" s="53"/>
    </row>
    <row r="3821">
      <c r="A3821" s="49">
        <v>44553.06763293981</v>
      </c>
      <c r="B3821" s="50">
        <v>44553.192601574</v>
      </c>
      <c r="C3821" s="51">
        <v>1.015</v>
      </c>
      <c r="D3821" s="51">
        <v>66.0</v>
      </c>
      <c r="E3821" s="52" t="s">
        <v>25</v>
      </c>
      <c r="F3821" s="52" t="s">
        <v>26</v>
      </c>
      <c r="G3821" s="53"/>
    </row>
    <row r="3822">
      <c r="A3822" s="49">
        <v>44553.07807768519</v>
      </c>
      <c r="B3822" s="50">
        <v>44553.2030466898</v>
      </c>
      <c r="C3822" s="51">
        <v>1.015</v>
      </c>
      <c r="D3822" s="51">
        <v>66.0</v>
      </c>
      <c r="E3822" s="52" t="s">
        <v>25</v>
      </c>
      <c r="F3822" s="52" t="s">
        <v>26</v>
      </c>
      <c r="G3822" s="53"/>
    </row>
    <row r="3823">
      <c r="A3823" s="49">
        <v>44553.08851163194</v>
      </c>
      <c r="B3823" s="50">
        <v>44553.2134788541</v>
      </c>
      <c r="C3823" s="51">
        <v>1.015</v>
      </c>
      <c r="D3823" s="51">
        <v>66.0</v>
      </c>
      <c r="E3823" s="52" t="s">
        <v>25</v>
      </c>
      <c r="F3823" s="52" t="s">
        <v>26</v>
      </c>
      <c r="G3823" s="53"/>
    </row>
    <row r="3824">
      <c r="A3824" s="49">
        <v>44553.09893493056</v>
      </c>
      <c r="B3824" s="50">
        <v>44553.223900706</v>
      </c>
      <c r="C3824" s="51">
        <v>1.015</v>
      </c>
      <c r="D3824" s="51">
        <v>66.0</v>
      </c>
      <c r="E3824" s="52" t="s">
        <v>25</v>
      </c>
      <c r="F3824" s="52" t="s">
        <v>26</v>
      </c>
      <c r="G3824" s="53"/>
    </row>
    <row r="3825">
      <c r="A3825" s="49">
        <v>44553.1093680787</v>
      </c>
      <c r="B3825" s="50">
        <v>44553.2343226388</v>
      </c>
      <c r="C3825" s="51">
        <v>1.015</v>
      </c>
      <c r="D3825" s="51">
        <v>66.0</v>
      </c>
      <c r="E3825" s="52" t="s">
        <v>25</v>
      </c>
      <c r="F3825" s="52" t="s">
        <v>26</v>
      </c>
      <c r="G3825" s="53"/>
    </row>
    <row r="3826">
      <c r="A3826" s="49">
        <v>44553.11978383102</v>
      </c>
      <c r="B3826" s="50">
        <v>44553.2447434953</v>
      </c>
      <c r="C3826" s="51">
        <v>1.015</v>
      </c>
      <c r="D3826" s="51">
        <v>66.0</v>
      </c>
      <c r="E3826" s="52" t="s">
        <v>25</v>
      </c>
      <c r="F3826" s="52" t="s">
        <v>26</v>
      </c>
      <c r="G3826" s="53"/>
    </row>
    <row r="3827">
      <c r="A3827" s="49">
        <v>44553.130198784726</v>
      </c>
      <c r="B3827" s="50">
        <v>44553.2551645833</v>
      </c>
      <c r="C3827" s="51">
        <v>1.015</v>
      </c>
      <c r="D3827" s="51">
        <v>66.0</v>
      </c>
      <c r="E3827" s="52" t="s">
        <v>25</v>
      </c>
      <c r="F3827" s="52" t="s">
        <v>26</v>
      </c>
      <c r="G3827" s="53"/>
    </row>
    <row r="3828">
      <c r="A3828" s="49">
        <v>44553.14061322917</v>
      </c>
      <c r="B3828" s="50">
        <v>44553.265584699</v>
      </c>
      <c r="C3828" s="51">
        <v>1.015</v>
      </c>
      <c r="D3828" s="51">
        <v>66.0</v>
      </c>
      <c r="E3828" s="52" t="s">
        <v>25</v>
      </c>
      <c r="F3828" s="52" t="s">
        <v>26</v>
      </c>
      <c r="G3828" s="53"/>
    </row>
    <row r="3829">
      <c r="A3829" s="49">
        <v>44553.15107591436</v>
      </c>
      <c r="B3829" s="50">
        <v>44553.2760403703</v>
      </c>
      <c r="C3829" s="51">
        <v>1.015</v>
      </c>
      <c r="D3829" s="51">
        <v>66.0</v>
      </c>
      <c r="E3829" s="52" t="s">
        <v>25</v>
      </c>
      <c r="F3829" s="52" t="s">
        <v>26</v>
      </c>
      <c r="G3829" s="53"/>
    </row>
    <row r="3830">
      <c r="A3830" s="49">
        <v>44553.16150634259</v>
      </c>
      <c r="B3830" s="50">
        <v>44553.2864714236</v>
      </c>
      <c r="C3830" s="51">
        <v>1.015</v>
      </c>
      <c r="D3830" s="51">
        <v>66.0</v>
      </c>
      <c r="E3830" s="52" t="s">
        <v>25</v>
      </c>
      <c r="F3830" s="52" t="s">
        <v>26</v>
      </c>
      <c r="G3830" s="53"/>
    </row>
    <row r="3831">
      <c r="A3831" s="49">
        <v>44553.171940370376</v>
      </c>
      <c r="B3831" s="50">
        <v>44553.2969037963</v>
      </c>
      <c r="C3831" s="51">
        <v>1.015</v>
      </c>
      <c r="D3831" s="51">
        <v>66.0</v>
      </c>
      <c r="E3831" s="52" t="s">
        <v>25</v>
      </c>
      <c r="F3831" s="52" t="s">
        <v>26</v>
      </c>
      <c r="G3831" s="53"/>
    </row>
    <row r="3832">
      <c r="A3832" s="49">
        <v>44553.182361053245</v>
      </c>
      <c r="B3832" s="50">
        <v>44553.3073250578</v>
      </c>
      <c r="C3832" s="51">
        <v>1.015</v>
      </c>
      <c r="D3832" s="51">
        <v>66.0</v>
      </c>
      <c r="E3832" s="52" t="s">
        <v>25</v>
      </c>
      <c r="F3832" s="52" t="s">
        <v>26</v>
      </c>
      <c r="G3832" s="53"/>
    </row>
    <row r="3833">
      <c r="A3833" s="49">
        <v>44553.19278886574</v>
      </c>
      <c r="B3833" s="50">
        <v>44553.3177577777</v>
      </c>
      <c r="C3833" s="51">
        <v>1.015</v>
      </c>
      <c r="D3833" s="51">
        <v>66.0</v>
      </c>
      <c r="E3833" s="52" t="s">
        <v>25</v>
      </c>
      <c r="F3833" s="52" t="s">
        <v>26</v>
      </c>
      <c r="G3833" s="53"/>
    </row>
    <row r="3834">
      <c r="A3834" s="49">
        <v>44553.20321872685</v>
      </c>
      <c r="B3834" s="50">
        <v>44553.3281798032</v>
      </c>
      <c r="C3834" s="51">
        <v>1.015</v>
      </c>
      <c r="D3834" s="51">
        <v>66.0</v>
      </c>
      <c r="E3834" s="52" t="s">
        <v>25</v>
      </c>
      <c r="F3834" s="52" t="s">
        <v>26</v>
      </c>
      <c r="G3834" s="53"/>
    </row>
    <row r="3835">
      <c r="A3835" s="49">
        <v>44553.21363484954</v>
      </c>
      <c r="B3835" s="50">
        <v>44553.3386014004</v>
      </c>
      <c r="C3835" s="51">
        <v>1.015</v>
      </c>
      <c r="D3835" s="51">
        <v>65.0</v>
      </c>
      <c r="E3835" s="52" t="s">
        <v>25</v>
      </c>
      <c r="F3835" s="52" t="s">
        <v>26</v>
      </c>
      <c r="G3835" s="53"/>
    </row>
    <row r="3836">
      <c r="A3836" s="49">
        <v>44553.22406857639</v>
      </c>
      <c r="B3836" s="50">
        <v>44553.3490339236</v>
      </c>
      <c r="C3836" s="51">
        <v>1.015</v>
      </c>
      <c r="D3836" s="51">
        <v>66.0</v>
      </c>
      <c r="E3836" s="52" t="s">
        <v>25</v>
      </c>
      <c r="F3836" s="52" t="s">
        <v>26</v>
      </c>
      <c r="G3836" s="53"/>
    </row>
    <row r="3837">
      <c r="A3837" s="49">
        <v>44553.23449686343</v>
      </c>
      <c r="B3837" s="50">
        <v>44553.3594675</v>
      </c>
      <c r="C3837" s="51">
        <v>1.015</v>
      </c>
      <c r="D3837" s="51">
        <v>65.0</v>
      </c>
      <c r="E3837" s="52" t="s">
        <v>25</v>
      </c>
      <c r="F3837" s="52" t="s">
        <v>26</v>
      </c>
      <c r="G3837" s="53"/>
    </row>
    <row r="3838">
      <c r="A3838" s="49">
        <v>44553.24492599537</v>
      </c>
      <c r="B3838" s="50">
        <v>44553.3698888425</v>
      </c>
      <c r="C3838" s="51">
        <v>1.015</v>
      </c>
      <c r="D3838" s="51">
        <v>65.0</v>
      </c>
      <c r="E3838" s="52" t="s">
        <v>25</v>
      </c>
      <c r="F3838" s="52" t="s">
        <v>26</v>
      </c>
      <c r="G3838" s="53"/>
    </row>
    <row r="3839">
      <c r="A3839" s="49">
        <v>44553.25534326389</v>
      </c>
      <c r="B3839" s="50">
        <v>44553.3803099884</v>
      </c>
      <c r="C3839" s="51">
        <v>1.015</v>
      </c>
      <c r="D3839" s="51">
        <v>65.0</v>
      </c>
      <c r="E3839" s="52" t="s">
        <v>25</v>
      </c>
      <c r="F3839" s="52" t="s">
        <v>26</v>
      </c>
      <c r="G3839" s="53"/>
    </row>
    <row r="3840">
      <c r="A3840" s="49">
        <v>44553.26577329861</v>
      </c>
      <c r="B3840" s="50">
        <v>44553.3907428703</v>
      </c>
      <c r="C3840" s="51">
        <v>1.015</v>
      </c>
      <c r="D3840" s="51">
        <v>65.0</v>
      </c>
      <c r="E3840" s="52" t="s">
        <v>25</v>
      </c>
      <c r="F3840" s="52" t="s">
        <v>26</v>
      </c>
      <c r="G3840" s="53"/>
    </row>
    <row r="3841">
      <c r="A3841" s="49">
        <v>44553.276198657404</v>
      </c>
      <c r="B3841" s="50">
        <v>44553.4011628124</v>
      </c>
      <c r="C3841" s="51">
        <v>1.015</v>
      </c>
      <c r="D3841" s="51">
        <v>65.0</v>
      </c>
      <c r="E3841" s="52" t="s">
        <v>25</v>
      </c>
      <c r="F3841" s="52" t="s">
        <v>26</v>
      </c>
      <c r="G3841" s="53"/>
    </row>
    <row r="3842">
      <c r="A3842" s="49">
        <v>44553.28661517361</v>
      </c>
      <c r="B3842" s="50">
        <v>44553.4115849884</v>
      </c>
      <c r="C3842" s="51">
        <v>1.015</v>
      </c>
      <c r="D3842" s="51">
        <v>65.0</v>
      </c>
      <c r="E3842" s="52" t="s">
        <v>25</v>
      </c>
      <c r="F3842" s="52" t="s">
        <v>26</v>
      </c>
      <c r="G3842" s="53"/>
    </row>
    <row r="3843">
      <c r="A3843" s="49">
        <v>44553.29708615741</v>
      </c>
      <c r="B3843" s="50">
        <v>44553.4220529745</v>
      </c>
      <c r="C3843" s="51">
        <v>1.015</v>
      </c>
      <c r="D3843" s="51">
        <v>65.0</v>
      </c>
      <c r="E3843" s="52" t="s">
        <v>25</v>
      </c>
      <c r="F3843" s="52" t="s">
        <v>26</v>
      </c>
      <c r="G3843" s="53"/>
    </row>
    <row r="3844">
      <c r="A3844" s="49">
        <v>44553.30752023148</v>
      </c>
      <c r="B3844" s="50">
        <v>44553.4324876967</v>
      </c>
      <c r="C3844" s="51">
        <v>1.015</v>
      </c>
      <c r="D3844" s="51">
        <v>65.0</v>
      </c>
      <c r="E3844" s="52" t="s">
        <v>25</v>
      </c>
      <c r="F3844" s="52" t="s">
        <v>26</v>
      </c>
      <c r="G3844" s="53"/>
    </row>
    <row r="3845">
      <c r="A3845" s="49">
        <v>44553.31794670139</v>
      </c>
      <c r="B3845" s="50">
        <v>44553.4429214351</v>
      </c>
      <c r="C3845" s="51">
        <v>1.015</v>
      </c>
      <c r="D3845" s="51">
        <v>65.0</v>
      </c>
      <c r="E3845" s="52" t="s">
        <v>25</v>
      </c>
      <c r="F3845" s="52" t="s">
        <v>26</v>
      </c>
      <c r="G3845" s="53"/>
    </row>
    <row r="3846">
      <c r="A3846" s="49">
        <v>44553.32838521991</v>
      </c>
      <c r="B3846" s="50">
        <v>44553.4533545138</v>
      </c>
      <c r="C3846" s="51">
        <v>1.015</v>
      </c>
      <c r="D3846" s="51">
        <v>65.0</v>
      </c>
      <c r="E3846" s="52" t="s">
        <v>25</v>
      </c>
      <c r="F3846" s="52" t="s">
        <v>26</v>
      </c>
      <c r="G3846" s="53"/>
    </row>
    <row r="3847">
      <c r="A3847" s="49">
        <v>44553.33882520834</v>
      </c>
      <c r="B3847" s="50">
        <v>44553.4637881365</v>
      </c>
      <c r="C3847" s="51">
        <v>1.015</v>
      </c>
      <c r="D3847" s="51">
        <v>65.0</v>
      </c>
      <c r="E3847" s="52" t="s">
        <v>25</v>
      </c>
      <c r="F3847" s="52" t="s">
        <v>26</v>
      </c>
      <c r="G3847" s="53"/>
    </row>
    <row r="3848">
      <c r="A3848" s="49">
        <v>44553.34925300926</v>
      </c>
      <c r="B3848" s="50">
        <v>44553.4742217476</v>
      </c>
      <c r="C3848" s="51">
        <v>1.015</v>
      </c>
      <c r="D3848" s="51">
        <v>65.0</v>
      </c>
      <c r="E3848" s="52" t="s">
        <v>25</v>
      </c>
      <c r="F3848" s="52" t="s">
        <v>26</v>
      </c>
      <c r="G3848" s="53"/>
    </row>
    <row r="3849">
      <c r="A3849" s="49">
        <v>44553.359676215274</v>
      </c>
      <c r="B3849" s="50">
        <v>44553.4846435763</v>
      </c>
      <c r="C3849" s="51">
        <v>1.015</v>
      </c>
      <c r="D3849" s="51">
        <v>65.0</v>
      </c>
      <c r="E3849" s="52" t="s">
        <v>25</v>
      </c>
      <c r="F3849" s="52" t="s">
        <v>26</v>
      </c>
      <c r="G3849" s="53"/>
    </row>
    <row r="3850">
      <c r="A3850" s="49">
        <v>44553.37009159722</v>
      </c>
      <c r="B3850" s="50">
        <v>44553.4950655208</v>
      </c>
      <c r="C3850" s="51">
        <v>1.015</v>
      </c>
      <c r="D3850" s="51">
        <v>65.0</v>
      </c>
      <c r="E3850" s="52" t="s">
        <v>25</v>
      </c>
      <c r="F3850" s="52" t="s">
        <v>26</v>
      </c>
      <c r="G3850" s="53"/>
    </row>
    <row r="3851">
      <c r="A3851" s="49">
        <v>44553.38052746528</v>
      </c>
      <c r="B3851" s="50">
        <v>44553.5054982407</v>
      </c>
      <c r="C3851" s="51">
        <v>1.015</v>
      </c>
      <c r="D3851" s="51">
        <v>65.0</v>
      </c>
      <c r="E3851" s="52" t="s">
        <v>25</v>
      </c>
      <c r="F3851" s="52" t="s">
        <v>26</v>
      </c>
      <c r="G3851" s="53"/>
    </row>
    <row r="3852">
      <c r="A3852" s="49">
        <v>44553.39095501158</v>
      </c>
      <c r="B3852" s="50">
        <v>44553.5159176851</v>
      </c>
      <c r="C3852" s="51">
        <v>1.015</v>
      </c>
      <c r="D3852" s="51">
        <v>65.0</v>
      </c>
      <c r="E3852" s="52" t="s">
        <v>25</v>
      </c>
      <c r="F3852" s="52" t="s">
        <v>26</v>
      </c>
      <c r="G3852" s="53"/>
    </row>
    <row r="3853">
      <c r="A3853" s="49">
        <v>44553.401374837966</v>
      </c>
      <c r="B3853" s="50">
        <v>44553.5263397569</v>
      </c>
      <c r="C3853" s="51">
        <v>1.015</v>
      </c>
      <c r="D3853" s="51">
        <v>65.0</v>
      </c>
      <c r="E3853" s="52" t="s">
        <v>25</v>
      </c>
      <c r="F3853" s="52" t="s">
        <v>26</v>
      </c>
      <c r="G3853" s="53"/>
    </row>
    <row r="3854">
      <c r="A3854" s="49">
        <v>44553.41180071759</v>
      </c>
      <c r="B3854" s="50">
        <v>44553.5367623379</v>
      </c>
      <c r="C3854" s="51">
        <v>1.015</v>
      </c>
      <c r="D3854" s="51">
        <v>65.0</v>
      </c>
      <c r="E3854" s="52" t="s">
        <v>25</v>
      </c>
      <c r="F3854" s="52" t="s">
        <v>26</v>
      </c>
      <c r="G3854" s="53"/>
    </row>
    <row r="3855">
      <c r="A3855" s="49">
        <v>44553.42221697917</v>
      </c>
      <c r="B3855" s="50">
        <v>44553.5471843518</v>
      </c>
      <c r="C3855" s="51">
        <v>1.015</v>
      </c>
      <c r="D3855" s="51">
        <v>65.0</v>
      </c>
      <c r="E3855" s="52" t="s">
        <v>25</v>
      </c>
      <c r="F3855" s="52" t="s">
        <v>26</v>
      </c>
      <c r="G3855" s="53"/>
    </row>
    <row r="3856">
      <c r="A3856" s="49">
        <v>44553.43264034722</v>
      </c>
      <c r="B3856" s="50">
        <v>44553.5576057638</v>
      </c>
      <c r="C3856" s="51">
        <v>1.015</v>
      </c>
      <c r="D3856" s="51">
        <v>65.0</v>
      </c>
      <c r="E3856" s="52" t="s">
        <v>25</v>
      </c>
      <c r="F3856" s="52" t="s">
        <v>26</v>
      </c>
      <c r="G3856" s="53"/>
    </row>
    <row r="3857">
      <c r="A3857" s="49">
        <v>44553.44307141204</v>
      </c>
      <c r="B3857" s="50">
        <v>44553.5680259953</v>
      </c>
      <c r="C3857" s="51">
        <v>1.015</v>
      </c>
      <c r="D3857" s="51">
        <v>65.0</v>
      </c>
      <c r="E3857" s="52" t="s">
        <v>25</v>
      </c>
      <c r="F3857" s="52" t="s">
        <v>26</v>
      </c>
      <c r="G3857" s="53"/>
    </row>
    <row r="3858">
      <c r="A3858" s="49">
        <v>44553.45347936342</v>
      </c>
      <c r="B3858" s="50">
        <v>44553.578447581</v>
      </c>
      <c r="C3858" s="51">
        <v>1.015</v>
      </c>
      <c r="D3858" s="51">
        <v>65.0</v>
      </c>
      <c r="E3858" s="52" t="s">
        <v>25</v>
      </c>
      <c r="F3858" s="52" t="s">
        <v>26</v>
      </c>
      <c r="G3858" s="53"/>
    </row>
    <row r="3859">
      <c r="A3859" s="49">
        <v>44553.463919305555</v>
      </c>
      <c r="B3859" s="50">
        <v>44553.5888802199</v>
      </c>
      <c r="C3859" s="51">
        <v>1.015</v>
      </c>
      <c r="D3859" s="51">
        <v>65.0</v>
      </c>
      <c r="E3859" s="52" t="s">
        <v>25</v>
      </c>
      <c r="F3859" s="52" t="s">
        <v>26</v>
      </c>
      <c r="G3859" s="53"/>
    </row>
    <row r="3860">
      <c r="A3860" s="49">
        <v>44553.47434444445</v>
      </c>
      <c r="B3860" s="50">
        <v>44553.599313368</v>
      </c>
      <c r="C3860" s="51">
        <v>1.015</v>
      </c>
      <c r="D3860" s="51">
        <v>65.0</v>
      </c>
      <c r="E3860" s="52" t="s">
        <v>25</v>
      </c>
      <c r="F3860" s="52" t="s">
        <v>26</v>
      </c>
      <c r="G3860" s="53"/>
    </row>
    <row r="3861">
      <c r="A3861" s="49">
        <v>44553.484766678244</v>
      </c>
      <c r="B3861" s="50">
        <v>44553.6097337731</v>
      </c>
      <c r="C3861" s="51">
        <v>1.015</v>
      </c>
      <c r="D3861" s="51">
        <v>65.0</v>
      </c>
      <c r="E3861" s="52" t="s">
        <v>25</v>
      </c>
      <c r="F3861" s="52" t="s">
        <v>26</v>
      </c>
      <c r="G3861" s="53"/>
    </row>
    <row r="3862">
      <c r="A3862" s="49">
        <v>44553.4952119213</v>
      </c>
      <c r="B3862" s="50">
        <v>44553.6201666898</v>
      </c>
      <c r="C3862" s="51">
        <v>1.015</v>
      </c>
      <c r="D3862" s="51">
        <v>65.0</v>
      </c>
      <c r="E3862" s="52" t="s">
        <v>25</v>
      </c>
      <c r="F3862" s="52" t="s">
        <v>26</v>
      </c>
      <c r="G3862" s="53"/>
    </row>
    <row r="3863">
      <c r="A3863" s="49">
        <v>44553.50562324074</v>
      </c>
      <c r="B3863" s="50">
        <v>44553.6305887731</v>
      </c>
      <c r="C3863" s="51">
        <v>1.015</v>
      </c>
      <c r="D3863" s="51">
        <v>65.0</v>
      </c>
      <c r="E3863" s="52" t="s">
        <v>25</v>
      </c>
      <c r="F3863" s="52" t="s">
        <v>26</v>
      </c>
      <c r="G3863" s="53"/>
    </row>
    <row r="3864">
      <c r="A3864" s="49">
        <v>44553.51603658564</v>
      </c>
      <c r="B3864" s="50">
        <v>44553.6410088425</v>
      </c>
      <c r="C3864" s="51">
        <v>1.015</v>
      </c>
      <c r="D3864" s="51">
        <v>65.0</v>
      </c>
      <c r="E3864" s="52" t="s">
        <v>25</v>
      </c>
      <c r="F3864" s="52" t="s">
        <v>26</v>
      </c>
      <c r="G3864" s="53"/>
    </row>
    <row r="3865">
      <c r="A3865" s="49">
        <v>44553.52645721065</v>
      </c>
      <c r="B3865" s="50">
        <v>44553.6514284606</v>
      </c>
      <c r="C3865" s="51">
        <v>1.015</v>
      </c>
      <c r="D3865" s="51">
        <v>65.0</v>
      </c>
      <c r="E3865" s="52" t="s">
        <v>25</v>
      </c>
      <c r="F3865" s="52" t="s">
        <v>26</v>
      </c>
      <c r="G3865" s="53"/>
    </row>
    <row r="3866">
      <c r="A3866" s="49">
        <v>44553.53687826389</v>
      </c>
      <c r="B3866" s="50">
        <v>44553.6618499305</v>
      </c>
      <c r="C3866" s="51">
        <v>1.015</v>
      </c>
      <c r="D3866" s="51">
        <v>65.0</v>
      </c>
      <c r="E3866" s="52" t="s">
        <v>25</v>
      </c>
      <c r="F3866" s="52" t="s">
        <v>26</v>
      </c>
      <c r="G3866" s="53"/>
    </row>
    <row r="3867">
      <c r="A3867" s="49">
        <v>44553.547320949074</v>
      </c>
      <c r="B3867" s="50">
        <v>44553.6722845254</v>
      </c>
      <c r="C3867" s="51">
        <v>1.015</v>
      </c>
      <c r="D3867" s="51">
        <v>65.0</v>
      </c>
      <c r="E3867" s="52" t="s">
        <v>25</v>
      </c>
      <c r="F3867" s="52" t="s">
        <v>26</v>
      </c>
      <c r="G3867" s="53"/>
    </row>
    <row r="3868">
      <c r="A3868" s="49">
        <v>44553.55777590278</v>
      </c>
      <c r="B3868" s="50">
        <v>44553.6827418287</v>
      </c>
      <c r="C3868" s="51">
        <v>1.015</v>
      </c>
      <c r="D3868" s="51">
        <v>65.0</v>
      </c>
      <c r="E3868" s="52" t="s">
        <v>25</v>
      </c>
      <c r="F3868" s="52" t="s">
        <v>26</v>
      </c>
      <c r="G3868" s="53"/>
    </row>
    <row r="3869">
      <c r="A3869" s="49">
        <v>44553.56820671297</v>
      </c>
      <c r="B3869" s="50">
        <v>44553.6931727546</v>
      </c>
      <c r="C3869" s="51">
        <v>1.015</v>
      </c>
      <c r="D3869" s="51">
        <v>65.0</v>
      </c>
      <c r="E3869" s="52" t="s">
        <v>25</v>
      </c>
      <c r="F3869" s="52" t="s">
        <v>26</v>
      </c>
      <c r="G3869" s="53"/>
    </row>
    <row r="3870">
      <c r="A3870" s="49">
        <v>44553.578641898144</v>
      </c>
      <c r="B3870" s="50">
        <v>44553.7036047685</v>
      </c>
      <c r="C3870" s="51">
        <v>1.015</v>
      </c>
      <c r="D3870" s="51">
        <v>65.0</v>
      </c>
      <c r="E3870" s="52" t="s">
        <v>25</v>
      </c>
      <c r="F3870" s="52" t="s">
        <v>26</v>
      </c>
      <c r="G3870" s="53"/>
    </row>
    <row r="3871">
      <c r="A3871" s="49">
        <v>44553.589065625</v>
      </c>
      <c r="B3871" s="50">
        <v>44553.7140382638</v>
      </c>
      <c r="C3871" s="51">
        <v>1.015</v>
      </c>
      <c r="D3871" s="51">
        <v>65.0</v>
      </c>
      <c r="E3871" s="52" t="s">
        <v>25</v>
      </c>
      <c r="F3871" s="52" t="s">
        <v>26</v>
      </c>
      <c r="G3871" s="53"/>
    </row>
    <row r="3872">
      <c r="A3872" s="49">
        <v>44553.59953502315</v>
      </c>
      <c r="B3872" s="50">
        <v>44553.7244939236</v>
      </c>
      <c r="C3872" s="51">
        <v>1.015</v>
      </c>
      <c r="D3872" s="51">
        <v>65.0</v>
      </c>
      <c r="E3872" s="52" t="s">
        <v>25</v>
      </c>
      <c r="F3872" s="52" t="s">
        <v>26</v>
      </c>
      <c r="G3872" s="53"/>
    </row>
    <row r="3873">
      <c r="A3873" s="49">
        <v>44553.609946006945</v>
      </c>
      <c r="B3873" s="50">
        <v>44553.7349150231</v>
      </c>
      <c r="C3873" s="51">
        <v>1.015</v>
      </c>
      <c r="D3873" s="51">
        <v>65.0</v>
      </c>
      <c r="E3873" s="52" t="s">
        <v>25</v>
      </c>
      <c r="F3873" s="52" t="s">
        <v>26</v>
      </c>
      <c r="G3873" s="53"/>
    </row>
    <row r="3874">
      <c r="A3874" s="49">
        <v>44553.62036381944</v>
      </c>
      <c r="B3874" s="50">
        <v>44553.7453346527</v>
      </c>
      <c r="C3874" s="51">
        <v>1.015</v>
      </c>
      <c r="D3874" s="51">
        <v>65.0</v>
      </c>
      <c r="E3874" s="52" t="s">
        <v>25</v>
      </c>
      <c r="F3874" s="52" t="s">
        <v>26</v>
      </c>
      <c r="G3874" s="53"/>
    </row>
    <row r="3875">
      <c r="A3875" s="49">
        <v>44553.63078695602</v>
      </c>
      <c r="B3875" s="50">
        <v>44553.7557545023</v>
      </c>
      <c r="C3875" s="51">
        <v>1.015</v>
      </c>
      <c r="D3875" s="51">
        <v>65.0</v>
      </c>
      <c r="E3875" s="52" t="s">
        <v>25</v>
      </c>
      <c r="F3875" s="52" t="s">
        <v>26</v>
      </c>
      <c r="G3875" s="53"/>
    </row>
    <row r="3876">
      <c r="A3876" s="49">
        <v>44553.64121973379</v>
      </c>
      <c r="B3876" s="50">
        <v>44553.7661865856</v>
      </c>
      <c r="C3876" s="51">
        <v>1.015</v>
      </c>
      <c r="D3876" s="51">
        <v>65.0</v>
      </c>
      <c r="E3876" s="52" t="s">
        <v>25</v>
      </c>
      <c r="F3876" s="52" t="s">
        <v>26</v>
      </c>
      <c r="G3876" s="53"/>
    </row>
    <row r="3877">
      <c r="A3877" s="49">
        <v>44553.651660069445</v>
      </c>
      <c r="B3877" s="50">
        <v>44553.7766181712</v>
      </c>
      <c r="C3877" s="51">
        <v>1.015</v>
      </c>
      <c r="D3877" s="51">
        <v>65.0</v>
      </c>
      <c r="E3877" s="52" t="s">
        <v>25</v>
      </c>
      <c r="F3877" s="52" t="s">
        <v>26</v>
      </c>
      <c r="G3877" s="53"/>
    </row>
    <row r="3878">
      <c r="A3878" s="49">
        <v>44553.662085868054</v>
      </c>
      <c r="B3878" s="50">
        <v>44553.7870508101</v>
      </c>
      <c r="C3878" s="51">
        <v>1.015</v>
      </c>
      <c r="D3878" s="51">
        <v>65.0</v>
      </c>
      <c r="E3878" s="52" t="s">
        <v>25</v>
      </c>
      <c r="F3878" s="52" t="s">
        <v>26</v>
      </c>
      <c r="G3878" s="53"/>
    </row>
    <row r="3879">
      <c r="A3879" s="49">
        <v>44553.67254619213</v>
      </c>
      <c r="B3879" s="50">
        <v>44553.7975188888</v>
      </c>
      <c r="C3879" s="51">
        <v>1.015</v>
      </c>
      <c r="D3879" s="51">
        <v>65.0</v>
      </c>
      <c r="E3879" s="52" t="s">
        <v>25</v>
      </c>
      <c r="F3879" s="52" t="s">
        <v>26</v>
      </c>
      <c r="G3879" s="53"/>
    </row>
    <row r="3880">
      <c r="A3880" s="49">
        <v>44553.68299832176</v>
      </c>
      <c r="B3880" s="50">
        <v>44553.8079639351</v>
      </c>
      <c r="C3880" s="51">
        <v>1.015</v>
      </c>
      <c r="D3880" s="51">
        <v>65.0</v>
      </c>
      <c r="E3880" s="52" t="s">
        <v>25</v>
      </c>
      <c r="F3880" s="52" t="s">
        <v>26</v>
      </c>
      <c r="G3880" s="53"/>
    </row>
    <row r="3881">
      <c r="A3881" s="49">
        <v>44553.69342802084</v>
      </c>
      <c r="B3881" s="50">
        <v>44553.8183970717</v>
      </c>
      <c r="C3881" s="51">
        <v>1.015</v>
      </c>
      <c r="D3881" s="51">
        <v>65.0</v>
      </c>
      <c r="E3881" s="52" t="s">
        <v>25</v>
      </c>
      <c r="F3881" s="52" t="s">
        <v>26</v>
      </c>
      <c r="G3881" s="53"/>
    </row>
    <row r="3882">
      <c r="A3882" s="49">
        <v>44553.70386386574</v>
      </c>
      <c r="B3882" s="50">
        <v>44553.8288290972</v>
      </c>
      <c r="C3882" s="51">
        <v>1.015</v>
      </c>
      <c r="D3882" s="51">
        <v>65.0</v>
      </c>
      <c r="E3882" s="52" t="s">
        <v>25</v>
      </c>
      <c r="F3882" s="52" t="s">
        <v>26</v>
      </c>
      <c r="G3882" s="53"/>
    </row>
    <row r="3883">
      <c r="A3883" s="49">
        <v>44553.71428748843</v>
      </c>
      <c r="B3883" s="50">
        <v>44553.8392614467</v>
      </c>
      <c r="C3883" s="51">
        <v>1.015</v>
      </c>
      <c r="D3883" s="51">
        <v>65.0</v>
      </c>
      <c r="E3883" s="52" t="s">
        <v>25</v>
      </c>
      <c r="F3883" s="52" t="s">
        <v>26</v>
      </c>
      <c r="G3883" s="53"/>
    </row>
    <row r="3884">
      <c r="A3884" s="49">
        <v>44553.724761053236</v>
      </c>
      <c r="B3884" s="50">
        <v>44553.8497302546</v>
      </c>
      <c r="C3884" s="51">
        <v>1.015</v>
      </c>
      <c r="D3884" s="51">
        <v>65.0</v>
      </c>
      <c r="E3884" s="52" t="s">
        <v>25</v>
      </c>
      <c r="F3884" s="52" t="s">
        <v>26</v>
      </c>
      <c r="G3884" s="53"/>
    </row>
    <row r="3885">
      <c r="A3885" s="49">
        <v>44553.735199409726</v>
      </c>
      <c r="B3885" s="50">
        <v>44553.8601634953</v>
      </c>
      <c r="C3885" s="51">
        <v>1.015</v>
      </c>
      <c r="D3885" s="51">
        <v>65.0</v>
      </c>
      <c r="E3885" s="52" t="s">
        <v>25</v>
      </c>
      <c r="F3885" s="52" t="s">
        <v>26</v>
      </c>
      <c r="G3885" s="53"/>
    </row>
    <row r="3886">
      <c r="A3886" s="49">
        <v>44553.745610474536</v>
      </c>
      <c r="B3886" s="50">
        <v>44553.8705841087</v>
      </c>
      <c r="C3886" s="51">
        <v>1.015</v>
      </c>
      <c r="D3886" s="51">
        <v>65.0</v>
      </c>
      <c r="E3886" s="52" t="s">
        <v>25</v>
      </c>
      <c r="F3886" s="52" t="s">
        <v>26</v>
      </c>
      <c r="G3886" s="53"/>
    </row>
    <row r="3887">
      <c r="A3887" s="49">
        <v>44553.75602797454</v>
      </c>
      <c r="B3887" s="50">
        <v>44553.8810029629</v>
      </c>
      <c r="C3887" s="51">
        <v>1.015</v>
      </c>
      <c r="D3887" s="51">
        <v>65.0</v>
      </c>
      <c r="E3887" s="52" t="s">
        <v>25</v>
      </c>
      <c r="F3887" s="52" t="s">
        <v>26</v>
      </c>
      <c r="G3887" s="53"/>
    </row>
    <row r="3888">
      <c r="A3888" s="49">
        <v>44553.76646778935</v>
      </c>
      <c r="B3888" s="50">
        <v>44553.8914255324</v>
      </c>
      <c r="C3888" s="51">
        <v>1.015</v>
      </c>
      <c r="D3888" s="51">
        <v>65.0</v>
      </c>
      <c r="E3888" s="52" t="s">
        <v>25</v>
      </c>
      <c r="F3888" s="52" t="s">
        <v>26</v>
      </c>
      <c r="G3888" s="53"/>
    </row>
    <row r="3889">
      <c r="A3889" s="49">
        <v>44553.7768946412</v>
      </c>
      <c r="B3889" s="50">
        <v>44553.9018580092</v>
      </c>
      <c r="C3889" s="51">
        <v>1.015</v>
      </c>
      <c r="D3889" s="51">
        <v>64.0</v>
      </c>
      <c r="E3889" s="52" t="s">
        <v>25</v>
      </c>
      <c r="F3889" s="52" t="s">
        <v>26</v>
      </c>
      <c r="G3889" s="53"/>
    </row>
    <row r="3890">
      <c r="A3890" s="49">
        <v>44553.78731414352</v>
      </c>
      <c r="B3890" s="50">
        <v>44553.9122780324</v>
      </c>
      <c r="C3890" s="51">
        <v>1.015</v>
      </c>
      <c r="D3890" s="51">
        <v>64.0</v>
      </c>
      <c r="E3890" s="52" t="s">
        <v>25</v>
      </c>
      <c r="F3890" s="52" t="s">
        <v>26</v>
      </c>
      <c r="G3890" s="53"/>
    </row>
    <row r="3891">
      <c r="A3891" s="49">
        <v>44553.797734594904</v>
      </c>
      <c r="B3891" s="50">
        <v>44553.9226989583</v>
      </c>
      <c r="C3891" s="51">
        <v>1.015</v>
      </c>
      <c r="D3891" s="51">
        <v>65.0</v>
      </c>
      <c r="E3891" s="52" t="s">
        <v>25</v>
      </c>
      <c r="F3891" s="52" t="s">
        <v>26</v>
      </c>
      <c r="G3891" s="53"/>
    </row>
    <row r="3892">
      <c r="A3892" s="49">
        <v>44553.808153391205</v>
      </c>
      <c r="B3892" s="50">
        <v>44553.9331194097</v>
      </c>
      <c r="C3892" s="51">
        <v>1.015</v>
      </c>
      <c r="D3892" s="51">
        <v>64.0</v>
      </c>
      <c r="E3892" s="52" t="s">
        <v>25</v>
      </c>
      <c r="F3892" s="52" t="s">
        <v>26</v>
      </c>
      <c r="G3892" s="53"/>
    </row>
    <row r="3893">
      <c r="A3893" s="49">
        <v>44553.81861966435</v>
      </c>
      <c r="B3893" s="50">
        <v>44553.9435870833</v>
      </c>
      <c r="C3893" s="51">
        <v>1.015</v>
      </c>
      <c r="D3893" s="51">
        <v>64.0</v>
      </c>
      <c r="E3893" s="52" t="s">
        <v>25</v>
      </c>
      <c r="F3893" s="52" t="s">
        <v>26</v>
      </c>
      <c r="G3893" s="53"/>
    </row>
    <row r="3894">
      <c r="A3894" s="49">
        <v>44553.8290375463</v>
      </c>
      <c r="B3894" s="50">
        <v>44553.9540080439</v>
      </c>
      <c r="C3894" s="51">
        <v>1.015</v>
      </c>
      <c r="D3894" s="51">
        <v>64.0</v>
      </c>
      <c r="E3894" s="52" t="s">
        <v>25</v>
      </c>
      <c r="F3894" s="52" t="s">
        <v>26</v>
      </c>
      <c r="G3894" s="53"/>
    </row>
    <row r="3895">
      <c r="A3895" s="49">
        <v>44553.839461701384</v>
      </c>
      <c r="B3895" s="50">
        <v>44553.9644288541</v>
      </c>
      <c r="C3895" s="51">
        <v>1.015</v>
      </c>
      <c r="D3895" s="51">
        <v>64.0</v>
      </c>
      <c r="E3895" s="52" t="s">
        <v>25</v>
      </c>
      <c r="F3895" s="52" t="s">
        <v>26</v>
      </c>
      <c r="G3895" s="53"/>
    </row>
    <row r="3896">
      <c r="A3896" s="49">
        <v>44553.84991238426</v>
      </c>
      <c r="B3896" s="50">
        <v>44553.9748849074</v>
      </c>
      <c r="C3896" s="51">
        <v>1.015</v>
      </c>
      <c r="D3896" s="51">
        <v>64.0</v>
      </c>
      <c r="E3896" s="52" t="s">
        <v>25</v>
      </c>
      <c r="F3896" s="52" t="s">
        <v>26</v>
      </c>
      <c r="G3896" s="53"/>
    </row>
    <row r="3897">
      <c r="A3897" s="49">
        <v>44553.86039310185</v>
      </c>
      <c r="B3897" s="50">
        <v>44553.9853638425</v>
      </c>
      <c r="C3897" s="51">
        <v>1.015</v>
      </c>
      <c r="D3897" s="51">
        <v>64.0</v>
      </c>
      <c r="E3897" s="52" t="s">
        <v>25</v>
      </c>
      <c r="F3897" s="52" t="s">
        <v>26</v>
      </c>
      <c r="G3897" s="53"/>
    </row>
    <row r="3898">
      <c r="A3898" s="49">
        <v>44553.8708183912</v>
      </c>
      <c r="B3898" s="50">
        <v>44553.9957841782</v>
      </c>
      <c r="C3898" s="51">
        <v>1.015</v>
      </c>
      <c r="D3898" s="51">
        <v>64.0</v>
      </c>
      <c r="E3898" s="52" t="s">
        <v>25</v>
      </c>
      <c r="F3898" s="52" t="s">
        <v>26</v>
      </c>
      <c r="G3898" s="53"/>
    </row>
    <row r="3899">
      <c r="A3899" s="49">
        <v>44553.88125042824</v>
      </c>
      <c r="B3899" s="50">
        <v>44554.0062175115</v>
      </c>
      <c r="C3899" s="51">
        <v>1.015</v>
      </c>
      <c r="D3899" s="51">
        <v>64.0</v>
      </c>
      <c r="E3899" s="52" t="s">
        <v>25</v>
      </c>
      <c r="F3899" s="52" t="s">
        <v>26</v>
      </c>
      <c r="G3899" s="53"/>
    </row>
    <row r="3900">
      <c r="A3900" s="49">
        <v>44553.89171289351</v>
      </c>
      <c r="B3900" s="50">
        <v>44554.016685081</v>
      </c>
      <c r="C3900" s="51">
        <v>1.015</v>
      </c>
      <c r="D3900" s="51">
        <v>64.0</v>
      </c>
      <c r="E3900" s="52" t="s">
        <v>25</v>
      </c>
      <c r="F3900" s="52" t="s">
        <v>26</v>
      </c>
      <c r="G3900" s="53"/>
    </row>
    <row r="3901">
      <c r="A3901" s="49">
        <v>44553.902139502316</v>
      </c>
      <c r="B3901" s="50">
        <v>44554.0271174537</v>
      </c>
      <c r="C3901" s="51">
        <v>1.015</v>
      </c>
      <c r="D3901" s="51">
        <v>64.0</v>
      </c>
      <c r="E3901" s="52" t="s">
        <v>25</v>
      </c>
      <c r="F3901" s="52" t="s">
        <v>26</v>
      </c>
      <c r="G3901" s="53"/>
    </row>
    <row r="3902">
      <c r="A3902" s="49">
        <v>44553.91255375</v>
      </c>
      <c r="B3902" s="50">
        <v>44554.0375372685</v>
      </c>
      <c r="C3902" s="51">
        <v>1.015</v>
      </c>
      <c r="D3902" s="51">
        <v>64.0</v>
      </c>
      <c r="E3902" s="52" t="s">
        <v>25</v>
      </c>
      <c r="F3902" s="52" t="s">
        <v>26</v>
      </c>
      <c r="G3902" s="53"/>
    </row>
    <row r="3903">
      <c r="A3903" s="49">
        <v>44553.9229890625</v>
      </c>
      <c r="B3903" s="50">
        <v>44554.047958449</v>
      </c>
      <c r="C3903" s="51">
        <v>1.015</v>
      </c>
      <c r="D3903" s="51">
        <v>64.0</v>
      </c>
      <c r="E3903" s="52" t="s">
        <v>25</v>
      </c>
      <c r="F3903" s="52" t="s">
        <v>26</v>
      </c>
      <c r="G3903" s="53"/>
    </row>
    <row r="3904">
      <c r="A3904" s="49">
        <v>44553.933424953706</v>
      </c>
      <c r="B3904" s="50">
        <v>44554.0583918981</v>
      </c>
      <c r="C3904" s="51">
        <v>1.015</v>
      </c>
      <c r="D3904" s="51">
        <v>64.0</v>
      </c>
      <c r="E3904" s="52" t="s">
        <v>25</v>
      </c>
      <c r="F3904" s="52" t="s">
        <v>26</v>
      </c>
      <c r="G3904" s="53"/>
    </row>
    <row r="3905">
      <c r="A3905" s="49">
        <v>44553.94384572917</v>
      </c>
      <c r="B3905" s="50">
        <v>44554.0688128703</v>
      </c>
      <c r="C3905" s="51">
        <v>1.015</v>
      </c>
      <c r="D3905" s="51">
        <v>64.0</v>
      </c>
      <c r="E3905" s="52" t="s">
        <v>25</v>
      </c>
      <c r="F3905" s="52" t="s">
        <v>26</v>
      </c>
      <c r="G3905" s="53"/>
    </row>
    <row r="3906">
      <c r="A3906" s="49">
        <v>44553.954269050926</v>
      </c>
      <c r="B3906" s="50">
        <v>44554.0792324074</v>
      </c>
      <c r="C3906" s="51">
        <v>1.015</v>
      </c>
      <c r="D3906" s="51">
        <v>64.0</v>
      </c>
      <c r="E3906" s="52" t="s">
        <v>25</v>
      </c>
      <c r="F3906" s="52" t="s">
        <v>26</v>
      </c>
      <c r="G3906" s="53"/>
    </row>
    <row r="3907">
      <c r="A3907" s="49">
        <v>44553.96470268519</v>
      </c>
      <c r="B3907" s="50">
        <v>44554.0896658449</v>
      </c>
      <c r="C3907" s="51">
        <v>1.015</v>
      </c>
      <c r="D3907" s="51">
        <v>64.0</v>
      </c>
      <c r="E3907" s="52" t="s">
        <v>25</v>
      </c>
      <c r="F3907" s="52" t="s">
        <v>26</v>
      </c>
      <c r="G3907" s="53"/>
    </row>
    <row r="3908">
      <c r="A3908" s="49">
        <v>44553.97514638889</v>
      </c>
      <c r="B3908" s="50">
        <v>44554.1001121643</v>
      </c>
      <c r="C3908" s="51">
        <v>1.015</v>
      </c>
      <c r="D3908" s="51">
        <v>64.0</v>
      </c>
      <c r="E3908" s="52" t="s">
        <v>25</v>
      </c>
      <c r="F3908" s="52" t="s">
        <v>26</v>
      </c>
      <c r="G3908" s="53"/>
    </row>
    <row r="3909">
      <c r="A3909" s="49">
        <v>44553.985564097224</v>
      </c>
      <c r="B3909" s="50">
        <v>44554.1105351273</v>
      </c>
      <c r="C3909" s="51">
        <v>1.015</v>
      </c>
      <c r="D3909" s="51">
        <v>64.0</v>
      </c>
      <c r="E3909" s="52" t="s">
        <v>25</v>
      </c>
      <c r="F3909" s="52" t="s">
        <v>26</v>
      </c>
      <c r="G3909" s="53"/>
    </row>
    <row r="3910">
      <c r="A3910" s="49">
        <v>44553.99600971065</v>
      </c>
      <c r="B3910" s="50">
        <v>44554.1209800578</v>
      </c>
      <c r="C3910" s="51">
        <v>1.015</v>
      </c>
      <c r="D3910" s="51">
        <v>64.0</v>
      </c>
      <c r="E3910" s="52" t="s">
        <v>25</v>
      </c>
      <c r="F3910" s="52" t="s">
        <v>26</v>
      </c>
      <c r="G3910" s="53"/>
    </row>
    <row r="3911">
      <c r="A3911" s="49">
        <v>44554.006427789354</v>
      </c>
      <c r="B3911" s="50">
        <v>44554.1314006134</v>
      </c>
      <c r="C3911" s="51">
        <v>1.015</v>
      </c>
      <c r="D3911" s="51">
        <v>64.0</v>
      </c>
      <c r="E3911" s="52" t="s">
        <v>25</v>
      </c>
      <c r="F3911" s="52" t="s">
        <v>26</v>
      </c>
      <c r="G3911" s="53"/>
    </row>
    <row r="3912">
      <c r="A3912" s="49">
        <v>44554.016862696764</v>
      </c>
      <c r="B3912" s="50">
        <v>44554.1418337268</v>
      </c>
      <c r="C3912" s="51">
        <v>1.015</v>
      </c>
      <c r="D3912" s="51">
        <v>64.0</v>
      </c>
      <c r="E3912" s="52" t="s">
        <v>25</v>
      </c>
      <c r="F3912" s="52" t="s">
        <v>26</v>
      </c>
      <c r="G3912" s="53"/>
    </row>
    <row r="3913">
      <c r="A3913" s="49">
        <v>44554.02728277778</v>
      </c>
      <c r="B3913" s="50">
        <v>44554.1522527661</v>
      </c>
      <c r="C3913" s="51">
        <v>1.014</v>
      </c>
      <c r="D3913" s="51">
        <v>64.0</v>
      </c>
      <c r="E3913" s="52" t="s">
        <v>25</v>
      </c>
      <c r="F3913" s="52" t="s">
        <v>26</v>
      </c>
      <c r="G3913" s="53"/>
    </row>
    <row r="3914">
      <c r="A3914" s="49">
        <v>44554.03771935185</v>
      </c>
      <c r="B3914" s="50">
        <v>44554.1626859722</v>
      </c>
      <c r="C3914" s="51">
        <v>1.014</v>
      </c>
      <c r="D3914" s="51">
        <v>64.0</v>
      </c>
      <c r="E3914" s="52" t="s">
        <v>25</v>
      </c>
      <c r="F3914" s="52" t="s">
        <v>26</v>
      </c>
      <c r="G3914" s="53"/>
    </row>
    <row r="3915">
      <c r="A3915" s="49">
        <v>44554.048154386575</v>
      </c>
      <c r="B3915" s="50">
        <v>44554.1731181597</v>
      </c>
      <c r="C3915" s="51">
        <v>1.015</v>
      </c>
      <c r="D3915" s="51">
        <v>64.0</v>
      </c>
      <c r="E3915" s="52" t="s">
        <v>25</v>
      </c>
      <c r="F3915" s="52" t="s">
        <v>26</v>
      </c>
      <c r="G3915" s="53"/>
    </row>
    <row r="3916">
      <c r="A3916" s="49">
        <v>44554.05857150463</v>
      </c>
      <c r="B3916" s="50">
        <v>44554.1835367476</v>
      </c>
      <c r="C3916" s="51">
        <v>1.015</v>
      </c>
      <c r="D3916" s="51">
        <v>64.0</v>
      </c>
      <c r="E3916" s="52" t="s">
        <v>25</v>
      </c>
      <c r="F3916" s="52" t="s">
        <v>26</v>
      </c>
      <c r="G3916" s="53"/>
    </row>
    <row r="3917">
      <c r="A3917" s="49">
        <v>44554.06899035879</v>
      </c>
      <c r="B3917" s="50">
        <v>44554.1939575578</v>
      </c>
      <c r="C3917" s="51">
        <v>1.015</v>
      </c>
      <c r="D3917" s="51">
        <v>64.0</v>
      </c>
      <c r="E3917" s="52" t="s">
        <v>25</v>
      </c>
      <c r="F3917" s="52" t="s">
        <v>26</v>
      </c>
      <c r="G3917" s="53"/>
    </row>
    <row r="3918">
      <c r="A3918" s="49">
        <v>44554.07940739584</v>
      </c>
      <c r="B3918" s="50">
        <v>44554.2043789583</v>
      </c>
      <c r="C3918" s="51">
        <v>1.015</v>
      </c>
      <c r="D3918" s="51">
        <v>64.0</v>
      </c>
      <c r="E3918" s="52" t="s">
        <v>25</v>
      </c>
      <c r="F3918" s="52" t="s">
        <v>26</v>
      </c>
      <c r="G3918" s="53"/>
    </row>
    <row r="3919">
      <c r="A3919" s="49">
        <v>44554.08984197916</v>
      </c>
      <c r="B3919" s="50">
        <v>44554.2148114467</v>
      </c>
      <c r="C3919" s="51">
        <v>1.015</v>
      </c>
      <c r="D3919" s="51">
        <v>64.0</v>
      </c>
      <c r="E3919" s="52" t="s">
        <v>25</v>
      </c>
      <c r="F3919" s="52" t="s">
        <v>26</v>
      </c>
      <c r="G3919" s="53"/>
    </row>
    <row r="3920">
      <c r="A3920" s="49">
        <v>44554.10027517361</v>
      </c>
      <c r="B3920" s="50">
        <v>44554.225243206</v>
      </c>
      <c r="C3920" s="51">
        <v>1.015</v>
      </c>
      <c r="D3920" s="51">
        <v>64.0</v>
      </c>
      <c r="E3920" s="52" t="s">
        <v>25</v>
      </c>
      <c r="F3920" s="52" t="s">
        <v>26</v>
      </c>
      <c r="G3920" s="53"/>
    </row>
    <row r="3921">
      <c r="A3921" s="49">
        <v>44554.11069368056</v>
      </c>
      <c r="B3921" s="50">
        <v>44554.235664618</v>
      </c>
      <c r="C3921" s="51">
        <v>1.015</v>
      </c>
      <c r="D3921" s="51">
        <v>64.0</v>
      </c>
      <c r="E3921" s="52" t="s">
        <v>25</v>
      </c>
      <c r="F3921" s="52" t="s">
        <v>26</v>
      </c>
      <c r="G3921" s="53"/>
    </row>
    <row r="3922">
      <c r="A3922" s="49">
        <v>44554.12111170139</v>
      </c>
      <c r="B3922" s="50">
        <v>44554.2460864236</v>
      </c>
      <c r="C3922" s="51">
        <v>1.015</v>
      </c>
      <c r="D3922" s="51">
        <v>64.0</v>
      </c>
      <c r="E3922" s="52" t="s">
        <v>25</v>
      </c>
      <c r="F3922" s="52" t="s">
        <v>26</v>
      </c>
      <c r="G3922" s="53"/>
    </row>
    <row r="3923">
      <c r="A3923" s="49">
        <v>44554.131540347225</v>
      </c>
      <c r="B3923" s="50">
        <v>44554.2565068865</v>
      </c>
      <c r="C3923" s="51">
        <v>1.015</v>
      </c>
      <c r="D3923" s="51">
        <v>64.0</v>
      </c>
      <c r="E3923" s="52" t="s">
        <v>25</v>
      </c>
      <c r="F3923" s="52" t="s">
        <v>26</v>
      </c>
      <c r="G3923" s="53"/>
    </row>
    <row r="3924">
      <c r="A3924" s="49">
        <v>44554.141982800924</v>
      </c>
      <c r="B3924" s="50">
        <v>44554.266951331</v>
      </c>
      <c r="C3924" s="51">
        <v>1.014</v>
      </c>
      <c r="D3924" s="51">
        <v>64.0</v>
      </c>
      <c r="E3924" s="52" t="s">
        <v>25</v>
      </c>
      <c r="F3924" s="52" t="s">
        <v>26</v>
      </c>
      <c r="G3924" s="53"/>
    </row>
    <row r="3925">
      <c r="A3925" s="49">
        <v>44554.15241523148</v>
      </c>
      <c r="B3925" s="50">
        <v>44554.2773840162</v>
      </c>
      <c r="C3925" s="51">
        <v>1.015</v>
      </c>
      <c r="D3925" s="51">
        <v>64.0</v>
      </c>
      <c r="E3925" s="52" t="s">
        <v>25</v>
      </c>
      <c r="F3925" s="52" t="s">
        <v>26</v>
      </c>
      <c r="G3925" s="53"/>
    </row>
    <row r="3926">
      <c r="A3926" s="49">
        <v>44554.16285356482</v>
      </c>
      <c r="B3926" s="50">
        <v>44554.2878172337</v>
      </c>
      <c r="C3926" s="51">
        <v>1.015</v>
      </c>
      <c r="D3926" s="51">
        <v>64.0</v>
      </c>
      <c r="E3926" s="52" t="s">
        <v>25</v>
      </c>
      <c r="F3926" s="52" t="s">
        <v>26</v>
      </c>
      <c r="G3926" s="53"/>
    </row>
    <row r="3927">
      <c r="A3927" s="49">
        <v>44554.173280243056</v>
      </c>
      <c r="B3927" s="50">
        <v>44554.2982517592</v>
      </c>
      <c r="C3927" s="51">
        <v>1.014</v>
      </c>
      <c r="D3927" s="51">
        <v>64.0</v>
      </c>
      <c r="E3927" s="52" t="s">
        <v>25</v>
      </c>
      <c r="F3927" s="52" t="s">
        <v>26</v>
      </c>
      <c r="G3927" s="53"/>
    </row>
    <row r="3928">
      <c r="A3928" s="49">
        <v>44554.18371013889</v>
      </c>
      <c r="B3928" s="50">
        <v>44554.3086826041</v>
      </c>
      <c r="C3928" s="51">
        <v>1.015</v>
      </c>
      <c r="D3928" s="51">
        <v>64.0</v>
      </c>
      <c r="E3928" s="52" t="s">
        <v>25</v>
      </c>
      <c r="F3928" s="52" t="s">
        <v>26</v>
      </c>
      <c r="G3928" s="53"/>
    </row>
    <row r="3929">
      <c r="A3929" s="49">
        <v>44554.19414878472</v>
      </c>
      <c r="B3929" s="50">
        <v>44554.3191165624</v>
      </c>
      <c r="C3929" s="51">
        <v>1.014</v>
      </c>
      <c r="D3929" s="51">
        <v>64.0</v>
      </c>
      <c r="E3929" s="52" t="s">
        <v>25</v>
      </c>
      <c r="F3929" s="52" t="s">
        <v>26</v>
      </c>
      <c r="G3929" s="53"/>
    </row>
    <row r="3930">
      <c r="A3930" s="49">
        <v>44554.2045641088</v>
      </c>
      <c r="B3930" s="50">
        <v>44554.3295395023</v>
      </c>
      <c r="C3930" s="51">
        <v>1.015</v>
      </c>
      <c r="D3930" s="51">
        <v>64.0</v>
      </c>
      <c r="E3930" s="52" t="s">
        <v>25</v>
      </c>
      <c r="F3930" s="52" t="s">
        <v>26</v>
      </c>
      <c r="G3930" s="53"/>
    </row>
    <row r="3931">
      <c r="A3931" s="49">
        <v>44554.2149962963</v>
      </c>
      <c r="B3931" s="50">
        <v>44554.3399599652</v>
      </c>
      <c r="C3931" s="51">
        <v>1.014</v>
      </c>
      <c r="D3931" s="51">
        <v>64.0</v>
      </c>
      <c r="E3931" s="52" t="s">
        <v>25</v>
      </c>
      <c r="F3931" s="52" t="s">
        <v>26</v>
      </c>
      <c r="G3931" s="53"/>
    </row>
    <row r="3932">
      <c r="A3932" s="49">
        <v>44554.22541508102</v>
      </c>
      <c r="B3932" s="50">
        <v>44554.3503808217</v>
      </c>
      <c r="C3932" s="51">
        <v>1.015</v>
      </c>
      <c r="D3932" s="51">
        <v>64.0</v>
      </c>
      <c r="E3932" s="52" t="s">
        <v>25</v>
      </c>
      <c r="F3932" s="52" t="s">
        <v>26</v>
      </c>
      <c r="G3932" s="53"/>
    </row>
    <row r="3933">
      <c r="A3933" s="49">
        <v>44554.23584032407</v>
      </c>
      <c r="B3933" s="50">
        <v>44554.3608136458</v>
      </c>
      <c r="C3933" s="51">
        <v>1.014</v>
      </c>
      <c r="D3933" s="51">
        <v>64.0</v>
      </c>
      <c r="E3933" s="52" t="s">
        <v>25</v>
      </c>
      <c r="F3933" s="52" t="s">
        <v>26</v>
      </c>
      <c r="G3933" s="53"/>
    </row>
    <row r="3934">
      <c r="A3934" s="49">
        <v>44554.24627390046</v>
      </c>
      <c r="B3934" s="50">
        <v>44554.3712461342</v>
      </c>
      <c r="C3934" s="51">
        <v>1.015</v>
      </c>
      <c r="D3934" s="51">
        <v>64.0</v>
      </c>
      <c r="E3934" s="52" t="s">
        <v>25</v>
      </c>
      <c r="F3934" s="52" t="s">
        <v>26</v>
      </c>
      <c r="G3934" s="53"/>
    </row>
    <row r="3935">
      <c r="A3935" s="49">
        <v>44554.256697696765</v>
      </c>
      <c r="B3935" s="50">
        <v>44554.3816652314</v>
      </c>
      <c r="C3935" s="51">
        <v>1.015</v>
      </c>
      <c r="D3935" s="51">
        <v>64.0</v>
      </c>
      <c r="E3935" s="52" t="s">
        <v>25</v>
      </c>
      <c r="F3935" s="52" t="s">
        <v>26</v>
      </c>
      <c r="G3935" s="53"/>
    </row>
    <row r="3936">
      <c r="A3936" s="49">
        <v>44554.267119212964</v>
      </c>
      <c r="B3936" s="50">
        <v>44554.3920863773</v>
      </c>
      <c r="C3936" s="51">
        <v>1.015</v>
      </c>
      <c r="D3936" s="51">
        <v>64.0</v>
      </c>
      <c r="E3936" s="52" t="s">
        <v>25</v>
      </c>
      <c r="F3936" s="52" t="s">
        <v>26</v>
      </c>
      <c r="G3936" s="53"/>
    </row>
    <row r="3937">
      <c r="A3937" s="49">
        <v>44554.277536712965</v>
      </c>
      <c r="B3937" s="50">
        <v>44554.402506956</v>
      </c>
      <c r="C3937" s="51">
        <v>1.014</v>
      </c>
      <c r="D3937" s="51">
        <v>64.0</v>
      </c>
      <c r="E3937" s="52" t="s">
        <v>25</v>
      </c>
      <c r="F3937" s="52" t="s">
        <v>26</v>
      </c>
      <c r="G3937" s="53"/>
    </row>
    <row r="3938">
      <c r="A3938" s="49">
        <v>44554.287955023145</v>
      </c>
      <c r="B3938" s="50">
        <v>44554.4129269791</v>
      </c>
      <c r="C3938" s="51">
        <v>1.015</v>
      </c>
      <c r="D3938" s="51">
        <v>64.0</v>
      </c>
      <c r="E3938" s="52" t="s">
        <v>25</v>
      </c>
      <c r="F3938" s="52" t="s">
        <v>26</v>
      </c>
      <c r="G3938" s="53"/>
    </row>
    <row r="3939">
      <c r="A3939" s="49">
        <v>44554.29839115741</v>
      </c>
      <c r="B3939" s="50">
        <v>44554.4233587962</v>
      </c>
      <c r="C3939" s="51">
        <v>1.014</v>
      </c>
      <c r="D3939" s="51">
        <v>64.0</v>
      </c>
      <c r="E3939" s="52" t="s">
        <v>25</v>
      </c>
      <c r="F3939" s="52" t="s">
        <v>26</v>
      </c>
      <c r="G3939" s="53"/>
    </row>
    <row r="3940">
      <c r="A3940" s="49">
        <v>44554.30881128472</v>
      </c>
      <c r="B3940" s="50">
        <v>44554.4337793287</v>
      </c>
      <c r="C3940" s="51">
        <v>1.014</v>
      </c>
      <c r="D3940" s="51">
        <v>64.0</v>
      </c>
      <c r="E3940" s="52" t="s">
        <v>25</v>
      </c>
      <c r="F3940" s="52" t="s">
        <v>26</v>
      </c>
      <c r="G3940" s="53"/>
    </row>
    <row r="3941">
      <c r="A3941" s="49">
        <v>44554.319243923615</v>
      </c>
      <c r="B3941" s="50">
        <v>44554.444211412</v>
      </c>
      <c r="C3941" s="51">
        <v>1.014</v>
      </c>
      <c r="D3941" s="51">
        <v>64.0</v>
      </c>
      <c r="E3941" s="52" t="s">
        <v>25</v>
      </c>
      <c r="F3941" s="52" t="s">
        <v>26</v>
      </c>
      <c r="G3941" s="53"/>
    </row>
    <row r="3942">
      <c r="A3942" s="49">
        <v>44554.329661805554</v>
      </c>
      <c r="B3942" s="50">
        <v>44554.4546346875</v>
      </c>
      <c r="C3942" s="51">
        <v>1.015</v>
      </c>
      <c r="D3942" s="51">
        <v>64.0</v>
      </c>
      <c r="E3942" s="52" t="s">
        <v>25</v>
      </c>
      <c r="F3942" s="52" t="s">
        <v>26</v>
      </c>
      <c r="G3942" s="53"/>
    </row>
    <row r="3943">
      <c r="A3943" s="49">
        <v>44554.340083194445</v>
      </c>
      <c r="B3943" s="50">
        <v>44554.4650542939</v>
      </c>
      <c r="C3943" s="51">
        <v>1.015</v>
      </c>
      <c r="D3943" s="51">
        <v>64.0</v>
      </c>
      <c r="E3943" s="52" t="s">
        <v>25</v>
      </c>
      <c r="F3943" s="52" t="s">
        <v>26</v>
      </c>
      <c r="G3943" s="53"/>
    </row>
    <row r="3944">
      <c r="A3944" s="49">
        <v>44554.35054299769</v>
      </c>
      <c r="B3944" s="50">
        <v>44554.475510706</v>
      </c>
      <c r="C3944" s="51">
        <v>1.014</v>
      </c>
      <c r="D3944" s="51">
        <v>64.0</v>
      </c>
      <c r="E3944" s="52" t="s">
        <v>25</v>
      </c>
      <c r="F3944" s="52" t="s">
        <v>26</v>
      </c>
      <c r="G3944" s="53"/>
    </row>
    <row r="3945">
      <c r="A3945" s="49">
        <v>44554.360963900464</v>
      </c>
      <c r="B3945" s="50">
        <v>44554.4859309259</v>
      </c>
      <c r="C3945" s="51">
        <v>1.014</v>
      </c>
      <c r="D3945" s="51">
        <v>64.0</v>
      </c>
      <c r="E3945" s="52" t="s">
        <v>25</v>
      </c>
      <c r="F3945" s="52" t="s">
        <v>26</v>
      </c>
      <c r="G3945" s="53"/>
    </row>
    <row r="3946">
      <c r="A3946" s="49">
        <v>44554.371383460646</v>
      </c>
      <c r="B3946" s="50">
        <v>44554.4963538888</v>
      </c>
      <c r="C3946" s="51">
        <v>1.014</v>
      </c>
      <c r="D3946" s="51">
        <v>64.0</v>
      </c>
      <c r="E3946" s="52" t="s">
        <v>25</v>
      </c>
      <c r="F3946" s="52" t="s">
        <v>26</v>
      </c>
      <c r="G3946" s="53"/>
    </row>
    <row r="3947">
      <c r="A3947" s="49">
        <v>44554.381813182874</v>
      </c>
      <c r="B3947" s="50">
        <v>44554.5067880671</v>
      </c>
      <c r="C3947" s="51">
        <v>1.014</v>
      </c>
      <c r="D3947" s="51">
        <v>64.0</v>
      </c>
      <c r="E3947" s="52" t="s">
        <v>25</v>
      </c>
      <c r="F3947" s="52" t="s">
        <v>26</v>
      </c>
      <c r="G3947" s="53"/>
    </row>
    <row r="3948">
      <c r="A3948" s="49">
        <v>44554.39227804398</v>
      </c>
      <c r="B3948" s="50">
        <v>44554.517244699</v>
      </c>
      <c r="C3948" s="51">
        <v>1.015</v>
      </c>
      <c r="D3948" s="51">
        <v>64.0</v>
      </c>
      <c r="E3948" s="52" t="s">
        <v>25</v>
      </c>
      <c r="F3948" s="52" t="s">
        <v>26</v>
      </c>
      <c r="G3948" s="53"/>
    </row>
    <row r="3949">
      <c r="A3949" s="49">
        <v>44554.40270924769</v>
      </c>
      <c r="B3949" s="50">
        <v>44554.527677662</v>
      </c>
      <c r="C3949" s="51">
        <v>1.015</v>
      </c>
      <c r="D3949" s="51">
        <v>64.0</v>
      </c>
      <c r="E3949" s="52" t="s">
        <v>25</v>
      </c>
      <c r="F3949" s="52" t="s">
        <v>26</v>
      </c>
      <c r="G3949" s="53"/>
    </row>
    <row r="3950">
      <c r="A3950" s="49">
        <v>44554.41314640046</v>
      </c>
      <c r="B3950" s="50">
        <v>44554.5381100694</v>
      </c>
      <c r="C3950" s="51">
        <v>1.014</v>
      </c>
      <c r="D3950" s="51">
        <v>64.0</v>
      </c>
      <c r="E3950" s="52" t="s">
        <v>25</v>
      </c>
      <c r="F3950" s="52" t="s">
        <v>26</v>
      </c>
      <c r="G3950" s="53"/>
    </row>
    <row r="3951">
      <c r="A3951" s="49">
        <v>44554.42358768519</v>
      </c>
      <c r="B3951" s="50">
        <v>44554.5485543518</v>
      </c>
      <c r="C3951" s="51">
        <v>1.015</v>
      </c>
      <c r="D3951" s="51">
        <v>64.0</v>
      </c>
      <c r="E3951" s="52" t="s">
        <v>25</v>
      </c>
      <c r="F3951" s="52" t="s">
        <v>26</v>
      </c>
      <c r="G3951" s="53"/>
    </row>
    <row r="3952">
      <c r="A3952" s="49">
        <v>44554.434008055556</v>
      </c>
      <c r="B3952" s="50">
        <v>44554.5589751388</v>
      </c>
      <c r="C3952" s="51">
        <v>1.014</v>
      </c>
      <c r="D3952" s="51">
        <v>64.0</v>
      </c>
      <c r="E3952" s="52" t="s">
        <v>25</v>
      </c>
      <c r="F3952" s="52" t="s">
        <v>26</v>
      </c>
      <c r="G3952" s="53"/>
    </row>
    <row r="3953">
      <c r="A3953" s="49">
        <v>44554.444444988425</v>
      </c>
      <c r="B3953" s="50">
        <v>44554.569420081</v>
      </c>
      <c r="C3953" s="51">
        <v>1.015</v>
      </c>
      <c r="D3953" s="51">
        <v>64.0</v>
      </c>
      <c r="E3953" s="52" t="s">
        <v>25</v>
      </c>
      <c r="F3953" s="52" t="s">
        <v>26</v>
      </c>
      <c r="G3953" s="53"/>
    </row>
    <row r="3954">
      <c r="A3954" s="49">
        <v>44554.45487244213</v>
      </c>
      <c r="B3954" s="50">
        <v>44554.5798410532</v>
      </c>
      <c r="C3954" s="51">
        <v>1.015</v>
      </c>
      <c r="D3954" s="51">
        <v>63.0</v>
      </c>
      <c r="E3954" s="52" t="s">
        <v>25</v>
      </c>
      <c r="F3954" s="52" t="s">
        <v>26</v>
      </c>
      <c r="G3954" s="53"/>
    </row>
    <row r="3955">
      <c r="A3955" s="49">
        <v>44554.465300474534</v>
      </c>
      <c r="B3955" s="50">
        <v>44554.5902737384</v>
      </c>
      <c r="C3955" s="51">
        <v>1.015</v>
      </c>
      <c r="D3955" s="51">
        <v>64.0</v>
      </c>
      <c r="E3955" s="52" t="s">
        <v>25</v>
      </c>
      <c r="F3955" s="52" t="s">
        <v>26</v>
      </c>
      <c r="G3955" s="53"/>
    </row>
    <row r="3956">
      <c r="A3956" s="49">
        <v>44554.475718229165</v>
      </c>
      <c r="B3956" s="50">
        <v>44554.6006960995</v>
      </c>
      <c r="C3956" s="51">
        <v>1.015</v>
      </c>
      <c r="D3956" s="51">
        <v>64.0</v>
      </c>
      <c r="E3956" s="52" t="s">
        <v>25</v>
      </c>
      <c r="F3956" s="52" t="s">
        <v>26</v>
      </c>
      <c r="G3956" s="53"/>
    </row>
    <row r="3957">
      <c r="A3957" s="49">
        <v>44554.48614736111</v>
      </c>
      <c r="B3957" s="50">
        <v>44554.611116331</v>
      </c>
      <c r="C3957" s="51">
        <v>1.014</v>
      </c>
      <c r="D3957" s="51">
        <v>64.0</v>
      </c>
      <c r="E3957" s="52" t="s">
        <v>25</v>
      </c>
      <c r="F3957" s="52" t="s">
        <v>26</v>
      </c>
      <c r="G3957" s="53"/>
    </row>
    <row r="3958">
      <c r="A3958" s="49">
        <v>44554.49656829861</v>
      </c>
      <c r="B3958" s="50">
        <v>44554.6215382638</v>
      </c>
      <c r="C3958" s="51">
        <v>1.014</v>
      </c>
      <c r="D3958" s="51">
        <v>63.0</v>
      </c>
      <c r="E3958" s="52" t="s">
        <v>25</v>
      </c>
      <c r="F3958" s="52" t="s">
        <v>26</v>
      </c>
      <c r="G3958" s="53"/>
    </row>
    <row r="3959">
      <c r="A3959" s="49">
        <v>44554.506993194445</v>
      </c>
      <c r="B3959" s="50">
        <v>44554.6319593865</v>
      </c>
      <c r="C3959" s="51">
        <v>1.014</v>
      </c>
      <c r="D3959" s="51">
        <v>64.0</v>
      </c>
      <c r="E3959" s="52" t="s">
        <v>25</v>
      </c>
      <c r="F3959" s="52" t="s">
        <v>26</v>
      </c>
      <c r="G3959" s="53"/>
    </row>
    <row r="3960">
      <c r="A3960" s="49">
        <v>44554.51741571759</v>
      </c>
      <c r="B3960" s="50">
        <v>44554.6423806712</v>
      </c>
      <c r="C3960" s="51">
        <v>1.014</v>
      </c>
      <c r="D3960" s="51">
        <v>63.0</v>
      </c>
      <c r="E3960" s="52" t="s">
        <v>25</v>
      </c>
      <c r="F3960" s="52" t="s">
        <v>26</v>
      </c>
      <c r="G3960" s="53"/>
    </row>
    <row r="3961">
      <c r="A3961" s="49">
        <v>44554.52786814814</v>
      </c>
      <c r="B3961" s="50">
        <v>44554.652835706</v>
      </c>
      <c r="C3961" s="51">
        <v>1.014</v>
      </c>
      <c r="D3961" s="51">
        <v>63.0</v>
      </c>
      <c r="E3961" s="52" t="s">
        <v>25</v>
      </c>
      <c r="F3961" s="52" t="s">
        <v>26</v>
      </c>
      <c r="G3961" s="53"/>
    </row>
    <row r="3962">
      <c r="A3962" s="49">
        <v>44554.53828637731</v>
      </c>
      <c r="B3962" s="50">
        <v>44554.663257118</v>
      </c>
      <c r="C3962" s="51">
        <v>1.014</v>
      </c>
      <c r="D3962" s="51">
        <v>63.0</v>
      </c>
      <c r="E3962" s="52" t="s">
        <v>25</v>
      </c>
      <c r="F3962" s="52" t="s">
        <v>26</v>
      </c>
      <c r="G3962" s="53"/>
    </row>
    <row r="3963">
      <c r="A3963" s="49">
        <v>44554.548703506945</v>
      </c>
      <c r="B3963" s="50">
        <v>44554.6736764351</v>
      </c>
      <c r="C3963" s="51">
        <v>1.014</v>
      </c>
      <c r="D3963" s="51">
        <v>63.0</v>
      </c>
      <c r="E3963" s="52" t="s">
        <v>25</v>
      </c>
      <c r="F3963" s="52" t="s">
        <v>26</v>
      </c>
      <c r="G3963" s="53"/>
    </row>
    <row r="3964">
      <c r="A3964" s="49">
        <v>44554.55912346065</v>
      </c>
      <c r="B3964" s="50">
        <v>44554.6840988541</v>
      </c>
      <c r="C3964" s="51">
        <v>1.014</v>
      </c>
      <c r="D3964" s="51">
        <v>63.0</v>
      </c>
      <c r="E3964" s="52" t="s">
        <v>25</v>
      </c>
      <c r="F3964" s="52" t="s">
        <v>26</v>
      </c>
      <c r="G3964" s="53"/>
    </row>
    <row r="3965">
      <c r="A3965" s="49">
        <v>44554.56954628472</v>
      </c>
      <c r="B3965" s="50">
        <v>44554.6945218634</v>
      </c>
      <c r="C3965" s="51">
        <v>1.015</v>
      </c>
      <c r="D3965" s="51">
        <v>63.0</v>
      </c>
      <c r="E3965" s="52" t="s">
        <v>25</v>
      </c>
      <c r="F3965" s="52" t="s">
        <v>26</v>
      </c>
      <c r="G3965" s="53"/>
    </row>
    <row r="3966">
      <c r="A3966" s="49">
        <v>44554.57997711806</v>
      </c>
      <c r="B3966" s="50">
        <v>44554.7049547916</v>
      </c>
      <c r="C3966" s="51">
        <v>1.014</v>
      </c>
      <c r="D3966" s="51">
        <v>63.0</v>
      </c>
      <c r="E3966" s="52" t="s">
        <v>25</v>
      </c>
      <c r="F3966" s="52" t="s">
        <v>26</v>
      </c>
      <c r="G3966" s="53"/>
    </row>
    <row r="3967">
      <c r="A3967" s="49">
        <v>44554.590409641205</v>
      </c>
      <c r="B3967" s="50">
        <v>44554.7153887731</v>
      </c>
      <c r="C3967" s="51">
        <v>1.014</v>
      </c>
      <c r="D3967" s="51">
        <v>63.0</v>
      </c>
      <c r="E3967" s="52" t="s">
        <v>25</v>
      </c>
      <c r="F3967" s="52" t="s">
        <v>26</v>
      </c>
      <c r="G3967" s="53"/>
    </row>
    <row r="3968">
      <c r="A3968" s="49">
        <v>44554.60086409722</v>
      </c>
      <c r="B3968" s="50">
        <v>44554.7258338078</v>
      </c>
      <c r="C3968" s="51">
        <v>1.014</v>
      </c>
      <c r="D3968" s="51">
        <v>63.0</v>
      </c>
      <c r="E3968" s="52" t="s">
        <v>25</v>
      </c>
      <c r="F3968" s="52" t="s">
        <v>26</v>
      </c>
      <c r="G3968" s="53"/>
    </row>
    <row r="3969">
      <c r="A3969" s="49">
        <v>44554.6113090625</v>
      </c>
      <c r="B3969" s="50">
        <v>44554.7362780439</v>
      </c>
      <c r="C3969" s="51">
        <v>1.014</v>
      </c>
      <c r="D3969" s="51">
        <v>63.0</v>
      </c>
      <c r="E3969" s="52" t="s">
        <v>25</v>
      </c>
      <c r="F3969" s="52" t="s">
        <v>26</v>
      </c>
      <c r="G3969" s="53"/>
    </row>
    <row r="3970">
      <c r="A3970" s="49">
        <v>44554.62173496527</v>
      </c>
      <c r="B3970" s="50">
        <v>44554.7466995254</v>
      </c>
      <c r="C3970" s="51">
        <v>1.015</v>
      </c>
      <c r="D3970" s="51">
        <v>63.0</v>
      </c>
      <c r="E3970" s="52" t="s">
        <v>25</v>
      </c>
      <c r="F3970" s="52" t="s">
        <v>26</v>
      </c>
      <c r="G3970" s="53"/>
    </row>
    <row r="3971">
      <c r="A3971" s="49">
        <v>44554.632167986114</v>
      </c>
      <c r="B3971" s="50">
        <v>44554.7571443981</v>
      </c>
      <c r="C3971" s="51">
        <v>1.014</v>
      </c>
      <c r="D3971" s="51">
        <v>63.0</v>
      </c>
      <c r="E3971" s="52" t="s">
        <v>25</v>
      </c>
      <c r="F3971" s="52" t="s">
        <v>26</v>
      </c>
      <c r="G3971" s="53"/>
    </row>
    <row r="3972">
      <c r="A3972" s="49">
        <v>44554.642588055554</v>
      </c>
      <c r="B3972" s="50">
        <v>44554.7675654745</v>
      </c>
      <c r="C3972" s="51">
        <v>1.015</v>
      </c>
      <c r="D3972" s="51">
        <v>63.0</v>
      </c>
      <c r="E3972" s="52" t="s">
        <v>25</v>
      </c>
      <c r="F3972" s="52" t="s">
        <v>26</v>
      </c>
      <c r="G3972" s="53"/>
    </row>
    <row r="3973">
      <c r="A3973" s="49">
        <v>44554.65302212963</v>
      </c>
      <c r="B3973" s="50">
        <v>44554.777997037</v>
      </c>
      <c r="C3973" s="51">
        <v>1.014</v>
      </c>
      <c r="D3973" s="51">
        <v>63.0</v>
      </c>
      <c r="E3973" s="52" t="s">
        <v>25</v>
      </c>
      <c r="F3973" s="52" t="s">
        <v>26</v>
      </c>
      <c r="G3973" s="53"/>
    </row>
    <row r="3974">
      <c r="A3974" s="49">
        <v>44554.66344847222</v>
      </c>
      <c r="B3974" s="50">
        <v>44554.7884177083</v>
      </c>
      <c r="C3974" s="51">
        <v>1.014</v>
      </c>
      <c r="D3974" s="51">
        <v>63.0</v>
      </c>
      <c r="E3974" s="52" t="s">
        <v>25</v>
      </c>
      <c r="F3974" s="52" t="s">
        <v>26</v>
      </c>
      <c r="G3974" s="53"/>
    </row>
    <row r="3975">
      <c r="A3975" s="49">
        <v>44554.67392952547</v>
      </c>
      <c r="B3975" s="50">
        <v>44554.7988951388</v>
      </c>
      <c r="C3975" s="51">
        <v>1.014</v>
      </c>
      <c r="D3975" s="51">
        <v>63.0</v>
      </c>
      <c r="E3975" s="52" t="s">
        <v>25</v>
      </c>
      <c r="F3975" s="52" t="s">
        <v>26</v>
      </c>
      <c r="G3975" s="53"/>
    </row>
    <row r="3976">
      <c r="A3976" s="49">
        <v>44554.68435106482</v>
      </c>
      <c r="B3976" s="50">
        <v>44554.8093278009</v>
      </c>
      <c r="C3976" s="51">
        <v>1.014</v>
      </c>
      <c r="D3976" s="51">
        <v>63.0</v>
      </c>
      <c r="E3976" s="52" t="s">
        <v>25</v>
      </c>
      <c r="F3976" s="52" t="s">
        <v>26</v>
      </c>
      <c r="G3976" s="53"/>
    </row>
    <row r="3977">
      <c r="A3977" s="49">
        <v>44554.69478391204</v>
      </c>
      <c r="B3977" s="50">
        <v>44554.8197614699</v>
      </c>
      <c r="C3977" s="51">
        <v>1.014</v>
      </c>
      <c r="D3977" s="51">
        <v>63.0</v>
      </c>
      <c r="E3977" s="52" t="s">
        <v>25</v>
      </c>
      <c r="F3977" s="52" t="s">
        <v>26</v>
      </c>
      <c r="G3977" s="53"/>
    </row>
    <row r="3978">
      <c r="A3978" s="49">
        <v>44554.705206377315</v>
      </c>
      <c r="B3978" s="50">
        <v>44554.8301830208</v>
      </c>
      <c r="C3978" s="51">
        <v>1.014</v>
      </c>
      <c r="D3978" s="51">
        <v>63.0</v>
      </c>
      <c r="E3978" s="52" t="s">
        <v>25</v>
      </c>
      <c r="F3978" s="52" t="s">
        <v>26</v>
      </c>
      <c r="G3978" s="53"/>
    </row>
    <row r="3979">
      <c r="A3979" s="49">
        <v>44554.71562815973</v>
      </c>
      <c r="B3979" s="50">
        <v>44554.8406058796</v>
      </c>
      <c r="C3979" s="51">
        <v>1.014</v>
      </c>
      <c r="D3979" s="51">
        <v>63.0</v>
      </c>
      <c r="E3979" s="52" t="s">
        <v>25</v>
      </c>
      <c r="F3979" s="52" t="s">
        <v>26</v>
      </c>
      <c r="G3979" s="53"/>
    </row>
    <row r="3980">
      <c r="A3980" s="49">
        <v>44554.72605049769</v>
      </c>
      <c r="B3980" s="50">
        <v>44554.8510262847</v>
      </c>
      <c r="C3980" s="51">
        <v>1.014</v>
      </c>
      <c r="D3980" s="51">
        <v>63.0</v>
      </c>
      <c r="E3980" s="52" t="s">
        <v>25</v>
      </c>
      <c r="F3980" s="52" t="s">
        <v>26</v>
      </c>
      <c r="G3980" s="53"/>
    </row>
    <row r="3981">
      <c r="A3981" s="49">
        <v>44554.73647883102</v>
      </c>
      <c r="B3981" s="50">
        <v>44554.8614598379</v>
      </c>
      <c r="C3981" s="51">
        <v>1.014</v>
      </c>
      <c r="D3981" s="51">
        <v>63.0</v>
      </c>
      <c r="E3981" s="52" t="s">
        <v>25</v>
      </c>
      <c r="F3981" s="52" t="s">
        <v>26</v>
      </c>
      <c r="G3981" s="53"/>
    </row>
    <row r="3982">
      <c r="A3982" s="49">
        <v>44554.7469074074</v>
      </c>
      <c r="B3982" s="50">
        <v>44554.8718795833</v>
      </c>
      <c r="C3982" s="51">
        <v>1.014</v>
      </c>
      <c r="D3982" s="51">
        <v>63.0</v>
      </c>
      <c r="E3982" s="52" t="s">
        <v>25</v>
      </c>
      <c r="F3982" s="52" t="s">
        <v>26</v>
      </c>
      <c r="G3982" s="53"/>
    </row>
    <row r="3983">
      <c r="A3983" s="49">
        <v>44554.75734469907</v>
      </c>
      <c r="B3983" s="50">
        <v>44554.8823118518</v>
      </c>
      <c r="C3983" s="51">
        <v>1.014</v>
      </c>
      <c r="D3983" s="51">
        <v>63.0</v>
      </c>
      <c r="E3983" s="52" t="s">
        <v>25</v>
      </c>
      <c r="F3983" s="52" t="s">
        <v>26</v>
      </c>
      <c r="G3983" s="53"/>
    </row>
    <row r="3984">
      <c r="A3984" s="49">
        <v>44554.76777428241</v>
      </c>
      <c r="B3984" s="50">
        <v>44554.8927454166</v>
      </c>
      <c r="C3984" s="51">
        <v>1.014</v>
      </c>
      <c r="D3984" s="51">
        <v>63.0</v>
      </c>
      <c r="E3984" s="52" t="s">
        <v>25</v>
      </c>
      <c r="F3984" s="52" t="s">
        <v>26</v>
      </c>
      <c r="G3984" s="53"/>
    </row>
    <row r="3985">
      <c r="A3985" s="49">
        <v>44554.77821527778</v>
      </c>
      <c r="B3985" s="50">
        <v>44554.9031904166</v>
      </c>
      <c r="C3985" s="51">
        <v>1.014</v>
      </c>
      <c r="D3985" s="51">
        <v>63.0</v>
      </c>
      <c r="E3985" s="52" t="s">
        <v>25</v>
      </c>
      <c r="F3985" s="52" t="s">
        <v>26</v>
      </c>
      <c r="G3985" s="53"/>
    </row>
    <row r="3986">
      <c r="A3986" s="49">
        <v>44554.78864783565</v>
      </c>
      <c r="B3986" s="50">
        <v>44554.9136115393</v>
      </c>
      <c r="C3986" s="51">
        <v>1.014</v>
      </c>
      <c r="D3986" s="51">
        <v>63.0</v>
      </c>
      <c r="E3986" s="52" t="s">
        <v>25</v>
      </c>
      <c r="F3986" s="52" t="s">
        <v>26</v>
      </c>
      <c r="G3986" s="53"/>
    </row>
    <row r="3987">
      <c r="A3987" s="49">
        <v>44554.79907603009</v>
      </c>
      <c r="B3987" s="50">
        <v>44554.9240442592</v>
      </c>
      <c r="C3987" s="51">
        <v>1.014</v>
      </c>
      <c r="D3987" s="51">
        <v>63.0</v>
      </c>
      <c r="E3987" s="52" t="s">
        <v>25</v>
      </c>
      <c r="F3987" s="52" t="s">
        <v>26</v>
      </c>
      <c r="G3987" s="53"/>
    </row>
    <row r="3988">
      <c r="A3988" s="49">
        <v>44554.809495416666</v>
      </c>
      <c r="B3988" s="50">
        <v>44554.9344656365</v>
      </c>
      <c r="C3988" s="51">
        <v>1.014</v>
      </c>
      <c r="D3988" s="51">
        <v>63.0</v>
      </c>
      <c r="E3988" s="52" t="s">
        <v>25</v>
      </c>
      <c r="F3988" s="52" t="s">
        <v>26</v>
      </c>
      <c r="G3988" s="53"/>
    </row>
    <row r="3989">
      <c r="A3989" s="49">
        <v>44554.81991575232</v>
      </c>
      <c r="B3989" s="50">
        <v>44554.9448873495</v>
      </c>
      <c r="C3989" s="51">
        <v>1.014</v>
      </c>
      <c r="D3989" s="51">
        <v>63.0</v>
      </c>
      <c r="E3989" s="52" t="s">
        <v>25</v>
      </c>
      <c r="F3989" s="52" t="s">
        <v>26</v>
      </c>
      <c r="G3989" s="53"/>
    </row>
    <row r="3990">
      <c r="A3990" s="49">
        <v>44554.83033008102</v>
      </c>
      <c r="B3990" s="50">
        <v>44554.95530728</v>
      </c>
      <c r="C3990" s="51">
        <v>1.014</v>
      </c>
      <c r="D3990" s="51">
        <v>63.0</v>
      </c>
      <c r="E3990" s="52" t="s">
        <v>25</v>
      </c>
      <c r="F3990" s="52" t="s">
        <v>26</v>
      </c>
      <c r="G3990" s="53"/>
    </row>
    <row r="3991">
      <c r="A3991" s="49">
        <v>44554.84077606481</v>
      </c>
      <c r="B3991" s="50">
        <v>44554.9657400925</v>
      </c>
      <c r="C3991" s="51">
        <v>1.014</v>
      </c>
      <c r="D3991" s="51">
        <v>63.0</v>
      </c>
      <c r="E3991" s="52" t="s">
        <v>25</v>
      </c>
      <c r="F3991" s="52" t="s">
        <v>26</v>
      </c>
      <c r="G3991" s="53"/>
    </row>
    <row r="3992">
      <c r="A3992" s="49">
        <v>44554.85119001157</v>
      </c>
      <c r="B3992" s="50">
        <v>44554.9761606712</v>
      </c>
      <c r="C3992" s="51">
        <v>1.014</v>
      </c>
      <c r="D3992" s="51">
        <v>63.0</v>
      </c>
      <c r="E3992" s="52" t="s">
        <v>25</v>
      </c>
      <c r="F3992" s="52" t="s">
        <v>26</v>
      </c>
      <c r="G3992" s="53"/>
    </row>
    <row r="3993">
      <c r="A3993" s="49">
        <v>44554.861655381945</v>
      </c>
      <c r="B3993" s="50">
        <v>44554.9866298263</v>
      </c>
      <c r="C3993" s="51">
        <v>1.014</v>
      </c>
      <c r="D3993" s="51">
        <v>63.0</v>
      </c>
      <c r="E3993" s="52" t="s">
        <v>25</v>
      </c>
      <c r="F3993" s="52" t="s">
        <v>26</v>
      </c>
      <c r="G3993" s="53"/>
    </row>
    <row r="3994">
      <c r="A3994" s="49">
        <v>44554.87208752315</v>
      </c>
      <c r="B3994" s="50">
        <v>44554.9970625578</v>
      </c>
      <c r="C3994" s="51">
        <v>1.014</v>
      </c>
      <c r="D3994" s="51">
        <v>63.0</v>
      </c>
      <c r="E3994" s="52" t="s">
        <v>25</v>
      </c>
      <c r="F3994" s="52" t="s">
        <v>26</v>
      </c>
      <c r="G3994" s="53"/>
    </row>
    <row r="3995">
      <c r="A3995" s="49">
        <v>44554.882530324074</v>
      </c>
      <c r="B3995" s="50">
        <v>44555.0074964814</v>
      </c>
      <c r="C3995" s="51">
        <v>1.014</v>
      </c>
      <c r="D3995" s="51">
        <v>63.0</v>
      </c>
      <c r="E3995" s="52" t="s">
        <v>25</v>
      </c>
      <c r="F3995" s="52" t="s">
        <v>26</v>
      </c>
      <c r="G3995" s="53"/>
    </row>
    <row r="3996">
      <c r="A3996" s="49">
        <v>44554.892974849536</v>
      </c>
      <c r="B3996" s="50">
        <v>44555.0179428935</v>
      </c>
      <c r="C3996" s="51">
        <v>1.014</v>
      </c>
      <c r="D3996" s="51">
        <v>63.0</v>
      </c>
      <c r="E3996" s="52" t="s">
        <v>25</v>
      </c>
      <c r="F3996" s="52" t="s">
        <v>26</v>
      </c>
      <c r="G3996" s="53"/>
    </row>
    <row r="3997">
      <c r="A3997" s="49">
        <v>44554.903400104165</v>
      </c>
      <c r="B3997" s="50">
        <v>44555.0283638773</v>
      </c>
      <c r="C3997" s="51">
        <v>1.014</v>
      </c>
      <c r="D3997" s="51">
        <v>63.0</v>
      </c>
      <c r="E3997" s="52" t="s">
        <v>25</v>
      </c>
      <c r="F3997" s="52" t="s">
        <v>26</v>
      </c>
      <c r="G3997" s="53"/>
    </row>
    <row r="3998">
      <c r="A3998" s="49">
        <v>44554.913816631946</v>
      </c>
      <c r="B3998" s="50">
        <v>44555.0387841782</v>
      </c>
      <c r="C3998" s="51">
        <v>1.014</v>
      </c>
      <c r="D3998" s="51">
        <v>63.0</v>
      </c>
      <c r="E3998" s="52" t="s">
        <v>25</v>
      </c>
      <c r="F3998" s="52" t="s">
        <v>26</v>
      </c>
      <c r="G3998" s="53"/>
    </row>
    <row r="3999">
      <c r="A3999" s="49">
        <v>44554.924354421295</v>
      </c>
      <c r="B3999" s="50">
        <v>44555.0492173379</v>
      </c>
      <c r="C3999" s="51">
        <v>1.014</v>
      </c>
      <c r="D3999" s="51">
        <v>63.0</v>
      </c>
      <c r="E3999" s="52" t="s">
        <v>25</v>
      </c>
      <c r="F3999" s="52" t="s">
        <v>26</v>
      </c>
      <c r="G3999" s="53"/>
    </row>
    <row r="4000">
      <c r="A4000" s="49">
        <v>44554.93466151621</v>
      </c>
      <c r="B4000" s="50">
        <v>44555.0596382754</v>
      </c>
      <c r="C4000" s="51">
        <v>1.014</v>
      </c>
      <c r="D4000" s="51">
        <v>63.0</v>
      </c>
      <c r="E4000" s="52" t="s">
        <v>25</v>
      </c>
      <c r="F4000" s="52" t="s">
        <v>26</v>
      </c>
      <c r="G4000" s="53"/>
    </row>
    <row r="4001">
      <c r="A4001" s="49">
        <v>44554.94509527778</v>
      </c>
      <c r="B4001" s="50">
        <v>44555.0700615625</v>
      </c>
      <c r="C4001" s="51">
        <v>1.014</v>
      </c>
      <c r="D4001" s="51">
        <v>63.0</v>
      </c>
      <c r="E4001" s="52" t="s">
        <v>25</v>
      </c>
      <c r="F4001" s="52" t="s">
        <v>26</v>
      </c>
      <c r="G4001" s="53"/>
    </row>
    <row r="4002">
      <c r="A4002" s="49">
        <v>44554.95550921296</v>
      </c>
      <c r="B4002" s="50">
        <v>44555.0804836342</v>
      </c>
      <c r="C4002" s="51">
        <v>1.014</v>
      </c>
      <c r="D4002" s="51">
        <v>63.0</v>
      </c>
      <c r="E4002" s="52" t="s">
        <v>25</v>
      </c>
      <c r="F4002" s="52" t="s">
        <v>26</v>
      </c>
      <c r="G4002" s="53"/>
    </row>
    <row r="4003">
      <c r="A4003" s="49">
        <v>44554.96597524306</v>
      </c>
      <c r="B4003" s="50">
        <v>44555.0909399652</v>
      </c>
      <c r="C4003" s="51">
        <v>1.014</v>
      </c>
      <c r="D4003" s="51">
        <v>63.0</v>
      </c>
      <c r="E4003" s="52" t="s">
        <v>25</v>
      </c>
      <c r="F4003" s="52" t="s">
        <v>26</v>
      </c>
      <c r="G4003" s="53"/>
    </row>
    <row r="4004">
      <c r="A4004" s="49">
        <v>44554.976428622685</v>
      </c>
      <c r="B4004" s="50">
        <v>44555.1013957291</v>
      </c>
      <c r="C4004" s="51">
        <v>1.014</v>
      </c>
      <c r="D4004" s="51">
        <v>63.0</v>
      </c>
      <c r="E4004" s="52" t="s">
        <v>25</v>
      </c>
      <c r="F4004" s="52" t="s">
        <v>26</v>
      </c>
      <c r="G4004" s="53"/>
    </row>
    <row r="4005">
      <c r="A4005" s="49">
        <v>44554.98685173611</v>
      </c>
      <c r="B4005" s="50">
        <v>44555.1118183796</v>
      </c>
      <c r="C4005" s="51">
        <v>1.014</v>
      </c>
      <c r="D4005" s="51">
        <v>63.0</v>
      </c>
      <c r="E4005" s="52" t="s">
        <v>25</v>
      </c>
      <c r="F4005" s="52" t="s">
        <v>26</v>
      </c>
      <c r="G4005" s="53"/>
    </row>
    <row r="4006">
      <c r="A4006" s="49">
        <v>44554.99727921296</v>
      </c>
      <c r="B4006" s="50">
        <v>44555.1222506712</v>
      </c>
      <c r="C4006" s="51">
        <v>1.014</v>
      </c>
      <c r="D4006" s="51">
        <v>63.0</v>
      </c>
      <c r="E4006" s="52" t="s">
        <v>25</v>
      </c>
      <c r="F4006" s="52" t="s">
        <v>26</v>
      </c>
      <c r="G4006" s="53"/>
    </row>
    <row r="4007">
      <c r="A4007" s="49">
        <v>44555.00771366898</v>
      </c>
      <c r="B4007" s="50">
        <v>44555.1326841435</v>
      </c>
      <c r="C4007" s="51">
        <v>1.014</v>
      </c>
      <c r="D4007" s="51">
        <v>63.0</v>
      </c>
      <c r="E4007" s="52" t="s">
        <v>25</v>
      </c>
      <c r="F4007" s="52" t="s">
        <v>26</v>
      </c>
      <c r="G4007" s="53"/>
    </row>
    <row r="4008">
      <c r="A4008" s="49">
        <v>44555.01814569444</v>
      </c>
      <c r="B4008" s="50">
        <v>44555.1431171296</v>
      </c>
      <c r="C4008" s="51">
        <v>1.014</v>
      </c>
      <c r="D4008" s="51">
        <v>63.0</v>
      </c>
      <c r="E4008" s="52" t="s">
        <v>25</v>
      </c>
      <c r="F4008" s="52" t="s">
        <v>26</v>
      </c>
      <c r="G4008" s="53"/>
    </row>
    <row r="4009">
      <c r="A4009" s="49">
        <v>44555.02857835648</v>
      </c>
      <c r="B4009" s="50">
        <v>44555.1535510763</v>
      </c>
      <c r="C4009" s="51">
        <v>1.014</v>
      </c>
      <c r="D4009" s="51">
        <v>63.0</v>
      </c>
      <c r="E4009" s="52" t="s">
        <v>25</v>
      </c>
      <c r="F4009" s="52" t="s">
        <v>26</v>
      </c>
      <c r="G4009" s="53"/>
    </row>
    <row r="4010">
      <c r="A4010" s="49">
        <v>44555.03904231482</v>
      </c>
      <c r="B4010" s="50">
        <v>44555.1640082175</v>
      </c>
      <c r="C4010" s="51">
        <v>1.014</v>
      </c>
      <c r="D4010" s="51">
        <v>63.0</v>
      </c>
      <c r="E4010" s="52" t="s">
        <v>25</v>
      </c>
      <c r="F4010" s="52" t="s">
        <v>26</v>
      </c>
      <c r="G4010" s="53"/>
    </row>
    <row r="4011">
      <c r="A4011" s="49">
        <v>44555.049480891204</v>
      </c>
      <c r="B4011" s="50">
        <v>44555.1744527199</v>
      </c>
      <c r="C4011" s="51">
        <v>1.014</v>
      </c>
      <c r="D4011" s="51">
        <v>63.0</v>
      </c>
      <c r="E4011" s="52" t="s">
        <v>25</v>
      </c>
      <c r="F4011" s="52" t="s">
        <v>26</v>
      </c>
      <c r="G4011" s="53"/>
    </row>
    <row r="4012">
      <c r="A4012" s="49">
        <v>44555.059922071756</v>
      </c>
      <c r="B4012" s="50">
        <v>44555.184896574</v>
      </c>
      <c r="C4012" s="51">
        <v>1.014</v>
      </c>
      <c r="D4012" s="51">
        <v>63.0</v>
      </c>
      <c r="E4012" s="52" t="s">
        <v>25</v>
      </c>
      <c r="F4012" s="52" t="s">
        <v>26</v>
      </c>
      <c r="G4012" s="53"/>
    </row>
    <row r="4013">
      <c r="A4013" s="49">
        <v>44555.07034440972</v>
      </c>
      <c r="B4013" s="50">
        <v>44555.1953182986</v>
      </c>
      <c r="C4013" s="51">
        <v>1.014</v>
      </c>
      <c r="D4013" s="51">
        <v>63.0</v>
      </c>
      <c r="E4013" s="52" t="s">
        <v>25</v>
      </c>
      <c r="F4013" s="52" t="s">
        <v>26</v>
      </c>
      <c r="G4013" s="53"/>
    </row>
    <row r="4014">
      <c r="A4014" s="49">
        <v>44555.08076490741</v>
      </c>
      <c r="B4014" s="50">
        <v>44555.205737905</v>
      </c>
      <c r="C4014" s="51">
        <v>1.014</v>
      </c>
      <c r="D4014" s="51">
        <v>63.0</v>
      </c>
      <c r="E4014" s="52" t="s">
        <v>25</v>
      </c>
      <c r="F4014" s="52" t="s">
        <v>26</v>
      </c>
      <c r="G4014" s="53"/>
    </row>
    <row r="4015">
      <c r="A4015" s="49">
        <v>44555.09118950232</v>
      </c>
      <c r="B4015" s="50">
        <v>44555.2161595949</v>
      </c>
      <c r="C4015" s="51">
        <v>1.014</v>
      </c>
      <c r="D4015" s="51">
        <v>63.0</v>
      </c>
      <c r="E4015" s="52" t="s">
        <v>25</v>
      </c>
      <c r="F4015" s="52" t="s">
        <v>26</v>
      </c>
      <c r="G4015" s="53"/>
    </row>
    <row r="4016">
      <c r="A4016" s="49">
        <v>44555.10160900463</v>
      </c>
      <c r="B4016" s="50">
        <v>44555.2265790509</v>
      </c>
      <c r="C4016" s="51">
        <v>1.014</v>
      </c>
      <c r="D4016" s="51">
        <v>63.0</v>
      </c>
      <c r="E4016" s="52" t="s">
        <v>25</v>
      </c>
      <c r="F4016" s="52" t="s">
        <v>26</v>
      </c>
      <c r="G4016" s="53"/>
    </row>
    <row r="4017">
      <c r="A4017" s="49">
        <v>44555.112030578704</v>
      </c>
      <c r="B4017" s="50">
        <v>44555.2370021643</v>
      </c>
      <c r="C4017" s="51">
        <v>1.014</v>
      </c>
      <c r="D4017" s="51">
        <v>63.0</v>
      </c>
      <c r="E4017" s="52" t="s">
        <v>25</v>
      </c>
      <c r="F4017" s="52" t="s">
        <v>26</v>
      </c>
      <c r="G4017" s="53"/>
    </row>
    <row r="4018">
      <c r="A4018" s="49">
        <v>44555.12244799768</v>
      </c>
      <c r="B4018" s="50">
        <v>44555.2474226736</v>
      </c>
      <c r="C4018" s="51">
        <v>1.014</v>
      </c>
      <c r="D4018" s="51">
        <v>63.0</v>
      </c>
      <c r="E4018" s="52" t="s">
        <v>25</v>
      </c>
      <c r="F4018" s="52" t="s">
        <v>26</v>
      </c>
      <c r="G4018" s="53"/>
    </row>
    <row r="4019">
      <c r="A4019" s="49">
        <v>44555.13286618056</v>
      </c>
      <c r="B4019" s="50">
        <v>44555.2578435648</v>
      </c>
      <c r="C4019" s="51">
        <v>1.014</v>
      </c>
      <c r="D4019" s="51">
        <v>63.0</v>
      </c>
      <c r="E4019" s="52" t="s">
        <v>25</v>
      </c>
      <c r="F4019" s="52" t="s">
        <v>26</v>
      </c>
      <c r="G4019" s="53"/>
    </row>
    <row r="4020">
      <c r="A4020" s="49">
        <v>44555.14332633102</v>
      </c>
      <c r="B4020" s="50">
        <v>44555.2682755902</v>
      </c>
      <c r="C4020" s="51">
        <v>1.014</v>
      </c>
      <c r="D4020" s="51">
        <v>63.0</v>
      </c>
      <c r="E4020" s="52" t="s">
        <v>25</v>
      </c>
      <c r="F4020" s="52" t="s">
        <v>26</v>
      </c>
      <c r="G4020" s="53"/>
    </row>
    <row r="4021">
      <c r="A4021" s="49">
        <v>44555.15377318287</v>
      </c>
      <c r="B4021" s="50">
        <v>44555.2787434722</v>
      </c>
      <c r="C4021" s="51">
        <v>1.014</v>
      </c>
      <c r="D4021" s="51">
        <v>63.0</v>
      </c>
      <c r="E4021" s="52" t="s">
        <v>25</v>
      </c>
      <c r="F4021" s="52" t="s">
        <v>26</v>
      </c>
      <c r="G4021" s="53"/>
    </row>
    <row r="4022">
      <c r="A4022" s="49">
        <v>44555.16419255787</v>
      </c>
      <c r="B4022" s="50">
        <v>44555.2891649537</v>
      </c>
      <c r="C4022" s="51">
        <v>1.014</v>
      </c>
      <c r="D4022" s="51">
        <v>63.0</v>
      </c>
      <c r="E4022" s="52" t="s">
        <v>25</v>
      </c>
      <c r="F4022" s="52" t="s">
        <v>26</v>
      </c>
      <c r="G4022" s="53"/>
    </row>
    <row r="4023">
      <c r="A4023" s="49">
        <v>44555.17462091435</v>
      </c>
      <c r="B4023" s="50">
        <v>44555.299596655</v>
      </c>
      <c r="C4023" s="51">
        <v>1.014</v>
      </c>
      <c r="D4023" s="51">
        <v>63.0</v>
      </c>
      <c r="E4023" s="52" t="s">
        <v>25</v>
      </c>
      <c r="F4023" s="52" t="s">
        <v>26</v>
      </c>
      <c r="G4023" s="53"/>
    </row>
    <row r="4024">
      <c r="A4024" s="49">
        <v>44555.18504459491</v>
      </c>
      <c r="B4024" s="50">
        <v>44555.3100171412</v>
      </c>
      <c r="C4024" s="51">
        <v>1.014</v>
      </c>
      <c r="D4024" s="51">
        <v>63.0</v>
      </c>
      <c r="E4024" s="52" t="s">
        <v>25</v>
      </c>
      <c r="F4024" s="52" t="s">
        <v>26</v>
      </c>
      <c r="G4024" s="53"/>
    </row>
    <row r="4025">
      <c r="A4025" s="49">
        <v>44555.195528321754</v>
      </c>
      <c r="B4025" s="50">
        <v>44555.3204732291</v>
      </c>
      <c r="C4025" s="51">
        <v>1.014</v>
      </c>
      <c r="D4025" s="51">
        <v>63.0</v>
      </c>
      <c r="E4025" s="52" t="s">
        <v>25</v>
      </c>
      <c r="F4025" s="52" t="s">
        <v>26</v>
      </c>
      <c r="G4025" s="53"/>
    </row>
    <row r="4026">
      <c r="A4026" s="49">
        <v>44555.20596965278</v>
      </c>
      <c r="B4026" s="50">
        <v>44555.3309406828</v>
      </c>
      <c r="C4026" s="51">
        <v>1.014</v>
      </c>
      <c r="D4026" s="51">
        <v>63.0</v>
      </c>
      <c r="E4026" s="52" t="s">
        <v>25</v>
      </c>
      <c r="F4026" s="52" t="s">
        <v>26</v>
      </c>
      <c r="G4026" s="53"/>
    </row>
    <row r="4027">
      <c r="A4027" s="49">
        <v>44555.21642802084</v>
      </c>
      <c r="B4027" s="50">
        <v>44555.3413967476</v>
      </c>
      <c r="C4027" s="51">
        <v>1.014</v>
      </c>
      <c r="D4027" s="51">
        <v>63.0</v>
      </c>
      <c r="E4027" s="52" t="s">
        <v>25</v>
      </c>
      <c r="F4027" s="52" t="s">
        <v>26</v>
      </c>
      <c r="G4027" s="53"/>
    </row>
    <row r="4028">
      <c r="A4028" s="49">
        <v>44555.22683890046</v>
      </c>
      <c r="B4028" s="50">
        <v>44555.3518183333</v>
      </c>
      <c r="C4028" s="51">
        <v>1.014</v>
      </c>
      <c r="D4028" s="51">
        <v>63.0</v>
      </c>
      <c r="E4028" s="52" t="s">
        <v>25</v>
      </c>
      <c r="F4028" s="52" t="s">
        <v>26</v>
      </c>
      <c r="G4028" s="53"/>
    </row>
    <row r="4029">
      <c r="A4029" s="49">
        <v>44555.23730434028</v>
      </c>
      <c r="B4029" s="50">
        <v>44555.3622740625</v>
      </c>
      <c r="C4029" s="51">
        <v>1.014</v>
      </c>
      <c r="D4029" s="51">
        <v>63.0</v>
      </c>
      <c r="E4029" s="52" t="s">
        <v>25</v>
      </c>
      <c r="F4029" s="52" t="s">
        <v>26</v>
      </c>
      <c r="G4029" s="53"/>
    </row>
    <row r="4030">
      <c r="A4030" s="49">
        <v>44555.24772143518</v>
      </c>
      <c r="B4030" s="50">
        <v>44555.3726945949</v>
      </c>
      <c r="C4030" s="51">
        <v>1.014</v>
      </c>
      <c r="D4030" s="51">
        <v>63.0</v>
      </c>
      <c r="E4030" s="52" t="s">
        <v>25</v>
      </c>
      <c r="F4030" s="52" t="s">
        <v>26</v>
      </c>
      <c r="G4030" s="53"/>
    </row>
    <row r="4031">
      <c r="A4031" s="49">
        <v>44555.258142453706</v>
      </c>
      <c r="B4031" s="50">
        <v>44555.3831142939</v>
      </c>
      <c r="C4031" s="51">
        <v>1.014</v>
      </c>
      <c r="D4031" s="51">
        <v>63.0</v>
      </c>
      <c r="E4031" s="52" t="s">
        <v>25</v>
      </c>
      <c r="F4031" s="52" t="s">
        <v>26</v>
      </c>
      <c r="G4031" s="53"/>
    </row>
    <row r="4032">
      <c r="A4032" s="49">
        <v>44555.26858040509</v>
      </c>
      <c r="B4032" s="50">
        <v>44555.3935583912</v>
      </c>
      <c r="C4032" s="51">
        <v>1.014</v>
      </c>
      <c r="D4032" s="51">
        <v>63.0</v>
      </c>
      <c r="E4032" s="52" t="s">
        <v>25</v>
      </c>
      <c r="F4032" s="52" t="s">
        <v>26</v>
      </c>
      <c r="G4032" s="53"/>
    </row>
    <row r="4033">
      <c r="A4033" s="49">
        <v>44555.27902439814</v>
      </c>
      <c r="B4033" s="50">
        <v>44555.4039918634</v>
      </c>
      <c r="C4033" s="51">
        <v>1.014</v>
      </c>
      <c r="D4033" s="51">
        <v>63.0</v>
      </c>
      <c r="E4033" s="52" t="s">
        <v>25</v>
      </c>
      <c r="F4033" s="52" t="s">
        <v>26</v>
      </c>
      <c r="G4033" s="53"/>
    </row>
    <row r="4034">
      <c r="A4034" s="49">
        <v>44555.289440381945</v>
      </c>
      <c r="B4034" s="50">
        <v>44555.4144132407</v>
      </c>
      <c r="C4034" s="51">
        <v>1.014</v>
      </c>
      <c r="D4034" s="51">
        <v>63.0</v>
      </c>
      <c r="E4034" s="52" t="s">
        <v>25</v>
      </c>
      <c r="F4034" s="52" t="s">
        <v>26</v>
      </c>
      <c r="G4034" s="53"/>
    </row>
    <row r="4035">
      <c r="A4035" s="49">
        <v>44555.29987347222</v>
      </c>
      <c r="B4035" s="50">
        <v>44555.4248469675</v>
      </c>
      <c r="C4035" s="51">
        <v>1.014</v>
      </c>
      <c r="D4035" s="51">
        <v>63.0</v>
      </c>
      <c r="E4035" s="52" t="s">
        <v>25</v>
      </c>
      <c r="F4035" s="52" t="s">
        <v>26</v>
      </c>
      <c r="G4035" s="53"/>
    </row>
    <row r="4036">
      <c r="A4036" s="49">
        <v>44555.31034829861</v>
      </c>
      <c r="B4036" s="50">
        <v>44555.4353129745</v>
      </c>
      <c r="C4036" s="51">
        <v>1.014</v>
      </c>
      <c r="D4036" s="51">
        <v>63.0</v>
      </c>
      <c r="E4036" s="52" t="s">
        <v>25</v>
      </c>
      <c r="F4036" s="52" t="s">
        <v>26</v>
      </c>
      <c r="G4036" s="53"/>
    </row>
    <row r="4037">
      <c r="A4037" s="49">
        <v>44555.32076458333</v>
      </c>
      <c r="B4037" s="50">
        <v>44555.4457344791</v>
      </c>
      <c r="C4037" s="51">
        <v>1.014</v>
      </c>
      <c r="D4037" s="51">
        <v>63.0</v>
      </c>
      <c r="E4037" s="52" t="s">
        <v>25</v>
      </c>
      <c r="F4037" s="52" t="s">
        <v>26</v>
      </c>
      <c r="G4037" s="53"/>
    </row>
    <row r="4038">
      <c r="A4038" s="49">
        <v>44555.331209861106</v>
      </c>
      <c r="B4038" s="50">
        <v>44555.4561793981</v>
      </c>
      <c r="C4038" s="51">
        <v>1.014</v>
      </c>
      <c r="D4038" s="51">
        <v>63.0</v>
      </c>
      <c r="E4038" s="52" t="s">
        <v>25</v>
      </c>
      <c r="F4038" s="52" t="s">
        <v>26</v>
      </c>
      <c r="G4038" s="53"/>
    </row>
    <row r="4039">
      <c r="A4039" s="49">
        <v>44555.34163297454</v>
      </c>
      <c r="B4039" s="50">
        <v>44555.4666017708</v>
      </c>
      <c r="C4039" s="51">
        <v>1.014</v>
      </c>
      <c r="D4039" s="51">
        <v>63.0</v>
      </c>
      <c r="E4039" s="52" t="s">
        <v>25</v>
      </c>
      <c r="F4039" s="52" t="s">
        <v>26</v>
      </c>
      <c r="G4039" s="53"/>
    </row>
    <row r="4040">
      <c r="A4040" s="49">
        <v>44555.35205931713</v>
      </c>
      <c r="B4040" s="50">
        <v>44555.4770235069</v>
      </c>
      <c r="C4040" s="51">
        <v>1.014</v>
      </c>
      <c r="D4040" s="51">
        <v>63.0</v>
      </c>
      <c r="E4040" s="52" t="s">
        <v>25</v>
      </c>
      <c r="F4040" s="52" t="s">
        <v>26</v>
      </c>
      <c r="G4040" s="53"/>
    </row>
    <row r="4041">
      <c r="A4041" s="49">
        <v>44555.3624914699</v>
      </c>
      <c r="B4041" s="50">
        <v>44555.48745625</v>
      </c>
      <c r="C4041" s="51">
        <v>1.014</v>
      </c>
      <c r="D4041" s="51">
        <v>63.0</v>
      </c>
      <c r="E4041" s="52" t="s">
        <v>25</v>
      </c>
      <c r="F4041" s="52" t="s">
        <v>26</v>
      </c>
      <c r="G4041" s="53"/>
    </row>
    <row r="4042">
      <c r="A4042" s="49">
        <v>44555.372949745375</v>
      </c>
      <c r="B4042" s="50">
        <v>44555.4979230092</v>
      </c>
      <c r="C4042" s="51">
        <v>1.014</v>
      </c>
      <c r="D4042" s="51">
        <v>63.0</v>
      </c>
      <c r="E4042" s="52" t="s">
        <v>25</v>
      </c>
      <c r="F4042" s="52" t="s">
        <v>26</v>
      </c>
      <c r="G4042" s="53"/>
    </row>
    <row r="4043">
      <c r="A4043" s="49">
        <v>44555.383365393514</v>
      </c>
      <c r="B4043" s="50">
        <v>44555.508344699</v>
      </c>
      <c r="C4043" s="51">
        <v>1.014</v>
      </c>
      <c r="D4043" s="51">
        <v>63.0</v>
      </c>
      <c r="E4043" s="52" t="s">
        <v>25</v>
      </c>
      <c r="F4043" s="52" t="s">
        <v>26</v>
      </c>
      <c r="G4043" s="53"/>
    </row>
    <row r="4044">
      <c r="A4044" s="49">
        <v>44555.39380167824</v>
      </c>
      <c r="B4044" s="50">
        <v>44555.5187771296</v>
      </c>
      <c r="C4044" s="51">
        <v>1.014</v>
      </c>
      <c r="D4044" s="51">
        <v>63.0</v>
      </c>
      <c r="E4044" s="52" t="s">
        <v>25</v>
      </c>
      <c r="F4044" s="52" t="s">
        <v>26</v>
      </c>
      <c r="G4044" s="53"/>
    </row>
    <row r="4045">
      <c r="A4045" s="49">
        <v>44555.40426502315</v>
      </c>
      <c r="B4045" s="50">
        <v>44555.5292341782</v>
      </c>
      <c r="C4045" s="51">
        <v>1.014</v>
      </c>
      <c r="D4045" s="51">
        <v>63.0</v>
      </c>
      <c r="E4045" s="52" t="s">
        <v>25</v>
      </c>
      <c r="F4045" s="52" t="s">
        <v>26</v>
      </c>
      <c r="G4045" s="53"/>
    </row>
    <row r="4046">
      <c r="A4046" s="49">
        <v>44555.41468689815</v>
      </c>
      <c r="B4046" s="50">
        <v>44555.5396679398</v>
      </c>
      <c r="C4046" s="51">
        <v>1.014</v>
      </c>
      <c r="D4046" s="51">
        <v>63.0</v>
      </c>
      <c r="E4046" s="52" t="s">
        <v>25</v>
      </c>
      <c r="F4046" s="52" t="s">
        <v>26</v>
      </c>
      <c r="G4046" s="53"/>
    </row>
    <row r="4047">
      <c r="A4047" s="49">
        <v>44555.425134212965</v>
      </c>
      <c r="B4047" s="50">
        <v>44555.550089074</v>
      </c>
      <c r="C4047" s="51">
        <v>1.014</v>
      </c>
      <c r="D4047" s="51">
        <v>63.0</v>
      </c>
      <c r="E4047" s="52" t="s">
        <v>25</v>
      </c>
      <c r="F4047" s="52" t="s">
        <v>26</v>
      </c>
      <c r="G4047" s="53"/>
    </row>
    <row r="4048">
      <c r="A4048" s="49">
        <v>44555.4355575</v>
      </c>
      <c r="B4048" s="50">
        <v>44555.5605362152</v>
      </c>
      <c r="C4048" s="51">
        <v>1.014</v>
      </c>
      <c r="D4048" s="51">
        <v>63.0</v>
      </c>
      <c r="E4048" s="52" t="s">
        <v>25</v>
      </c>
      <c r="F4048" s="52" t="s">
        <v>26</v>
      </c>
      <c r="G4048" s="53"/>
    </row>
    <row r="4049">
      <c r="A4049" s="49">
        <v>44555.445986990744</v>
      </c>
      <c r="B4049" s="50">
        <v>44555.5709580787</v>
      </c>
      <c r="C4049" s="51">
        <v>1.014</v>
      </c>
      <c r="D4049" s="51">
        <v>63.0</v>
      </c>
      <c r="E4049" s="52" t="s">
        <v>25</v>
      </c>
      <c r="F4049" s="52" t="s">
        <v>26</v>
      </c>
      <c r="G4049" s="53"/>
    </row>
    <row r="4050">
      <c r="A4050" s="49">
        <v>44555.456408275466</v>
      </c>
      <c r="B4050" s="50">
        <v>44555.5813792939</v>
      </c>
      <c r="C4050" s="51">
        <v>1.014</v>
      </c>
      <c r="D4050" s="51">
        <v>63.0</v>
      </c>
      <c r="E4050" s="52" t="s">
        <v>25</v>
      </c>
      <c r="F4050" s="52" t="s">
        <v>26</v>
      </c>
      <c r="G4050" s="53"/>
    </row>
    <row r="4051">
      <c r="A4051" s="49">
        <v>44555.46683377315</v>
      </c>
      <c r="B4051" s="50">
        <v>44555.5917995601</v>
      </c>
      <c r="C4051" s="51">
        <v>1.014</v>
      </c>
      <c r="D4051" s="51">
        <v>63.0</v>
      </c>
      <c r="E4051" s="52" t="s">
        <v>25</v>
      </c>
      <c r="F4051" s="52" t="s">
        <v>26</v>
      </c>
      <c r="G4051" s="53"/>
    </row>
    <row r="4052">
      <c r="A4052" s="49">
        <v>44555.47726497686</v>
      </c>
      <c r="B4052" s="50">
        <v>44555.6022326273</v>
      </c>
      <c r="C4052" s="51">
        <v>1.014</v>
      </c>
      <c r="D4052" s="51">
        <v>63.0</v>
      </c>
      <c r="E4052" s="52" t="s">
        <v>25</v>
      </c>
      <c r="F4052" s="52" t="s">
        <v>26</v>
      </c>
      <c r="G4052" s="53"/>
    </row>
    <row r="4053">
      <c r="A4053" s="49">
        <v>44555.487684293985</v>
      </c>
      <c r="B4053" s="50">
        <v>44555.6126549537</v>
      </c>
      <c r="C4053" s="51">
        <v>1.014</v>
      </c>
      <c r="D4053" s="51">
        <v>63.0</v>
      </c>
      <c r="E4053" s="52" t="s">
        <v>25</v>
      </c>
      <c r="F4053" s="52" t="s">
        <v>26</v>
      </c>
      <c r="G4053" s="53"/>
    </row>
    <row r="4054">
      <c r="A4054" s="49">
        <v>44555.49810842593</v>
      </c>
      <c r="B4054" s="50">
        <v>44555.6230780092</v>
      </c>
      <c r="C4054" s="51">
        <v>1.014</v>
      </c>
      <c r="D4054" s="51">
        <v>63.0</v>
      </c>
      <c r="E4054" s="52" t="s">
        <v>25</v>
      </c>
      <c r="F4054" s="52" t="s">
        <v>26</v>
      </c>
      <c r="G4054" s="53"/>
    </row>
    <row r="4055">
      <c r="A4055" s="49">
        <v>44555.508565717595</v>
      </c>
      <c r="B4055" s="50">
        <v>44555.6335345601</v>
      </c>
      <c r="C4055" s="51">
        <v>1.014</v>
      </c>
      <c r="D4055" s="51">
        <v>63.0</v>
      </c>
      <c r="E4055" s="52" t="s">
        <v>25</v>
      </c>
      <c r="F4055" s="52" t="s">
        <v>26</v>
      </c>
      <c r="G4055" s="53"/>
    </row>
    <row r="4056">
      <c r="A4056" s="49">
        <v>44555.51900789352</v>
      </c>
      <c r="B4056" s="50">
        <v>44555.6439785416</v>
      </c>
      <c r="C4056" s="51">
        <v>1.014</v>
      </c>
      <c r="D4056" s="51">
        <v>63.0</v>
      </c>
      <c r="E4056" s="52" t="s">
        <v>25</v>
      </c>
      <c r="F4056" s="52" t="s">
        <v>26</v>
      </c>
      <c r="G4056" s="53"/>
    </row>
    <row r="4057">
      <c r="A4057" s="49">
        <v>44555.529489837965</v>
      </c>
      <c r="B4057" s="50">
        <v>44555.6544569907</v>
      </c>
      <c r="C4057" s="51">
        <v>1.014</v>
      </c>
      <c r="D4057" s="51">
        <v>63.0</v>
      </c>
      <c r="E4057" s="52" t="s">
        <v>25</v>
      </c>
      <c r="F4057" s="52" t="s">
        <v>26</v>
      </c>
      <c r="G4057" s="53"/>
    </row>
    <row r="4058">
      <c r="A4058" s="49">
        <v>44555.53991559028</v>
      </c>
      <c r="B4058" s="50">
        <v>44555.6648904398</v>
      </c>
      <c r="C4058" s="51">
        <v>1.014</v>
      </c>
      <c r="D4058" s="51">
        <v>63.0</v>
      </c>
      <c r="E4058" s="52" t="s">
        <v>25</v>
      </c>
      <c r="F4058" s="52" t="s">
        <v>26</v>
      </c>
      <c r="G4058" s="53"/>
    </row>
    <row r="4059">
      <c r="A4059" s="49">
        <v>44555.55034053241</v>
      </c>
      <c r="B4059" s="50">
        <v>44555.6753121064</v>
      </c>
      <c r="C4059" s="51">
        <v>1.014</v>
      </c>
      <c r="D4059" s="51">
        <v>63.0</v>
      </c>
      <c r="E4059" s="52" t="s">
        <v>25</v>
      </c>
      <c r="F4059" s="52" t="s">
        <v>26</v>
      </c>
      <c r="G4059" s="53"/>
    </row>
    <row r="4060">
      <c r="A4060" s="49">
        <v>44555.56076291666</v>
      </c>
      <c r="B4060" s="50">
        <v>44555.6857326157</v>
      </c>
      <c r="C4060" s="51">
        <v>1.014</v>
      </c>
      <c r="D4060" s="51">
        <v>63.0</v>
      </c>
      <c r="E4060" s="52" t="s">
        <v>25</v>
      </c>
      <c r="F4060" s="52" t="s">
        <v>26</v>
      </c>
      <c r="G4060" s="53"/>
    </row>
    <row r="4061">
      <c r="A4061" s="49">
        <v>44555.57119011574</v>
      </c>
      <c r="B4061" s="50">
        <v>44555.6961534259</v>
      </c>
      <c r="C4061" s="51">
        <v>1.014</v>
      </c>
      <c r="D4061" s="51">
        <v>63.0</v>
      </c>
      <c r="E4061" s="52" t="s">
        <v>25</v>
      </c>
      <c r="F4061" s="52" t="s">
        <v>26</v>
      </c>
      <c r="G4061" s="53"/>
    </row>
    <row r="4062">
      <c r="A4062" s="49">
        <v>44555.58160456018</v>
      </c>
      <c r="B4062" s="50">
        <v>44555.7065761574</v>
      </c>
      <c r="C4062" s="51">
        <v>1.014</v>
      </c>
      <c r="D4062" s="51">
        <v>63.0</v>
      </c>
      <c r="E4062" s="52" t="s">
        <v>25</v>
      </c>
      <c r="F4062" s="52" t="s">
        <v>26</v>
      </c>
      <c r="G4062" s="53"/>
    </row>
    <row r="4063">
      <c r="A4063" s="49">
        <v>44555.59202809028</v>
      </c>
      <c r="B4063" s="50">
        <v>44555.7169970138</v>
      </c>
      <c r="C4063" s="51">
        <v>1.014</v>
      </c>
      <c r="D4063" s="51">
        <v>63.0</v>
      </c>
      <c r="E4063" s="52" t="s">
        <v>25</v>
      </c>
      <c r="F4063" s="52" t="s">
        <v>26</v>
      </c>
      <c r="G4063" s="53"/>
    </row>
    <row r="4064">
      <c r="A4064" s="49">
        <v>44555.60245708333</v>
      </c>
      <c r="B4064" s="50">
        <v>44555.7274302083</v>
      </c>
      <c r="C4064" s="51">
        <v>1.014</v>
      </c>
      <c r="D4064" s="51">
        <v>63.0</v>
      </c>
      <c r="E4064" s="52" t="s">
        <v>25</v>
      </c>
      <c r="F4064" s="52" t="s">
        <v>26</v>
      </c>
      <c r="G4064" s="53"/>
    </row>
    <row r="4065">
      <c r="A4065" s="49">
        <v>44555.61288049769</v>
      </c>
      <c r="B4065" s="50">
        <v>44555.7378492129</v>
      </c>
      <c r="C4065" s="51">
        <v>1.014</v>
      </c>
      <c r="D4065" s="51">
        <v>63.0</v>
      </c>
      <c r="E4065" s="52" t="s">
        <v>25</v>
      </c>
      <c r="F4065" s="52" t="s">
        <v>26</v>
      </c>
      <c r="G4065" s="53"/>
    </row>
    <row r="4066">
      <c r="A4066" s="49">
        <v>44555.62334967592</v>
      </c>
      <c r="B4066" s="50">
        <v>44555.7483274537</v>
      </c>
      <c r="C4066" s="51">
        <v>1.014</v>
      </c>
      <c r="D4066" s="51">
        <v>63.0</v>
      </c>
      <c r="E4066" s="52" t="s">
        <v>25</v>
      </c>
      <c r="F4066" s="52" t="s">
        <v>26</v>
      </c>
      <c r="G4066" s="53"/>
    </row>
    <row r="4067">
      <c r="A4067" s="49">
        <v>44555.63376736111</v>
      </c>
      <c r="B4067" s="50">
        <v>44555.7587490509</v>
      </c>
      <c r="C4067" s="51">
        <v>1.014</v>
      </c>
      <c r="D4067" s="51">
        <v>63.0</v>
      </c>
      <c r="E4067" s="52" t="s">
        <v>25</v>
      </c>
      <c r="F4067" s="52" t="s">
        <v>26</v>
      </c>
      <c r="G4067" s="53"/>
    </row>
    <row r="4068">
      <c r="A4068" s="49">
        <v>44555.64420085648</v>
      </c>
      <c r="B4068" s="50">
        <v>44555.7691824189</v>
      </c>
      <c r="C4068" s="51">
        <v>1.014</v>
      </c>
      <c r="D4068" s="51">
        <v>63.0</v>
      </c>
      <c r="E4068" s="52" t="s">
        <v>25</v>
      </c>
      <c r="F4068" s="52" t="s">
        <v>26</v>
      </c>
      <c r="G4068" s="53"/>
    </row>
    <row r="4069">
      <c r="A4069" s="49">
        <v>44555.65463237268</v>
      </c>
      <c r="B4069" s="50">
        <v>44555.7796050925</v>
      </c>
      <c r="C4069" s="51">
        <v>1.014</v>
      </c>
      <c r="D4069" s="51">
        <v>63.0</v>
      </c>
      <c r="E4069" s="52" t="s">
        <v>25</v>
      </c>
      <c r="F4069" s="52" t="s">
        <v>26</v>
      </c>
      <c r="G4069" s="53"/>
    </row>
    <row r="4070">
      <c r="A4070" s="49">
        <v>44555.66506885417</v>
      </c>
      <c r="B4070" s="50">
        <v>44555.7900367939</v>
      </c>
      <c r="C4070" s="51">
        <v>1.014</v>
      </c>
      <c r="D4070" s="51">
        <v>63.0</v>
      </c>
      <c r="E4070" s="52" t="s">
        <v>25</v>
      </c>
      <c r="F4070" s="52" t="s">
        <v>26</v>
      </c>
      <c r="G4070" s="53"/>
    </row>
    <row r="4071">
      <c r="A4071" s="49">
        <v>44555.67549902778</v>
      </c>
      <c r="B4071" s="50">
        <v>44555.800470405</v>
      </c>
      <c r="C4071" s="51">
        <v>1.014</v>
      </c>
      <c r="D4071" s="51">
        <v>63.0</v>
      </c>
      <c r="E4071" s="52" t="s">
        <v>25</v>
      </c>
      <c r="F4071" s="52" t="s">
        <v>26</v>
      </c>
      <c r="G4071" s="53"/>
    </row>
    <row r="4072">
      <c r="A4072" s="49">
        <v>44555.685939375</v>
      </c>
      <c r="B4072" s="50">
        <v>44555.8109034259</v>
      </c>
      <c r="C4072" s="51">
        <v>1.014</v>
      </c>
      <c r="D4072" s="51">
        <v>63.0</v>
      </c>
      <c r="E4072" s="52" t="s">
        <v>25</v>
      </c>
      <c r="F4072" s="52" t="s">
        <v>26</v>
      </c>
      <c r="G4072" s="53"/>
    </row>
    <row r="4073">
      <c r="A4073" s="49">
        <v>44555.69637875</v>
      </c>
      <c r="B4073" s="50">
        <v>44555.8213386921</v>
      </c>
      <c r="C4073" s="51">
        <v>1.014</v>
      </c>
      <c r="D4073" s="51">
        <v>63.0</v>
      </c>
      <c r="E4073" s="52" t="s">
        <v>25</v>
      </c>
      <c r="F4073" s="52" t="s">
        <v>26</v>
      </c>
      <c r="G4073" s="53"/>
    </row>
    <row r="4074">
      <c r="A4074" s="49">
        <v>44555.70678184028</v>
      </c>
      <c r="B4074" s="50">
        <v>44555.8317595833</v>
      </c>
      <c r="C4074" s="51">
        <v>1.014</v>
      </c>
      <c r="D4074" s="51">
        <v>63.0</v>
      </c>
      <c r="E4074" s="52" t="s">
        <v>25</v>
      </c>
      <c r="F4074" s="52" t="s">
        <v>26</v>
      </c>
      <c r="G4074" s="53"/>
    </row>
    <row r="4075">
      <c r="A4075" s="49">
        <v>44555.71721180556</v>
      </c>
      <c r="B4075" s="50">
        <v>44555.8421805787</v>
      </c>
      <c r="C4075" s="51">
        <v>1.014</v>
      </c>
      <c r="D4075" s="51">
        <v>63.0</v>
      </c>
      <c r="E4075" s="52" t="s">
        <v>25</v>
      </c>
      <c r="F4075" s="52" t="s">
        <v>26</v>
      </c>
      <c r="G4075" s="53"/>
    </row>
    <row r="4076">
      <c r="A4076" s="49">
        <v>44555.7276487037</v>
      </c>
      <c r="B4076" s="50">
        <v>44555.8526138888</v>
      </c>
      <c r="C4076" s="51">
        <v>1.014</v>
      </c>
      <c r="D4076" s="51">
        <v>63.0</v>
      </c>
      <c r="E4076" s="52" t="s">
        <v>25</v>
      </c>
      <c r="F4076" s="52" t="s">
        <v>26</v>
      </c>
      <c r="G4076" s="53"/>
    </row>
    <row r="4077">
      <c r="A4077" s="49">
        <v>44555.738062199074</v>
      </c>
      <c r="B4077" s="50">
        <v>44555.863035243</v>
      </c>
      <c r="C4077" s="51">
        <v>1.014</v>
      </c>
      <c r="D4077" s="51">
        <v>63.0</v>
      </c>
      <c r="E4077" s="52" t="s">
        <v>25</v>
      </c>
      <c r="F4077" s="52" t="s">
        <v>26</v>
      </c>
      <c r="G4077" s="53"/>
    </row>
    <row r="4078">
      <c r="A4078" s="49">
        <v>44555.74848353009</v>
      </c>
      <c r="B4078" s="50">
        <v>44555.8734557523</v>
      </c>
      <c r="C4078" s="51">
        <v>1.014</v>
      </c>
      <c r="D4078" s="51">
        <v>63.0</v>
      </c>
      <c r="E4078" s="52" t="s">
        <v>25</v>
      </c>
      <c r="F4078" s="52" t="s">
        <v>26</v>
      </c>
      <c r="G4078" s="53"/>
    </row>
    <row r="4079">
      <c r="A4079" s="49">
        <v>44555.758902789355</v>
      </c>
      <c r="B4079" s="50">
        <v>44555.8838763194</v>
      </c>
      <c r="C4079" s="51">
        <v>1.014</v>
      </c>
      <c r="D4079" s="51">
        <v>63.0</v>
      </c>
      <c r="E4079" s="52" t="s">
        <v>25</v>
      </c>
      <c r="F4079" s="52" t="s">
        <v>26</v>
      </c>
      <c r="G4079" s="53"/>
    </row>
    <row r="4080">
      <c r="A4080" s="49">
        <v>44555.76932050926</v>
      </c>
      <c r="B4080" s="50">
        <v>44555.894297824</v>
      </c>
      <c r="C4080" s="51">
        <v>1.014</v>
      </c>
      <c r="D4080" s="51">
        <v>63.0</v>
      </c>
      <c r="E4080" s="52" t="s">
        <v>25</v>
      </c>
      <c r="F4080" s="52" t="s">
        <v>26</v>
      </c>
      <c r="G4080" s="53"/>
    </row>
    <row r="4081">
      <c r="A4081" s="49">
        <v>44555.779739907404</v>
      </c>
      <c r="B4081" s="50">
        <v>44555.9047173495</v>
      </c>
      <c r="C4081" s="51">
        <v>1.014</v>
      </c>
      <c r="D4081" s="51">
        <v>63.0</v>
      </c>
      <c r="E4081" s="52" t="s">
        <v>25</v>
      </c>
      <c r="F4081" s="52" t="s">
        <v>26</v>
      </c>
      <c r="G4081" s="53"/>
    </row>
    <row r="4082">
      <c r="A4082" s="49">
        <v>44555.79017638889</v>
      </c>
      <c r="B4082" s="50">
        <v>44555.9151486458</v>
      </c>
      <c r="C4082" s="51">
        <v>1.014</v>
      </c>
      <c r="D4082" s="51">
        <v>63.0</v>
      </c>
      <c r="E4082" s="52" t="s">
        <v>25</v>
      </c>
      <c r="F4082" s="52" t="s">
        <v>26</v>
      </c>
      <c r="G4082" s="53"/>
    </row>
    <row r="4083">
      <c r="A4083" s="49">
        <v>44555.80060224537</v>
      </c>
      <c r="B4083" s="50">
        <v>44555.9255701157</v>
      </c>
      <c r="C4083" s="51">
        <v>1.014</v>
      </c>
      <c r="D4083" s="51">
        <v>63.0</v>
      </c>
      <c r="E4083" s="52" t="s">
        <v>25</v>
      </c>
      <c r="F4083" s="52" t="s">
        <v>26</v>
      </c>
      <c r="G4083" s="53"/>
    </row>
    <row r="4084">
      <c r="A4084" s="49">
        <v>44555.81107471065</v>
      </c>
      <c r="B4084" s="50">
        <v>44555.936048206</v>
      </c>
      <c r="C4084" s="51">
        <v>1.014</v>
      </c>
      <c r="D4084" s="51">
        <v>63.0</v>
      </c>
      <c r="E4084" s="52" t="s">
        <v>25</v>
      </c>
      <c r="F4084" s="52" t="s">
        <v>26</v>
      </c>
      <c r="G4084" s="53"/>
    </row>
    <row r="4085">
      <c r="A4085" s="49">
        <v>44555.82149707176</v>
      </c>
      <c r="B4085" s="50">
        <v>44555.9464691666</v>
      </c>
      <c r="C4085" s="51">
        <v>1.014</v>
      </c>
      <c r="D4085" s="51">
        <v>63.0</v>
      </c>
      <c r="E4085" s="52" t="s">
        <v>25</v>
      </c>
      <c r="F4085" s="52" t="s">
        <v>26</v>
      </c>
      <c r="G4085" s="53"/>
    </row>
    <row r="4086">
      <c r="A4086" s="49">
        <v>44555.83192321759</v>
      </c>
      <c r="B4086" s="50">
        <v>44555.9568912731</v>
      </c>
      <c r="C4086" s="51">
        <v>1.014</v>
      </c>
      <c r="D4086" s="51">
        <v>63.0</v>
      </c>
      <c r="E4086" s="52" t="s">
        <v>25</v>
      </c>
      <c r="F4086" s="52" t="s">
        <v>26</v>
      </c>
      <c r="G4086" s="53"/>
    </row>
    <row r="4087">
      <c r="A4087" s="49">
        <v>44555.84235883102</v>
      </c>
      <c r="B4087" s="50">
        <v>44555.967335787</v>
      </c>
      <c r="C4087" s="51">
        <v>1.014</v>
      </c>
      <c r="D4087" s="51">
        <v>63.0</v>
      </c>
      <c r="E4087" s="52" t="s">
        <v>25</v>
      </c>
      <c r="F4087" s="52" t="s">
        <v>26</v>
      </c>
      <c r="G4087" s="53"/>
    </row>
    <row r="4088">
      <c r="A4088" s="49">
        <v>44555.852783553244</v>
      </c>
      <c r="B4088" s="50">
        <v>44555.9777572106</v>
      </c>
      <c r="C4088" s="51">
        <v>1.014</v>
      </c>
      <c r="D4088" s="51">
        <v>63.0</v>
      </c>
      <c r="E4088" s="52" t="s">
        <v>25</v>
      </c>
      <c r="F4088" s="52" t="s">
        <v>26</v>
      </c>
      <c r="G4088" s="53"/>
    </row>
    <row r="4089">
      <c r="A4089" s="49">
        <v>44555.86320177083</v>
      </c>
      <c r="B4089" s="50">
        <v>44555.9881798842</v>
      </c>
      <c r="C4089" s="51">
        <v>1.014</v>
      </c>
      <c r="D4089" s="51">
        <v>63.0</v>
      </c>
      <c r="E4089" s="52" t="s">
        <v>25</v>
      </c>
      <c r="F4089" s="52" t="s">
        <v>26</v>
      </c>
      <c r="G4089" s="53"/>
    </row>
    <row r="4090">
      <c r="A4090" s="49">
        <v>44555.873646527776</v>
      </c>
      <c r="B4090" s="50">
        <v>44555.9986119907</v>
      </c>
      <c r="C4090" s="51">
        <v>1.014</v>
      </c>
      <c r="D4090" s="51">
        <v>63.0</v>
      </c>
      <c r="E4090" s="52" t="s">
        <v>25</v>
      </c>
      <c r="F4090" s="52" t="s">
        <v>26</v>
      </c>
      <c r="G4090" s="53"/>
    </row>
    <row r="4091">
      <c r="A4091" s="49">
        <v>44555.8840580324</v>
      </c>
      <c r="B4091" s="50">
        <v>44556.0090340277</v>
      </c>
      <c r="C4091" s="51">
        <v>1.014</v>
      </c>
      <c r="D4091" s="51">
        <v>63.0</v>
      </c>
      <c r="E4091" s="52" t="s">
        <v>25</v>
      </c>
      <c r="F4091" s="52" t="s">
        <v>26</v>
      </c>
      <c r="G4091" s="53"/>
    </row>
    <row r="4092">
      <c r="A4092" s="49">
        <v>44555.89448756944</v>
      </c>
      <c r="B4092" s="50">
        <v>44556.0194665046</v>
      </c>
      <c r="C4092" s="51">
        <v>1.014</v>
      </c>
      <c r="D4092" s="51">
        <v>63.0</v>
      </c>
      <c r="E4092" s="52" t="s">
        <v>25</v>
      </c>
      <c r="F4092" s="52" t="s">
        <v>26</v>
      </c>
      <c r="G4092" s="53"/>
    </row>
    <row r="4093">
      <c r="A4093" s="49">
        <v>44555.90492659722</v>
      </c>
      <c r="B4093" s="50">
        <v>44556.029898993</v>
      </c>
      <c r="C4093" s="51">
        <v>1.014</v>
      </c>
      <c r="D4093" s="51">
        <v>63.0</v>
      </c>
      <c r="E4093" s="52" t="s">
        <v>25</v>
      </c>
      <c r="F4093" s="52" t="s">
        <v>26</v>
      </c>
      <c r="G4093" s="53"/>
    </row>
    <row r="4094">
      <c r="A4094" s="49">
        <v>44555.91535618056</v>
      </c>
      <c r="B4094" s="50">
        <v>44556.0403323032</v>
      </c>
      <c r="C4094" s="51">
        <v>1.014</v>
      </c>
      <c r="D4094" s="51">
        <v>63.0</v>
      </c>
      <c r="E4094" s="52" t="s">
        <v>25</v>
      </c>
      <c r="F4094" s="52" t="s">
        <v>26</v>
      </c>
      <c r="G4094" s="53"/>
    </row>
    <row r="4095">
      <c r="A4095" s="49">
        <v>44555.92579368055</v>
      </c>
      <c r="B4095" s="50">
        <v>44556.050767118</v>
      </c>
      <c r="C4095" s="51">
        <v>1.014</v>
      </c>
      <c r="D4095" s="51">
        <v>63.0</v>
      </c>
      <c r="E4095" s="52" t="s">
        <v>25</v>
      </c>
      <c r="F4095" s="52" t="s">
        <v>26</v>
      </c>
      <c r="G4095" s="53"/>
    </row>
    <row r="4096">
      <c r="A4096" s="49">
        <v>44555.93621061342</v>
      </c>
      <c r="B4096" s="50">
        <v>44556.0611888773</v>
      </c>
      <c r="C4096" s="51">
        <v>1.014</v>
      </c>
      <c r="D4096" s="51">
        <v>63.0</v>
      </c>
      <c r="E4096" s="52" t="s">
        <v>25</v>
      </c>
      <c r="F4096" s="52" t="s">
        <v>26</v>
      </c>
      <c r="G4096" s="53"/>
    </row>
    <row r="4097">
      <c r="A4097" s="49">
        <v>44555.94663085648</v>
      </c>
      <c r="B4097" s="50">
        <v>44556.0716100462</v>
      </c>
      <c r="C4097" s="51">
        <v>1.014</v>
      </c>
      <c r="D4097" s="51">
        <v>64.0</v>
      </c>
      <c r="E4097" s="52" t="s">
        <v>25</v>
      </c>
      <c r="F4097" s="52" t="s">
        <v>26</v>
      </c>
      <c r="G4097" s="53"/>
    </row>
    <row r="4098">
      <c r="A4098" s="49">
        <v>44555.95708795139</v>
      </c>
      <c r="B4098" s="50">
        <v>44556.0820654745</v>
      </c>
      <c r="C4098" s="51">
        <v>1.014</v>
      </c>
      <c r="D4098" s="51">
        <v>64.0</v>
      </c>
      <c r="E4098" s="52" t="s">
        <v>25</v>
      </c>
      <c r="F4098" s="52" t="s">
        <v>26</v>
      </c>
      <c r="G4098" s="53"/>
    </row>
    <row r="4099">
      <c r="A4099" s="49">
        <v>44555.96752045139</v>
      </c>
      <c r="B4099" s="50">
        <v>44556.0924882291</v>
      </c>
      <c r="C4099" s="51">
        <v>1.014</v>
      </c>
      <c r="D4099" s="51">
        <v>65.0</v>
      </c>
      <c r="E4099" s="52" t="s">
        <v>25</v>
      </c>
      <c r="F4099" s="52" t="s">
        <v>26</v>
      </c>
      <c r="G4099" s="53"/>
    </row>
    <row r="4100">
      <c r="A4100" s="49">
        <v>44555.9779313426</v>
      </c>
      <c r="B4100" s="50">
        <v>44556.1029073495</v>
      </c>
      <c r="C4100" s="51">
        <v>1.014</v>
      </c>
      <c r="D4100" s="51">
        <v>65.0</v>
      </c>
      <c r="E4100" s="52" t="s">
        <v>25</v>
      </c>
      <c r="F4100" s="52" t="s">
        <v>26</v>
      </c>
      <c r="G4100" s="53"/>
    </row>
    <row r="4101">
      <c r="A4101" s="49">
        <v>44555.988380995375</v>
      </c>
      <c r="B4101" s="50">
        <v>44556.1133535532</v>
      </c>
      <c r="C4101" s="51">
        <v>1.014</v>
      </c>
      <c r="D4101" s="51">
        <v>66.0</v>
      </c>
      <c r="E4101" s="52" t="s">
        <v>25</v>
      </c>
      <c r="F4101" s="52" t="s">
        <v>26</v>
      </c>
      <c r="G4101" s="53"/>
    </row>
    <row r="4102">
      <c r="A4102" s="49">
        <v>44555.9988321875</v>
      </c>
      <c r="B4102" s="50">
        <v>44556.1238085995</v>
      </c>
      <c r="C4102" s="51">
        <v>1.014</v>
      </c>
      <c r="D4102" s="51">
        <v>66.0</v>
      </c>
      <c r="E4102" s="52" t="s">
        <v>25</v>
      </c>
      <c r="F4102" s="52" t="s">
        <v>26</v>
      </c>
      <c r="G4102" s="53"/>
    </row>
    <row r="4103">
      <c r="A4103" s="49">
        <v>44556.00925805555</v>
      </c>
      <c r="B4103" s="50">
        <v>44556.1342294097</v>
      </c>
      <c r="C4103" s="51">
        <v>1.014</v>
      </c>
      <c r="D4103" s="51">
        <v>67.0</v>
      </c>
      <c r="E4103" s="52" t="s">
        <v>25</v>
      </c>
      <c r="F4103" s="52" t="s">
        <v>26</v>
      </c>
      <c r="G4103" s="53"/>
    </row>
    <row r="4104">
      <c r="A4104" s="49">
        <v>44556.01966875</v>
      </c>
      <c r="B4104" s="50">
        <v>44556.144649456</v>
      </c>
      <c r="C4104" s="51">
        <v>1.014</v>
      </c>
      <c r="D4104" s="51">
        <v>67.0</v>
      </c>
      <c r="E4104" s="52" t="s">
        <v>25</v>
      </c>
      <c r="F4104" s="52" t="s">
        <v>26</v>
      </c>
      <c r="G4104" s="53"/>
    </row>
    <row r="4105">
      <c r="A4105" s="49">
        <v>44556.03010513889</v>
      </c>
      <c r="B4105" s="50">
        <v>44556.1550824074</v>
      </c>
      <c r="C4105" s="51">
        <v>1.014</v>
      </c>
      <c r="D4105" s="51">
        <v>68.0</v>
      </c>
      <c r="E4105" s="52" t="s">
        <v>25</v>
      </c>
      <c r="F4105" s="52" t="s">
        <v>26</v>
      </c>
      <c r="G4105" s="53"/>
    </row>
    <row r="4106">
      <c r="A4106" s="49">
        <v>44556.04060961805</v>
      </c>
      <c r="B4106" s="50">
        <v>44556.1655836226</v>
      </c>
      <c r="C4106" s="51">
        <v>1.013</v>
      </c>
      <c r="D4106" s="51">
        <v>68.0</v>
      </c>
      <c r="E4106" s="52" t="s">
        <v>25</v>
      </c>
      <c r="F4106" s="52" t="s">
        <v>26</v>
      </c>
      <c r="G4106" s="53"/>
    </row>
    <row r="4107">
      <c r="A4107" s="49">
        <v>44556.05104615741</v>
      </c>
      <c r="B4107" s="50">
        <v>44556.1760187847</v>
      </c>
      <c r="C4107" s="51">
        <v>1.014</v>
      </c>
      <c r="D4107" s="51">
        <v>68.0</v>
      </c>
      <c r="E4107" s="52" t="s">
        <v>25</v>
      </c>
      <c r="F4107" s="52" t="s">
        <v>26</v>
      </c>
      <c r="G4107" s="53"/>
    </row>
    <row r="4108">
      <c r="A4108" s="49">
        <v>44556.06150452547</v>
      </c>
      <c r="B4108" s="50">
        <v>44556.1864624421</v>
      </c>
      <c r="C4108" s="51">
        <v>1.013</v>
      </c>
      <c r="D4108" s="51">
        <v>68.0</v>
      </c>
      <c r="E4108" s="52" t="s">
        <v>25</v>
      </c>
      <c r="F4108" s="52" t="s">
        <v>26</v>
      </c>
      <c r="G4108" s="53"/>
    </row>
    <row r="4109">
      <c r="A4109" s="49">
        <v>44556.07190388889</v>
      </c>
      <c r="B4109" s="50">
        <v>44556.1968848495</v>
      </c>
      <c r="C4109" s="51">
        <v>1.014</v>
      </c>
      <c r="D4109" s="51">
        <v>68.0</v>
      </c>
      <c r="E4109" s="52" t="s">
        <v>25</v>
      </c>
      <c r="F4109" s="52" t="s">
        <v>26</v>
      </c>
      <c r="G4109" s="53"/>
    </row>
    <row r="4110">
      <c r="A4110" s="49">
        <v>44556.08233001157</v>
      </c>
      <c r="B4110" s="50">
        <v>44556.207307037</v>
      </c>
      <c r="C4110" s="51">
        <v>1.013</v>
      </c>
      <c r="D4110" s="51">
        <v>68.0</v>
      </c>
      <c r="E4110" s="52" t="s">
        <v>25</v>
      </c>
      <c r="F4110" s="52" t="s">
        <v>26</v>
      </c>
      <c r="G4110" s="53"/>
    </row>
    <row r="4111">
      <c r="A4111" s="49">
        <v>44556.09275621528</v>
      </c>
      <c r="B4111" s="50">
        <v>44556.2177289004</v>
      </c>
      <c r="C4111" s="51">
        <v>1.013</v>
      </c>
      <c r="D4111" s="51">
        <v>68.0</v>
      </c>
      <c r="E4111" s="52" t="s">
        <v>25</v>
      </c>
      <c r="F4111" s="52" t="s">
        <v>26</v>
      </c>
      <c r="G4111" s="53"/>
    </row>
    <row r="4112">
      <c r="A4112" s="49">
        <v>44556.10320226852</v>
      </c>
      <c r="B4112" s="50">
        <v>44556.2281741203</v>
      </c>
      <c r="C4112" s="51">
        <v>1.013</v>
      </c>
      <c r="D4112" s="51">
        <v>68.0</v>
      </c>
      <c r="E4112" s="52" t="s">
        <v>25</v>
      </c>
      <c r="F4112" s="52" t="s">
        <v>26</v>
      </c>
      <c r="G4112" s="53"/>
    </row>
    <row r="4113">
      <c r="A4113" s="49">
        <v>44556.11364943287</v>
      </c>
      <c r="B4113" s="50">
        <v>44556.2386195833</v>
      </c>
      <c r="C4113" s="51">
        <v>1.013</v>
      </c>
      <c r="D4113" s="51">
        <v>68.0</v>
      </c>
      <c r="E4113" s="52" t="s">
        <v>25</v>
      </c>
      <c r="F4113" s="52" t="s">
        <v>26</v>
      </c>
      <c r="G4113" s="53"/>
    </row>
    <row r="4114">
      <c r="A4114" s="49">
        <v>44556.124081145834</v>
      </c>
      <c r="B4114" s="50">
        <v>44556.2490527546</v>
      </c>
      <c r="C4114" s="51">
        <v>1.014</v>
      </c>
      <c r="D4114" s="51">
        <v>68.0</v>
      </c>
      <c r="E4114" s="52" t="s">
        <v>25</v>
      </c>
      <c r="F4114" s="52" t="s">
        <v>26</v>
      </c>
      <c r="G4114" s="53"/>
    </row>
    <row r="4115">
      <c r="A4115" s="49">
        <v>44556.134551875</v>
      </c>
      <c r="B4115" s="50">
        <v>44556.2595202662</v>
      </c>
      <c r="C4115" s="51">
        <v>1.013</v>
      </c>
      <c r="D4115" s="51">
        <v>68.0</v>
      </c>
      <c r="E4115" s="52" t="s">
        <v>25</v>
      </c>
      <c r="F4115" s="52" t="s">
        <v>26</v>
      </c>
      <c r="G4115" s="53"/>
    </row>
    <row r="4116">
      <c r="A4116" s="49">
        <v>44556.14497978009</v>
      </c>
      <c r="B4116" s="50">
        <v>44556.2699525694</v>
      </c>
      <c r="C4116" s="51">
        <v>1.013</v>
      </c>
      <c r="D4116" s="51">
        <v>68.0</v>
      </c>
      <c r="E4116" s="52" t="s">
        <v>25</v>
      </c>
      <c r="F4116" s="52" t="s">
        <v>26</v>
      </c>
      <c r="G4116" s="53"/>
    </row>
    <row r="4117">
      <c r="A4117" s="49">
        <v>44556.15541516204</v>
      </c>
      <c r="B4117" s="50">
        <v>44556.2803858912</v>
      </c>
      <c r="C4117" s="51">
        <v>1.013</v>
      </c>
      <c r="D4117" s="51">
        <v>68.0</v>
      </c>
      <c r="E4117" s="52" t="s">
        <v>25</v>
      </c>
      <c r="F4117" s="52" t="s">
        <v>26</v>
      </c>
      <c r="G4117" s="53"/>
    </row>
    <row r="4118">
      <c r="A4118" s="49">
        <v>44556.16586331019</v>
      </c>
      <c r="B4118" s="50">
        <v>44556.2908418055</v>
      </c>
      <c r="C4118" s="51">
        <v>1.014</v>
      </c>
      <c r="D4118" s="51">
        <v>68.0</v>
      </c>
      <c r="E4118" s="52" t="s">
        <v>25</v>
      </c>
      <c r="F4118" s="52" t="s">
        <v>26</v>
      </c>
      <c r="G4118" s="53"/>
    </row>
    <row r="4119">
      <c r="A4119" s="49">
        <v>44556.17630299769</v>
      </c>
      <c r="B4119" s="50">
        <v>44556.3012752662</v>
      </c>
      <c r="C4119" s="51">
        <v>1.013</v>
      </c>
      <c r="D4119" s="51">
        <v>68.0</v>
      </c>
      <c r="E4119" s="52" t="s">
        <v>25</v>
      </c>
      <c r="F4119" s="52" t="s">
        <v>26</v>
      </c>
      <c r="G4119" s="53"/>
    </row>
    <row r="4120">
      <c r="A4120" s="49">
        <v>44556.18674819444</v>
      </c>
      <c r="B4120" s="50">
        <v>44556.3117194444</v>
      </c>
      <c r="C4120" s="51">
        <v>1.013</v>
      </c>
      <c r="D4120" s="51">
        <v>68.0</v>
      </c>
      <c r="E4120" s="52" t="s">
        <v>25</v>
      </c>
      <c r="F4120" s="52" t="s">
        <v>26</v>
      </c>
      <c r="G4120" s="53"/>
    </row>
    <row r="4121">
      <c r="A4121" s="49">
        <v>44556.19717565972</v>
      </c>
      <c r="B4121" s="50">
        <v>44556.3221415162</v>
      </c>
      <c r="C4121" s="51">
        <v>1.013</v>
      </c>
      <c r="D4121" s="51">
        <v>68.0</v>
      </c>
      <c r="E4121" s="52" t="s">
        <v>25</v>
      </c>
      <c r="F4121" s="52" t="s">
        <v>26</v>
      </c>
      <c r="G4121" s="53"/>
    </row>
    <row r="4122">
      <c r="A4122" s="49">
        <v>44556.20759657407</v>
      </c>
      <c r="B4122" s="50">
        <v>44556.3325752662</v>
      </c>
      <c r="C4122" s="51">
        <v>1.013</v>
      </c>
      <c r="D4122" s="51">
        <v>67.0</v>
      </c>
      <c r="E4122" s="52" t="s">
        <v>25</v>
      </c>
      <c r="F4122" s="52" t="s">
        <v>26</v>
      </c>
      <c r="G4122" s="53"/>
    </row>
    <row r="4123">
      <c r="A4123" s="49">
        <v>44556.21801784722</v>
      </c>
      <c r="B4123" s="50">
        <v>44556.3429974999</v>
      </c>
      <c r="C4123" s="51">
        <v>1.013</v>
      </c>
      <c r="D4123" s="51">
        <v>67.0</v>
      </c>
      <c r="E4123" s="52" t="s">
        <v>25</v>
      </c>
      <c r="F4123" s="52" t="s">
        <v>26</v>
      </c>
      <c r="G4123" s="53"/>
    </row>
    <row r="4124">
      <c r="A4124" s="49">
        <v>44556.228463356485</v>
      </c>
      <c r="B4124" s="50">
        <v>44556.3534306481</v>
      </c>
      <c r="C4124" s="51">
        <v>1.013</v>
      </c>
      <c r="D4124" s="51">
        <v>67.0</v>
      </c>
      <c r="E4124" s="52" t="s">
        <v>25</v>
      </c>
      <c r="F4124" s="52" t="s">
        <v>26</v>
      </c>
      <c r="G4124" s="53"/>
    </row>
    <row r="4125">
      <c r="A4125" s="49">
        <v>44556.238902488425</v>
      </c>
      <c r="B4125" s="50">
        <v>44556.3638745717</v>
      </c>
      <c r="C4125" s="51">
        <v>1.013</v>
      </c>
      <c r="D4125" s="51">
        <v>67.0</v>
      </c>
      <c r="E4125" s="52" t="s">
        <v>25</v>
      </c>
      <c r="F4125" s="52" t="s">
        <v>26</v>
      </c>
      <c r="G4125" s="53"/>
    </row>
    <row r="4126">
      <c r="A4126" s="49">
        <v>44556.24932534722</v>
      </c>
      <c r="B4126" s="50">
        <v>44556.3742949305</v>
      </c>
      <c r="C4126" s="51">
        <v>1.014</v>
      </c>
      <c r="D4126" s="51">
        <v>67.0</v>
      </c>
      <c r="E4126" s="52" t="s">
        <v>25</v>
      </c>
      <c r="F4126" s="52" t="s">
        <v>26</v>
      </c>
      <c r="G4126" s="53"/>
    </row>
    <row r="4127">
      <c r="A4127" s="49">
        <v>44556.259746157404</v>
      </c>
      <c r="B4127" s="50">
        <v>44556.3847268287</v>
      </c>
      <c r="C4127" s="51">
        <v>1.013</v>
      </c>
      <c r="D4127" s="51">
        <v>67.0</v>
      </c>
      <c r="E4127" s="52" t="s">
        <v>25</v>
      </c>
      <c r="F4127" s="52" t="s">
        <v>26</v>
      </c>
      <c r="G4127" s="53"/>
    </row>
    <row r="4128">
      <c r="A4128" s="49">
        <v>44556.27018565973</v>
      </c>
      <c r="B4128" s="50">
        <v>44556.3951474421</v>
      </c>
      <c r="C4128" s="51">
        <v>1.013</v>
      </c>
      <c r="D4128" s="51">
        <v>67.0</v>
      </c>
      <c r="E4128" s="52" t="s">
        <v>25</v>
      </c>
      <c r="F4128" s="52" t="s">
        <v>26</v>
      </c>
      <c r="G4128" s="53"/>
    </row>
    <row r="4129">
      <c r="A4129" s="49">
        <v>44556.28061076389</v>
      </c>
      <c r="B4129" s="50">
        <v>44556.4055798958</v>
      </c>
      <c r="C4129" s="51">
        <v>1.014</v>
      </c>
      <c r="D4129" s="51">
        <v>67.0</v>
      </c>
      <c r="E4129" s="52" t="s">
        <v>25</v>
      </c>
      <c r="F4129" s="52" t="s">
        <v>26</v>
      </c>
      <c r="G4129" s="53"/>
    </row>
    <row r="4130">
      <c r="A4130" s="49">
        <v>44556.291027858795</v>
      </c>
      <c r="B4130" s="50">
        <v>44556.4159999189</v>
      </c>
      <c r="C4130" s="51">
        <v>1.013</v>
      </c>
      <c r="D4130" s="51">
        <v>67.0</v>
      </c>
      <c r="E4130" s="52" t="s">
        <v>25</v>
      </c>
      <c r="F4130" s="52" t="s">
        <v>26</v>
      </c>
      <c r="G4130" s="53"/>
    </row>
    <row r="4131">
      <c r="A4131" s="49">
        <v>44556.301520925925</v>
      </c>
      <c r="B4131" s="50">
        <v>44556.4264903588</v>
      </c>
      <c r="C4131" s="51">
        <v>1.013</v>
      </c>
      <c r="D4131" s="51">
        <v>67.0</v>
      </c>
      <c r="E4131" s="52" t="s">
        <v>25</v>
      </c>
      <c r="F4131" s="52" t="s">
        <v>26</v>
      </c>
      <c r="G4131" s="53"/>
    </row>
    <row r="4132">
      <c r="A4132" s="49">
        <v>44556.31195200232</v>
      </c>
      <c r="B4132" s="50">
        <v>44556.4369233217</v>
      </c>
      <c r="C4132" s="51">
        <v>1.014</v>
      </c>
      <c r="D4132" s="51">
        <v>67.0</v>
      </c>
      <c r="E4132" s="52" t="s">
        <v>25</v>
      </c>
      <c r="F4132" s="52" t="s">
        <v>26</v>
      </c>
      <c r="G4132" s="53"/>
    </row>
    <row r="4133">
      <c r="A4133" s="49">
        <v>44556.322392118054</v>
      </c>
      <c r="B4133" s="50">
        <v>44556.4473665856</v>
      </c>
      <c r="C4133" s="51">
        <v>1.013</v>
      </c>
      <c r="D4133" s="51">
        <v>67.0</v>
      </c>
      <c r="E4133" s="52" t="s">
        <v>25</v>
      </c>
      <c r="F4133" s="52" t="s">
        <v>26</v>
      </c>
      <c r="G4133" s="53"/>
    </row>
    <row r="4134">
      <c r="A4134" s="49">
        <v>44556.33281731482</v>
      </c>
      <c r="B4134" s="50">
        <v>44556.4577875231</v>
      </c>
      <c r="C4134" s="51">
        <v>1.013</v>
      </c>
      <c r="D4134" s="51">
        <v>67.0</v>
      </c>
      <c r="E4134" s="52" t="s">
        <v>25</v>
      </c>
      <c r="F4134" s="52" t="s">
        <v>26</v>
      </c>
      <c r="G4134" s="53"/>
    </row>
    <row r="4135">
      <c r="A4135" s="49">
        <v>44556.343250300924</v>
      </c>
      <c r="B4135" s="50">
        <v>44556.4682192361</v>
      </c>
      <c r="C4135" s="51">
        <v>1.013</v>
      </c>
      <c r="D4135" s="51">
        <v>67.0</v>
      </c>
      <c r="E4135" s="52" t="s">
        <v>25</v>
      </c>
      <c r="F4135" s="52" t="s">
        <v>26</v>
      </c>
      <c r="G4135" s="53"/>
    </row>
    <row r="4136">
      <c r="A4136" s="49">
        <v>44556.35368688658</v>
      </c>
      <c r="B4136" s="50">
        <v>44556.4786529629</v>
      </c>
      <c r="C4136" s="51">
        <v>1.013</v>
      </c>
      <c r="D4136" s="51">
        <v>67.0</v>
      </c>
      <c r="E4136" s="52" t="s">
        <v>25</v>
      </c>
      <c r="F4136" s="52" t="s">
        <v>26</v>
      </c>
      <c r="G4136" s="53"/>
    </row>
    <row r="4137">
      <c r="A4137" s="49">
        <v>44556.36414306713</v>
      </c>
      <c r="B4137" s="50">
        <v>44556.489110868</v>
      </c>
      <c r="C4137" s="51">
        <v>1.014</v>
      </c>
      <c r="D4137" s="51">
        <v>67.0</v>
      </c>
      <c r="E4137" s="52" t="s">
        <v>25</v>
      </c>
      <c r="F4137" s="52" t="s">
        <v>26</v>
      </c>
      <c r="G4137" s="53"/>
    </row>
    <row r="4138">
      <c r="A4138" s="49">
        <v>44556.37457212963</v>
      </c>
      <c r="B4138" s="50">
        <v>44556.4995449884</v>
      </c>
      <c r="C4138" s="51">
        <v>1.013</v>
      </c>
      <c r="D4138" s="51">
        <v>67.0</v>
      </c>
      <c r="E4138" s="52" t="s">
        <v>25</v>
      </c>
      <c r="F4138" s="52" t="s">
        <v>26</v>
      </c>
      <c r="G4138" s="53"/>
    </row>
    <row r="4139">
      <c r="A4139" s="49">
        <v>44556.38500116898</v>
      </c>
      <c r="B4139" s="50">
        <v>44556.5099663078</v>
      </c>
      <c r="C4139" s="51">
        <v>1.013</v>
      </c>
      <c r="D4139" s="51">
        <v>67.0</v>
      </c>
      <c r="E4139" s="52" t="s">
        <v>25</v>
      </c>
      <c r="F4139" s="52" t="s">
        <v>26</v>
      </c>
      <c r="G4139" s="53"/>
    </row>
    <row r="4140">
      <c r="A4140" s="49">
        <v>44556.39542103009</v>
      </c>
      <c r="B4140" s="50">
        <v>44556.5203871759</v>
      </c>
      <c r="C4140" s="51">
        <v>1.014</v>
      </c>
      <c r="D4140" s="51">
        <v>67.0</v>
      </c>
      <c r="E4140" s="52" t="s">
        <v>25</v>
      </c>
      <c r="F4140" s="52" t="s">
        <v>26</v>
      </c>
      <c r="G4140" s="53"/>
    </row>
    <row r="4141">
      <c r="A4141" s="49">
        <v>44556.40583135417</v>
      </c>
      <c r="B4141" s="50">
        <v>44556.5308077777</v>
      </c>
      <c r="C4141" s="51">
        <v>1.013</v>
      </c>
      <c r="D4141" s="51">
        <v>67.0</v>
      </c>
      <c r="E4141" s="52" t="s">
        <v>25</v>
      </c>
      <c r="F4141" s="52" t="s">
        <v>26</v>
      </c>
      <c r="G4141" s="53"/>
    </row>
    <row r="4142">
      <c r="A4142" s="49">
        <v>44556.41626387731</v>
      </c>
      <c r="B4142" s="50">
        <v>44556.541240787</v>
      </c>
      <c r="C4142" s="51">
        <v>1.013</v>
      </c>
      <c r="D4142" s="51">
        <v>67.0</v>
      </c>
      <c r="E4142" s="52" t="s">
        <v>25</v>
      </c>
      <c r="F4142" s="52" t="s">
        <v>26</v>
      </c>
      <c r="G4142" s="53"/>
    </row>
    <row r="4143">
      <c r="A4143" s="49">
        <v>44556.42670114583</v>
      </c>
      <c r="B4143" s="50">
        <v>44556.5516735532</v>
      </c>
      <c r="C4143" s="51">
        <v>1.013</v>
      </c>
      <c r="D4143" s="51">
        <v>67.0</v>
      </c>
      <c r="E4143" s="52" t="s">
        <v>25</v>
      </c>
      <c r="F4143" s="52" t="s">
        <v>26</v>
      </c>
      <c r="G4143" s="53"/>
    </row>
    <row r="4144">
      <c r="A4144" s="49">
        <v>44556.437135995366</v>
      </c>
      <c r="B4144" s="50">
        <v>44556.5621068055</v>
      </c>
      <c r="C4144" s="51">
        <v>1.013</v>
      </c>
      <c r="D4144" s="51">
        <v>67.0</v>
      </c>
      <c r="E4144" s="52" t="s">
        <v>25</v>
      </c>
      <c r="F4144" s="52" t="s">
        <v>26</v>
      </c>
      <c r="G4144" s="53"/>
    </row>
    <row r="4145">
      <c r="A4145" s="49">
        <v>44556.44758414352</v>
      </c>
      <c r="B4145" s="50">
        <v>44556.572550162</v>
      </c>
      <c r="C4145" s="51">
        <v>1.013</v>
      </c>
      <c r="D4145" s="51">
        <v>67.0</v>
      </c>
      <c r="E4145" s="52" t="s">
        <v>25</v>
      </c>
      <c r="F4145" s="52" t="s">
        <v>26</v>
      </c>
      <c r="G4145" s="53"/>
    </row>
    <row r="4146">
      <c r="A4146" s="49">
        <v>44556.45800520833</v>
      </c>
      <c r="B4146" s="50">
        <v>44556.5829816898</v>
      </c>
      <c r="C4146" s="51">
        <v>1.013</v>
      </c>
      <c r="D4146" s="51">
        <v>67.0</v>
      </c>
      <c r="E4146" s="52" t="s">
        <v>25</v>
      </c>
      <c r="F4146" s="52" t="s">
        <v>26</v>
      </c>
      <c r="G4146" s="53"/>
    </row>
    <row r="4147">
      <c r="A4147" s="49">
        <v>44556.46843349537</v>
      </c>
      <c r="B4147" s="50">
        <v>44556.5934026736</v>
      </c>
      <c r="C4147" s="51">
        <v>1.013</v>
      </c>
      <c r="D4147" s="51">
        <v>67.0</v>
      </c>
      <c r="E4147" s="52" t="s">
        <v>25</v>
      </c>
      <c r="F4147" s="52" t="s">
        <v>26</v>
      </c>
      <c r="G4147" s="53"/>
    </row>
    <row r="4148">
      <c r="A4148" s="49">
        <v>44556.47884633102</v>
      </c>
      <c r="B4148" s="50">
        <v>44556.6038214583</v>
      </c>
      <c r="C4148" s="51">
        <v>1.013</v>
      </c>
      <c r="D4148" s="51">
        <v>67.0</v>
      </c>
      <c r="E4148" s="52" t="s">
        <v>25</v>
      </c>
      <c r="F4148" s="52" t="s">
        <v>26</v>
      </c>
      <c r="G4148" s="53"/>
    </row>
    <row r="4149">
      <c r="A4149" s="49">
        <v>44556.489312881946</v>
      </c>
      <c r="B4149" s="50">
        <v>44556.614289537</v>
      </c>
      <c r="C4149" s="51">
        <v>1.013</v>
      </c>
      <c r="D4149" s="51">
        <v>67.0</v>
      </c>
      <c r="E4149" s="52" t="s">
        <v>25</v>
      </c>
      <c r="F4149" s="52" t="s">
        <v>26</v>
      </c>
      <c r="G4149" s="53"/>
    </row>
    <row r="4150">
      <c r="A4150" s="49">
        <v>44556.49974697917</v>
      </c>
      <c r="B4150" s="50">
        <v>44556.6247227314</v>
      </c>
      <c r="C4150" s="51">
        <v>1.013</v>
      </c>
      <c r="D4150" s="51">
        <v>67.0</v>
      </c>
      <c r="E4150" s="52" t="s">
        <v>25</v>
      </c>
      <c r="F4150" s="52" t="s">
        <v>26</v>
      </c>
      <c r="G4150" s="53"/>
    </row>
    <row r="4151">
      <c r="A4151" s="49">
        <v>44556.51016665509</v>
      </c>
      <c r="B4151" s="50">
        <v>44556.6351437152</v>
      </c>
      <c r="C4151" s="51">
        <v>1.013</v>
      </c>
      <c r="D4151" s="51">
        <v>67.0</v>
      </c>
      <c r="E4151" s="52" t="s">
        <v>25</v>
      </c>
      <c r="F4151" s="52" t="s">
        <v>26</v>
      </c>
      <c r="G4151" s="53"/>
    </row>
    <row r="4152">
      <c r="A4152" s="49">
        <v>44556.520590625005</v>
      </c>
      <c r="B4152" s="50">
        <v>44556.6455654398</v>
      </c>
      <c r="C4152" s="51">
        <v>1.014</v>
      </c>
      <c r="D4152" s="51">
        <v>67.0</v>
      </c>
      <c r="E4152" s="52" t="s">
        <v>25</v>
      </c>
      <c r="F4152" s="52" t="s">
        <v>26</v>
      </c>
      <c r="G4152" s="53"/>
    </row>
    <row r="4153">
      <c r="A4153" s="49">
        <v>44556.53103086806</v>
      </c>
      <c r="B4153" s="50">
        <v>44556.655999699</v>
      </c>
      <c r="C4153" s="51">
        <v>1.013</v>
      </c>
      <c r="D4153" s="51">
        <v>67.0</v>
      </c>
      <c r="E4153" s="52" t="s">
        <v>25</v>
      </c>
      <c r="F4153" s="52" t="s">
        <v>26</v>
      </c>
      <c r="G4153" s="53"/>
    </row>
    <row r="4154">
      <c r="A4154" s="49">
        <v>44556.54145224537</v>
      </c>
      <c r="B4154" s="50">
        <v>44556.6664215856</v>
      </c>
      <c r="C4154" s="51">
        <v>1.013</v>
      </c>
      <c r="D4154" s="51">
        <v>67.0</v>
      </c>
      <c r="E4154" s="52" t="s">
        <v>25</v>
      </c>
      <c r="F4154" s="52" t="s">
        <v>26</v>
      </c>
      <c r="G4154" s="53"/>
    </row>
    <row r="4155">
      <c r="A4155" s="49">
        <v>44556.55186704861</v>
      </c>
      <c r="B4155" s="50">
        <v>44556.6768421874</v>
      </c>
      <c r="C4155" s="51">
        <v>1.013</v>
      </c>
      <c r="D4155" s="51">
        <v>67.0</v>
      </c>
      <c r="E4155" s="52" t="s">
        <v>25</v>
      </c>
      <c r="F4155" s="52" t="s">
        <v>26</v>
      </c>
      <c r="G4155" s="53"/>
    </row>
    <row r="4156">
      <c r="A4156" s="49">
        <v>44556.562305694446</v>
      </c>
      <c r="B4156" s="50">
        <v>44556.6872757291</v>
      </c>
      <c r="C4156" s="51">
        <v>1.013</v>
      </c>
      <c r="D4156" s="51">
        <v>67.0</v>
      </c>
      <c r="E4156" s="52" t="s">
        <v>25</v>
      </c>
      <c r="F4156" s="52" t="s">
        <v>26</v>
      </c>
      <c r="G4156" s="53"/>
    </row>
    <row r="4157">
      <c r="A4157" s="49">
        <v>44556.572729548614</v>
      </c>
      <c r="B4157" s="50">
        <v>44556.6977078472</v>
      </c>
      <c r="C4157" s="51">
        <v>1.013</v>
      </c>
      <c r="D4157" s="51">
        <v>67.0</v>
      </c>
      <c r="E4157" s="52" t="s">
        <v>25</v>
      </c>
      <c r="F4157" s="52" t="s">
        <v>26</v>
      </c>
      <c r="G4157" s="53"/>
    </row>
    <row r="4158">
      <c r="A4158" s="49">
        <v>44556.58315686343</v>
      </c>
      <c r="B4158" s="50">
        <v>44556.7081299999</v>
      </c>
      <c r="C4158" s="51">
        <v>1.013</v>
      </c>
      <c r="D4158" s="51">
        <v>67.0</v>
      </c>
      <c r="E4158" s="52" t="s">
        <v>25</v>
      </c>
      <c r="F4158" s="52" t="s">
        <v>26</v>
      </c>
      <c r="G4158" s="53"/>
    </row>
    <row r="4159">
      <c r="A4159" s="49">
        <v>44556.59358771991</v>
      </c>
      <c r="B4159" s="50">
        <v>44556.7185614236</v>
      </c>
      <c r="C4159" s="51">
        <v>1.014</v>
      </c>
      <c r="D4159" s="51">
        <v>67.0</v>
      </c>
      <c r="E4159" s="52" t="s">
        <v>25</v>
      </c>
      <c r="F4159" s="52" t="s">
        <v>26</v>
      </c>
      <c r="G4159" s="53"/>
    </row>
    <row r="4160">
      <c r="A4160" s="49">
        <v>44556.6040396875</v>
      </c>
      <c r="B4160" s="50">
        <v>44556.7290055439</v>
      </c>
      <c r="C4160" s="51">
        <v>1.013</v>
      </c>
      <c r="D4160" s="51">
        <v>67.0</v>
      </c>
      <c r="E4160" s="52" t="s">
        <v>25</v>
      </c>
      <c r="F4160" s="52" t="s">
        <v>26</v>
      </c>
      <c r="G4160" s="53"/>
    </row>
    <row r="4161">
      <c r="A4161" s="49">
        <v>44556.61446520833</v>
      </c>
      <c r="B4161" s="50">
        <v>44556.7394393981</v>
      </c>
      <c r="C4161" s="51">
        <v>1.013</v>
      </c>
      <c r="D4161" s="51">
        <v>67.0</v>
      </c>
      <c r="E4161" s="52" t="s">
        <v>25</v>
      </c>
      <c r="F4161" s="52" t="s">
        <v>26</v>
      </c>
      <c r="G4161" s="53"/>
    </row>
    <row r="4162">
      <c r="A4162" s="49">
        <v>44556.62492486111</v>
      </c>
      <c r="B4162" s="50">
        <v>44556.7498954513</v>
      </c>
      <c r="C4162" s="51">
        <v>1.014</v>
      </c>
      <c r="D4162" s="51">
        <v>67.0</v>
      </c>
      <c r="E4162" s="52" t="s">
        <v>25</v>
      </c>
      <c r="F4162" s="52" t="s">
        <v>26</v>
      </c>
      <c r="G4162" s="53"/>
    </row>
    <row r="4163">
      <c r="A4163" s="49">
        <v>44556.63535626157</v>
      </c>
      <c r="B4163" s="50">
        <v>44556.7603281828</v>
      </c>
      <c r="C4163" s="51">
        <v>1.013</v>
      </c>
      <c r="D4163" s="51">
        <v>67.0</v>
      </c>
      <c r="E4163" s="52" t="s">
        <v>25</v>
      </c>
      <c r="F4163" s="52" t="s">
        <v>26</v>
      </c>
      <c r="G4163" s="53"/>
    </row>
    <row r="4164">
      <c r="A4164" s="49">
        <v>44556.64578815972</v>
      </c>
      <c r="B4164" s="50">
        <v>44556.7707614699</v>
      </c>
      <c r="C4164" s="51">
        <v>1.013</v>
      </c>
      <c r="D4164" s="51">
        <v>67.0</v>
      </c>
      <c r="E4164" s="52" t="s">
        <v>25</v>
      </c>
      <c r="F4164" s="52" t="s">
        <v>26</v>
      </c>
      <c r="G4164" s="53"/>
    </row>
    <row r="4165">
      <c r="A4165" s="49">
        <v>44556.656219745375</v>
      </c>
      <c r="B4165" s="50">
        <v>44556.7811937384</v>
      </c>
      <c r="C4165" s="51">
        <v>1.013</v>
      </c>
      <c r="D4165" s="51">
        <v>67.0</v>
      </c>
      <c r="E4165" s="52" t="s">
        <v>25</v>
      </c>
      <c r="F4165" s="52" t="s">
        <v>26</v>
      </c>
      <c r="G4165" s="53"/>
    </row>
    <row r="4166">
      <c r="A4166" s="49">
        <v>44556.666642951386</v>
      </c>
      <c r="B4166" s="50">
        <v>44556.7916153356</v>
      </c>
      <c r="C4166" s="51">
        <v>1.013</v>
      </c>
      <c r="D4166" s="51">
        <v>67.0</v>
      </c>
      <c r="E4166" s="52" t="s">
        <v>25</v>
      </c>
      <c r="F4166" s="52" t="s">
        <v>26</v>
      </c>
      <c r="G4166" s="53"/>
    </row>
    <row r="4167">
      <c r="A4167" s="49">
        <v>44556.67707201389</v>
      </c>
      <c r="B4167" s="50">
        <v>44556.8020467824</v>
      </c>
      <c r="C4167" s="51">
        <v>1.013</v>
      </c>
      <c r="D4167" s="51">
        <v>67.0</v>
      </c>
      <c r="E4167" s="52" t="s">
        <v>25</v>
      </c>
      <c r="F4167" s="52" t="s">
        <v>26</v>
      </c>
      <c r="G4167" s="53"/>
    </row>
    <row r="4168">
      <c r="A4168" s="49">
        <v>44556.687579942125</v>
      </c>
      <c r="B4168" s="50">
        <v>44556.8125496759</v>
      </c>
      <c r="C4168" s="51">
        <v>1.013</v>
      </c>
      <c r="D4168" s="51">
        <v>67.0</v>
      </c>
      <c r="E4168" s="52" t="s">
        <v>25</v>
      </c>
      <c r="F4168" s="52" t="s">
        <v>26</v>
      </c>
      <c r="G4168" s="53"/>
    </row>
    <row r="4169">
      <c r="A4169" s="49">
        <v>44556.69801836806</v>
      </c>
      <c r="B4169" s="50">
        <v>44556.8229705902</v>
      </c>
      <c r="C4169" s="51">
        <v>1.013</v>
      </c>
      <c r="D4169" s="51">
        <v>66.0</v>
      </c>
      <c r="E4169" s="52" t="s">
        <v>25</v>
      </c>
      <c r="F4169" s="52" t="s">
        <v>26</v>
      </c>
      <c r="G4169" s="53"/>
    </row>
    <row r="4170">
      <c r="A4170" s="49">
        <v>44556.708425081015</v>
      </c>
      <c r="B4170" s="50">
        <v>44556.8333933217</v>
      </c>
      <c r="C4170" s="51">
        <v>1.013</v>
      </c>
      <c r="D4170" s="51">
        <v>66.0</v>
      </c>
      <c r="E4170" s="52" t="s">
        <v>25</v>
      </c>
      <c r="F4170" s="52" t="s">
        <v>26</v>
      </c>
      <c r="G4170" s="53"/>
    </row>
    <row r="4171">
      <c r="A4171" s="49">
        <v>44556.71884292824</v>
      </c>
      <c r="B4171" s="50">
        <v>44556.8438128125</v>
      </c>
      <c r="C4171" s="51">
        <v>1.013</v>
      </c>
      <c r="D4171" s="51">
        <v>66.0</v>
      </c>
      <c r="E4171" s="52" t="s">
        <v>25</v>
      </c>
      <c r="F4171" s="52" t="s">
        <v>26</v>
      </c>
      <c r="G4171" s="53"/>
    </row>
    <row r="4172">
      <c r="A4172" s="49">
        <v>44556.72926436343</v>
      </c>
      <c r="B4172" s="50">
        <v>44556.8542335879</v>
      </c>
      <c r="C4172" s="51">
        <v>1.013</v>
      </c>
      <c r="D4172" s="51">
        <v>66.0</v>
      </c>
      <c r="E4172" s="52" t="s">
        <v>25</v>
      </c>
      <c r="F4172" s="52" t="s">
        <v>26</v>
      </c>
      <c r="G4172" s="53"/>
    </row>
    <row r="4173">
      <c r="A4173" s="49">
        <v>44556.739677488426</v>
      </c>
      <c r="B4173" s="50">
        <v>44556.8646553819</v>
      </c>
      <c r="C4173" s="51">
        <v>1.013</v>
      </c>
      <c r="D4173" s="51">
        <v>66.0</v>
      </c>
      <c r="E4173" s="52" t="s">
        <v>25</v>
      </c>
      <c r="F4173" s="52" t="s">
        <v>26</v>
      </c>
      <c r="G4173" s="53"/>
    </row>
    <row r="4174">
      <c r="A4174" s="49">
        <v>44556.750155173606</v>
      </c>
      <c r="B4174" s="50">
        <v>44556.8751239814</v>
      </c>
      <c r="C4174" s="51">
        <v>1.013</v>
      </c>
      <c r="D4174" s="51">
        <v>66.0</v>
      </c>
      <c r="E4174" s="52" t="s">
        <v>25</v>
      </c>
      <c r="F4174" s="52" t="s">
        <v>26</v>
      </c>
      <c r="G4174" s="53"/>
    </row>
    <row r="4175">
      <c r="A4175" s="49">
        <v>44556.76060140046</v>
      </c>
      <c r="B4175" s="50">
        <v>44556.8855705555</v>
      </c>
      <c r="C4175" s="51">
        <v>1.013</v>
      </c>
      <c r="D4175" s="51">
        <v>66.0</v>
      </c>
      <c r="E4175" s="52" t="s">
        <v>25</v>
      </c>
      <c r="F4175" s="52" t="s">
        <v>26</v>
      </c>
      <c r="G4175" s="53"/>
    </row>
    <row r="4176">
      <c r="A4176" s="49">
        <v>44556.771029537034</v>
      </c>
      <c r="B4176" s="50">
        <v>44556.8960035532</v>
      </c>
      <c r="C4176" s="51">
        <v>1.013</v>
      </c>
      <c r="D4176" s="51">
        <v>66.0</v>
      </c>
      <c r="E4176" s="52" t="s">
        <v>25</v>
      </c>
      <c r="F4176" s="52" t="s">
        <v>26</v>
      </c>
      <c r="G4176" s="53"/>
    </row>
    <row r="4177">
      <c r="A4177" s="49">
        <v>44556.78145729167</v>
      </c>
      <c r="B4177" s="50">
        <v>44556.9064259143</v>
      </c>
      <c r="C4177" s="51">
        <v>1.013</v>
      </c>
      <c r="D4177" s="51">
        <v>66.0</v>
      </c>
      <c r="E4177" s="52" t="s">
        <v>25</v>
      </c>
      <c r="F4177" s="52" t="s">
        <v>26</v>
      </c>
      <c r="G4177" s="53"/>
    </row>
    <row r="4178">
      <c r="A4178" s="49">
        <v>44556.791909629625</v>
      </c>
      <c r="B4178" s="50">
        <v>44556.9168802546</v>
      </c>
      <c r="C4178" s="51">
        <v>1.013</v>
      </c>
      <c r="D4178" s="51">
        <v>66.0</v>
      </c>
      <c r="E4178" s="52" t="s">
        <v>25</v>
      </c>
      <c r="F4178" s="52" t="s">
        <v>26</v>
      </c>
      <c r="G4178" s="53"/>
    </row>
    <row r="4179">
      <c r="A4179" s="49">
        <v>44556.80235702546</v>
      </c>
      <c r="B4179" s="50">
        <v>44556.92733625</v>
      </c>
      <c r="C4179" s="51">
        <v>1.013</v>
      </c>
      <c r="D4179" s="51">
        <v>66.0</v>
      </c>
      <c r="E4179" s="52" t="s">
        <v>25</v>
      </c>
      <c r="F4179" s="52" t="s">
        <v>26</v>
      </c>
      <c r="G4179" s="53"/>
    </row>
    <row r="4180">
      <c r="A4180" s="49">
        <v>44556.8127896875</v>
      </c>
      <c r="B4180" s="50">
        <v>44556.937769537</v>
      </c>
      <c r="C4180" s="51">
        <v>1.013</v>
      </c>
      <c r="D4180" s="51">
        <v>66.0</v>
      </c>
      <c r="E4180" s="52" t="s">
        <v>25</v>
      </c>
      <c r="F4180" s="52" t="s">
        <v>26</v>
      </c>
      <c r="G4180" s="53"/>
    </row>
    <row r="4181">
      <c r="A4181" s="49">
        <v>44556.82321619213</v>
      </c>
      <c r="B4181" s="50">
        <v>44556.9481916782</v>
      </c>
      <c r="C4181" s="51">
        <v>1.013</v>
      </c>
      <c r="D4181" s="51">
        <v>66.0</v>
      </c>
      <c r="E4181" s="52" t="s">
        <v>25</v>
      </c>
      <c r="F4181" s="52" t="s">
        <v>26</v>
      </c>
      <c r="G4181" s="53"/>
    </row>
    <row r="4182">
      <c r="A4182" s="49">
        <v>44556.83365893518</v>
      </c>
      <c r="B4182" s="50">
        <v>44556.9586353125</v>
      </c>
      <c r="C4182" s="51">
        <v>1.013</v>
      </c>
      <c r="D4182" s="51">
        <v>66.0</v>
      </c>
      <c r="E4182" s="52" t="s">
        <v>25</v>
      </c>
      <c r="F4182" s="52" t="s">
        <v>26</v>
      </c>
      <c r="G4182" s="53"/>
    </row>
    <row r="4183">
      <c r="A4183" s="49">
        <v>44556.84407421296</v>
      </c>
      <c r="B4183" s="50">
        <v>44556.9690543171</v>
      </c>
      <c r="C4183" s="51">
        <v>1.013</v>
      </c>
      <c r="D4183" s="51">
        <v>66.0</v>
      </c>
      <c r="E4183" s="52" t="s">
        <v>25</v>
      </c>
      <c r="F4183" s="52" t="s">
        <v>26</v>
      </c>
      <c r="G4183" s="53"/>
    </row>
    <row r="4184">
      <c r="A4184" s="49">
        <v>44556.8545034375</v>
      </c>
      <c r="B4184" s="50">
        <v>44556.9794755092</v>
      </c>
      <c r="C4184" s="51">
        <v>1.013</v>
      </c>
      <c r="D4184" s="51">
        <v>66.0</v>
      </c>
      <c r="E4184" s="52" t="s">
        <v>25</v>
      </c>
      <c r="F4184" s="52" t="s">
        <v>26</v>
      </c>
      <c r="G4184" s="53"/>
    </row>
    <row r="4185">
      <c r="A4185" s="49">
        <v>44556.86493835648</v>
      </c>
      <c r="B4185" s="50">
        <v>44556.989908368</v>
      </c>
      <c r="C4185" s="51">
        <v>1.013</v>
      </c>
      <c r="D4185" s="51">
        <v>66.0</v>
      </c>
      <c r="E4185" s="52" t="s">
        <v>25</v>
      </c>
      <c r="F4185" s="52" t="s">
        <v>26</v>
      </c>
      <c r="G4185" s="53"/>
    </row>
    <row r="4186">
      <c r="A4186" s="49">
        <v>44556.87535710648</v>
      </c>
      <c r="B4186" s="50">
        <v>44557.0003299305</v>
      </c>
      <c r="C4186" s="51">
        <v>1.013</v>
      </c>
      <c r="D4186" s="51">
        <v>66.0</v>
      </c>
      <c r="E4186" s="52" t="s">
        <v>25</v>
      </c>
      <c r="F4186" s="52" t="s">
        <v>26</v>
      </c>
      <c r="G4186" s="53"/>
    </row>
    <row r="4187">
      <c r="A4187" s="49">
        <v>44556.88578166667</v>
      </c>
      <c r="B4187" s="50">
        <v>44557.0107509027</v>
      </c>
      <c r="C4187" s="51">
        <v>1.013</v>
      </c>
      <c r="D4187" s="51">
        <v>66.0</v>
      </c>
      <c r="E4187" s="52" t="s">
        <v>25</v>
      </c>
      <c r="F4187" s="52" t="s">
        <v>26</v>
      </c>
      <c r="G4187" s="53"/>
    </row>
    <row r="4188">
      <c r="A4188" s="49">
        <v>44556.896203819444</v>
      </c>
      <c r="B4188" s="50">
        <v>44557.021173206</v>
      </c>
      <c r="C4188" s="51">
        <v>1.013</v>
      </c>
      <c r="D4188" s="51">
        <v>66.0</v>
      </c>
      <c r="E4188" s="52" t="s">
        <v>25</v>
      </c>
      <c r="F4188" s="52" t="s">
        <v>26</v>
      </c>
      <c r="G4188" s="53"/>
    </row>
    <row r="4189">
      <c r="A4189" s="49">
        <v>44556.906661493056</v>
      </c>
      <c r="B4189" s="50">
        <v>44557.031629699</v>
      </c>
      <c r="C4189" s="51">
        <v>1.013</v>
      </c>
      <c r="D4189" s="51">
        <v>66.0</v>
      </c>
      <c r="E4189" s="52" t="s">
        <v>25</v>
      </c>
      <c r="F4189" s="52" t="s">
        <v>26</v>
      </c>
      <c r="G4189" s="53"/>
    </row>
    <row r="4190">
      <c r="A4190" s="49">
        <v>44556.91707332176</v>
      </c>
      <c r="B4190" s="50">
        <v>44557.0420506944</v>
      </c>
      <c r="C4190" s="51">
        <v>1.013</v>
      </c>
      <c r="D4190" s="51">
        <v>66.0</v>
      </c>
      <c r="E4190" s="52" t="s">
        <v>25</v>
      </c>
      <c r="F4190" s="52" t="s">
        <v>26</v>
      </c>
      <c r="G4190" s="53"/>
    </row>
    <row r="4191">
      <c r="A4191" s="49">
        <v>44556.92750394676</v>
      </c>
      <c r="B4191" s="50">
        <v>44557.0524736226</v>
      </c>
      <c r="C4191" s="51">
        <v>1.013</v>
      </c>
      <c r="D4191" s="51">
        <v>66.0</v>
      </c>
      <c r="E4191" s="52" t="s">
        <v>25</v>
      </c>
      <c r="F4191" s="52" t="s">
        <v>26</v>
      </c>
      <c r="G4191" s="53"/>
    </row>
    <row r="4192">
      <c r="A4192" s="49">
        <v>44556.93792761574</v>
      </c>
      <c r="B4192" s="50">
        <v>44557.0628956249</v>
      </c>
      <c r="C4192" s="51">
        <v>1.013</v>
      </c>
      <c r="D4192" s="51">
        <v>66.0</v>
      </c>
      <c r="E4192" s="52" t="s">
        <v>25</v>
      </c>
      <c r="F4192" s="52" t="s">
        <v>26</v>
      </c>
      <c r="G4192" s="53"/>
    </row>
    <row r="4193">
      <c r="A4193" s="49">
        <v>44556.94838123843</v>
      </c>
      <c r="B4193" s="50">
        <v>44557.0733513657</v>
      </c>
      <c r="C4193" s="51">
        <v>1.013</v>
      </c>
      <c r="D4193" s="51">
        <v>66.0</v>
      </c>
      <c r="E4193" s="52" t="s">
        <v>25</v>
      </c>
      <c r="F4193" s="52" t="s">
        <v>26</v>
      </c>
      <c r="G4193" s="53"/>
    </row>
    <row r="4194">
      <c r="A4194" s="49">
        <v>44556.95881974537</v>
      </c>
      <c r="B4194" s="50">
        <v>44557.0837954745</v>
      </c>
      <c r="C4194" s="51">
        <v>1.013</v>
      </c>
      <c r="D4194" s="51">
        <v>66.0</v>
      </c>
      <c r="E4194" s="52" t="s">
        <v>25</v>
      </c>
      <c r="F4194" s="52" t="s">
        <v>26</v>
      </c>
      <c r="G4194" s="53"/>
    </row>
    <row r="4195">
      <c r="A4195" s="49">
        <v>44556.969258425925</v>
      </c>
      <c r="B4195" s="50">
        <v>44557.0942286921</v>
      </c>
      <c r="C4195" s="51">
        <v>1.013</v>
      </c>
      <c r="D4195" s="51">
        <v>66.0</v>
      </c>
      <c r="E4195" s="52" t="s">
        <v>25</v>
      </c>
      <c r="F4195" s="52" t="s">
        <v>26</v>
      </c>
      <c r="G4195" s="53"/>
    </row>
    <row r="4196">
      <c r="A4196" s="49">
        <v>44556.979689837965</v>
      </c>
      <c r="B4196" s="50">
        <v>44557.1046478009</v>
      </c>
      <c r="C4196" s="51">
        <v>1.013</v>
      </c>
      <c r="D4196" s="51">
        <v>66.0</v>
      </c>
      <c r="E4196" s="52" t="s">
        <v>25</v>
      </c>
      <c r="F4196" s="52" t="s">
        <v>26</v>
      </c>
      <c r="G4196" s="53"/>
    </row>
    <row r="4197">
      <c r="A4197" s="49">
        <v>44556.990102881944</v>
      </c>
      <c r="B4197" s="50">
        <v>44557.1150792361</v>
      </c>
      <c r="C4197" s="51">
        <v>1.013</v>
      </c>
      <c r="D4197" s="51">
        <v>66.0</v>
      </c>
      <c r="E4197" s="52" t="s">
        <v>25</v>
      </c>
      <c r="F4197" s="52" t="s">
        <v>26</v>
      </c>
      <c r="G4197" s="53"/>
    </row>
    <row r="4198">
      <c r="A4198" s="49">
        <v>44557.00053287037</v>
      </c>
      <c r="B4198" s="50">
        <v>44557.1255001736</v>
      </c>
      <c r="C4198" s="51">
        <v>1.013</v>
      </c>
      <c r="D4198" s="51">
        <v>66.0</v>
      </c>
      <c r="E4198" s="52" t="s">
        <v>25</v>
      </c>
      <c r="F4198" s="52" t="s">
        <v>26</v>
      </c>
      <c r="G4198" s="53"/>
    </row>
    <row r="4199">
      <c r="A4199" s="49">
        <v>44557.01096950231</v>
      </c>
      <c r="B4199" s="50">
        <v>44557.1359329513</v>
      </c>
      <c r="C4199" s="51">
        <v>1.013</v>
      </c>
      <c r="D4199" s="51">
        <v>66.0</v>
      </c>
      <c r="E4199" s="52" t="s">
        <v>25</v>
      </c>
      <c r="F4199" s="52" t="s">
        <v>26</v>
      </c>
      <c r="G4199" s="53"/>
    </row>
    <row r="4200">
      <c r="A4200" s="49">
        <v>44557.02138016204</v>
      </c>
      <c r="B4200" s="50">
        <v>44557.1463542245</v>
      </c>
      <c r="C4200" s="51">
        <v>1.013</v>
      </c>
      <c r="D4200" s="51">
        <v>66.0</v>
      </c>
      <c r="E4200" s="52" t="s">
        <v>25</v>
      </c>
      <c r="F4200" s="52" t="s">
        <v>26</v>
      </c>
      <c r="G4200" s="53"/>
    </row>
    <row r="4201">
      <c r="A4201" s="49">
        <v>44557.03182402778</v>
      </c>
      <c r="B4201" s="50">
        <v>44557.1567982986</v>
      </c>
      <c r="C4201" s="51">
        <v>1.013</v>
      </c>
      <c r="D4201" s="51">
        <v>66.0</v>
      </c>
      <c r="E4201" s="52" t="s">
        <v>25</v>
      </c>
      <c r="F4201" s="52" t="s">
        <v>26</v>
      </c>
      <c r="G4201" s="53"/>
    </row>
    <row r="4202">
      <c r="A4202" s="49">
        <v>44557.042277789355</v>
      </c>
      <c r="B4202" s="50">
        <v>44557.167253287</v>
      </c>
      <c r="C4202" s="51">
        <v>1.013</v>
      </c>
      <c r="D4202" s="51">
        <v>66.0</v>
      </c>
      <c r="E4202" s="52" t="s">
        <v>25</v>
      </c>
      <c r="F4202" s="52" t="s">
        <v>26</v>
      </c>
      <c r="G4202" s="53"/>
    </row>
    <row r="4203">
      <c r="A4203" s="49">
        <v>44557.052702071756</v>
      </c>
      <c r="B4203" s="50">
        <v>44557.1776734953</v>
      </c>
      <c r="C4203" s="51">
        <v>1.013</v>
      </c>
      <c r="D4203" s="51">
        <v>66.0</v>
      </c>
      <c r="E4203" s="52" t="s">
        <v>25</v>
      </c>
      <c r="F4203" s="52" t="s">
        <v>26</v>
      </c>
      <c r="G4203" s="53"/>
    </row>
    <row r="4204">
      <c r="A4204" s="49">
        <v>44557.06312960648</v>
      </c>
      <c r="B4204" s="50">
        <v>44557.188094155</v>
      </c>
      <c r="C4204" s="51">
        <v>1.013</v>
      </c>
      <c r="D4204" s="51">
        <v>66.0</v>
      </c>
      <c r="E4204" s="52" t="s">
        <v>25</v>
      </c>
      <c r="F4204" s="52" t="s">
        <v>26</v>
      </c>
      <c r="G4204" s="53"/>
    </row>
    <row r="4205">
      <c r="A4205" s="49">
        <v>44557.07356201389</v>
      </c>
      <c r="B4205" s="50">
        <v>44557.1985261921</v>
      </c>
      <c r="C4205" s="51">
        <v>1.013</v>
      </c>
      <c r="D4205" s="51">
        <v>66.0</v>
      </c>
      <c r="E4205" s="52" t="s">
        <v>25</v>
      </c>
      <c r="F4205" s="52" t="s">
        <v>26</v>
      </c>
      <c r="G4205" s="53"/>
    </row>
    <row r="4206">
      <c r="A4206" s="49">
        <v>44557.083973113426</v>
      </c>
      <c r="B4206" s="50">
        <v>44557.2089470717</v>
      </c>
      <c r="C4206" s="51">
        <v>1.013</v>
      </c>
      <c r="D4206" s="51">
        <v>66.0</v>
      </c>
      <c r="E4206" s="52" t="s">
        <v>25</v>
      </c>
      <c r="F4206" s="52" t="s">
        <v>26</v>
      </c>
      <c r="G4206" s="53"/>
    </row>
    <row r="4207">
      <c r="A4207" s="49">
        <v>44557.09439622685</v>
      </c>
      <c r="B4207" s="50">
        <v>44557.2193684722</v>
      </c>
      <c r="C4207" s="51">
        <v>1.013</v>
      </c>
      <c r="D4207" s="51">
        <v>66.0</v>
      </c>
      <c r="E4207" s="52" t="s">
        <v>25</v>
      </c>
      <c r="F4207" s="52" t="s">
        <v>26</v>
      </c>
      <c r="G4207" s="53"/>
    </row>
    <row r="4208">
      <c r="A4208" s="49">
        <v>44557.10485068287</v>
      </c>
      <c r="B4208" s="50">
        <v>44557.2298248611</v>
      </c>
      <c r="C4208" s="51">
        <v>1.013</v>
      </c>
      <c r="D4208" s="51">
        <v>66.0</v>
      </c>
      <c r="E4208" s="52" t="s">
        <v>25</v>
      </c>
      <c r="F4208" s="52" t="s">
        <v>26</v>
      </c>
      <c r="G4208" s="53"/>
    </row>
    <row r="4209">
      <c r="A4209" s="49">
        <v>44557.115269166665</v>
      </c>
      <c r="B4209" s="50">
        <v>44557.2402468634</v>
      </c>
      <c r="C4209" s="51">
        <v>1.013</v>
      </c>
      <c r="D4209" s="51">
        <v>66.0</v>
      </c>
      <c r="E4209" s="52" t="s">
        <v>25</v>
      </c>
      <c r="F4209" s="52" t="s">
        <v>26</v>
      </c>
      <c r="G4209" s="53"/>
    </row>
    <row r="4210">
      <c r="A4210" s="49">
        <v>44557.12573009259</v>
      </c>
      <c r="B4210" s="50">
        <v>44557.250702581</v>
      </c>
      <c r="C4210" s="51">
        <v>1.013</v>
      </c>
      <c r="D4210" s="51">
        <v>66.0</v>
      </c>
      <c r="E4210" s="52" t="s">
        <v>25</v>
      </c>
      <c r="F4210" s="52" t="s">
        <v>26</v>
      </c>
      <c r="G4210" s="53"/>
    </row>
    <row r="4211">
      <c r="A4211" s="49">
        <v>44557.1362377662</v>
      </c>
      <c r="B4211" s="50">
        <v>44557.2612064351</v>
      </c>
      <c r="C4211" s="51">
        <v>1.013</v>
      </c>
      <c r="D4211" s="51">
        <v>66.0</v>
      </c>
      <c r="E4211" s="52" t="s">
        <v>25</v>
      </c>
      <c r="F4211" s="52" t="s">
        <v>26</v>
      </c>
      <c r="G4211" s="53"/>
    </row>
    <row r="4212">
      <c r="A4212" s="49">
        <v>44557.14666888889</v>
      </c>
      <c r="B4212" s="50">
        <v>44557.2716390277</v>
      </c>
      <c r="C4212" s="51">
        <v>1.013</v>
      </c>
      <c r="D4212" s="51">
        <v>66.0</v>
      </c>
      <c r="E4212" s="52" t="s">
        <v>25</v>
      </c>
      <c r="F4212" s="52" t="s">
        <v>26</v>
      </c>
      <c r="G4212" s="53"/>
    </row>
    <row r="4213">
      <c r="A4213" s="49">
        <v>44557.15708774306</v>
      </c>
      <c r="B4213" s="50">
        <v>44557.2820599652</v>
      </c>
      <c r="C4213" s="51">
        <v>1.013</v>
      </c>
      <c r="D4213" s="51">
        <v>66.0</v>
      </c>
      <c r="E4213" s="52" t="s">
        <v>25</v>
      </c>
      <c r="F4213" s="52" t="s">
        <v>26</v>
      </c>
      <c r="G4213" s="53"/>
    </row>
    <row r="4214">
      <c r="A4214" s="49">
        <v>44557.16750391204</v>
      </c>
      <c r="B4214" s="50">
        <v>44557.292480162</v>
      </c>
      <c r="C4214" s="51">
        <v>1.013</v>
      </c>
      <c r="D4214" s="51">
        <v>66.0</v>
      </c>
      <c r="E4214" s="52" t="s">
        <v>25</v>
      </c>
      <c r="F4214" s="52" t="s">
        <v>26</v>
      </c>
      <c r="G4214" s="53"/>
    </row>
    <row r="4215">
      <c r="A4215" s="49">
        <v>44557.17792815973</v>
      </c>
      <c r="B4215" s="50">
        <v>44557.3029026041</v>
      </c>
      <c r="C4215" s="51">
        <v>1.013</v>
      </c>
      <c r="D4215" s="51">
        <v>65.0</v>
      </c>
      <c r="E4215" s="52" t="s">
        <v>25</v>
      </c>
      <c r="F4215" s="52" t="s">
        <v>26</v>
      </c>
      <c r="G4215" s="53"/>
    </row>
    <row r="4216">
      <c r="A4216" s="49">
        <v>44557.18834399305</v>
      </c>
      <c r="B4216" s="50">
        <v>44557.3133235763</v>
      </c>
      <c r="C4216" s="51">
        <v>1.013</v>
      </c>
      <c r="D4216" s="51">
        <v>66.0</v>
      </c>
      <c r="E4216" s="52" t="s">
        <v>25</v>
      </c>
      <c r="F4216" s="52" t="s">
        <v>26</v>
      </c>
      <c r="G4216" s="53"/>
    </row>
    <row r="4217">
      <c r="A4217" s="49">
        <v>44557.19877341435</v>
      </c>
      <c r="B4217" s="50">
        <v>44557.3237443981</v>
      </c>
      <c r="C4217" s="51">
        <v>1.013</v>
      </c>
      <c r="D4217" s="51">
        <v>66.0</v>
      </c>
      <c r="E4217" s="52" t="s">
        <v>25</v>
      </c>
      <c r="F4217" s="52" t="s">
        <v>26</v>
      </c>
      <c r="G4217" s="53"/>
    </row>
    <row r="4218">
      <c r="A4218" s="49">
        <v>44557.20920363426</v>
      </c>
      <c r="B4218" s="50">
        <v>44557.3341786689</v>
      </c>
      <c r="C4218" s="51">
        <v>1.013</v>
      </c>
      <c r="D4218" s="51">
        <v>65.0</v>
      </c>
      <c r="E4218" s="52" t="s">
        <v>25</v>
      </c>
      <c r="F4218" s="52" t="s">
        <v>26</v>
      </c>
      <c r="G4218" s="53"/>
    </row>
    <row r="4219">
      <c r="A4219" s="49">
        <v>44557.219651493055</v>
      </c>
      <c r="B4219" s="50">
        <v>44557.3446095138</v>
      </c>
      <c r="C4219" s="51">
        <v>1.013</v>
      </c>
      <c r="D4219" s="51">
        <v>65.0</v>
      </c>
      <c r="E4219" s="52" t="s">
        <v>25</v>
      </c>
      <c r="F4219" s="52" t="s">
        <v>26</v>
      </c>
      <c r="G4219" s="53"/>
    </row>
    <row r="4220">
      <c r="A4220" s="49">
        <v>44557.23007017361</v>
      </c>
      <c r="B4220" s="50">
        <v>44557.3550421643</v>
      </c>
      <c r="C4220" s="51">
        <v>1.013</v>
      </c>
      <c r="D4220" s="51">
        <v>66.0</v>
      </c>
      <c r="E4220" s="52" t="s">
        <v>25</v>
      </c>
      <c r="F4220" s="52" t="s">
        <v>26</v>
      </c>
      <c r="G4220" s="53"/>
    </row>
    <row r="4221">
      <c r="A4221" s="49">
        <v>44557.24052349537</v>
      </c>
      <c r="B4221" s="50">
        <v>44557.3654868518</v>
      </c>
      <c r="C4221" s="51">
        <v>1.013</v>
      </c>
      <c r="D4221" s="51">
        <v>65.0</v>
      </c>
      <c r="E4221" s="52" t="s">
        <v>25</v>
      </c>
      <c r="F4221" s="52" t="s">
        <v>26</v>
      </c>
      <c r="G4221" s="53"/>
    </row>
    <row r="4222">
      <c r="A4222" s="49">
        <v>44557.25095594907</v>
      </c>
      <c r="B4222" s="50">
        <v>44557.3759204282</v>
      </c>
      <c r="C4222" s="51">
        <v>1.013</v>
      </c>
      <c r="D4222" s="51">
        <v>65.0</v>
      </c>
      <c r="E4222" s="52" t="s">
        <v>25</v>
      </c>
      <c r="F4222" s="52" t="s">
        <v>26</v>
      </c>
      <c r="G4222" s="53"/>
    </row>
    <row r="4223">
      <c r="A4223" s="49">
        <v>44557.26140268518</v>
      </c>
      <c r="B4223" s="50">
        <v>44557.3863767129</v>
      </c>
      <c r="C4223" s="51">
        <v>1.013</v>
      </c>
      <c r="D4223" s="51">
        <v>65.0</v>
      </c>
      <c r="E4223" s="52" t="s">
        <v>25</v>
      </c>
      <c r="F4223" s="52" t="s">
        <v>26</v>
      </c>
      <c r="G4223" s="53"/>
    </row>
    <row r="4224">
      <c r="A4224" s="49">
        <v>44557.27188901621</v>
      </c>
      <c r="B4224" s="50">
        <v>44557.3968555787</v>
      </c>
      <c r="C4224" s="51">
        <v>1.013</v>
      </c>
      <c r="D4224" s="51">
        <v>65.0</v>
      </c>
      <c r="E4224" s="52" t="s">
        <v>25</v>
      </c>
      <c r="F4224" s="52" t="s">
        <v>26</v>
      </c>
      <c r="G4224" s="53"/>
    </row>
    <row r="4225">
      <c r="A4225" s="49">
        <v>44557.282306875</v>
      </c>
      <c r="B4225" s="50">
        <v>44557.4072760416</v>
      </c>
      <c r="C4225" s="51">
        <v>1.013</v>
      </c>
      <c r="D4225" s="51">
        <v>65.0</v>
      </c>
      <c r="E4225" s="52" t="s">
        <v>25</v>
      </c>
      <c r="F4225" s="52" t="s">
        <v>26</v>
      </c>
      <c r="G4225" s="53"/>
    </row>
    <row r="4226">
      <c r="A4226" s="49">
        <v>44557.292741990736</v>
      </c>
      <c r="B4226" s="50">
        <v>44557.417708287</v>
      </c>
      <c r="C4226" s="51">
        <v>1.013</v>
      </c>
      <c r="D4226" s="51">
        <v>65.0</v>
      </c>
      <c r="E4226" s="52" t="s">
        <v>25</v>
      </c>
      <c r="F4226" s="52" t="s">
        <v>26</v>
      </c>
      <c r="G4226" s="53"/>
    </row>
    <row r="4227">
      <c r="A4227" s="49">
        <v>44557.30316822916</v>
      </c>
      <c r="B4227" s="50">
        <v>44557.4281416666</v>
      </c>
      <c r="C4227" s="51">
        <v>1.013</v>
      </c>
      <c r="D4227" s="51">
        <v>65.0</v>
      </c>
      <c r="E4227" s="52" t="s">
        <v>25</v>
      </c>
      <c r="F4227" s="52" t="s">
        <v>26</v>
      </c>
      <c r="G4227" s="53"/>
    </row>
    <row r="4228">
      <c r="A4228" s="49">
        <v>44557.313601319445</v>
      </c>
      <c r="B4228" s="50">
        <v>44557.4385753009</v>
      </c>
      <c r="C4228" s="51">
        <v>1.013</v>
      </c>
      <c r="D4228" s="51">
        <v>65.0</v>
      </c>
      <c r="E4228" s="52" t="s">
        <v>25</v>
      </c>
      <c r="F4228" s="52" t="s">
        <v>26</v>
      </c>
      <c r="G4228" s="53"/>
    </row>
    <row r="4229">
      <c r="A4229" s="49">
        <v>44557.32403711806</v>
      </c>
      <c r="B4229" s="50">
        <v>44557.4490071643</v>
      </c>
      <c r="C4229" s="51">
        <v>1.013</v>
      </c>
      <c r="D4229" s="51">
        <v>65.0</v>
      </c>
      <c r="E4229" s="52" t="s">
        <v>25</v>
      </c>
      <c r="F4229" s="52" t="s">
        <v>26</v>
      </c>
      <c r="G4229" s="53"/>
    </row>
    <row r="4230">
      <c r="A4230" s="49">
        <v>44557.33448052083</v>
      </c>
      <c r="B4230" s="50">
        <v>44557.4594528819</v>
      </c>
      <c r="C4230" s="51">
        <v>1.013</v>
      </c>
      <c r="D4230" s="51">
        <v>65.0</v>
      </c>
      <c r="E4230" s="52" t="s">
        <v>25</v>
      </c>
      <c r="F4230" s="52" t="s">
        <v>26</v>
      </c>
      <c r="G4230" s="53"/>
    </row>
    <row r="4231">
      <c r="A4231" s="49">
        <v>44557.344899247684</v>
      </c>
      <c r="B4231" s="50">
        <v>44557.4698748958</v>
      </c>
      <c r="C4231" s="51">
        <v>1.013</v>
      </c>
      <c r="D4231" s="51">
        <v>65.0</v>
      </c>
      <c r="E4231" s="52" t="s">
        <v>25</v>
      </c>
      <c r="F4231" s="52" t="s">
        <v>26</v>
      </c>
      <c r="G4231" s="53"/>
    </row>
    <row r="4232">
      <c r="A4232" s="49">
        <v>44557.355320312505</v>
      </c>
      <c r="B4232" s="50">
        <v>44557.4802941319</v>
      </c>
      <c r="C4232" s="51">
        <v>1.013</v>
      </c>
      <c r="D4232" s="51">
        <v>65.0</v>
      </c>
      <c r="E4232" s="52" t="s">
        <v>25</v>
      </c>
      <c r="F4232" s="52" t="s">
        <v>26</v>
      </c>
      <c r="G4232" s="53"/>
    </row>
    <row r="4233">
      <c r="A4233" s="49">
        <v>44557.36577402778</v>
      </c>
      <c r="B4233" s="50">
        <v>44557.490750081</v>
      </c>
      <c r="C4233" s="51">
        <v>1.013</v>
      </c>
      <c r="D4233" s="51">
        <v>65.0</v>
      </c>
      <c r="E4233" s="52" t="s">
        <v>25</v>
      </c>
      <c r="F4233" s="52" t="s">
        <v>26</v>
      </c>
      <c r="G4233" s="53"/>
    </row>
    <row r="4234">
      <c r="A4234" s="49">
        <v>44557.3762072338</v>
      </c>
      <c r="B4234" s="50">
        <v>44557.5011811921</v>
      </c>
      <c r="C4234" s="51">
        <v>1.013</v>
      </c>
      <c r="D4234" s="51">
        <v>65.0</v>
      </c>
      <c r="E4234" s="52" t="s">
        <v>25</v>
      </c>
      <c r="F4234" s="52" t="s">
        <v>26</v>
      </c>
      <c r="G4234" s="53"/>
    </row>
    <row r="4235">
      <c r="A4235" s="49">
        <v>44557.386637812495</v>
      </c>
      <c r="B4235" s="50">
        <v>44557.5116137731</v>
      </c>
      <c r="C4235" s="51">
        <v>1.013</v>
      </c>
      <c r="D4235" s="51">
        <v>65.0</v>
      </c>
      <c r="E4235" s="52" t="s">
        <v>25</v>
      </c>
      <c r="F4235" s="52" t="s">
        <v>26</v>
      </c>
      <c r="G4235" s="53"/>
    </row>
    <row r="4236">
      <c r="A4236" s="49">
        <v>44557.397067928236</v>
      </c>
      <c r="B4236" s="50">
        <v>44557.5220353587</v>
      </c>
      <c r="C4236" s="51">
        <v>1.013</v>
      </c>
      <c r="D4236" s="51">
        <v>65.0</v>
      </c>
      <c r="E4236" s="52" t="s">
        <v>25</v>
      </c>
      <c r="F4236" s="52" t="s">
        <v>26</v>
      </c>
      <c r="G4236" s="53"/>
    </row>
    <row r="4237">
      <c r="A4237" s="49">
        <v>44557.40751145833</v>
      </c>
      <c r="B4237" s="50">
        <v>44557.5324798958</v>
      </c>
      <c r="C4237" s="51">
        <v>1.013</v>
      </c>
      <c r="D4237" s="51">
        <v>65.0</v>
      </c>
      <c r="E4237" s="52" t="s">
        <v>25</v>
      </c>
      <c r="F4237" s="52" t="s">
        <v>26</v>
      </c>
      <c r="G4237" s="53"/>
    </row>
    <row r="4238">
      <c r="A4238" s="49">
        <v>44557.41796665509</v>
      </c>
      <c r="B4238" s="50">
        <v>44557.5429358564</v>
      </c>
      <c r="C4238" s="51">
        <v>1.013</v>
      </c>
      <c r="D4238" s="51">
        <v>65.0</v>
      </c>
      <c r="E4238" s="52" t="s">
        <v>25</v>
      </c>
      <c r="F4238" s="52" t="s">
        <v>26</v>
      </c>
      <c r="G4238" s="53"/>
    </row>
    <row r="4239">
      <c r="A4239" s="49">
        <v>44557.4283866551</v>
      </c>
      <c r="B4239" s="50">
        <v>44557.5533567824</v>
      </c>
      <c r="C4239" s="51">
        <v>1.013</v>
      </c>
      <c r="D4239" s="51">
        <v>65.0</v>
      </c>
      <c r="E4239" s="52" t="s">
        <v>25</v>
      </c>
      <c r="F4239" s="52" t="s">
        <v>26</v>
      </c>
      <c r="G4239" s="53"/>
    </row>
    <row r="4240">
      <c r="A4240" s="49">
        <v>44557.43881215277</v>
      </c>
      <c r="B4240" s="50">
        <v>44557.563778449</v>
      </c>
      <c r="C4240" s="51">
        <v>1.013</v>
      </c>
      <c r="D4240" s="51">
        <v>65.0</v>
      </c>
      <c r="E4240" s="52" t="s">
        <v>25</v>
      </c>
      <c r="F4240" s="52" t="s">
        <v>26</v>
      </c>
      <c r="G4240" s="53"/>
    </row>
    <row r="4241">
      <c r="A4241" s="49">
        <v>44557.449265717594</v>
      </c>
      <c r="B4241" s="50">
        <v>44557.5742368518</v>
      </c>
      <c r="C4241" s="51">
        <v>1.013</v>
      </c>
      <c r="D4241" s="51">
        <v>65.0</v>
      </c>
      <c r="E4241" s="52" t="s">
        <v>25</v>
      </c>
      <c r="F4241" s="52" t="s">
        <v>26</v>
      </c>
      <c r="G4241" s="53"/>
    </row>
    <row r="4242">
      <c r="A4242" s="49">
        <v>44557.45969887731</v>
      </c>
      <c r="B4242" s="50">
        <v>44557.5846704166</v>
      </c>
      <c r="C4242" s="51">
        <v>1.013</v>
      </c>
      <c r="D4242" s="51">
        <v>65.0</v>
      </c>
      <c r="E4242" s="52" t="s">
        <v>25</v>
      </c>
      <c r="F4242" s="52" t="s">
        <v>26</v>
      </c>
      <c r="G4242" s="53"/>
    </row>
    <row r="4243">
      <c r="A4243" s="49">
        <v>44557.47012753472</v>
      </c>
      <c r="B4243" s="50">
        <v>44557.5951030671</v>
      </c>
      <c r="C4243" s="51">
        <v>1.013</v>
      </c>
      <c r="D4243" s="51">
        <v>65.0</v>
      </c>
      <c r="E4243" s="52" t="s">
        <v>25</v>
      </c>
      <c r="F4243" s="52" t="s">
        <v>26</v>
      </c>
      <c r="G4243" s="53"/>
    </row>
    <row r="4244">
      <c r="A4244" s="49">
        <v>44557.480563923615</v>
      </c>
      <c r="B4244" s="50">
        <v>44557.6055359606</v>
      </c>
      <c r="C4244" s="51">
        <v>1.013</v>
      </c>
      <c r="D4244" s="51">
        <v>65.0</v>
      </c>
      <c r="E4244" s="52" t="s">
        <v>25</v>
      </c>
      <c r="F4244" s="52" t="s">
        <v>26</v>
      </c>
      <c r="G4244" s="53"/>
    </row>
    <row r="4245">
      <c r="A4245" s="49">
        <v>44557.49098902778</v>
      </c>
      <c r="B4245" s="50">
        <v>44557.6159538888</v>
      </c>
      <c r="C4245" s="51">
        <v>1.013</v>
      </c>
      <c r="D4245" s="51">
        <v>65.0</v>
      </c>
      <c r="E4245" s="52" t="s">
        <v>25</v>
      </c>
      <c r="F4245" s="52" t="s">
        <v>26</v>
      </c>
      <c r="G4245" s="53"/>
    </row>
    <row r="4246">
      <c r="A4246" s="49">
        <v>44557.50142627315</v>
      </c>
      <c r="B4246" s="50">
        <v>44557.626398993</v>
      </c>
      <c r="C4246" s="51">
        <v>1.013</v>
      </c>
      <c r="D4246" s="51">
        <v>65.0</v>
      </c>
      <c r="E4246" s="52" t="s">
        <v>25</v>
      </c>
      <c r="F4246" s="52" t="s">
        <v>26</v>
      </c>
      <c r="G4246" s="53"/>
    </row>
    <row r="4247">
      <c r="A4247" s="49">
        <v>44557.51189740741</v>
      </c>
      <c r="B4247" s="50">
        <v>44557.6368650694</v>
      </c>
      <c r="C4247" s="51">
        <v>1.013</v>
      </c>
      <c r="D4247" s="51">
        <v>65.0</v>
      </c>
      <c r="E4247" s="52" t="s">
        <v>25</v>
      </c>
      <c r="F4247" s="52" t="s">
        <v>26</v>
      </c>
      <c r="G4247" s="53"/>
    </row>
    <row r="4248">
      <c r="A4248" s="49">
        <v>44557.52234416667</v>
      </c>
      <c r="B4248" s="50">
        <v>44557.6473218518</v>
      </c>
      <c r="C4248" s="51">
        <v>1.013</v>
      </c>
      <c r="D4248" s="51">
        <v>65.0</v>
      </c>
      <c r="E4248" s="52" t="s">
        <v>25</v>
      </c>
      <c r="F4248" s="52" t="s">
        <v>26</v>
      </c>
      <c r="G4248" s="53"/>
    </row>
    <row r="4249">
      <c r="A4249" s="49">
        <v>44557.53276700231</v>
      </c>
      <c r="B4249" s="50">
        <v>44557.6577431944</v>
      </c>
      <c r="C4249" s="51">
        <v>1.013</v>
      </c>
      <c r="D4249" s="51">
        <v>65.0</v>
      </c>
      <c r="E4249" s="52" t="s">
        <v>25</v>
      </c>
      <c r="F4249" s="52" t="s">
        <v>26</v>
      </c>
      <c r="G4249" s="53"/>
    </row>
    <row r="4250">
      <c r="A4250" s="49">
        <v>44557.543189895834</v>
      </c>
      <c r="B4250" s="50">
        <v>44557.6681640972</v>
      </c>
      <c r="C4250" s="51">
        <v>1.013</v>
      </c>
      <c r="D4250" s="51">
        <v>65.0</v>
      </c>
      <c r="E4250" s="52" t="s">
        <v>25</v>
      </c>
      <c r="F4250" s="52" t="s">
        <v>26</v>
      </c>
      <c r="G4250" s="53"/>
    </row>
    <row r="4251">
      <c r="A4251" s="49">
        <v>44557.55362759259</v>
      </c>
      <c r="B4251" s="50">
        <v>44557.6785961574</v>
      </c>
      <c r="C4251" s="51">
        <v>1.013</v>
      </c>
      <c r="D4251" s="51">
        <v>65.0</v>
      </c>
      <c r="E4251" s="52" t="s">
        <v>25</v>
      </c>
      <c r="F4251" s="52" t="s">
        <v>26</v>
      </c>
      <c r="G4251" s="53"/>
    </row>
    <row r="4252">
      <c r="A4252" s="49">
        <v>44557.564061770834</v>
      </c>
      <c r="B4252" s="50">
        <v>44557.6890283217</v>
      </c>
      <c r="C4252" s="51">
        <v>1.013</v>
      </c>
      <c r="D4252" s="51">
        <v>65.0</v>
      </c>
      <c r="E4252" s="52" t="s">
        <v>25</v>
      </c>
      <c r="F4252" s="52" t="s">
        <v>26</v>
      </c>
      <c r="G4252" s="53"/>
    </row>
    <row r="4253">
      <c r="A4253" s="49">
        <v>44557.574484490746</v>
      </c>
      <c r="B4253" s="50">
        <v>44557.6994586921</v>
      </c>
      <c r="C4253" s="51">
        <v>1.013</v>
      </c>
      <c r="D4253" s="51">
        <v>65.0</v>
      </c>
      <c r="E4253" s="52" t="s">
        <v>25</v>
      </c>
      <c r="F4253" s="52" t="s">
        <v>26</v>
      </c>
      <c r="G4253" s="53"/>
    </row>
    <row r="4254">
      <c r="A4254" s="49">
        <v>44557.58490125</v>
      </c>
      <c r="B4254" s="50">
        <v>44557.7098797453</v>
      </c>
      <c r="C4254" s="51">
        <v>1.013</v>
      </c>
      <c r="D4254" s="51">
        <v>65.0</v>
      </c>
      <c r="E4254" s="52" t="s">
        <v>25</v>
      </c>
      <c r="F4254" s="52" t="s">
        <v>26</v>
      </c>
      <c r="G4254" s="53"/>
    </row>
    <row r="4255">
      <c r="A4255" s="49">
        <v>44557.59537063657</v>
      </c>
      <c r="B4255" s="50">
        <v>44557.720346875</v>
      </c>
      <c r="C4255" s="51">
        <v>1.013</v>
      </c>
      <c r="D4255" s="51">
        <v>65.0</v>
      </c>
      <c r="E4255" s="52" t="s">
        <v>25</v>
      </c>
      <c r="F4255" s="52" t="s">
        <v>26</v>
      </c>
      <c r="G4255" s="53"/>
    </row>
    <row r="4256">
      <c r="A4256" s="49">
        <v>44557.60582990741</v>
      </c>
      <c r="B4256" s="50">
        <v>44557.7307931018</v>
      </c>
      <c r="C4256" s="51">
        <v>1.013</v>
      </c>
      <c r="D4256" s="51">
        <v>65.0</v>
      </c>
      <c r="E4256" s="52" t="s">
        <v>25</v>
      </c>
      <c r="F4256" s="52" t="s">
        <v>26</v>
      </c>
      <c r="G4256" s="53"/>
    </row>
    <row r="4257">
      <c r="A4257" s="49">
        <v>44557.61625535879</v>
      </c>
      <c r="B4257" s="50">
        <v>44557.7412260995</v>
      </c>
      <c r="C4257" s="51">
        <v>1.013</v>
      </c>
      <c r="D4257" s="51">
        <v>65.0</v>
      </c>
      <c r="E4257" s="52" t="s">
        <v>25</v>
      </c>
      <c r="F4257" s="52" t="s">
        <v>26</v>
      </c>
      <c r="G4257" s="53"/>
    </row>
    <row r="4258">
      <c r="A4258" s="49">
        <v>44557.62667923611</v>
      </c>
      <c r="B4258" s="50">
        <v>44557.7516465972</v>
      </c>
      <c r="C4258" s="51">
        <v>1.013</v>
      </c>
      <c r="D4258" s="51">
        <v>65.0</v>
      </c>
      <c r="E4258" s="52" t="s">
        <v>25</v>
      </c>
      <c r="F4258" s="52" t="s">
        <v>26</v>
      </c>
      <c r="G4258" s="53"/>
    </row>
    <row r="4259">
      <c r="A4259" s="49">
        <v>44557.63709633102</v>
      </c>
      <c r="B4259" s="50">
        <v>44557.762067199</v>
      </c>
      <c r="C4259" s="51">
        <v>1.013</v>
      </c>
      <c r="D4259" s="51">
        <v>65.0</v>
      </c>
      <c r="E4259" s="52" t="s">
        <v>25</v>
      </c>
      <c r="F4259" s="52" t="s">
        <v>26</v>
      </c>
      <c r="G4259" s="53"/>
    </row>
    <row r="4260">
      <c r="A4260" s="49">
        <v>44557.64752355324</v>
      </c>
      <c r="B4260" s="50">
        <v>44557.772489618</v>
      </c>
      <c r="C4260" s="51">
        <v>1.013</v>
      </c>
      <c r="D4260" s="51">
        <v>65.0</v>
      </c>
      <c r="E4260" s="52" t="s">
        <v>25</v>
      </c>
      <c r="F4260" s="52" t="s">
        <v>26</v>
      </c>
      <c r="G4260" s="53"/>
    </row>
    <row r="4261">
      <c r="A4261" s="49">
        <v>44557.65795548611</v>
      </c>
      <c r="B4261" s="50">
        <v>44557.7829216666</v>
      </c>
      <c r="C4261" s="51">
        <v>1.013</v>
      </c>
      <c r="D4261" s="51">
        <v>65.0</v>
      </c>
      <c r="E4261" s="52" t="s">
        <v>25</v>
      </c>
      <c r="F4261" s="52" t="s">
        <v>26</v>
      </c>
      <c r="G4261" s="53"/>
    </row>
    <row r="4262">
      <c r="A4262" s="49">
        <v>44557.668367349535</v>
      </c>
      <c r="B4262" s="50">
        <v>44557.7933425578</v>
      </c>
      <c r="C4262" s="51">
        <v>1.013</v>
      </c>
      <c r="D4262" s="51">
        <v>65.0</v>
      </c>
      <c r="E4262" s="52" t="s">
        <v>25</v>
      </c>
      <c r="F4262" s="52" t="s">
        <v>26</v>
      </c>
      <c r="G4262" s="53"/>
    </row>
    <row r="4263">
      <c r="A4263" s="49">
        <v>44557.67879160879</v>
      </c>
      <c r="B4263" s="50">
        <v>44557.8037632175</v>
      </c>
      <c r="C4263" s="51">
        <v>1.013</v>
      </c>
      <c r="D4263" s="51">
        <v>65.0</v>
      </c>
      <c r="E4263" s="52" t="s">
        <v>25</v>
      </c>
      <c r="F4263" s="52" t="s">
        <v>26</v>
      </c>
      <c r="G4263" s="53"/>
    </row>
    <row r="4264">
      <c r="A4264" s="49">
        <v>44557.68927503472</v>
      </c>
      <c r="B4264" s="50">
        <v>44557.8142527546</v>
      </c>
      <c r="C4264" s="51">
        <v>1.013</v>
      </c>
      <c r="D4264" s="51">
        <v>65.0</v>
      </c>
      <c r="E4264" s="52" t="s">
        <v>25</v>
      </c>
      <c r="F4264" s="52" t="s">
        <v>26</v>
      </c>
      <c r="G4264" s="53"/>
    </row>
    <row r="4265">
      <c r="A4265" s="49">
        <v>44557.69969923611</v>
      </c>
      <c r="B4265" s="50">
        <v>44557.824673831</v>
      </c>
      <c r="C4265" s="51">
        <v>1.013</v>
      </c>
      <c r="D4265" s="51">
        <v>65.0</v>
      </c>
      <c r="E4265" s="52" t="s">
        <v>25</v>
      </c>
      <c r="F4265" s="52" t="s">
        <v>26</v>
      </c>
      <c r="G4265" s="53"/>
    </row>
    <row r="4266">
      <c r="A4266" s="49">
        <v>44557.71013528935</v>
      </c>
      <c r="B4266" s="50">
        <v>44557.8351045486</v>
      </c>
      <c r="C4266" s="51">
        <v>1.013</v>
      </c>
      <c r="D4266" s="51">
        <v>65.0</v>
      </c>
      <c r="E4266" s="52" t="s">
        <v>25</v>
      </c>
      <c r="F4266" s="52" t="s">
        <v>26</v>
      </c>
      <c r="G4266" s="53"/>
    </row>
    <row r="4267">
      <c r="A4267" s="49">
        <v>44557.720593125</v>
      </c>
      <c r="B4267" s="50">
        <v>44557.8455614814</v>
      </c>
      <c r="C4267" s="51">
        <v>1.013</v>
      </c>
      <c r="D4267" s="51">
        <v>65.0</v>
      </c>
      <c r="E4267" s="52" t="s">
        <v>25</v>
      </c>
      <c r="F4267" s="52" t="s">
        <v>26</v>
      </c>
      <c r="G4267" s="53"/>
    </row>
    <row r="4268">
      <c r="A4268" s="49">
        <v>44557.731033993055</v>
      </c>
      <c r="B4268" s="50">
        <v>44557.8560042129</v>
      </c>
      <c r="C4268" s="51">
        <v>1.013</v>
      </c>
      <c r="D4268" s="51">
        <v>65.0</v>
      </c>
      <c r="E4268" s="52" t="s">
        <v>25</v>
      </c>
      <c r="F4268" s="52" t="s">
        <v>26</v>
      </c>
      <c r="G4268" s="53"/>
    </row>
    <row r="4269">
      <c r="A4269" s="49">
        <v>44557.741456250005</v>
      </c>
      <c r="B4269" s="50">
        <v>44557.8664248495</v>
      </c>
      <c r="C4269" s="51">
        <v>1.013</v>
      </c>
      <c r="D4269" s="51">
        <v>65.0</v>
      </c>
      <c r="E4269" s="52" t="s">
        <v>25</v>
      </c>
      <c r="F4269" s="52" t="s">
        <v>26</v>
      </c>
      <c r="G4269" s="53"/>
    </row>
    <row r="4270">
      <c r="A4270" s="49">
        <v>44557.751876678245</v>
      </c>
      <c r="B4270" s="50">
        <v>44557.8768455671</v>
      </c>
      <c r="C4270" s="51">
        <v>1.013</v>
      </c>
      <c r="D4270" s="51">
        <v>65.0</v>
      </c>
      <c r="E4270" s="52" t="s">
        <v>25</v>
      </c>
      <c r="F4270" s="52" t="s">
        <v>26</v>
      </c>
      <c r="G4270" s="53"/>
    </row>
    <row r="4271">
      <c r="A4271" s="49">
        <v>44557.76230664352</v>
      </c>
      <c r="B4271" s="50">
        <v>44557.8872773842</v>
      </c>
      <c r="C4271" s="51">
        <v>1.013</v>
      </c>
      <c r="D4271" s="51">
        <v>65.0</v>
      </c>
      <c r="E4271" s="52" t="s">
        <v>25</v>
      </c>
      <c r="F4271" s="52" t="s">
        <v>26</v>
      </c>
      <c r="G4271" s="53"/>
    </row>
    <row r="4272">
      <c r="A4272" s="49">
        <v>44557.772729351855</v>
      </c>
      <c r="B4272" s="50">
        <v>44557.8977015509</v>
      </c>
      <c r="C4272" s="51">
        <v>1.013</v>
      </c>
      <c r="D4272" s="51">
        <v>65.0</v>
      </c>
      <c r="E4272" s="52" t="s">
        <v>25</v>
      </c>
      <c r="F4272" s="52" t="s">
        <v>26</v>
      </c>
      <c r="G4272" s="53"/>
    </row>
    <row r="4273">
      <c r="A4273" s="49">
        <v>44557.78314979166</v>
      </c>
      <c r="B4273" s="50">
        <v>44557.9081244675</v>
      </c>
      <c r="C4273" s="51">
        <v>1.013</v>
      </c>
      <c r="D4273" s="51">
        <v>65.0</v>
      </c>
      <c r="E4273" s="52" t="s">
        <v>25</v>
      </c>
      <c r="F4273" s="52" t="s">
        <v>26</v>
      </c>
      <c r="G4273" s="53"/>
    </row>
    <row r="4274">
      <c r="A4274" s="49">
        <v>44557.793568090274</v>
      </c>
      <c r="B4274" s="50">
        <v>44557.9185441666</v>
      </c>
      <c r="C4274" s="51">
        <v>1.013</v>
      </c>
      <c r="D4274" s="51">
        <v>65.0</v>
      </c>
      <c r="E4274" s="52" t="s">
        <v>25</v>
      </c>
      <c r="F4274" s="52" t="s">
        <v>26</v>
      </c>
      <c r="G4274" s="53"/>
    </row>
    <row r="4275">
      <c r="A4275" s="49">
        <v>44557.803987719904</v>
      </c>
      <c r="B4275" s="50">
        <v>44557.9289662152</v>
      </c>
      <c r="C4275" s="51">
        <v>1.013</v>
      </c>
      <c r="D4275" s="51">
        <v>65.0</v>
      </c>
      <c r="E4275" s="52" t="s">
        <v>25</v>
      </c>
      <c r="F4275" s="52" t="s">
        <v>26</v>
      </c>
      <c r="G4275" s="53"/>
    </row>
    <row r="4276">
      <c r="A4276" s="49">
        <v>44557.81440996528</v>
      </c>
      <c r="B4276" s="50">
        <v>44557.9393871296</v>
      </c>
      <c r="C4276" s="51">
        <v>1.013</v>
      </c>
      <c r="D4276" s="51">
        <v>65.0</v>
      </c>
      <c r="E4276" s="52" t="s">
        <v>25</v>
      </c>
      <c r="F4276" s="52" t="s">
        <v>26</v>
      </c>
      <c r="G4276" s="53"/>
    </row>
    <row r="4277">
      <c r="A4277" s="49">
        <v>44557.82486277778</v>
      </c>
      <c r="B4277" s="50">
        <v>44557.9498319444</v>
      </c>
      <c r="C4277" s="51">
        <v>1.013</v>
      </c>
      <c r="D4277" s="51">
        <v>65.0</v>
      </c>
      <c r="E4277" s="52" t="s">
        <v>25</v>
      </c>
      <c r="F4277" s="52" t="s">
        <v>26</v>
      </c>
      <c r="G4277" s="53"/>
    </row>
    <row r="4278">
      <c r="A4278" s="49">
        <v>44557.83527362268</v>
      </c>
      <c r="B4278" s="50">
        <v>44557.9602528819</v>
      </c>
      <c r="C4278" s="51">
        <v>1.013</v>
      </c>
      <c r="D4278" s="51">
        <v>65.0</v>
      </c>
      <c r="E4278" s="52" t="s">
        <v>25</v>
      </c>
      <c r="F4278" s="52" t="s">
        <v>26</v>
      </c>
      <c r="G4278" s="53"/>
    </row>
    <row r="4279">
      <c r="A4279" s="49">
        <v>44557.84571496528</v>
      </c>
      <c r="B4279" s="50">
        <v>44557.9706853124</v>
      </c>
      <c r="C4279" s="51">
        <v>1.013</v>
      </c>
      <c r="D4279" s="51">
        <v>65.0</v>
      </c>
      <c r="E4279" s="52" t="s">
        <v>25</v>
      </c>
      <c r="F4279" s="52" t="s">
        <v>26</v>
      </c>
      <c r="G4279" s="53"/>
    </row>
    <row r="4280">
      <c r="A4280" s="49">
        <v>44557.856148113424</v>
      </c>
      <c r="B4280" s="50">
        <v>44557.9811177893</v>
      </c>
      <c r="C4280" s="51">
        <v>1.013</v>
      </c>
      <c r="D4280" s="51">
        <v>65.0</v>
      </c>
      <c r="E4280" s="52" t="s">
        <v>25</v>
      </c>
      <c r="F4280" s="52" t="s">
        <v>26</v>
      </c>
      <c r="G4280" s="53"/>
    </row>
    <row r="4281">
      <c r="A4281" s="49">
        <v>44557.86658090277</v>
      </c>
      <c r="B4281" s="50">
        <v>44557.9915501157</v>
      </c>
      <c r="C4281" s="51">
        <v>1.013</v>
      </c>
      <c r="D4281" s="51">
        <v>65.0</v>
      </c>
      <c r="E4281" s="52" t="s">
        <v>25</v>
      </c>
      <c r="F4281" s="52" t="s">
        <v>26</v>
      </c>
      <c r="G4281" s="53"/>
    </row>
    <row r="4282">
      <c r="A4282" s="49">
        <v>44557.87700335648</v>
      </c>
      <c r="B4282" s="50">
        <v>44558.0019701967</v>
      </c>
      <c r="C4282" s="51">
        <v>1.013</v>
      </c>
      <c r="D4282" s="51">
        <v>65.0</v>
      </c>
      <c r="E4282" s="52" t="s">
        <v>25</v>
      </c>
      <c r="F4282" s="52" t="s">
        <v>26</v>
      </c>
      <c r="G4282" s="53"/>
    </row>
    <row r="4283">
      <c r="A4283" s="49">
        <v>44557.88744387732</v>
      </c>
      <c r="B4283" s="50">
        <v>44558.0124149537</v>
      </c>
      <c r="C4283" s="51">
        <v>1.013</v>
      </c>
      <c r="D4283" s="51">
        <v>65.0</v>
      </c>
      <c r="E4283" s="52" t="s">
        <v>25</v>
      </c>
      <c r="F4283" s="52" t="s">
        <v>26</v>
      </c>
      <c r="G4283" s="53"/>
    </row>
    <row r="4284">
      <c r="A4284" s="49">
        <v>44557.897864363425</v>
      </c>
      <c r="B4284" s="50">
        <v>44558.0228340509</v>
      </c>
      <c r="C4284" s="51">
        <v>1.013</v>
      </c>
      <c r="D4284" s="51">
        <v>65.0</v>
      </c>
      <c r="E4284" s="52" t="s">
        <v>25</v>
      </c>
      <c r="F4284" s="52" t="s">
        <v>26</v>
      </c>
      <c r="G4284" s="53"/>
    </row>
    <row r="4285">
      <c r="A4285" s="49">
        <v>44557.90828498843</v>
      </c>
      <c r="B4285" s="50">
        <v>44558.0332557638</v>
      </c>
      <c r="C4285" s="51">
        <v>1.013</v>
      </c>
      <c r="D4285" s="51">
        <v>65.0</v>
      </c>
      <c r="E4285" s="52" t="s">
        <v>25</v>
      </c>
      <c r="F4285" s="52" t="s">
        <v>26</v>
      </c>
      <c r="G4285" s="53"/>
    </row>
    <row r="4286">
      <c r="A4286" s="49">
        <v>44557.9187359375</v>
      </c>
      <c r="B4286" s="50">
        <v>44558.0436981134</v>
      </c>
      <c r="C4286" s="51">
        <v>1.013</v>
      </c>
      <c r="D4286" s="51">
        <v>65.0</v>
      </c>
      <c r="E4286" s="52" t="s">
        <v>25</v>
      </c>
      <c r="F4286" s="52" t="s">
        <v>26</v>
      </c>
      <c r="G4286" s="53"/>
    </row>
    <row r="4287">
      <c r="A4287" s="49">
        <v>44557.92915070602</v>
      </c>
      <c r="B4287" s="50">
        <v>44558.0541196296</v>
      </c>
      <c r="C4287" s="51">
        <v>1.013</v>
      </c>
      <c r="D4287" s="51">
        <v>64.0</v>
      </c>
      <c r="E4287" s="52" t="s">
        <v>25</v>
      </c>
      <c r="F4287" s="52" t="s">
        <v>26</v>
      </c>
      <c r="G4287" s="53"/>
    </row>
    <row r="4288">
      <c r="A4288" s="49">
        <v>44557.93960184028</v>
      </c>
      <c r="B4288" s="50">
        <v>44558.0645766666</v>
      </c>
      <c r="C4288" s="51">
        <v>1.013</v>
      </c>
      <c r="D4288" s="51">
        <v>64.0</v>
      </c>
      <c r="E4288" s="52" t="s">
        <v>25</v>
      </c>
      <c r="F4288" s="52" t="s">
        <v>26</v>
      </c>
      <c r="G4288" s="53"/>
    </row>
    <row r="4289">
      <c r="A4289" s="49">
        <v>44557.95008060185</v>
      </c>
      <c r="B4289" s="50">
        <v>44558.0750555555</v>
      </c>
      <c r="C4289" s="51">
        <v>1.013</v>
      </c>
      <c r="D4289" s="51">
        <v>64.0</v>
      </c>
      <c r="E4289" s="52" t="s">
        <v>25</v>
      </c>
      <c r="F4289" s="52" t="s">
        <v>26</v>
      </c>
      <c r="G4289" s="53"/>
    </row>
    <row r="4290">
      <c r="A4290" s="49">
        <v>44557.9607521875</v>
      </c>
      <c r="B4290" s="50">
        <v>44558.0854785185</v>
      </c>
      <c r="C4290" s="51">
        <v>1.013</v>
      </c>
      <c r="D4290" s="51">
        <v>64.0</v>
      </c>
      <c r="E4290" s="52" t="s">
        <v>25</v>
      </c>
      <c r="F4290" s="52" t="s">
        <v>26</v>
      </c>
      <c r="G4290" s="53"/>
    </row>
    <row r="4291">
      <c r="A4291" s="49">
        <v>44557.97095520834</v>
      </c>
      <c r="B4291" s="50">
        <v>44558.0959228587</v>
      </c>
      <c r="C4291" s="51">
        <v>1.013</v>
      </c>
      <c r="D4291" s="51">
        <v>64.0</v>
      </c>
      <c r="E4291" s="52" t="s">
        <v>25</v>
      </c>
      <c r="F4291" s="52" t="s">
        <v>26</v>
      </c>
      <c r="G4291" s="53"/>
    </row>
    <row r="4292">
      <c r="A4292" s="49">
        <v>44557.9814359375</v>
      </c>
      <c r="B4292" s="50">
        <v>44558.1064034722</v>
      </c>
      <c r="C4292" s="51">
        <v>1.013</v>
      </c>
      <c r="D4292" s="51">
        <v>64.0</v>
      </c>
      <c r="E4292" s="52" t="s">
        <v>25</v>
      </c>
      <c r="F4292" s="52" t="s">
        <v>26</v>
      </c>
      <c r="G4292" s="53"/>
    </row>
    <row r="4293">
      <c r="A4293" s="49">
        <v>44557.991873541665</v>
      </c>
      <c r="B4293" s="50">
        <v>44558.1168358564</v>
      </c>
      <c r="C4293" s="51">
        <v>1.013</v>
      </c>
      <c r="D4293" s="51">
        <v>64.0</v>
      </c>
      <c r="E4293" s="52" t="s">
        <v>25</v>
      </c>
      <c r="F4293" s="52" t="s">
        <v>26</v>
      </c>
      <c r="G4293" s="53"/>
    </row>
    <row r="4294">
      <c r="A4294" s="49">
        <v>44558.00239826389</v>
      </c>
      <c r="B4294" s="50">
        <v>44558.1273622916</v>
      </c>
      <c r="C4294" s="51">
        <v>1.013</v>
      </c>
      <c r="D4294" s="51">
        <v>64.0</v>
      </c>
      <c r="E4294" s="52" t="s">
        <v>25</v>
      </c>
      <c r="F4294" s="52" t="s">
        <v>26</v>
      </c>
      <c r="G4294" s="53"/>
    </row>
    <row r="4295">
      <c r="A4295" s="49">
        <v>44558.01284292824</v>
      </c>
      <c r="B4295" s="50">
        <v>44558.1378196643</v>
      </c>
      <c r="C4295" s="51">
        <v>1.013</v>
      </c>
      <c r="D4295" s="51">
        <v>64.0</v>
      </c>
      <c r="E4295" s="52" t="s">
        <v>25</v>
      </c>
      <c r="F4295" s="52" t="s">
        <v>26</v>
      </c>
      <c r="G4295" s="53"/>
    </row>
    <row r="4296">
      <c r="A4296" s="49">
        <v>44558.023298113425</v>
      </c>
      <c r="B4296" s="50">
        <v>44558.1482762152</v>
      </c>
      <c r="C4296" s="51">
        <v>1.013</v>
      </c>
      <c r="D4296" s="51">
        <v>64.0</v>
      </c>
      <c r="E4296" s="52" t="s">
        <v>25</v>
      </c>
      <c r="F4296" s="52" t="s">
        <v>26</v>
      </c>
      <c r="G4296" s="53"/>
    </row>
    <row r="4297">
      <c r="A4297" s="49">
        <v>44558.03378805556</v>
      </c>
      <c r="B4297" s="50">
        <v>44558.1587569907</v>
      </c>
      <c r="C4297" s="51">
        <v>1.013</v>
      </c>
      <c r="D4297" s="51">
        <v>64.0</v>
      </c>
      <c r="E4297" s="52" t="s">
        <v>25</v>
      </c>
      <c r="F4297" s="52" t="s">
        <v>26</v>
      </c>
      <c r="G4297" s="53"/>
    </row>
    <row r="4298">
      <c r="A4298" s="49">
        <v>44558.04420873843</v>
      </c>
      <c r="B4298" s="50">
        <v>44558.1691787152</v>
      </c>
      <c r="C4298" s="51">
        <v>1.013</v>
      </c>
      <c r="D4298" s="51">
        <v>64.0</v>
      </c>
      <c r="E4298" s="52" t="s">
        <v>25</v>
      </c>
      <c r="F4298" s="52" t="s">
        <v>26</v>
      </c>
      <c r="G4298" s="53"/>
    </row>
    <row r="4299">
      <c r="A4299" s="49">
        <v>44558.05463837963</v>
      </c>
      <c r="B4299" s="50">
        <v>44558.179609537</v>
      </c>
      <c r="C4299" s="51">
        <v>1.013</v>
      </c>
      <c r="D4299" s="51">
        <v>64.0</v>
      </c>
      <c r="E4299" s="52" t="s">
        <v>25</v>
      </c>
      <c r="F4299" s="52" t="s">
        <v>26</v>
      </c>
      <c r="G4299" s="53"/>
    </row>
    <row r="4300">
      <c r="A4300" s="49">
        <v>44558.065066944444</v>
      </c>
      <c r="B4300" s="50">
        <v>44558.1900312268</v>
      </c>
      <c r="C4300" s="51">
        <v>1.013</v>
      </c>
      <c r="D4300" s="51">
        <v>64.0</v>
      </c>
      <c r="E4300" s="52" t="s">
        <v>25</v>
      </c>
      <c r="F4300" s="52" t="s">
        <v>26</v>
      </c>
      <c r="G4300" s="53"/>
    </row>
    <row r="4301">
      <c r="A4301" s="49">
        <v>44558.07548082176</v>
      </c>
      <c r="B4301" s="50">
        <v>44558.2004519212</v>
      </c>
      <c r="C4301" s="51">
        <v>1.013</v>
      </c>
      <c r="D4301" s="51">
        <v>64.0</v>
      </c>
      <c r="E4301" s="52" t="s">
        <v>25</v>
      </c>
      <c r="F4301" s="52" t="s">
        <v>26</v>
      </c>
      <c r="G4301" s="53"/>
    </row>
    <row r="4302">
      <c r="A4302" s="49">
        <v>44558.085917743054</v>
      </c>
      <c r="B4302" s="50">
        <v>44558.2108846412</v>
      </c>
      <c r="C4302" s="51">
        <v>1.013</v>
      </c>
      <c r="D4302" s="51">
        <v>64.0</v>
      </c>
      <c r="E4302" s="52" t="s">
        <v>25</v>
      </c>
      <c r="F4302" s="52" t="s">
        <v>26</v>
      </c>
      <c r="G4302" s="53"/>
    </row>
    <row r="4303">
      <c r="A4303" s="49">
        <v>44558.09633572916</v>
      </c>
      <c r="B4303" s="50">
        <v>44558.2213052314</v>
      </c>
      <c r="C4303" s="51">
        <v>1.013</v>
      </c>
      <c r="D4303" s="51">
        <v>64.0</v>
      </c>
      <c r="E4303" s="52" t="s">
        <v>25</v>
      </c>
      <c r="F4303" s="52" t="s">
        <v>26</v>
      </c>
      <c r="G4303" s="53"/>
    </row>
    <row r="4304">
      <c r="A4304" s="49">
        <v>44558.10676127315</v>
      </c>
      <c r="B4304" s="50">
        <v>44558.2317281134</v>
      </c>
      <c r="C4304" s="51">
        <v>1.013</v>
      </c>
      <c r="D4304" s="51">
        <v>64.0</v>
      </c>
      <c r="E4304" s="52" t="s">
        <v>25</v>
      </c>
      <c r="F4304" s="52" t="s">
        <v>26</v>
      </c>
      <c r="G4304" s="53"/>
    </row>
    <row r="4305">
      <c r="A4305" s="49">
        <v>44558.117184560186</v>
      </c>
      <c r="B4305" s="50">
        <v>44558.2421516782</v>
      </c>
      <c r="C4305" s="51">
        <v>1.013</v>
      </c>
      <c r="D4305" s="51">
        <v>64.0</v>
      </c>
      <c r="E4305" s="52" t="s">
        <v>25</v>
      </c>
      <c r="F4305" s="52" t="s">
        <v>26</v>
      </c>
      <c r="G4305" s="53"/>
    </row>
    <row r="4306">
      <c r="A4306" s="49">
        <v>44558.127637384256</v>
      </c>
      <c r="B4306" s="50">
        <v>44558.2526081944</v>
      </c>
      <c r="C4306" s="51">
        <v>1.013</v>
      </c>
      <c r="D4306" s="51">
        <v>64.0</v>
      </c>
      <c r="E4306" s="52" t="s">
        <v>25</v>
      </c>
      <c r="F4306" s="52" t="s">
        <v>26</v>
      </c>
      <c r="G4306" s="53"/>
    </row>
    <row r="4307">
      <c r="A4307" s="49">
        <v>44558.138066562504</v>
      </c>
      <c r="B4307" s="50">
        <v>44558.263042037</v>
      </c>
      <c r="C4307" s="51">
        <v>1.013</v>
      </c>
      <c r="D4307" s="51">
        <v>64.0</v>
      </c>
      <c r="E4307" s="52" t="s">
        <v>25</v>
      </c>
      <c r="F4307" s="52" t="s">
        <v>26</v>
      </c>
      <c r="G4307" s="53"/>
    </row>
    <row r="4308">
      <c r="A4308" s="49">
        <v>44558.148493773144</v>
      </c>
      <c r="B4308" s="50">
        <v>44558.2734636226</v>
      </c>
      <c r="C4308" s="51">
        <v>1.013</v>
      </c>
      <c r="D4308" s="51">
        <v>64.0</v>
      </c>
      <c r="E4308" s="52" t="s">
        <v>25</v>
      </c>
      <c r="F4308" s="52" t="s">
        <v>26</v>
      </c>
      <c r="G4308" s="53"/>
    </row>
    <row r="4309">
      <c r="A4309" s="49">
        <v>44558.15892578704</v>
      </c>
      <c r="B4309" s="50">
        <v>44558.2838970949</v>
      </c>
      <c r="C4309" s="51">
        <v>1.013</v>
      </c>
      <c r="D4309" s="51">
        <v>64.0</v>
      </c>
      <c r="E4309" s="52" t="s">
        <v>25</v>
      </c>
      <c r="F4309" s="52" t="s">
        <v>26</v>
      </c>
      <c r="G4309" s="53"/>
    </row>
    <row r="4310">
      <c r="A4310" s="49">
        <v>44558.16939094907</v>
      </c>
      <c r="B4310" s="50">
        <v>44558.2943639467</v>
      </c>
      <c r="C4310" s="51">
        <v>1.013</v>
      </c>
      <c r="D4310" s="51">
        <v>64.0</v>
      </c>
      <c r="E4310" s="52" t="s">
        <v>25</v>
      </c>
      <c r="F4310" s="52" t="s">
        <v>26</v>
      </c>
      <c r="G4310" s="53"/>
    </row>
    <row r="4311">
      <c r="A4311" s="49">
        <v>44558.179814560186</v>
      </c>
      <c r="B4311" s="50">
        <v>44558.3047847569</v>
      </c>
      <c r="C4311" s="51">
        <v>1.013</v>
      </c>
      <c r="D4311" s="51">
        <v>64.0</v>
      </c>
      <c r="E4311" s="52" t="s">
        <v>25</v>
      </c>
      <c r="F4311" s="52" t="s">
        <v>26</v>
      </c>
      <c r="G4311" s="53"/>
    </row>
    <row r="4312">
      <c r="A4312" s="49">
        <v>44558.19023195602</v>
      </c>
      <c r="B4312" s="50">
        <v>44558.3152056712</v>
      </c>
      <c r="C4312" s="51">
        <v>1.013</v>
      </c>
      <c r="D4312" s="51">
        <v>64.0</v>
      </c>
      <c r="E4312" s="52" t="s">
        <v>25</v>
      </c>
      <c r="F4312" s="52" t="s">
        <v>26</v>
      </c>
      <c r="G4312" s="53"/>
    </row>
    <row r="4313">
      <c r="A4313" s="49">
        <v>44558.20067431713</v>
      </c>
      <c r="B4313" s="50">
        <v>44558.3256496759</v>
      </c>
      <c r="C4313" s="51">
        <v>1.013</v>
      </c>
      <c r="D4313" s="51">
        <v>64.0</v>
      </c>
      <c r="E4313" s="52" t="s">
        <v>25</v>
      </c>
      <c r="F4313" s="52" t="s">
        <v>26</v>
      </c>
      <c r="G4313" s="53"/>
    </row>
    <row r="4314">
      <c r="A4314" s="49">
        <v>44558.211104594906</v>
      </c>
      <c r="B4314" s="50">
        <v>44558.3360827546</v>
      </c>
      <c r="C4314" s="51">
        <v>1.013</v>
      </c>
      <c r="D4314" s="51">
        <v>64.0</v>
      </c>
      <c r="E4314" s="52" t="s">
        <v>25</v>
      </c>
      <c r="F4314" s="52" t="s">
        <v>26</v>
      </c>
      <c r="G4314" s="53"/>
    </row>
    <row r="4315">
      <c r="A4315" s="49">
        <v>44558.22152803241</v>
      </c>
      <c r="B4315" s="50">
        <v>44558.3465040046</v>
      </c>
      <c r="C4315" s="51">
        <v>1.012</v>
      </c>
      <c r="D4315" s="51">
        <v>64.0</v>
      </c>
      <c r="E4315" s="52" t="s">
        <v>25</v>
      </c>
      <c r="F4315" s="52" t="s">
        <v>26</v>
      </c>
      <c r="G4315" s="53"/>
    </row>
    <row r="4316">
      <c r="A4316" s="49">
        <v>44558.231959791665</v>
      </c>
      <c r="B4316" s="50">
        <v>44558.3569259722</v>
      </c>
      <c r="C4316" s="51">
        <v>1.013</v>
      </c>
      <c r="D4316" s="51">
        <v>64.0</v>
      </c>
      <c r="E4316" s="52" t="s">
        <v>25</v>
      </c>
      <c r="F4316" s="52" t="s">
        <v>26</v>
      </c>
      <c r="G4316" s="53"/>
    </row>
    <row r="4317">
      <c r="A4317" s="49">
        <v>44558.24239356481</v>
      </c>
      <c r="B4317" s="50">
        <v>44558.3673585532</v>
      </c>
      <c r="C4317" s="51">
        <v>1.013</v>
      </c>
      <c r="D4317" s="51">
        <v>64.0</v>
      </c>
      <c r="E4317" s="52" t="s">
        <v>25</v>
      </c>
      <c r="F4317" s="52" t="s">
        <v>26</v>
      </c>
      <c r="G4317" s="53"/>
    </row>
    <row r="4318">
      <c r="A4318" s="49">
        <v>44558.25281524306</v>
      </c>
      <c r="B4318" s="50">
        <v>44558.3777924768</v>
      </c>
      <c r="C4318" s="51">
        <v>1.013</v>
      </c>
      <c r="D4318" s="51">
        <v>64.0</v>
      </c>
      <c r="E4318" s="52" t="s">
        <v>25</v>
      </c>
      <c r="F4318" s="52" t="s">
        <v>26</v>
      </c>
      <c r="G4318" s="53"/>
    </row>
    <row r="4319">
      <c r="A4319" s="49">
        <v>44558.263248449075</v>
      </c>
      <c r="B4319" s="50">
        <v>44558.3882226736</v>
      </c>
      <c r="C4319" s="51">
        <v>1.013</v>
      </c>
      <c r="D4319" s="51">
        <v>64.0</v>
      </c>
      <c r="E4319" s="52" t="s">
        <v>25</v>
      </c>
      <c r="F4319" s="52" t="s">
        <v>26</v>
      </c>
      <c r="G4319" s="53"/>
    </row>
    <row r="4320">
      <c r="A4320" s="49">
        <v>44558.27366578704</v>
      </c>
      <c r="B4320" s="50">
        <v>44558.3986427083</v>
      </c>
      <c r="C4320" s="51">
        <v>1.013</v>
      </c>
      <c r="D4320" s="51">
        <v>64.0</v>
      </c>
      <c r="E4320" s="52" t="s">
        <v>25</v>
      </c>
      <c r="F4320" s="52" t="s">
        <v>26</v>
      </c>
      <c r="G4320" s="53"/>
    </row>
    <row r="4321">
      <c r="A4321" s="49">
        <v>44558.28408737268</v>
      </c>
      <c r="B4321" s="50">
        <v>44558.4090645254</v>
      </c>
      <c r="C4321" s="51">
        <v>1.013</v>
      </c>
      <c r="D4321" s="51">
        <v>64.0</v>
      </c>
      <c r="E4321" s="52" t="s">
        <v>25</v>
      </c>
      <c r="F4321" s="52" t="s">
        <v>26</v>
      </c>
      <c r="G4321" s="53"/>
    </row>
    <row r="4322">
      <c r="A4322" s="49">
        <v>44558.29450855324</v>
      </c>
      <c r="B4322" s="50">
        <v>44558.4194871296</v>
      </c>
      <c r="C4322" s="51">
        <v>1.013</v>
      </c>
      <c r="D4322" s="51">
        <v>64.0</v>
      </c>
      <c r="E4322" s="52" t="s">
        <v>25</v>
      </c>
      <c r="F4322" s="52" t="s">
        <v>26</v>
      </c>
      <c r="G4322" s="53"/>
    </row>
    <row r="4323">
      <c r="A4323" s="49">
        <v>44558.30493435185</v>
      </c>
      <c r="B4323" s="50">
        <v>44558.429905</v>
      </c>
      <c r="C4323" s="51">
        <v>1.013</v>
      </c>
      <c r="D4323" s="51">
        <v>64.0</v>
      </c>
      <c r="E4323" s="52" t="s">
        <v>25</v>
      </c>
      <c r="F4323" s="52" t="s">
        <v>26</v>
      </c>
      <c r="G4323" s="53"/>
    </row>
    <row r="4324">
      <c r="A4324" s="49">
        <v>44558.31535833333</v>
      </c>
      <c r="B4324" s="50">
        <v>44558.4403262847</v>
      </c>
      <c r="C4324" s="51">
        <v>1.013</v>
      </c>
      <c r="D4324" s="51">
        <v>64.0</v>
      </c>
      <c r="E4324" s="52" t="s">
        <v>25</v>
      </c>
      <c r="F4324" s="52" t="s">
        <v>26</v>
      </c>
      <c r="G4324" s="53"/>
    </row>
    <row r="4325">
      <c r="A4325" s="49">
        <v>44558.325778425926</v>
      </c>
      <c r="B4325" s="50">
        <v>44558.4507485648</v>
      </c>
      <c r="C4325" s="51">
        <v>1.013</v>
      </c>
      <c r="D4325" s="51">
        <v>64.0</v>
      </c>
      <c r="E4325" s="52" t="s">
        <v>25</v>
      </c>
      <c r="F4325" s="52" t="s">
        <v>26</v>
      </c>
      <c r="G4325" s="53"/>
    </row>
    <row r="4326">
      <c r="A4326" s="49">
        <v>44558.33621193287</v>
      </c>
      <c r="B4326" s="50">
        <v>44558.4611816551</v>
      </c>
      <c r="C4326" s="51">
        <v>1.013</v>
      </c>
      <c r="D4326" s="51">
        <v>64.0</v>
      </c>
      <c r="E4326" s="52" t="s">
        <v>25</v>
      </c>
      <c r="F4326" s="52" t="s">
        <v>26</v>
      </c>
      <c r="G4326" s="53"/>
    </row>
    <row r="4327">
      <c r="A4327" s="49">
        <v>44558.346639062496</v>
      </c>
      <c r="B4327" s="50">
        <v>44558.4716034374</v>
      </c>
      <c r="C4327" s="51">
        <v>1.013</v>
      </c>
      <c r="D4327" s="51">
        <v>64.0</v>
      </c>
      <c r="E4327" s="52" t="s">
        <v>25</v>
      </c>
      <c r="F4327" s="52" t="s">
        <v>26</v>
      </c>
      <c r="G4327" s="53"/>
    </row>
    <row r="4328">
      <c r="A4328" s="49">
        <v>44558.357066944445</v>
      </c>
      <c r="B4328" s="50">
        <v>44558.4820367013</v>
      </c>
      <c r="C4328" s="51">
        <v>1.013</v>
      </c>
      <c r="D4328" s="51">
        <v>64.0</v>
      </c>
      <c r="E4328" s="52" t="s">
        <v>25</v>
      </c>
      <c r="F4328" s="52" t="s">
        <v>26</v>
      </c>
      <c r="G4328" s="53"/>
    </row>
    <row r="4329">
      <c r="A4329" s="49">
        <v>44558.36749400463</v>
      </c>
      <c r="B4329" s="50">
        <v>44558.49246728</v>
      </c>
      <c r="C4329" s="51">
        <v>1.012</v>
      </c>
      <c r="D4329" s="51">
        <v>64.0</v>
      </c>
      <c r="E4329" s="52" t="s">
        <v>25</v>
      </c>
      <c r="F4329" s="52" t="s">
        <v>26</v>
      </c>
      <c r="G4329" s="53"/>
    </row>
    <row r="4330">
      <c r="A4330" s="49">
        <v>44558.37791181713</v>
      </c>
      <c r="B4330" s="50">
        <v>44558.5028876157</v>
      </c>
      <c r="C4330" s="51">
        <v>1.012</v>
      </c>
      <c r="D4330" s="51">
        <v>64.0</v>
      </c>
      <c r="E4330" s="52" t="s">
        <v>25</v>
      </c>
      <c r="F4330" s="52" t="s">
        <v>26</v>
      </c>
      <c r="G4330" s="53"/>
    </row>
    <row r="4331">
      <c r="A4331" s="49">
        <v>44558.388344189814</v>
      </c>
      <c r="B4331" s="50">
        <v>44558.5133094212</v>
      </c>
      <c r="C4331" s="51">
        <v>1.013</v>
      </c>
      <c r="D4331" s="51">
        <v>64.0</v>
      </c>
      <c r="E4331" s="52" t="s">
        <v>25</v>
      </c>
      <c r="F4331" s="52" t="s">
        <v>26</v>
      </c>
      <c r="G4331" s="53"/>
    </row>
    <row r="4332">
      <c r="A4332" s="49">
        <v>44558.39876084491</v>
      </c>
      <c r="B4332" s="50">
        <v>44558.5237319328</v>
      </c>
      <c r="C4332" s="51">
        <v>1.012</v>
      </c>
      <c r="D4332" s="51">
        <v>64.0</v>
      </c>
      <c r="E4332" s="52" t="s">
        <v>25</v>
      </c>
      <c r="F4332" s="52" t="s">
        <v>26</v>
      </c>
      <c r="G4332" s="53"/>
    </row>
    <row r="4333">
      <c r="A4333" s="49">
        <v>44558.409180428236</v>
      </c>
      <c r="B4333" s="50">
        <v>44558.5341533333</v>
      </c>
      <c r="C4333" s="51">
        <v>1.013</v>
      </c>
      <c r="D4333" s="51">
        <v>64.0</v>
      </c>
      <c r="E4333" s="52" t="s">
        <v>25</v>
      </c>
      <c r="F4333" s="52" t="s">
        <v>26</v>
      </c>
      <c r="G4333" s="53"/>
    </row>
    <row r="4334">
      <c r="A4334" s="49">
        <v>44558.41961003472</v>
      </c>
      <c r="B4334" s="50">
        <v>44558.5445854745</v>
      </c>
      <c r="C4334" s="51">
        <v>1.013</v>
      </c>
      <c r="D4334" s="51">
        <v>64.0</v>
      </c>
      <c r="E4334" s="52" t="s">
        <v>25</v>
      </c>
      <c r="F4334" s="52" t="s">
        <v>26</v>
      </c>
      <c r="G4334" s="53"/>
    </row>
    <row r="4335">
      <c r="A4335" s="49">
        <v>44558.43006005787</v>
      </c>
      <c r="B4335" s="50">
        <v>44558.5550300231</v>
      </c>
      <c r="C4335" s="51">
        <v>1.012</v>
      </c>
      <c r="D4335" s="51">
        <v>64.0</v>
      </c>
      <c r="E4335" s="52" t="s">
        <v>25</v>
      </c>
      <c r="F4335" s="52" t="s">
        <v>26</v>
      </c>
      <c r="G4335" s="53"/>
    </row>
    <row r="4336">
      <c r="A4336" s="49">
        <v>44558.440485</v>
      </c>
      <c r="B4336" s="50">
        <v>44558.5654516898</v>
      </c>
      <c r="C4336" s="51">
        <v>1.013</v>
      </c>
      <c r="D4336" s="51">
        <v>64.0</v>
      </c>
      <c r="E4336" s="52" t="s">
        <v>25</v>
      </c>
      <c r="F4336" s="52" t="s">
        <v>26</v>
      </c>
      <c r="G4336" s="53"/>
    </row>
    <row r="4337">
      <c r="A4337" s="49">
        <v>44558.45091564815</v>
      </c>
      <c r="B4337" s="50">
        <v>44558.5758852083</v>
      </c>
      <c r="C4337" s="51">
        <v>1.012</v>
      </c>
      <c r="D4337" s="51">
        <v>64.0</v>
      </c>
      <c r="E4337" s="52" t="s">
        <v>25</v>
      </c>
      <c r="F4337" s="52" t="s">
        <v>26</v>
      </c>
      <c r="G4337" s="53"/>
    </row>
    <row r="4338">
      <c r="A4338" s="49">
        <v>44558.461356087966</v>
      </c>
      <c r="B4338" s="50">
        <v>44558.5863285416</v>
      </c>
      <c r="C4338" s="51">
        <v>1.012</v>
      </c>
      <c r="D4338" s="51">
        <v>64.0</v>
      </c>
      <c r="E4338" s="52" t="s">
        <v>25</v>
      </c>
      <c r="F4338" s="52" t="s">
        <v>26</v>
      </c>
      <c r="G4338" s="53"/>
    </row>
    <row r="4339">
      <c r="A4339" s="49">
        <v>44558.47179728009</v>
      </c>
      <c r="B4339" s="50">
        <v>44558.5967718055</v>
      </c>
      <c r="C4339" s="51">
        <v>1.013</v>
      </c>
      <c r="D4339" s="51">
        <v>64.0</v>
      </c>
      <c r="E4339" s="52" t="s">
        <v>25</v>
      </c>
      <c r="F4339" s="52" t="s">
        <v>26</v>
      </c>
      <c r="G4339" s="53"/>
    </row>
    <row r="4340">
      <c r="A4340" s="49">
        <v>44558.482246851854</v>
      </c>
      <c r="B4340" s="50">
        <v>44558.607227581</v>
      </c>
      <c r="C4340" s="51">
        <v>1.012</v>
      </c>
      <c r="D4340" s="51">
        <v>64.0</v>
      </c>
      <c r="E4340" s="52" t="s">
        <v>25</v>
      </c>
      <c r="F4340" s="52" t="s">
        <v>26</v>
      </c>
      <c r="G4340" s="53"/>
    </row>
    <row r="4341">
      <c r="A4341" s="49">
        <v>44558.4926733912</v>
      </c>
      <c r="B4341" s="50">
        <v>44558.6176484838</v>
      </c>
      <c r="C4341" s="51">
        <v>1.013</v>
      </c>
      <c r="D4341" s="51">
        <v>64.0</v>
      </c>
      <c r="E4341" s="52" t="s">
        <v>25</v>
      </c>
      <c r="F4341" s="52" t="s">
        <v>26</v>
      </c>
      <c r="G4341" s="53"/>
    </row>
    <row r="4342">
      <c r="A4342" s="49">
        <v>44558.50309932871</v>
      </c>
      <c r="B4342" s="50">
        <v>44558.6280686574</v>
      </c>
      <c r="C4342" s="51">
        <v>1.012</v>
      </c>
      <c r="D4342" s="51">
        <v>64.0</v>
      </c>
      <c r="E4342" s="52" t="s">
        <v>25</v>
      </c>
      <c r="F4342" s="52" t="s">
        <v>26</v>
      </c>
      <c r="G4342" s="53"/>
    </row>
    <row r="4343">
      <c r="A4343" s="49">
        <v>44558.51351268518</v>
      </c>
      <c r="B4343" s="50">
        <v>44558.6384880439</v>
      </c>
      <c r="C4343" s="51">
        <v>1.012</v>
      </c>
      <c r="D4343" s="51">
        <v>64.0</v>
      </c>
      <c r="E4343" s="52" t="s">
        <v>25</v>
      </c>
      <c r="F4343" s="52" t="s">
        <v>26</v>
      </c>
      <c r="G4343" s="53"/>
    </row>
    <row r="4344">
      <c r="A4344" s="49">
        <v>44558.52393234953</v>
      </c>
      <c r="B4344" s="50">
        <v>44558.648909074</v>
      </c>
      <c r="C4344" s="51">
        <v>1.013</v>
      </c>
      <c r="D4344" s="51">
        <v>64.0</v>
      </c>
      <c r="E4344" s="52" t="s">
        <v>25</v>
      </c>
      <c r="F4344" s="52" t="s">
        <v>26</v>
      </c>
      <c r="G4344" s="53"/>
    </row>
    <row r="4345">
      <c r="A4345" s="49">
        <v>44558.534366238426</v>
      </c>
      <c r="B4345" s="50">
        <v>44558.6593418518</v>
      </c>
      <c r="C4345" s="51">
        <v>1.012</v>
      </c>
      <c r="D4345" s="51">
        <v>64.0</v>
      </c>
      <c r="E4345" s="52" t="s">
        <v>25</v>
      </c>
      <c r="F4345" s="52" t="s">
        <v>26</v>
      </c>
      <c r="G4345" s="53"/>
    </row>
    <row r="4346">
      <c r="A4346" s="49">
        <v>44558.54478888889</v>
      </c>
      <c r="B4346" s="50">
        <v>44558.6697598958</v>
      </c>
      <c r="C4346" s="51">
        <v>1.012</v>
      </c>
      <c r="D4346" s="51">
        <v>64.0</v>
      </c>
      <c r="E4346" s="52" t="s">
        <v>25</v>
      </c>
      <c r="F4346" s="52" t="s">
        <v>26</v>
      </c>
      <c r="G4346" s="53"/>
    </row>
    <row r="4347">
      <c r="A4347" s="49">
        <v>44558.5552453125</v>
      </c>
      <c r="B4347" s="50">
        <v>44558.6802167245</v>
      </c>
      <c r="C4347" s="51">
        <v>1.013</v>
      </c>
      <c r="D4347" s="51">
        <v>64.0</v>
      </c>
      <c r="E4347" s="52" t="s">
        <v>25</v>
      </c>
      <c r="F4347" s="52" t="s">
        <v>26</v>
      </c>
      <c r="G4347" s="53"/>
    </row>
    <row r="4348">
      <c r="A4348" s="49">
        <v>44558.56566545139</v>
      </c>
      <c r="B4348" s="50">
        <v>44558.6906384027</v>
      </c>
      <c r="C4348" s="51">
        <v>1.012</v>
      </c>
      <c r="D4348" s="51">
        <v>64.0</v>
      </c>
      <c r="E4348" s="52" t="s">
        <v>25</v>
      </c>
      <c r="F4348" s="52" t="s">
        <v>26</v>
      </c>
      <c r="G4348" s="53"/>
    </row>
    <row r="4349">
      <c r="A4349" s="49">
        <v>44558.576094386575</v>
      </c>
      <c r="B4349" s="50">
        <v>44558.7010692476</v>
      </c>
      <c r="C4349" s="51">
        <v>1.012</v>
      </c>
      <c r="D4349" s="51">
        <v>64.0</v>
      </c>
      <c r="E4349" s="52" t="s">
        <v>25</v>
      </c>
      <c r="F4349" s="52" t="s">
        <v>26</v>
      </c>
      <c r="G4349" s="53"/>
    </row>
    <row r="4350">
      <c r="A4350" s="49">
        <v>44558.58652564815</v>
      </c>
      <c r="B4350" s="50">
        <v>44558.7114905324</v>
      </c>
      <c r="C4350" s="51">
        <v>1.012</v>
      </c>
      <c r="D4350" s="51">
        <v>64.0</v>
      </c>
      <c r="E4350" s="52" t="s">
        <v>25</v>
      </c>
      <c r="F4350" s="52" t="s">
        <v>26</v>
      </c>
      <c r="G4350" s="53"/>
    </row>
    <row r="4351">
      <c r="A4351" s="49">
        <v>44558.59695510416</v>
      </c>
      <c r="B4351" s="50">
        <v>44558.7219241203</v>
      </c>
      <c r="C4351" s="51">
        <v>1.013</v>
      </c>
      <c r="D4351" s="51">
        <v>64.0</v>
      </c>
      <c r="E4351" s="52" t="s">
        <v>25</v>
      </c>
      <c r="F4351" s="52" t="s">
        <v>26</v>
      </c>
      <c r="G4351" s="53"/>
    </row>
    <row r="4352">
      <c r="A4352" s="49">
        <v>44558.60736880787</v>
      </c>
      <c r="B4352" s="50">
        <v>44558.7323442824</v>
      </c>
      <c r="C4352" s="51">
        <v>1.013</v>
      </c>
      <c r="D4352" s="51">
        <v>64.0</v>
      </c>
      <c r="E4352" s="52" t="s">
        <v>25</v>
      </c>
      <c r="F4352" s="52" t="s">
        <v>26</v>
      </c>
      <c r="G4352" s="53"/>
    </row>
    <row r="4353">
      <c r="A4353" s="49">
        <v>44558.61780162037</v>
      </c>
      <c r="B4353" s="50">
        <v>44558.7427639004</v>
      </c>
      <c r="C4353" s="51">
        <v>1.012</v>
      </c>
      <c r="D4353" s="51">
        <v>64.0</v>
      </c>
      <c r="E4353" s="52" t="s">
        <v>25</v>
      </c>
      <c r="F4353" s="52" t="s">
        <v>26</v>
      </c>
      <c r="G4353" s="53"/>
    </row>
    <row r="4354">
      <c r="A4354" s="49">
        <v>44558.62824394676</v>
      </c>
      <c r="B4354" s="50">
        <v>44558.753209699</v>
      </c>
      <c r="C4354" s="51">
        <v>1.013</v>
      </c>
      <c r="D4354" s="51">
        <v>64.0</v>
      </c>
      <c r="E4354" s="52" t="s">
        <v>25</v>
      </c>
      <c r="F4354" s="52" t="s">
        <v>26</v>
      </c>
      <c r="G4354" s="53"/>
    </row>
    <row r="4355">
      <c r="A4355" s="49">
        <v>44558.63866791667</v>
      </c>
      <c r="B4355" s="50">
        <v>44558.763631574</v>
      </c>
      <c r="C4355" s="51">
        <v>1.013</v>
      </c>
      <c r="D4355" s="51">
        <v>64.0</v>
      </c>
      <c r="E4355" s="52" t="s">
        <v>25</v>
      </c>
      <c r="F4355" s="52" t="s">
        <v>26</v>
      </c>
      <c r="G4355" s="53"/>
    </row>
    <row r="4356">
      <c r="A4356" s="49">
        <v>44558.64909239583</v>
      </c>
      <c r="B4356" s="50">
        <v>44558.7740523148</v>
      </c>
      <c r="C4356" s="51">
        <v>1.013</v>
      </c>
      <c r="D4356" s="51">
        <v>64.0</v>
      </c>
      <c r="E4356" s="52" t="s">
        <v>25</v>
      </c>
      <c r="F4356" s="52" t="s">
        <v>26</v>
      </c>
      <c r="G4356" s="53"/>
    </row>
    <row r="4357">
      <c r="A4357" s="49">
        <v>44558.65950422453</v>
      </c>
      <c r="B4357" s="50">
        <v>44558.7844731712</v>
      </c>
      <c r="C4357" s="51">
        <v>1.012</v>
      </c>
      <c r="D4357" s="51">
        <v>64.0</v>
      </c>
      <c r="E4357" s="52" t="s">
        <v>25</v>
      </c>
      <c r="F4357" s="52" t="s">
        <v>26</v>
      </c>
      <c r="G4357" s="53"/>
    </row>
    <row r="4358">
      <c r="A4358" s="49">
        <v>44558.66992383102</v>
      </c>
      <c r="B4358" s="50">
        <v>44558.7948948726</v>
      </c>
      <c r="C4358" s="51">
        <v>1.013</v>
      </c>
      <c r="D4358" s="51">
        <v>64.0</v>
      </c>
      <c r="E4358" s="52" t="s">
        <v>25</v>
      </c>
      <c r="F4358" s="52" t="s">
        <v>26</v>
      </c>
      <c r="G4358" s="53"/>
    </row>
    <row r="4359">
      <c r="A4359" s="49">
        <v>44558.680364837965</v>
      </c>
      <c r="B4359" s="50">
        <v>44558.8053402199</v>
      </c>
      <c r="C4359" s="51">
        <v>1.013</v>
      </c>
      <c r="D4359" s="51">
        <v>64.0</v>
      </c>
      <c r="E4359" s="52" t="s">
        <v>25</v>
      </c>
      <c r="F4359" s="52" t="s">
        <v>26</v>
      </c>
      <c r="G4359" s="53"/>
    </row>
    <row r="4360">
      <c r="A4360" s="49">
        <v>44558.69078950232</v>
      </c>
      <c r="B4360" s="50">
        <v>44558.8157624305</v>
      </c>
      <c r="C4360" s="51">
        <v>1.012</v>
      </c>
      <c r="D4360" s="51">
        <v>64.0</v>
      </c>
      <c r="E4360" s="52" t="s">
        <v>25</v>
      </c>
      <c r="F4360" s="52" t="s">
        <v>26</v>
      </c>
      <c r="G4360" s="53"/>
    </row>
    <row r="4361">
      <c r="A4361" s="49">
        <v>44558.701208541665</v>
      </c>
      <c r="B4361" s="50">
        <v>44558.8261837037</v>
      </c>
      <c r="C4361" s="51">
        <v>1.013</v>
      </c>
      <c r="D4361" s="51">
        <v>64.0</v>
      </c>
      <c r="E4361" s="52" t="s">
        <v>25</v>
      </c>
      <c r="F4361" s="52" t="s">
        <v>26</v>
      </c>
      <c r="G4361" s="53"/>
    </row>
    <row r="4362">
      <c r="A4362" s="49">
        <v>44558.711627048615</v>
      </c>
      <c r="B4362" s="50">
        <v>44558.8366034375</v>
      </c>
      <c r="C4362" s="51">
        <v>1.012</v>
      </c>
      <c r="D4362" s="51">
        <v>64.0</v>
      </c>
      <c r="E4362" s="52" t="s">
        <v>25</v>
      </c>
      <c r="F4362" s="52" t="s">
        <v>26</v>
      </c>
      <c r="G4362" s="53"/>
    </row>
    <row r="4363">
      <c r="A4363" s="49">
        <v>44558.72205763889</v>
      </c>
      <c r="B4363" s="50">
        <v>44558.8470350462</v>
      </c>
      <c r="C4363" s="51">
        <v>1.013</v>
      </c>
      <c r="D4363" s="51">
        <v>64.0</v>
      </c>
      <c r="E4363" s="52" t="s">
        <v>25</v>
      </c>
      <c r="F4363" s="52" t="s">
        <v>26</v>
      </c>
      <c r="G4363" s="53"/>
    </row>
    <row r="4364">
      <c r="A4364" s="49">
        <v>44558.73249177083</v>
      </c>
      <c r="B4364" s="50">
        <v>44558.8574563425</v>
      </c>
      <c r="C4364" s="51">
        <v>1.012</v>
      </c>
      <c r="D4364" s="51">
        <v>64.0</v>
      </c>
      <c r="E4364" s="52" t="s">
        <v>25</v>
      </c>
      <c r="F4364" s="52" t="s">
        <v>26</v>
      </c>
      <c r="G4364" s="53"/>
    </row>
    <row r="4365">
      <c r="A4365" s="49">
        <v>44558.74291917824</v>
      </c>
      <c r="B4365" s="50">
        <v>44558.867888449</v>
      </c>
      <c r="C4365" s="51">
        <v>1.012</v>
      </c>
      <c r="D4365" s="51">
        <v>64.0</v>
      </c>
      <c r="E4365" s="52" t="s">
        <v>25</v>
      </c>
      <c r="F4365" s="52" t="s">
        <v>26</v>
      </c>
      <c r="G4365" s="53"/>
    </row>
    <row r="4366">
      <c r="A4366" s="49">
        <v>44558.75334322917</v>
      </c>
      <c r="B4366" s="50">
        <v>44558.8783099652</v>
      </c>
      <c r="C4366" s="51">
        <v>1.012</v>
      </c>
      <c r="D4366" s="51">
        <v>64.0</v>
      </c>
      <c r="E4366" s="52" t="s">
        <v>25</v>
      </c>
      <c r="F4366" s="52" t="s">
        <v>26</v>
      </c>
      <c r="G4366" s="53"/>
    </row>
    <row r="4367">
      <c r="A4367" s="49">
        <v>44558.76379548611</v>
      </c>
      <c r="B4367" s="50">
        <v>44558.8887656597</v>
      </c>
      <c r="C4367" s="51">
        <v>1.012</v>
      </c>
      <c r="D4367" s="51">
        <v>64.0</v>
      </c>
      <c r="E4367" s="52" t="s">
        <v>25</v>
      </c>
      <c r="F4367" s="52" t="s">
        <v>26</v>
      </c>
      <c r="G4367" s="53"/>
    </row>
    <row r="4368">
      <c r="A4368" s="49">
        <v>44558.77425048611</v>
      </c>
      <c r="B4368" s="50">
        <v>44558.8992223379</v>
      </c>
      <c r="C4368" s="51">
        <v>1.013</v>
      </c>
      <c r="D4368" s="51">
        <v>64.0</v>
      </c>
      <c r="E4368" s="52" t="s">
        <v>25</v>
      </c>
      <c r="F4368" s="52" t="s">
        <v>26</v>
      </c>
      <c r="G4368" s="53"/>
    </row>
    <row r="4369">
      <c r="A4369" s="49">
        <v>44558.7846737037</v>
      </c>
      <c r="B4369" s="50">
        <v>44558.9096438194</v>
      </c>
      <c r="C4369" s="51">
        <v>1.012</v>
      </c>
      <c r="D4369" s="51">
        <v>64.0</v>
      </c>
      <c r="E4369" s="52" t="s">
        <v>25</v>
      </c>
      <c r="F4369" s="52" t="s">
        <v>26</v>
      </c>
      <c r="G4369" s="53"/>
    </row>
    <row r="4370">
      <c r="A4370" s="49">
        <v>44558.795140243055</v>
      </c>
      <c r="B4370" s="50">
        <v>44558.9200995601</v>
      </c>
      <c r="C4370" s="51">
        <v>1.013</v>
      </c>
      <c r="D4370" s="51">
        <v>64.0</v>
      </c>
      <c r="E4370" s="52" t="s">
        <v>25</v>
      </c>
      <c r="F4370" s="52" t="s">
        <v>26</v>
      </c>
      <c r="G4370" s="53"/>
    </row>
    <row r="4371">
      <c r="A4371" s="49">
        <v>44558.805554108796</v>
      </c>
      <c r="B4371" s="50">
        <v>44558.9305197916</v>
      </c>
      <c r="C4371" s="51">
        <v>1.012</v>
      </c>
      <c r="D4371" s="51">
        <v>64.0</v>
      </c>
      <c r="E4371" s="52" t="s">
        <v>25</v>
      </c>
      <c r="F4371" s="52" t="s">
        <v>26</v>
      </c>
      <c r="G4371" s="53"/>
    </row>
    <row r="4372">
      <c r="A4372" s="49">
        <v>44558.81596864584</v>
      </c>
      <c r="B4372" s="50">
        <v>44558.9409415625</v>
      </c>
      <c r="C4372" s="51">
        <v>1.012</v>
      </c>
      <c r="D4372" s="51">
        <v>64.0</v>
      </c>
      <c r="E4372" s="52" t="s">
        <v>25</v>
      </c>
      <c r="F4372" s="52" t="s">
        <v>26</v>
      </c>
      <c r="G4372" s="53"/>
    </row>
    <row r="4373">
      <c r="A4373" s="49">
        <v>44558.82639959491</v>
      </c>
      <c r="B4373" s="50">
        <v>44558.9513754513</v>
      </c>
      <c r="C4373" s="51">
        <v>1.013</v>
      </c>
      <c r="D4373" s="51">
        <v>64.0</v>
      </c>
      <c r="E4373" s="52" t="s">
        <v>25</v>
      </c>
      <c r="F4373" s="52" t="s">
        <v>26</v>
      </c>
      <c r="G4373" s="53"/>
    </row>
    <row r="4374">
      <c r="A4374" s="49">
        <v>44558.83683489583</v>
      </c>
      <c r="B4374" s="50">
        <v>44558.9617972685</v>
      </c>
      <c r="C4374" s="51">
        <v>1.012</v>
      </c>
      <c r="D4374" s="51">
        <v>64.0</v>
      </c>
      <c r="E4374" s="52" t="s">
        <v>25</v>
      </c>
      <c r="F4374" s="52" t="s">
        <v>26</v>
      </c>
      <c r="G4374" s="53"/>
    </row>
    <row r="4375">
      <c r="A4375" s="49">
        <v>44558.847284386575</v>
      </c>
      <c r="B4375" s="50">
        <v>44558.9722517245</v>
      </c>
      <c r="C4375" s="51">
        <v>1.012</v>
      </c>
      <c r="D4375" s="51">
        <v>64.0</v>
      </c>
      <c r="E4375" s="52" t="s">
        <v>25</v>
      </c>
      <c r="F4375" s="52" t="s">
        <v>26</v>
      </c>
      <c r="G4375" s="53"/>
    </row>
    <row r="4376">
      <c r="A4376" s="49">
        <v>44558.85769938657</v>
      </c>
      <c r="B4376" s="50">
        <v>44558.9826737268</v>
      </c>
      <c r="C4376" s="51">
        <v>1.013</v>
      </c>
      <c r="D4376" s="51">
        <v>64.0</v>
      </c>
      <c r="E4376" s="52" t="s">
        <v>25</v>
      </c>
      <c r="F4376" s="52" t="s">
        <v>26</v>
      </c>
      <c r="G4376" s="53"/>
    </row>
    <row r="4377">
      <c r="A4377" s="49">
        <v>44558.868127152775</v>
      </c>
      <c r="B4377" s="50">
        <v>44558.9930972453</v>
      </c>
      <c r="C4377" s="51">
        <v>1.013</v>
      </c>
      <c r="D4377" s="51">
        <v>64.0</v>
      </c>
      <c r="E4377" s="52" t="s">
        <v>25</v>
      </c>
      <c r="F4377" s="52" t="s">
        <v>26</v>
      </c>
      <c r="G4377" s="53"/>
    </row>
    <row r="4378">
      <c r="A4378" s="49">
        <v>44558.87858341435</v>
      </c>
      <c r="B4378" s="50">
        <v>44559.0035537962</v>
      </c>
      <c r="C4378" s="51">
        <v>1.012</v>
      </c>
      <c r="D4378" s="51">
        <v>64.0</v>
      </c>
      <c r="E4378" s="52" t="s">
        <v>25</v>
      </c>
      <c r="F4378" s="52" t="s">
        <v>26</v>
      </c>
      <c r="G4378" s="53"/>
    </row>
    <row r="4379">
      <c r="A4379" s="49">
        <v>44558.88901193287</v>
      </c>
      <c r="B4379" s="50">
        <v>44559.0139861342</v>
      </c>
      <c r="C4379" s="51">
        <v>1.012</v>
      </c>
      <c r="D4379" s="51">
        <v>64.0</v>
      </c>
      <c r="E4379" s="52" t="s">
        <v>25</v>
      </c>
      <c r="F4379" s="52" t="s">
        <v>26</v>
      </c>
      <c r="G4379" s="53"/>
    </row>
    <row r="4380">
      <c r="A4380" s="49">
        <v>44558.89945384259</v>
      </c>
      <c r="B4380" s="50">
        <v>44559.0244197569</v>
      </c>
      <c r="C4380" s="51">
        <v>1.013</v>
      </c>
      <c r="D4380" s="51">
        <v>64.0</v>
      </c>
      <c r="E4380" s="52" t="s">
        <v>25</v>
      </c>
      <c r="F4380" s="52" t="s">
        <v>26</v>
      </c>
      <c r="G4380" s="53"/>
    </row>
    <row r="4381">
      <c r="A4381" s="49">
        <v>44558.909883009255</v>
      </c>
      <c r="B4381" s="50">
        <v>44559.0348526504</v>
      </c>
      <c r="C4381" s="51">
        <v>1.012</v>
      </c>
      <c r="D4381" s="51">
        <v>64.0</v>
      </c>
      <c r="E4381" s="52" t="s">
        <v>25</v>
      </c>
      <c r="F4381" s="52" t="s">
        <v>26</v>
      </c>
      <c r="G4381" s="53"/>
    </row>
    <row r="4382">
      <c r="A4382" s="49">
        <v>44558.92030105324</v>
      </c>
      <c r="B4382" s="50">
        <v>44559.0452731597</v>
      </c>
      <c r="C4382" s="51">
        <v>1.012</v>
      </c>
      <c r="D4382" s="51">
        <v>64.0</v>
      </c>
      <c r="E4382" s="52" t="s">
        <v>25</v>
      </c>
      <c r="F4382" s="52" t="s">
        <v>26</v>
      </c>
      <c r="G4382" s="53"/>
    </row>
    <row r="4383">
      <c r="A4383" s="49">
        <v>44558.93075615741</v>
      </c>
      <c r="B4383" s="50">
        <v>44559.0557282175</v>
      </c>
      <c r="C4383" s="51">
        <v>1.012</v>
      </c>
      <c r="D4383" s="51">
        <v>64.0</v>
      </c>
      <c r="E4383" s="52" t="s">
        <v>25</v>
      </c>
      <c r="F4383" s="52" t="s">
        <v>26</v>
      </c>
      <c r="G4383" s="53"/>
    </row>
    <row r="4384">
      <c r="A4384" s="49">
        <v>44558.94118822917</v>
      </c>
      <c r="B4384" s="50">
        <v>44559.066148912</v>
      </c>
      <c r="C4384" s="51">
        <v>1.012</v>
      </c>
      <c r="D4384" s="51">
        <v>64.0</v>
      </c>
      <c r="E4384" s="52" t="s">
        <v>25</v>
      </c>
      <c r="F4384" s="52" t="s">
        <v>26</v>
      </c>
      <c r="G4384" s="53"/>
    </row>
    <row r="4385">
      <c r="A4385" s="49">
        <v>44558.95160752315</v>
      </c>
      <c r="B4385" s="50">
        <v>44559.0765709375</v>
      </c>
      <c r="C4385" s="51">
        <v>1.013</v>
      </c>
      <c r="D4385" s="51">
        <v>64.0</v>
      </c>
      <c r="E4385" s="52" t="s">
        <v>25</v>
      </c>
      <c r="F4385" s="52" t="s">
        <v>26</v>
      </c>
      <c r="G4385" s="53"/>
    </row>
    <row r="4386">
      <c r="A4386" s="49">
        <v>44558.962020439816</v>
      </c>
      <c r="B4386" s="50">
        <v>44559.0869923958</v>
      </c>
      <c r="C4386" s="51">
        <v>1.013</v>
      </c>
      <c r="D4386" s="51">
        <v>64.0</v>
      </c>
      <c r="E4386" s="52" t="s">
        <v>25</v>
      </c>
      <c r="F4386" s="52" t="s">
        <v>26</v>
      </c>
      <c r="G4386" s="53"/>
    </row>
    <row r="4387">
      <c r="A4387" s="49">
        <v>44558.97244631944</v>
      </c>
      <c r="B4387" s="50">
        <v>44559.0974140972</v>
      </c>
      <c r="C4387" s="51">
        <v>1.013</v>
      </c>
      <c r="D4387" s="51">
        <v>64.0</v>
      </c>
      <c r="E4387" s="52" t="s">
        <v>25</v>
      </c>
      <c r="F4387" s="52" t="s">
        <v>26</v>
      </c>
      <c r="G4387" s="53"/>
    </row>
    <row r="4388">
      <c r="A4388" s="49">
        <v>44558.98288146991</v>
      </c>
      <c r="B4388" s="50">
        <v>44559.1078481597</v>
      </c>
      <c r="C4388" s="51">
        <v>1.012</v>
      </c>
      <c r="D4388" s="51">
        <v>64.0</v>
      </c>
      <c r="E4388" s="52" t="s">
        <v>25</v>
      </c>
      <c r="F4388" s="52" t="s">
        <v>26</v>
      </c>
      <c r="G4388" s="53"/>
    </row>
    <row r="4389">
      <c r="A4389" s="49">
        <v>44558.99332731482</v>
      </c>
      <c r="B4389" s="50">
        <v>44559.1182941898</v>
      </c>
      <c r="C4389" s="51">
        <v>1.013</v>
      </c>
      <c r="D4389" s="51">
        <v>64.0</v>
      </c>
      <c r="E4389" s="52" t="s">
        <v>25</v>
      </c>
      <c r="F4389" s="52" t="s">
        <v>26</v>
      </c>
      <c r="G4389" s="53"/>
    </row>
    <row r="4390">
      <c r="A4390" s="49">
        <v>44559.00375072917</v>
      </c>
      <c r="B4390" s="50">
        <v>44559.1287153703</v>
      </c>
      <c r="C4390" s="51">
        <v>1.012</v>
      </c>
      <c r="D4390" s="51">
        <v>63.0</v>
      </c>
      <c r="E4390" s="52" t="s">
        <v>25</v>
      </c>
      <c r="F4390" s="52" t="s">
        <v>26</v>
      </c>
      <c r="G4390" s="53"/>
    </row>
    <row r="4391">
      <c r="A4391" s="49">
        <v>44559.01416291667</v>
      </c>
      <c r="B4391" s="50">
        <v>44559.1391367592</v>
      </c>
      <c r="C4391" s="51">
        <v>1.012</v>
      </c>
      <c r="D4391" s="51">
        <v>64.0</v>
      </c>
      <c r="E4391" s="52" t="s">
        <v>25</v>
      </c>
      <c r="F4391" s="52" t="s">
        <v>26</v>
      </c>
      <c r="G4391" s="53"/>
    </row>
    <row r="4392">
      <c r="A4392" s="49">
        <v>44559.02458736111</v>
      </c>
      <c r="B4392" s="50">
        <v>44559.1495581018</v>
      </c>
      <c r="C4392" s="51">
        <v>1.012</v>
      </c>
      <c r="D4392" s="51">
        <v>64.0</v>
      </c>
      <c r="E4392" s="52" t="s">
        <v>25</v>
      </c>
      <c r="F4392" s="52" t="s">
        <v>26</v>
      </c>
      <c r="G4392" s="53"/>
    </row>
    <row r="4393">
      <c r="A4393" s="49">
        <v>44559.0350299537</v>
      </c>
      <c r="B4393" s="50">
        <v>44559.159979155</v>
      </c>
      <c r="C4393" s="51">
        <v>1.012</v>
      </c>
      <c r="D4393" s="51">
        <v>64.0</v>
      </c>
      <c r="E4393" s="52" t="s">
        <v>25</v>
      </c>
      <c r="F4393" s="52" t="s">
        <v>26</v>
      </c>
      <c r="G4393" s="53"/>
    </row>
    <row r="4394">
      <c r="A4394" s="49">
        <v>44559.045419664355</v>
      </c>
      <c r="B4394" s="50">
        <v>44559.1703981481</v>
      </c>
      <c r="C4394" s="51">
        <v>1.012</v>
      </c>
      <c r="D4394" s="51">
        <v>63.0</v>
      </c>
      <c r="E4394" s="52" t="s">
        <v>25</v>
      </c>
      <c r="F4394" s="52" t="s">
        <v>26</v>
      </c>
      <c r="G4394" s="53"/>
    </row>
    <row r="4395">
      <c r="A4395" s="49">
        <v>44559.055846539355</v>
      </c>
      <c r="B4395" s="50">
        <v>44559.1808206018</v>
      </c>
      <c r="C4395" s="51">
        <v>1.012</v>
      </c>
      <c r="D4395" s="51">
        <v>63.0</v>
      </c>
      <c r="E4395" s="52" t="s">
        <v>25</v>
      </c>
      <c r="F4395" s="52" t="s">
        <v>26</v>
      </c>
      <c r="G4395" s="53"/>
    </row>
    <row r="4396">
      <c r="A4396" s="49">
        <v>44559.06626896991</v>
      </c>
      <c r="B4396" s="50">
        <v>44559.1912416898</v>
      </c>
      <c r="C4396" s="51">
        <v>1.013</v>
      </c>
      <c r="D4396" s="51">
        <v>64.0</v>
      </c>
      <c r="E4396" s="52" t="s">
        <v>25</v>
      </c>
      <c r="F4396" s="52" t="s">
        <v>26</v>
      </c>
      <c r="G4396" s="53"/>
    </row>
    <row r="4397">
      <c r="A4397" s="49">
        <v>44559.07670828704</v>
      </c>
      <c r="B4397" s="50">
        <v>44559.2016723263</v>
      </c>
      <c r="C4397" s="51">
        <v>1.012</v>
      </c>
      <c r="D4397" s="51">
        <v>63.0</v>
      </c>
      <c r="E4397" s="52" t="s">
        <v>25</v>
      </c>
      <c r="F4397" s="52" t="s">
        <v>26</v>
      </c>
      <c r="G4397" s="53"/>
    </row>
    <row r="4398">
      <c r="A4398" s="49">
        <v>44559.08713136574</v>
      </c>
      <c r="B4398" s="50">
        <v>44559.2121045601</v>
      </c>
      <c r="C4398" s="51">
        <v>1.012</v>
      </c>
      <c r="D4398" s="51">
        <v>63.0</v>
      </c>
      <c r="E4398" s="52" t="s">
        <v>25</v>
      </c>
      <c r="F4398" s="52" t="s">
        <v>26</v>
      </c>
      <c r="G4398" s="53"/>
    </row>
    <row r="4399">
      <c r="A4399" s="49">
        <v>44559.09757815972</v>
      </c>
      <c r="B4399" s="50">
        <v>44559.2225491087</v>
      </c>
      <c r="C4399" s="51">
        <v>1.012</v>
      </c>
      <c r="D4399" s="51">
        <v>63.0</v>
      </c>
      <c r="E4399" s="52" t="s">
        <v>25</v>
      </c>
      <c r="F4399" s="52" t="s">
        <v>26</v>
      </c>
      <c r="G4399" s="53"/>
    </row>
    <row r="4400">
      <c r="A4400" s="49">
        <v>44559.107990902776</v>
      </c>
      <c r="B4400" s="50">
        <v>44559.2329699305</v>
      </c>
      <c r="C4400" s="51">
        <v>1.012</v>
      </c>
      <c r="D4400" s="51">
        <v>63.0</v>
      </c>
      <c r="E4400" s="52" t="s">
        <v>25</v>
      </c>
      <c r="F4400" s="52" t="s">
        <v>26</v>
      </c>
      <c r="G4400" s="53"/>
    </row>
    <row r="4401">
      <c r="A4401" s="49">
        <v>44559.11841005787</v>
      </c>
      <c r="B4401" s="50">
        <v>44559.2433885763</v>
      </c>
      <c r="C4401" s="51">
        <v>1.012</v>
      </c>
      <c r="D4401" s="51">
        <v>63.0</v>
      </c>
      <c r="E4401" s="52" t="s">
        <v>25</v>
      </c>
      <c r="F4401" s="52" t="s">
        <v>26</v>
      </c>
      <c r="G4401" s="53"/>
    </row>
    <row r="4402">
      <c r="A4402" s="49">
        <v>44559.12883321759</v>
      </c>
      <c r="B4402" s="50">
        <v>44559.2538096296</v>
      </c>
      <c r="C4402" s="51">
        <v>1.012</v>
      </c>
      <c r="D4402" s="51">
        <v>63.0</v>
      </c>
      <c r="E4402" s="52" t="s">
        <v>25</v>
      </c>
      <c r="F4402" s="52" t="s">
        <v>26</v>
      </c>
      <c r="G4402" s="53"/>
    </row>
    <row r="4403">
      <c r="A4403" s="49">
        <v>44559.139252442124</v>
      </c>
      <c r="B4403" s="50">
        <v>44559.2642312962</v>
      </c>
      <c r="C4403" s="51">
        <v>1.012</v>
      </c>
      <c r="D4403" s="51">
        <v>63.0</v>
      </c>
      <c r="E4403" s="52" t="s">
        <v>25</v>
      </c>
      <c r="F4403" s="52" t="s">
        <v>26</v>
      </c>
      <c r="G4403" s="53"/>
    </row>
    <row r="4404">
      <c r="A4404" s="49">
        <v>44559.14968170139</v>
      </c>
      <c r="B4404" s="50">
        <v>44559.27465103</v>
      </c>
      <c r="C4404" s="51">
        <v>1.012</v>
      </c>
      <c r="D4404" s="51">
        <v>63.0</v>
      </c>
      <c r="E4404" s="52" t="s">
        <v>25</v>
      </c>
      <c r="F4404" s="52" t="s">
        <v>26</v>
      </c>
      <c r="G4404" s="53"/>
    </row>
    <row r="4405">
      <c r="A4405" s="49">
        <v>44559.16009993055</v>
      </c>
      <c r="B4405" s="50">
        <v>44559.2850722453</v>
      </c>
      <c r="C4405" s="51">
        <v>1.012</v>
      </c>
      <c r="D4405" s="51">
        <v>63.0</v>
      </c>
      <c r="E4405" s="52" t="s">
        <v>25</v>
      </c>
      <c r="F4405" s="52" t="s">
        <v>26</v>
      </c>
      <c r="G4405" s="53"/>
    </row>
    <row r="4406">
      <c r="A4406" s="49">
        <v>44559.17053915509</v>
      </c>
      <c r="B4406" s="50">
        <v>44559.2954936689</v>
      </c>
      <c r="C4406" s="51">
        <v>1.012</v>
      </c>
      <c r="D4406" s="51">
        <v>63.0</v>
      </c>
      <c r="E4406" s="52" t="s">
        <v>25</v>
      </c>
      <c r="F4406" s="52" t="s">
        <v>26</v>
      </c>
      <c r="G4406" s="53"/>
    </row>
    <row r="4407">
      <c r="A4407" s="49">
        <v>44559.180969849534</v>
      </c>
      <c r="B4407" s="50">
        <v>44559.3059374537</v>
      </c>
      <c r="C4407" s="51">
        <v>1.012</v>
      </c>
      <c r="D4407" s="51">
        <v>63.0</v>
      </c>
      <c r="E4407" s="52" t="s">
        <v>25</v>
      </c>
      <c r="F4407" s="52" t="s">
        <v>26</v>
      </c>
      <c r="G4407" s="53"/>
    </row>
    <row r="4408">
      <c r="A4408" s="49">
        <v>44559.19138541666</v>
      </c>
      <c r="B4408" s="50">
        <v>44559.3163568749</v>
      </c>
      <c r="C4408" s="51">
        <v>1.012</v>
      </c>
      <c r="D4408" s="51">
        <v>63.0</v>
      </c>
      <c r="E4408" s="52" t="s">
        <v>25</v>
      </c>
      <c r="F4408" s="52" t="s">
        <v>26</v>
      </c>
      <c r="G4408" s="53"/>
    </row>
    <row r="4409">
      <c r="A4409" s="49">
        <v>44559.201815057866</v>
      </c>
      <c r="B4409" s="50">
        <v>44559.326790405</v>
      </c>
      <c r="C4409" s="51">
        <v>1.012</v>
      </c>
      <c r="D4409" s="51">
        <v>63.0</v>
      </c>
      <c r="E4409" s="52" t="s">
        <v>25</v>
      </c>
      <c r="F4409" s="52" t="s">
        <v>26</v>
      </c>
      <c r="G4409" s="53"/>
    </row>
    <row r="4410">
      <c r="A4410" s="49">
        <v>44559.21223796296</v>
      </c>
      <c r="B4410" s="50">
        <v>44559.3372112962</v>
      </c>
      <c r="C4410" s="51">
        <v>1.012</v>
      </c>
      <c r="D4410" s="51">
        <v>63.0</v>
      </c>
      <c r="E4410" s="52" t="s">
        <v>25</v>
      </c>
      <c r="F4410" s="52" t="s">
        <v>26</v>
      </c>
      <c r="G4410" s="53"/>
    </row>
    <row r="4411">
      <c r="A4411" s="49">
        <v>44559.22266357639</v>
      </c>
      <c r="B4411" s="50">
        <v>44559.3476332986</v>
      </c>
      <c r="C4411" s="51">
        <v>1.012</v>
      </c>
      <c r="D4411" s="51">
        <v>63.0</v>
      </c>
      <c r="E4411" s="52" t="s">
        <v>25</v>
      </c>
      <c r="F4411" s="52" t="s">
        <v>26</v>
      </c>
      <c r="G4411" s="53"/>
    </row>
    <row r="4412">
      <c r="A4412" s="49">
        <v>44559.233077199075</v>
      </c>
      <c r="B4412" s="50">
        <v>44559.3580524884</v>
      </c>
      <c r="C4412" s="51">
        <v>1.012</v>
      </c>
      <c r="D4412" s="51">
        <v>63.0</v>
      </c>
      <c r="E4412" s="52" t="s">
        <v>25</v>
      </c>
      <c r="F4412" s="52" t="s">
        <v>26</v>
      </c>
      <c r="G4412" s="53"/>
    </row>
    <row r="4413">
      <c r="A4413" s="49">
        <v>44559.24350886574</v>
      </c>
      <c r="B4413" s="50">
        <v>44559.3684743171</v>
      </c>
      <c r="C4413" s="51">
        <v>1.012</v>
      </c>
      <c r="D4413" s="51">
        <v>64.0</v>
      </c>
      <c r="E4413" s="52" t="s">
        <v>25</v>
      </c>
      <c r="F4413" s="52" t="s">
        <v>26</v>
      </c>
      <c r="G4413" s="53"/>
    </row>
    <row r="4414">
      <c r="A4414" s="49">
        <v>44559.253953900465</v>
      </c>
      <c r="B4414" s="50">
        <v>44559.3789309143</v>
      </c>
      <c r="C4414" s="51">
        <v>1.012</v>
      </c>
      <c r="D4414" s="51">
        <v>63.0</v>
      </c>
      <c r="E4414" s="52" t="s">
        <v>25</v>
      </c>
      <c r="F4414" s="52" t="s">
        <v>26</v>
      </c>
      <c r="G4414" s="53"/>
    </row>
    <row r="4415">
      <c r="A4415" s="49">
        <v>44559.26438439815</v>
      </c>
      <c r="B4415" s="50">
        <v>44559.3893521527</v>
      </c>
      <c r="C4415" s="51">
        <v>1.012</v>
      </c>
      <c r="D4415" s="51">
        <v>63.0</v>
      </c>
      <c r="E4415" s="52" t="s">
        <v>25</v>
      </c>
      <c r="F4415" s="52" t="s">
        <v>26</v>
      </c>
      <c r="G4415" s="53"/>
    </row>
    <row r="4416">
      <c r="A4416" s="49">
        <v>44559.274842743056</v>
      </c>
      <c r="B4416" s="50">
        <v>44559.3998085069</v>
      </c>
      <c r="C4416" s="51">
        <v>1.012</v>
      </c>
      <c r="D4416" s="51">
        <v>63.0</v>
      </c>
      <c r="E4416" s="52" t="s">
        <v>25</v>
      </c>
      <c r="F4416" s="52" t="s">
        <v>26</v>
      </c>
      <c r="G4416" s="53"/>
    </row>
    <row r="4417">
      <c r="A4417" s="49">
        <v>44559.28526241898</v>
      </c>
      <c r="B4417" s="50">
        <v>44559.4102309722</v>
      </c>
      <c r="C4417" s="51">
        <v>1.012</v>
      </c>
      <c r="D4417" s="51">
        <v>63.0</v>
      </c>
      <c r="E4417" s="52" t="s">
        <v>25</v>
      </c>
      <c r="F4417" s="52" t="s">
        <v>26</v>
      </c>
      <c r="G4417" s="53"/>
    </row>
    <row r="4418">
      <c r="A4418" s="49">
        <v>44559.29568002315</v>
      </c>
      <c r="B4418" s="50">
        <v>44559.420652037</v>
      </c>
      <c r="C4418" s="51">
        <v>1.012</v>
      </c>
      <c r="D4418" s="51">
        <v>63.0</v>
      </c>
      <c r="E4418" s="52" t="s">
        <v>25</v>
      </c>
      <c r="F4418" s="52" t="s">
        <v>26</v>
      </c>
      <c r="G4418" s="53"/>
    </row>
    <row r="4419">
      <c r="A4419" s="49">
        <v>44559.3061106713</v>
      </c>
      <c r="B4419" s="50">
        <v>44559.4310829745</v>
      </c>
      <c r="C4419" s="51">
        <v>1.012</v>
      </c>
      <c r="D4419" s="51">
        <v>63.0</v>
      </c>
      <c r="E4419" s="52" t="s">
        <v>25</v>
      </c>
      <c r="F4419" s="52" t="s">
        <v>26</v>
      </c>
      <c r="G4419" s="53"/>
    </row>
    <row r="4420">
      <c r="A4420" s="49">
        <v>44559.31652769676</v>
      </c>
      <c r="B4420" s="50">
        <v>44559.4415038888</v>
      </c>
      <c r="C4420" s="51">
        <v>1.012</v>
      </c>
      <c r="D4420" s="51">
        <v>63.0</v>
      </c>
      <c r="E4420" s="52" t="s">
        <v>25</v>
      </c>
      <c r="F4420" s="52" t="s">
        <v>26</v>
      </c>
      <c r="G4420" s="53"/>
    </row>
    <row r="4421">
      <c r="A4421" s="49">
        <v>44559.32696074074</v>
      </c>
      <c r="B4421" s="50">
        <v>44559.4519278819</v>
      </c>
      <c r="C4421" s="51">
        <v>1.012</v>
      </c>
      <c r="D4421" s="51">
        <v>63.0</v>
      </c>
      <c r="E4421" s="52" t="s">
        <v>25</v>
      </c>
      <c r="F4421" s="52" t="s">
        <v>26</v>
      </c>
      <c r="G4421" s="53"/>
    </row>
    <row r="4422">
      <c r="A4422" s="49">
        <v>44559.33741525463</v>
      </c>
      <c r="B4422" s="50">
        <v>44559.4623751273</v>
      </c>
      <c r="C4422" s="51">
        <v>1.012</v>
      </c>
      <c r="D4422" s="51">
        <v>63.0</v>
      </c>
      <c r="E4422" s="52" t="s">
        <v>25</v>
      </c>
      <c r="F4422" s="52" t="s">
        <v>26</v>
      </c>
      <c r="G4422" s="53"/>
    </row>
    <row r="4423">
      <c r="A4423" s="49">
        <v>44559.34784253473</v>
      </c>
      <c r="B4423" s="50">
        <v>44559.4728075925</v>
      </c>
      <c r="C4423" s="51">
        <v>1.012</v>
      </c>
      <c r="D4423" s="51">
        <v>63.0</v>
      </c>
      <c r="E4423" s="52" t="s">
        <v>25</v>
      </c>
      <c r="F4423" s="52" t="s">
        <v>26</v>
      </c>
      <c r="G4423" s="53"/>
    </row>
    <row r="4424">
      <c r="A4424" s="49">
        <v>44559.358284814814</v>
      </c>
      <c r="B4424" s="50">
        <v>44559.4832523379</v>
      </c>
      <c r="C4424" s="51">
        <v>1.012</v>
      </c>
      <c r="D4424" s="51">
        <v>63.0</v>
      </c>
      <c r="E4424" s="52" t="s">
        <v>25</v>
      </c>
      <c r="F4424" s="52" t="s">
        <v>26</v>
      </c>
      <c r="G4424" s="53"/>
    </row>
    <row r="4425">
      <c r="A4425" s="49">
        <v>44559.36870027777</v>
      </c>
      <c r="B4425" s="50">
        <v>44559.4936744328</v>
      </c>
      <c r="C4425" s="51">
        <v>1.012</v>
      </c>
      <c r="D4425" s="51">
        <v>63.0</v>
      </c>
      <c r="E4425" s="52" t="s">
        <v>25</v>
      </c>
      <c r="F4425" s="52" t="s">
        <v>26</v>
      </c>
      <c r="G4425" s="53"/>
    </row>
    <row r="4426">
      <c r="A4426" s="49">
        <v>44559.379126898144</v>
      </c>
      <c r="B4426" s="50">
        <v>44559.5040956481</v>
      </c>
      <c r="C4426" s="51">
        <v>1.012</v>
      </c>
      <c r="D4426" s="51">
        <v>63.0</v>
      </c>
      <c r="E4426" s="52" t="s">
        <v>25</v>
      </c>
      <c r="F4426" s="52" t="s">
        <v>26</v>
      </c>
      <c r="G4426" s="53"/>
    </row>
    <row r="4427">
      <c r="A4427" s="49">
        <v>44559.38956471065</v>
      </c>
      <c r="B4427" s="50">
        <v>44559.5145281018</v>
      </c>
      <c r="C4427" s="51">
        <v>1.013</v>
      </c>
      <c r="D4427" s="51">
        <v>63.0</v>
      </c>
      <c r="E4427" s="52" t="s">
        <v>25</v>
      </c>
      <c r="F4427" s="52" t="s">
        <v>26</v>
      </c>
      <c r="G4427" s="53"/>
    </row>
    <row r="4428">
      <c r="A4428" s="49">
        <v>44559.39998295139</v>
      </c>
      <c r="B4428" s="50">
        <v>44559.5249494907</v>
      </c>
      <c r="C4428" s="51">
        <v>1.012</v>
      </c>
      <c r="D4428" s="51">
        <v>63.0</v>
      </c>
      <c r="E4428" s="52" t="s">
        <v>25</v>
      </c>
      <c r="F4428" s="52" t="s">
        <v>26</v>
      </c>
      <c r="G4428" s="53"/>
    </row>
    <row r="4429">
      <c r="A4429" s="49">
        <v>44559.41041070602</v>
      </c>
      <c r="B4429" s="50">
        <v>44559.5353822569</v>
      </c>
      <c r="C4429" s="51">
        <v>1.012</v>
      </c>
      <c r="D4429" s="51">
        <v>63.0</v>
      </c>
      <c r="E4429" s="52" t="s">
        <v>25</v>
      </c>
      <c r="F4429" s="52" t="s">
        <v>26</v>
      </c>
      <c r="G4429" s="53"/>
    </row>
    <row r="4430">
      <c r="A4430" s="49">
        <v>44559.42083591435</v>
      </c>
      <c r="B4430" s="50">
        <v>44559.5458044328</v>
      </c>
      <c r="C4430" s="51">
        <v>1.012</v>
      </c>
      <c r="D4430" s="51">
        <v>63.0</v>
      </c>
      <c r="E4430" s="52" t="s">
        <v>25</v>
      </c>
      <c r="F4430" s="52" t="s">
        <v>26</v>
      </c>
      <c r="G4430" s="53"/>
    </row>
    <row r="4431">
      <c r="A4431" s="49">
        <v>44559.431257233795</v>
      </c>
      <c r="B4431" s="50">
        <v>44559.5562255787</v>
      </c>
      <c r="C4431" s="51">
        <v>1.012</v>
      </c>
      <c r="D4431" s="51">
        <v>63.0</v>
      </c>
      <c r="E4431" s="52" t="s">
        <v>25</v>
      </c>
      <c r="F4431" s="52" t="s">
        <v>26</v>
      </c>
      <c r="G4431" s="53"/>
    </row>
    <row r="4432">
      <c r="A4432" s="49">
        <v>44559.44167662037</v>
      </c>
      <c r="B4432" s="50">
        <v>44559.5666460879</v>
      </c>
      <c r="C4432" s="51">
        <v>1.012</v>
      </c>
      <c r="D4432" s="51">
        <v>63.0</v>
      </c>
      <c r="E4432" s="52" t="s">
        <v>25</v>
      </c>
      <c r="F4432" s="52" t="s">
        <v>26</v>
      </c>
      <c r="G4432" s="53"/>
    </row>
    <row r="4433">
      <c r="A4433" s="49">
        <v>44559.45211359954</v>
      </c>
      <c r="B4433" s="50">
        <v>44559.5770781134</v>
      </c>
      <c r="C4433" s="51">
        <v>1.012</v>
      </c>
      <c r="D4433" s="51">
        <v>63.0</v>
      </c>
      <c r="E4433" s="52" t="s">
        <v>25</v>
      </c>
      <c r="F4433" s="52" t="s">
        <v>26</v>
      </c>
      <c r="G4433" s="53"/>
    </row>
    <row r="4434">
      <c r="A4434" s="49">
        <v>44559.46253512731</v>
      </c>
      <c r="B4434" s="50">
        <v>44559.5875109375</v>
      </c>
      <c r="C4434" s="51">
        <v>1.012</v>
      </c>
      <c r="D4434" s="51">
        <v>63.0</v>
      </c>
      <c r="E4434" s="52" t="s">
        <v>25</v>
      </c>
      <c r="F4434" s="52" t="s">
        <v>26</v>
      </c>
      <c r="G4434" s="53"/>
    </row>
    <row r="4435">
      <c r="A4435" s="49">
        <v>44559.47296025463</v>
      </c>
      <c r="B4435" s="50">
        <v>44559.5979303935</v>
      </c>
      <c r="C4435" s="51">
        <v>1.012</v>
      </c>
      <c r="D4435" s="51">
        <v>63.0</v>
      </c>
      <c r="E4435" s="52" t="s">
        <v>25</v>
      </c>
      <c r="F4435" s="52" t="s">
        <v>26</v>
      </c>
      <c r="G4435" s="53"/>
    </row>
    <row r="4436">
      <c r="A4436" s="49">
        <v>44559.48341503472</v>
      </c>
      <c r="B4436" s="50">
        <v>44559.6083759606</v>
      </c>
      <c r="C4436" s="51">
        <v>1.012</v>
      </c>
      <c r="D4436" s="51">
        <v>63.0</v>
      </c>
      <c r="E4436" s="52" t="s">
        <v>25</v>
      </c>
      <c r="F4436" s="52" t="s">
        <v>26</v>
      </c>
      <c r="G4436" s="53"/>
    </row>
    <row r="4437">
      <c r="A4437" s="49">
        <v>44559.49384091435</v>
      </c>
      <c r="B4437" s="50">
        <v>44559.6188089004</v>
      </c>
      <c r="C4437" s="51">
        <v>1.012</v>
      </c>
      <c r="D4437" s="51">
        <v>63.0</v>
      </c>
      <c r="E4437" s="52" t="s">
        <v>25</v>
      </c>
      <c r="F4437" s="52" t="s">
        <v>26</v>
      </c>
      <c r="G4437" s="53"/>
    </row>
    <row r="4438">
      <c r="A4438" s="49">
        <v>44559.504291053236</v>
      </c>
      <c r="B4438" s="50">
        <v>44559.6292634837</v>
      </c>
      <c r="C4438" s="51">
        <v>1.012</v>
      </c>
      <c r="D4438" s="51">
        <v>63.0</v>
      </c>
      <c r="E4438" s="52" t="s">
        <v>25</v>
      </c>
      <c r="F4438" s="52" t="s">
        <v>26</v>
      </c>
      <c r="G4438" s="53"/>
    </row>
    <row r="4439">
      <c r="A4439" s="49">
        <v>44559.51472328704</v>
      </c>
      <c r="B4439" s="50">
        <v>44559.6396962847</v>
      </c>
      <c r="C4439" s="51">
        <v>1.012</v>
      </c>
      <c r="D4439" s="51">
        <v>63.0</v>
      </c>
      <c r="E4439" s="52" t="s">
        <v>25</v>
      </c>
      <c r="F4439" s="52" t="s">
        <v>26</v>
      </c>
      <c r="G4439" s="53"/>
    </row>
    <row r="4440">
      <c r="A4440" s="49">
        <v>44559.5251446412</v>
      </c>
      <c r="B4440" s="50">
        <v>44559.6501175115</v>
      </c>
      <c r="C4440" s="51">
        <v>1.012</v>
      </c>
      <c r="D4440" s="51">
        <v>63.0</v>
      </c>
      <c r="E4440" s="52" t="s">
        <v>25</v>
      </c>
      <c r="F4440" s="52" t="s">
        <v>26</v>
      </c>
      <c r="G4440" s="53"/>
    </row>
    <row r="4441">
      <c r="A4441" s="49">
        <v>44559.53556241898</v>
      </c>
      <c r="B4441" s="50">
        <v>44559.6605396527</v>
      </c>
      <c r="C4441" s="51">
        <v>1.012</v>
      </c>
      <c r="D4441" s="51">
        <v>63.0</v>
      </c>
      <c r="E4441" s="52" t="s">
        <v>25</v>
      </c>
      <c r="F4441" s="52" t="s">
        <v>26</v>
      </c>
      <c r="G4441" s="53"/>
    </row>
    <row r="4442">
      <c r="A4442" s="49">
        <v>44559.54599559028</v>
      </c>
      <c r="B4442" s="50">
        <v>44559.6709603703</v>
      </c>
      <c r="C4442" s="51">
        <v>1.012</v>
      </c>
      <c r="D4442" s="51">
        <v>63.0</v>
      </c>
      <c r="E4442" s="52" t="s">
        <v>25</v>
      </c>
      <c r="F4442" s="52" t="s">
        <v>26</v>
      </c>
      <c r="G4442" s="53"/>
    </row>
    <row r="4443">
      <c r="A4443" s="49">
        <v>44559.5564060301</v>
      </c>
      <c r="B4443" s="50">
        <v>44559.6813817592</v>
      </c>
      <c r="C4443" s="51">
        <v>1.012</v>
      </c>
      <c r="D4443" s="51">
        <v>63.0</v>
      </c>
      <c r="E4443" s="52" t="s">
        <v>25</v>
      </c>
      <c r="F4443" s="52" t="s">
        <v>26</v>
      </c>
      <c r="G4443" s="53"/>
    </row>
    <row r="4444">
      <c r="A4444" s="49">
        <v>44559.56683570602</v>
      </c>
      <c r="B4444" s="50">
        <v>44559.6918138541</v>
      </c>
      <c r="C4444" s="51">
        <v>1.012</v>
      </c>
      <c r="D4444" s="51">
        <v>63.0</v>
      </c>
      <c r="E4444" s="52" t="s">
        <v>25</v>
      </c>
      <c r="F4444" s="52" t="s">
        <v>26</v>
      </c>
      <c r="G4444" s="53"/>
    </row>
    <row r="4445">
      <c r="A4445" s="49">
        <v>44559.57726042824</v>
      </c>
      <c r="B4445" s="50">
        <v>44559.7022349768</v>
      </c>
      <c r="C4445" s="51">
        <v>1.012</v>
      </c>
      <c r="D4445" s="51">
        <v>63.0</v>
      </c>
      <c r="E4445" s="52" t="s">
        <v>25</v>
      </c>
      <c r="F4445" s="52" t="s">
        <v>26</v>
      </c>
      <c r="G4445" s="53"/>
    </row>
    <row r="4446">
      <c r="A4446" s="49">
        <v>44559.58767896991</v>
      </c>
      <c r="B4446" s="50">
        <v>44559.7126559374</v>
      </c>
      <c r="C4446" s="51">
        <v>1.012</v>
      </c>
      <c r="D4446" s="51">
        <v>63.0</v>
      </c>
      <c r="E4446" s="52" t="s">
        <v>25</v>
      </c>
      <c r="F4446" s="52" t="s">
        <v>26</v>
      </c>
      <c r="G4446" s="53"/>
    </row>
    <row r="4447">
      <c r="A4447" s="49">
        <v>44559.59810949074</v>
      </c>
      <c r="B4447" s="50">
        <v>44559.7230886458</v>
      </c>
      <c r="C4447" s="51">
        <v>1.012</v>
      </c>
      <c r="D4447" s="51">
        <v>63.0</v>
      </c>
      <c r="E4447" s="52" t="s">
        <v>25</v>
      </c>
      <c r="F4447" s="52" t="s">
        <v>26</v>
      </c>
      <c r="G4447" s="53"/>
    </row>
    <row r="4448">
      <c r="A4448" s="49">
        <v>44559.60853777778</v>
      </c>
      <c r="B4448" s="50">
        <v>44559.7335101157</v>
      </c>
      <c r="C4448" s="51">
        <v>1.012</v>
      </c>
      <c r="D4448" s="51">
        <v>63.0</v>
      </c>
      <c r="E4448" s="52" t="s">
        <v>25</v>
      </c>
      <c r="F4448" s="52" t="s">
        <v>26</v>
      </c>
      <c r="G4448" s="53"/>
    </row>
    <row r="4449">
      <c r="A4449" s="49">
        <v>44559.61895643518</v>
      </c>
      <c r="B4449" s="50">
        <v>44559.7439315393</v>
      </c>
      <c r="C4449" s="51">
        <v>1.012</v>
      </c>
      <c r="D4449" s="51">
        <v>63.0</v>
      </c>
      <c r="E4449" s="52" t="s">
        <v>25</v>
      </c>
      <c r="F4449" s="52" t="s">
        <v>26</v>
      </c>
      <c r="G4449" s="53"/>
    </row>
    <row r="4450">
      <c r="A4450" s="49">
        <v>44559.629375289354</v>
      </c>
      <c r="B4450" s="50">
        <v>44559.7543530324</v>
      </c>
      <c r="C4450" s="51">
        <v>1.012</v>
      </c>
      <c r="D4450" s="51">
        <v>63.0</v>
      </c>
      <c r="E4450" s="52" t="s">
        <v>25</v>
      </c>
      <c r="F4450" s="52" t="s">
        <v>26</v>
      </c>
      <c r="G4450" s="53"/>
    </row>
    <row r="4451">
      <c r="A4451" s="49">
        <v>44559.6398009838</v>
      </c>
      <c r="B4451" s="50">
        <v>44559.7647855787</v>
      </c>
      <c r="C4451" s="51">
        <v>1.012</v>
      </c>
      <c r="D4451" s="51">
        <v>63.0</v>
      </c>
      <c r="E4451" s="52" t="s">
        <v>25</v>
      </c>
      <c r="F4451" s="52" t="s">
        <v>26</v>
      </c>
      <c r="G4451" s="53"/>
    </row>
    <row r="4452">
      <c r="A4452" s="49">
        <v>44559.65022429398</v>
      </c>
      <c r="B4452" s="50">
        <v>44559.7752090277</v>
      </c>
      <c r="C4452" s="51">
        <v>1.012</v>
      </c>
      <c r="D4452" s="51">
        <v>63.0</v>
      </c>
      <c r="E4452" s="52" t="s">
        <v>25</v>
      </c>
      <c r="F4452" s="52" t="s">
        <v>26</v>
      </c>
      <c r="G4452" s="53"/>
    </row>
    <row r="4453">
      <c r="A4453" s="49">
        <v>44559.660655011576</v>
      </c>
      <c r="B4453" s="50">
        <v>44559.7856298263</v>
      </c>
      <c r="C4453" s="51">
        <v>1.012</v>
      </c>
      <c r="D4453" s="51">
        <v>63.0</v>
      </c>
      <c r="E4453" s="52" t="s">
        <v>25</v>
      </c>
      <c r="F4453" s="52" t="s">
        <v>26</v>
      </c>
      <c r="G4453" s="53"/>
    </row>
    <row r="4454">
      <c r="A4454" s="49">
        <v>44559.67107856482</v>
      </c>
      <c r="B4454" s="50">
        <v>44559.7960505555</v>
      </c>
      <c r="C4454" s="51">
        <v>1.012</v>
      </c>
      <c r="D4454" s="51">
        <v>63.0</v>
      </c>
      <c r="E4454" s="52" t="s">
        <v>25</v>
      </c>
      <c r="F4454" s="52" t="s">
        <v>26</v>
      </c>
      <c r="G4454" s="53"/>
    </row>
    <row r="4455">
      <c r="A4455" s="49">
        <v>44559.68149564815</v>
      </c>
      <c r="B4455" s="50">
        <v>44559.8064717476</v>
      </c>
      <c r="C4455" s="51">
        <v>1.012</v>
      </c>
      <c r="D4455" s="51">
        <v>63.0</v>
      </c>
      <c r="E4455" s="52" t="s">
        <v>25</v>
      </c>
      <c r="F4455" s="52" t="s">
        <v>26</v>
      </c>
      <c r="G4455" s="53"/>
    </row>
    <row r="4456">
      <c r="A4456" s="49">
        <v>44559.69192600694</v>
      </c>
      <c r="B4456" s="50">
        <v>44559.8169038888</v>
      </c>
      <c r="C4456" s="51">
        <v>1.012</v>
      </c>
      <c r="D4456" s="51">
        <v>63.0</v>
      </c>
      <c r="E4456" s="52" t="s">
        <v>25</v>
      </c>
      <c r="F4456" s="52" t="s">
        <v>26</v>
      </c>
      <c r="G4456" s="53"/>
    </row>
    <row r="4457">
      <c r="A4457" s="49">
        <v>44559.702344074074</v>
      </c>
      <c r="B4457" s="50">
        <v>44559.8273232986</v>
      </c>
      <c r="C4457" s="51">
        <v>1.012</v>
      </c>
      <c r="D4457" s="51">
        <v>63.0</v>
      </c>
      <c r="E4457" s="52" t="s">
        <v>25</v>
      </c>
      <c r="F4457" s="52" t="s">
        <v>26</v>
      </c>
      <c r="G4457" s="53"/>
    </row>
    <row r="4458">
      <c r="A4458" s="49">
        <v>44559.71278349537</v>
      </c>
      <c r="B4458" s="50">
        <v>44559.8377558217</v>
      </c>
      <c r="C4458" s="51">
        <v>1.012</v>
      </c>
      <c r="D4458" s="51">
        <v>63.0</v>
      </c>
      <c r="E4458" s="52" t="s">
        <v>25</v>
      </c>
      <c r="F4458" s="52" t="s">
        <v>26</v>
      </c>
      <c r="G4458" s="53"/>
    </row>
    <row r="4459">
      <c r="A4459" s="49">
        <v>44559.72323725694</v>
      </c>
      <c r="B4459" s="50">
        <v>44559.8482106134</v>
      </c>
      <c r="C4459" s="51">
        <v>1.012</v>
      </c>
      <c r="D4459" s="51">
        <v>63.0</v>
      </c>
      <c r="E4459" s="52" t="s">
        <v>25</v>
      </c>
      <c r="F4459" s="52" t="s">
        <v>26</v>
      </c>
      <c r="G4459" s="53"/>
    </row>
    <row r="4460">
      <c r="A4460" s="49">
        <v>44559.73366907408</v>
      </c>
      <c r="B4460" s="50">
        <v>44559.858644375</v>
      </c>
      <c r="C4460" s="51">
        <v>1.012</v>
      </c>
      <c r="D4460" s="51">
        <v>63.0</v>
      </c>
      <c r="E4460" s="52" t="s">
        <v>25</v>
      </c>
      <c r="F4460" s="52" t="s">
        <v>26</v>
      </c>
      <c r="G4460" s="53"/>
    </row>
    <row r="4461">
      <c r="A4461" s="49">
        <v>44559.7440875926</v>
      </c>
      <c r="B4461" s="50">
        <v>44559.8690650231</v>
      </c>
      <c r="C4461" s="51">
        <v>1.012</v>
      </c>
      <c r="D4461" s="51">
        <v>63.0</v>
      </c>
      <c r="E4461" s="52" t="s">
        <v>25</v>
      </c>
      <c r="F4461" s="52" t="s">
        <v>26</v>
      </c>
      <c r="G4461" s="53"/>
    </row>
    <row r="4462">
      <c r="A4462" s="49">
        <v>44559.754504745375</v>
      </c>
      <c r="B4462" s="50">
        <v>44559.8794861458</v>
      </c>
      <c r="C4462" s="51">
        <v>1.012</v>
      </c>
      <c r="D4462" s="51">
        <v>63.0</v>
      </c>
      <c r="E4462" s="52" t="s">
        <v>25</v>
      </c>
      <c r="F4462" s="52" t="s">
        <v>26</v>
      </c>
      <c r="G4462" s="53"/>
    </row>
    <row r="4463">
      <c r="A4463" s="49">
        <v>44559.76493068287</v>
      </c>
      <c r="B4463" s="50">
        <v>44559.8899056944</v>
      </c>
      <c r="C4463" s="51">
        <v>1.012</v>
      </c>
      <c r="D4463" s="51">
        <v>63.0</v>
      </c>
      <c r="E4463" s="52" t="s">
        <v>25</v>
      </c>
      <c r="F4463" s="52" t="s">
        <v>26</v>
      </c>
      <c r="G4463" s="53"/>
    </row>
    <row r="4464">
      <c r="A4464" s="49">
        <v>44559.77534769676</v>
      </c>
      <c r="B4464" s="50">
        <v>44559.9003268171</v>
      </c>
      <c r="C4464" s="51">
        <v>1.012</v>
      </c>
      <c r="D4464" s="51">
        <v>63.0</v>
      </c>
      <c r="E4464" s="52" t="s">
        <v>25</v>
      </c>
      <c r="F4464" s="52" t="s">
        <v>26</v>
      </c>
      <c r="G4464" s="53"/>
    </row>
    <row r="4465">
      <c r="A4465" s="49">
        <v>44559.7857731713</v>
      </c>
      <c r="B4465" s="50">
        <v>44559.9107497222</v>
      </c>
      <c r="C4465" s="51">
        <v>1.012</v>
      </c>
      <c r="D4465" s="51">
        <v>63.0</v>
      </c>
      <c r="E4465" s="52" t="s">
        <v>25</v>
      </c>
      <c r="F4465" s="52" t="s">
        <v>26</v>
      </c>
      <c r="G4465" s="53"/>
    </row>
    <row r="4466">
      <c r="A4466" s="49">
        <v>44559.79621173611</v>
      </c>
      <c r="B4466" s="50">
        <v>44559.921194375</v>
      </c>
      <c r="C4466" s="51">
        <v>1.012</v>
      </c>
      <c r="D4466" s="51">
        <v>63.0</v>
      </c>
      <c r="E4466" s="52" t="s">
        <v>25</v>
      </c>
      <c r="F4466" s="52" t="s">
        <v>26</v>
      </c>
      <c r="G4466" s="53"/>
    </row>
    <row r="4467">
      <c r="A4467" s="49">
        <v>44559.80663508102</v>
      </c>
      <c r="B4467" s="50">
        <v>44559.9316143518</v>
      </c>
      <c r="C4467" s="51">
        <v>1.012</v>
      </c>
      <c r="D4467" s="51">
        <v>63.0</v>
      </c>
      <c r="E4467" s="52" t="s">
        <v>25</v>
      </c>
      <c r="F4467" s="52" t="s">
        <v>26</v>
      </c>
      <c r="G4467" s="53"/>
    </row>
    <row r="4468">
      <c r="A4468" s="49">
        <v>44559.81705891204</v>
      </c>
      <c r="B4468" s="50">
        <v>44559.9420356944</v>
      </c>
      <c r="C4468" s="51">
        <v>1.012</v>
      </c>
      <c r="D4468" s="51">
        <v>63.0</v>
      </c>
      <c r="E4468" s="52" t="s">
        <v>25</v>
      </c>
      <c r="F4468" s="52" t="s">
        <v>26</v>
      </c>
      <c r="G4468" s="53"/>
    </row>
    <row r="4469">
      <c r="A4469" s="49">
        <v>44559.82747952546</v>
      </c>
      <c r="B4469" s="50">
        <v>44559.9524548495</v>
      </c>
      <c r="C4469" s="51">
        <v>1.012</v>
      </c>
      <c r="D4469" s="51">
        <v>63.0</v>
      </c>
      <c r="E4469" s="52" t="s">
        <v>25</v>
      </c>
      <c r="F4469" s="52" t="s">
        <v>26</v>
      </c>
      <c r="G4469" s="53"/>
    </row>
    <row r="4470">
      <c r="A4470" s="49">
        <v>44559.83793738426</v>
      </c>
      <c r="B4470" s="50">
        <v>44559.9629110532</v>
      </c>
      <c r="C4470" s="51">
        <v>1.012</v>
      </c>
      <c r="D4470" s="51">
        <v>63.0</v>
      </c>
      <c r="E4470" s="52" t="s">
        <v>25</v>
      </c>
      <c r="F4470" s="52" t="s">
        <v>26</v>
      </c>
      <c r="G4470" s="53"/>
    </row>
    <row r="4471">
      <c r="A4471" s="49">
        <v>44559.84835119213</v>
      </c>
      <c r="B4471" s="50">
        <v>44559.9733314351</v>
      </c>
      <c r="C4471" s="51">
        <v>1.012</v>
      </c>
      <c r="D4471" s="51">
        <v>63.0</v>
      </c>
      <c r="E4471" s="52" t="s">
        <v>25</v>
      </c>
      <c r="F4471" s="52" t="s">
        <v>26</v>
      </c>
      <c r="G4471" s="53"/>
    </row>
    <row r="4472">
      <c r="A4472" s="49">
        <v>44559.85877521991</v>
      </c>
      <c r="B4472" s="50">
        <v>44559.9837531365</v>
      </c>
      <c r="C4472" s="51">
        <v>1.012</v>
      </c>
      <c r="D4472" s="51">
        <v>63.0</v>
      </c>
      <c r="E4472" s="52" t="s">
        <v>25</v>
      </c>
      <c r="F4472" s="52" t="s">
        <v>26</v>
      </c>
      <c r="G4472" s="53"/>
    </row>
    <row r="4473">
      <c r="A4473" s="49">
        <v>44559.86919167824</v>
      </c>
      <c r="B4473" s="50">
        <v>44559.9941731828</v>
      </c>
      <c r="C4473" s="51">
        <v>1.012</v>
      </c>
      <c r="D4473" s="51">
        <v>63.0</v>
      </c>
      <c r="E4473" s="52" t="s">
        <v>25</v>
      </c>
      <c r="F4473" s="52" t="s">
        <v>26</v>
      </c>
      <c r="G4473" s="53"/>
    </row>
    <row r="4474">
      <c r="A4474" s="49">
        <v>44559.8796116088</v>
      </c>
      <c r="B4474" s="50">
        <v>44560.004595162</v>
      </c>
      <c r="C4474" s="51">
        <v>1.012</v>
      </c>
      <c r="D4474" s="51">
        <v>63.0</v>
      </c>
      <c r="E4474" s="52" t="s">
        <v>25</v>
      </c>
      <c r="F4474" s="52" t="s">
        <v>26</v>
      </c>
      <c r="G4474" s="53"/>
    </row>
    <row r="4475">
      <c r="A4475" s="49">
        <v>44559.89003983796</v>
      </c>
      <c r="B4475" s="50">
        <v>44560.0150160532</v>
      </c>
      <c r="C4475" s="51">
        <v>1.012</v>
      </c>
      <c r="D4475" s="51">
        <v>63.0</v>
      </c>
      <c r="E4475" s="52" t="s">
        <v>25</v>
      </c>
      <c r="F4475" s="52" t="s">
        <v>26</v>
      </c>
      <c r="G4475" s="53"/>
    </row>
    <row r="4476">
      <c r="A4476" s="49">
        <v>44559.90045819445</v>
      </c>
      <c r="B4476" s="50">
        <v>44560.0254375347</v>
      </c>
      <c r="C4476" s="51">
        <v>1.012</v>
      </c>
      <c r="D4476" s="51">
        <v>63.0</v>
      </c>
      <c r="E4476" s="52" t="s">
        <v>25</v>
      </c>
      <c r="F4476" s="52" t="s">
        <v>26</v>
      </c>
      <c r="G4476" s="53"/>
    </row>
    <row r="4477">
      <c r="A4477" s="49">
        <v>44559.91087673611</v>
      </c>
      <c r="B4477" s="50">
        <v>44560.0358587962</v>
      </c>
      <c r="C4477" s="51">
        <v>1.012</v>
      </c>
      <c r="D4477" s="51">
        <v>63.0</v>
      </c>
      <c r="E4477" s="52" t="s">
        <v>25</v>
      </c>
      <c r="F4477" s="52" t="s">
        <v>26</v>
      </c>
      <c r="G4477" s="53"/>
    </row>
    <row r="4478">
      <c r="A4478" s="49">
        <v>44559.92131710648</v>
      </c>
      <c r="B4478" s="50">
        <v>44560.0462917129</v>
      </c>
      <c r="C4478" s="51">
        <v>1.012</v>
      </c>
      <c r="D4478" s="51">
        <v>63.0</v>
      </c>
      <c r="E4478" s="52" t="s">
        <v>25</v>
      </c>
      <c r="F4478" s="52" t="s">
        <v>26</v>
      </c>
      <c r="G4478" s="53"/>
    </row>
    <row r="4479">
      <c r="A4479" s="49">
        <v>44559.93174375</v>
      </c>
      <c r="B4479" s="50">
        <v>44560.056716331</v>
      </c>
      <c r="C4479" s="51">
        <v>1.012</v>
      </c>
      <c r="D4479" s="51">
        <v>63.0</v>
      </c>
      <c r="E4479" s="52" t="s">
        <v>25</v>
      </c>
      <c r="F4479" s="52" t="s">
        <v>26</v>
      </c>
      <c r="G4479" s="53"/>
    </row>
    <row r="4480">
      <c r="A4480" s="49">
        <v>44559.942165625005</v>
      </c>
      <c r="B4480" s="50">
        <v>44560.0671392013</v>
      </c>
      <c r="C4480" s="51">
        <v>1.012</v>
      </c>
      <c r="D4480" s="51">
        <v>63.0</v>
      </c>
      <c r="E4480" s="52" t="s">
        <v>25</v>
      </c>
      <c r="F4480" s="52" t="s">
        <v>26</v>
      </c>
      <c r="G4480" s="53"/>
    </row>
    <row r="4481">
      <c r="A4481" s="49">
        <v>44559.952585949075</v>
      </c>
      <c r="B4481" s="50">
        <v>44560.0775605092</v>
      </c>
      <c r="C4481" s="51">
        <v>1.012</v>
      </c>
      <c r="D4481" s="51">
        <v>63.0</v>
      </c>
      <c r="E4481" s="52" t="s">
        <v>25</v>
      </c>
      <c r="F4481" s="52" t="s">
        <v>26</v>
      </c>
      <c r="G4481" s="53"/>
    </row>
    <row r="4482">
      <c r="A4482" s="49">
        <v>44559.96300914352</v>
      </c>
      <c r="B4482" s="50">
        <v>44560.0879813194</v>
      </c>
      <c r="C4482" s="51">
        <v>1.012</v>
      </c>
      <c r="D4482" s="51">
        <v>63.0</v>
      </c>
      <c r="E4482" s="52" t="s">
        <v>25</v>
      </c>
      <c r="F4482" s="52" t="s">
        <v>26</v>
      </c>
      <c r="G4482" s="53"/>
    </row>
    <row r="4483">
      <c r="A4483" s="49">
        <v>44559.973431273145</v>
      </c>
      <c r="B4483" s="50">
        <v>44560.0984015509</v>
      </c>
      <c r="C4483" s="51">
        <v>1.012</v>
      </c>
      <c r="D4483" s="51">
        <v>63.0</v>
      </c>
      <c r="E4483" s="52" t="s">
        <v>25</v>
      </c>
      <c r="F4483" s="52" t="s">
        <v>26</v>
      </c>
      <c r="G4483" s="53"/>
    </row>
    <row r="4484">
      <c r="A4484" s="49">
        <v>44559.98386006945</v>
      </c>
      <c r="B4484" s="50">
        <v>44560.108833912</v>
      </c>
      <c r="C4484" s="51">
        <v>1.012</v>
      </c>
      <c r="D4484" s="51">
        <v>63.0</v>
      </c>
      <c r="E4484" s="52" t="s">
        <v>25</v>
      </c>
      <c r="F4484" s="52" t="s">
        <v>26</v>
      </c>
      <c r="G4484" s="53"/>
    </row>
    <row r="4485">
      <c r="A4485" s="49">
        <v>44559.99428315972</v>
      </c>
      <c r="B4485" s="50">
        <v>44560.1192560416</v>
      </c>
      <c r="C4485" s="51">
        <v>1.012</v>
      </c>
      <c r="D4485" s="51">
        <v>63.0</v>
      </c>
      <c r="E4485" s="52" t="s">
        <v>25</v>
      </c>
      <c r="F4485" s="52" t="s">
        <v>26</v>
      </c>
      <c r="G4485" s="53"/>
    </row>
    <row r="4486">
      <c r="A4486" s="49">
        <v>44560.0047165625</v>
      </c>
      <c r="B4486" s="50">
        <v>44560.1296901041</v>
      </c>
      <c r="C4486" s="51">
        <v>1.012</v>
      </c>
      <c r="D4486" s="51">
        <v>63.0</v>
      </c>
      <c r="E4486" s="52" t="s">
        <v>25</v>
      </c>
      <c r="F4486" s="52" t="s">
        <v>26</v>
      </c>
      <c r="G4486" s="53"/>
    </row>
    <row r="4487">
      <c r="A4487" s="49">
        <v>44560.01514145834</v>
      </c>
      <c r="B4487" s="50">
        <v>44560.1401130208</v>
      </c>
      <c r="C4487" s="51">
        <v>1.012</v>
      </c>
      <c r="D4487" s="51">
        <v>63.0</v>
      </c>
      <c r="E4487" s="52" t="s">
        <v>25</v>
      </c>
      <c r="F4487" s="52" t="s">
        <v>26</v>
      </c>
      <c r="G4487" s="53"/>
    </row>
    <row r="4488">
      <c r="A4488" s="49">
        <v>44560.02555847222</v>
      </c>
      <c r="B4488" s="50">
        <v>44560.1505335879</v>
      </c>
      <c r="C4488" s="51">
        <v>1.012</v>
      </c>
      <c r="D4488" s="51">
        <v>63.0</v>
      </c>
      <c r="E4488" s="52" t="s">
        <v>25</v>
      </c>
      <c r="F4488" s="52" t="s">
        <v>26</v>
      </c>
      <c r="G4488" s="53"/>
    </row>
    <row r="4489">
      <c r="A4489" s="49">
        <v>44560.035979733795</v>
      </c>
      <c r="B4489" s="50">
        <v>44560.1609533449</v>
      </c>
      <c r="C4489" s="51">
        <v>1.012</v>
      </c>
      <c r="D4489" s="51">
        <v>63.0</v>
      </c>
      <c r="E4489" s="52" t="s">
        <v>25</v>
      </c>
      <c r="F4489" s="52" t="s">
        <v>26</v>
      </c>
      <c r="G4489" s="53"/>
    </row>
    <row r="4490">
      <c r="A4490" s="49">
        <v>44560.046394502315</v>
      </c>
      <c r="B4490" s="50">
        <v>44560.1713742592</v>
      </c>
      <c r="C4490" s="51">
        <v>1.012</v>
      </c>
      <c r="D4490" s="51">
        <v>63.0</v>
      </c>
      <c r="E4490" s="52" t="s">
        <v>25</v>
      </c>
      <c r="F4490" s="52" t="s">
        <v>26</v>
      </c>
      <c r="G4490" s="53"/>
    </row>
    <row r="4491">
      <c r="A4491" s="49">
        <v>44560.05683583333</v>
      </c>
      <c r="B4491" s="50">
        <v>44560.1818071527</v>
      </c>
      <c r="C4491" s="51">
        <v>1.012</v>
      </c>
      <c r="D4491" s="51">
        <v>63.0</v>
      </c>
      <c r="E4491" s="52" t="s">
        <v>25</v>
      </c>
      <c r="F4491" s="52" t="s">
        <v>26</v>
      </c>
      <c r="G4491" s="53"/>
    </row>
    <row r="4492">
      <c r="A4492" s="49">
        <v>44560.06725458334</v>
      </c>
      <c r="B4492" s="50">
        <v>44560.1922269907</v>
      </c>
      <c r="C4492" s="51">
        <v>1.012</v>
      </c>
      <c r="D4492" s="51">
        <v>63.0</v>
      </c>
      <c r="E4492" s="52" t="s">
        <v>25</v>
      </c>
      <c r="F4492" s="52" t="s">
        <v>26</v>
      </c>
      <c r="G4492" s="53"/>
    </row>
    <row r="4493">
      <c r="A4493" s="49">
        <v>44560.08811557871</v>
      </c>
      <c r="B4493" s="50">
        <v>44560.2130913657</v>
      </c>
      <c r="C4493" s="51">
        <v>1.012</v>
      </c>
      <c r="D4493" s="51">
        <v>63.0</v>
      </c>
      <c r="E4493" s="52" t="s">
        <v>25</v>
      </c>
      <c r="F4493" s="52" t="s">
        <v>26</v>
      </c>
      <c r="G4493" s="53"/>
    </row>
    <row r="4494">
      <c r="A4494" s="49">
        <v>44560.098545810186</v>
      </c>
      <c r="B4494" s="50">
        <v>44560.2235128935</v>
      </c>
      <c r="C4494" s="51">
        <v>1.012</v>
      </c>
      <c r="D4494" s="51">
        <v>63.0</v>
      </c>
      <c r="E4494" s="52" t="s">
        <v>25</v>
      </c>
      <c r="F4494" s="52" t="s">
        <v>26</v>
      </c>
      <c r="G4494" s="53"/>
    </row>
    <row r="4495">
      <c r="A4495" s="49">
        <v>44560.108968182874</v>
      </c>
      <c r="B4495" s="50">
        <v>44560.2339353124</v>
      </c>
      <c r="C4495" s="51">
        <v>1.012</v>
      </c>
      <c r="D4495" s="51">
        <v>63.0</v>
      </c>
      <c r="E4495" s="52" t="s">
        <v>25</v>
      </c>
      <c r="F4495" s="52" t="s">
        <v>26</v>
      </c>
      <c r="G4495" s="53"/>
    </row>
    <row r="4496">
      <c r="A4496" s="49">
        <v>44560.11939108797</v>
      </c>
      <c r="B4496" s="50">
        <v>44560.244357743</v>
      </c>
      <c r="C4496" s="51">
        <v>1.012</v>
      </c>
      <c r="D4496" s="51">
        <v>63.0</v>
      </c>
      <c r="E4496" s="52" t="s">
        <v>25</v>
      </c>
      <c r="F4496" s="52" t="s">
        <v>26</v>
      </c>
      <c r="G4496" s="53"/>
    </row>
    <row r="4497">
      <c r="A4497" s="49">
        <v>44560.12981380787</v>
      </c>
      <c r="B4497" s="50">
        <v>44560.2547889351</v>
      </c>
      <c r="C4497" s="51">
        <v>1.012</v>
      </c>
      <c r="D4497" s="51">
        <v>63.0</v>
      </c>
      <c r="E4497" s="52" t="s">
        <v>25</v>
      </c>
      <c r="F4497" s="52" t="s">
        <v>26</v>
      </c>
      <c r="G4497" s="53"/>
    </row>
    <row r="4498">
      <c r="A4498" s="49">
        <v>44560.140235046296</v>
      </c>
      <c r="B4498" s="50">
        <v>44560.2652085763</v>
      </c>
      <c r="C4498" s="51">
        <v>1.012</v>
      </c>
      <c r="D4498" s="51">
        <v>63.0</v>
      </c>
      <c r="E4498" s="52" t="s">
        <v>25</v>
      </c>
      <c r="F4498" s="52" t="s">
        <v>26</v>
      </c>
      <c r="G4498" s="53"/>
    </row>
    <row r="4499">
      <c r="A4499" s="49">
        <v>44560.15066233797</v>
      </c>
      <c r="B4499" s="50">
        <v>44560.2756291435</v>
      </c>
      <c r="C4499" s="51">
        <v>1.012</v>
      </c>
      <c r="D4499" s="51">
        <v>63.0</v>
      </c>
      <c r="E4499" s="52" t="s">
        <v>25</v>
      </c>
      <c r="F4499" s="52" t="s">
        <v>26</v>
      </c>
      <c r="G4499" s="53"/>
    </row>
    <row r="4500">
      <c r="A4500" s="49">
        <v>44560.16108827546</v>
      </c>
      <c r="B4500" s="50">
        <v>44560.2860620601</v>
      </c>
      <c r="C4500" s="51">
        <v>1.012</v>
      </c>
      <c r="D4500" s="51">
        <v>63.0</v>
      </c>
      <c r="E4500" s="52" t="s">
        <v>25</v>
      </c>
      <c r="F4500" s="52" t="s">
        <v>26</v>
      </c>
      <c r="G4500" s="53"/>
    </row>
    <row r="4501">
      <c r="A4501" s="49">
        <v>44560.171506203704</v>
      </c>
      <c r="B4501" s="50">
        <v>44560.2964831944</v>
      </c>
      <c r="C4501" s="51">
        <v>1.012</v>
      </c>
      <c r="D4501" s="51">
        <v>63.0</v>
      </c>
      <c r="E4501" s="52" t="s">
        <v>25</v>
      </c>
      <c r="F4501" s="52" t="s">
        <v>26</v>
      </c>
      <c r="G4501" s="53"/>
    </row>
    <row r="4502">
      <c r="A4502" s="49">
        <v>44560.18193659722</v>
      </c>
      <c r="B4502" s="50">
        <v>44560.3069146875</v>
      </c>
      <c r="C4502" s="51">
        <v>1.012</v>
      </c>
      <c r="D4502" s="51">
        <v>63.0</v>
      </c>
      <c r="E4502" s="52" t="s">
        <v>25</v>
      </c>
      <c r="F4502" s="52" t="s">
        <v>26</v>
      </c>
      <c r="G4502" s="53"/>
    </row>
    <row r="4503">
      <c r="A4503" s="49">
        <v>44560.1923680787</v>
      </c>
      <c r="B4503" s="50">
        <v>44560.3173361921</v>
      </c>
      <c r="C4503" s="51">
        <v>1.012</v>
      </c>
      <c r="D4503" s="51">
        <v>63.0</v>
      </c>
      <c r="E4503" s="52" t="s">
        <v>25</v>
      </c>
      <c r="F4503" s="52" t="s">
        <v>26</v>
      </c>
      <c r="G4503" s="53"/>
    </row>
    <row r="4504">
      <c r="A4504" s="49">
        <v>44560.202792199074</v>
      </c>
      <c r="B4504" s="50">
        <v>44560.3277577662</v>
      </c>
      <c r="C4504" s="51">
        <v>1.012</v>
      </c>
      <c r="D4504" s="51">
        <v>63.0</v>
      </c>
      <c r="E4504" s="52" t="s">
        <v>25</v>
      </c>
      <c r="F4504" s="52" t="s">
        <v>26</v>
      </c>
      <c r="G4504" s="53"/>
    </row>
    <row r="4505">
      <c r="A4505" s="49">
        <v>44560.21321288194</v>
      </c>
      <c r="B4505" s="50">
        <v>44560.3381802662</v>
      </c>
      <c r="C4505" s="51">
        <v>1.012</v>
      </c>
      <c r="D4505" s="51">
        <v>63.0</v>
      </c>
      <c r="E4505" s="52" t="s">
        <v>25</v>
      </c>
      <c r="F4505" s="52" t="s">
        <v>26</v>
      </c>
      <c r="G4505" s="53"/>
    </row>
    <row r="4506">
      <c r="A4506" s="49">
        <v>44560.22363678241</v>
      </c>
      <c r="B4506" s="50">
        <v>44560.3486015509</v>
      </c>
      <c r="C4506" s="51">
        <v>1.012</v>
      </c>
      <c r="D4506" s="51">
        <v>63.0</v>
      </c>
      <c r="E4506" s="52" t="s">
        <v>25</v>
      </c>
      <c r="F4506" s="52" t="s">
        <v>26</v>
      </c>
      <c r="G4506" s="53"/>
    </row>
    <row r="4507">
      <c r="A4507" s="49">
        <v>44560.234056562505</v>
      </c>
      <c r="B4507" s="50">
        <v>44560.3590339236</v>
      </c>
      <c r="C4507" s="51">
        <v>1.012</v>
      </c>
      <c r="D4507" s="51">
        <v>63.0</v>
      </c>
      <c r="E4507" s="52" t="s">
        <v>25</v>
      </c>
      <c r="F4507" s="52" t="s">
        <v>26</v>
      </c>
      <c r="G4507" s="53"/>
    </row>
    <row r="4508">
      <c r="A4508" s="49">
        <v>44560.24449246528</v>
      </c>
      <c r="B4508" s="50">
        <v>44560.3694674652</v>
      </c>
      <c r="C4508" s="51">
        <v>1.012</v>
      </c>
      <c r="D4508" s="51">
        <v>63.0</v>
      </c>
      <c r="E4508" s="52" t="s">
        <v>25</v>
      </c>
      <c r="F4508" s="52" t="s">
        <v>26</v>
      </c>
      <c r="G4508" s="53"/>
    </row>
    <row r="4509">
      <c r="A4509" s="49">
        <v>44560.25492954861</v>
      </c>
      <c r="B4509" s="50">
        <v>44560.3799015393</v>
      </c>
      <c r="C4509" s="51">
        <v>1.012</v>
      </c>
      <c r="D4509" s="51">
        <v>63.0</v>
      </c>
      <c r="E4509" s="52" t="s">
        <v>25</v>
      </c>
      <c r="F4509" s="52" t="s">
        <v>26</v>
      </c>
      <c r="G4509" s="53"/>
    </row>
    <row r="4510">
      <c r="A4510" s="49">
        <v>44560.265346782406</v>
      </c>
      <c r="B4510" s="50">
        <v>44560.3903236689</v>
      </c>
      <c r="C4510" s="51">
        <v>1.012</v>
      </c>
      <c r="D4510" s="51">
        <v>63.0</v>
      </c>
      <c r="E4510" s="52" t="s">
        <v>25</v>
      </c>
      <c r="F4510" s="52" t="s">
        <v>26</v>
      </c>
      <c r="G4510" s="53"/>
    </row>
    <row r="4511">
      <c r="A4511" s="49">
        <v>44560.27577815972</v>
      </c>
      <c r="B4511" s="50">
        <v>44560.4007588194</v>
      </c>
      <c r="C4511" s="51">
        <v>1.012</v>
      </c>
      <c r="D4511" s="51">
        <v>63.0</v>
      </c>
      <c r="E4511" s="52" t="s">
        <v>25</v>
      </c>
      <c r="F4511" s="52" t="s">
        <v>26</v>
      </c>
      <c r="G4511" s="53"/>
    </row>
    <row r="4512">
      <c r="A4512" s="49">
        <v>44560.567668275464</v>
      </c>
      <c r="B4512" s="50">
        <v>44560.6926356018</v>
      </c>
      <c r="C4512" s="51">
        <v>1.011</v>
      </c>
      <c r="D4512" s="51">
        <v>63.0</v>
      </c>
      <c r="E4512" s="52" t="s">
        <v>25</v>
      </c>
      <c r="F4512" s="52" t="s">
        <v>26</v>
      </c>
      <c r="G4512" s="53"/>
    </row>
    <row r="4513">
      <c r="A4513" s="49">
        <v>44560.57808894676</v>
      </c>
      <c r="B4513" s="50">
        <v>44560.70305853</v>
      </c>
      <c r="C4513" s="51">
        <v>1.012</v>
      </c>
      <c r="D4513" s="51">
        <v>63.0</v>
      </c>
      <c r="E4513" s="52" t="s">
        <v>25</v>
      </c>
      <c r="F4513" s="52" t="s">
        <v>26</v>
      </c>
      <c r="G4513" s="53"/>
    </row>
    <row r="4514">
      <c r="A4514" s="49">
        <v>44560.58850179398</v>
      </c>
      <c r="B4514" s="50">
        <v>44560.7134804513</v>
      </c>
      <c r="C4514" s="51">
        <v>1.012</v>
      </c>
      <c r="D4514" s="51">
        <v>63.0</v>
      </c>
      <c r="E4514" s="52" t="s">
        <v>25</v>
      </c>
      <c r="F4514" s="52" t="s">
        <v>26</v>
      </c>
      <c r="G4514" s="53"/>
    </row>
    <row r="4515">
      <c r="A4515" s="49">
        <v>44560.598932430556</v>
      </c>
      <c r="B4515" s="50">
        <v>44560.7239013078</v>
      </c>
      <c r="C4515" s="51">
        <v>1.012</v>
      </c>
      <c r="D4515" s="51">
        <v>63.0</v>
      </c>
      <c r="E4515" s="52" t="s">
        <v>25</v>
      </c>
      <c r="F4515" s="52" t="s">
        <v>26</v>
      </c>
      <c r="G4515" s="53"/>
    </row>
    <row r="4516">
      <c r="A4516" s="49">
        <v>44560.60935831019</v>
      </c>
      <c r="B4516" s="50">
        <v>44560.7343230787</v>
      </c>
      <c r="C4516" s="51">
        <v>1.012</v>
      </c>
      <c r="D4516" s="51">
        <v>63.0</v>
      </c>
      <c r="E4516" s="52" t="s">
        <v>25</v>
      </c>
      <c r="F4516" s="52" t="s">
        <v>26</v>
      </c>
      <c r="G4516" s="53"/>
    </row>
    <row r="4517">
      <c r="A4517" s="49">
        <v>44560.61978673611</v>
      </c>
      <c r="B4517" s="50">
        <v>44560.7447559838</v>
      </c>
      <c r="C4517" s="51">
        <v>1.012</v>
      </c>
      <c r="D4517" s="51">
        <v>63.0</v>
      </c>
      <c r="E4517" s="52" t="s">
        <v>25</v>
      </c>
      <c r="F4517" s="52" t="s">
        <v>26</v>
      </c>
      <c r="G4517" s="53"/>
    </row>
    <row r="4518">
      <c r="A4518" s="49">
        <v>44560.630216770835</v>
      </c>
      <c r="B4518" s="50">
        <v>44560.7551880324</v>
      </c>
      <c r="C4518" s="51">
        <v>1.012</v>
      </c>
      <c r="D4518" s="51">
        <v>63.0</v>
      </c>
      <c r="E4518" s="52" t="s">
        <v>25</v>
      </c>
      <c r="F4518" s="52" t="s">
        <v>26</v>
      </c>
      <c r="G4518" s="53"/>
    </row>
    <row r="4519">
      <c r="A4519" s="49">
        <v>44560.64065385416</v>
      </c>
      <c r="B4519" s="50">
        <v>44560.765620949</v>
      </c>
      <c r="C4519" s="51">
        <v>1.012</v>
      </c>
      <c r="D4519" s="51">
        <v>63.0</v>
      </c>
      <c r="E4519" s="52" t="s">
        <v>25</v>
      </c>
      <c r="F4519" s="52" t="s">
        <v>26</v>
      </c>
      <c r="G4519" s="53"/>
    </row>
    <row r="4520">
      <c r="A4520" s="49">
        <v>44560.651068692125</v>
      </c>
      <c r="B4520" s="50">
        <v>44560.7760424074</v>
      </c>
      <c r="C4520" s="51">
        <v>1.012</v>
      </c>
      <c r="D4520" s="51">
        <v>63.0</v>
      </c>
      <c r="E4520" s="52" t="s">
        <v>25</v>
      </c>
      <c r="F4520" s="52" t="s">
        <v>26</v>
      </c>
      <c r="G4520" s="53"/>
    </row>
    <row r="4521">
      <c r="A4521" s="49">
        <v>44560.6615066088</v>
      </c>
      <c r="B4521" s="50">
        <v>44560.786474456</v>
      </c>
      <c r="C4521" s="51">
        <v>1.012</v>
      </c>
      <c r="D4521" s="51">
        <v>63.0</v>
      </c>
      <c r="E4521" s="52" t="s">
        <v>25</v>
      </c>
      <c r="F4521" s="52" t="s">
        <v>26</v>
      </c>
      <c r="G4521" s="53"/>
    </row>
    <row r="4522">
      <c r="A4522" s="49">
        <v>44560.67193675926</v>
      </c>
      <c r="B4522" s="50">
        <v>44560.7969062731</v>
      </c>
      <c r="C4522" s="51">
        <v>1.012</v>
      </c>
      <c r="D4522" s="51">
        <v>63.0</v>
      </c>
      <c r="E4522" s="52" t="s">
        <v>25</v>
      </c>
      <c r="F4522" s="52" t="s">
        <v>26</v>
      </c>
      <c r="G4522" s="53"/>
    </row>
    <row r="4523">
      <c r="A4523" s="49">
        <v>44560.682369201386</v>
      </c>
      <c r="B4523" s="50">
        <v>44560.8073409259</v>
      </c>
      <c r="C4523" s="51">
        <v>1.012</v>
      </c>
      <c r="D4523" s="51">
        <v>63.0</v>
      </c>
      <c r="E4523" s="52" t="s">
        <v>25</v>
      </c>
      <c r="F4523" s="52" t="s">
        <v>26</v>
      </c>
      <c r="G4523" s="53"/>
    </row>
    <row r="4524">
      <c r="A4524" s="49">
        <v>44560.69279365741</v>
      </c>
      <c r="B4524" s="50">
        <v>44560.817763206</v>
      </c>
      <c r="C4524" s="51">
        <v>1.012</v>
      </c>
      <c r="D4524" s="51">
        <v>63.0</v>
      </c>
      <c r="E4524" s="52" t="s">
        <v>25</v>
      </c>
      <c r="F4524" s="52" t="s">
        <v>26</v>
      </c>
      <c r="G4524" s="53"/>
    </row>
    <row r="4525">
      <c r="A4525" s="49">
        <v>44560.70323189815</v>
      </c>
      <c r="B4525" s="50">
        <v>44560.828206493</v>
      </c>
      <c r="C4525" s="51">
        <v>1.012</v>
      </c>
      <c r="D4525" s="51">
        <v>63.0</v>
      </c>
      <c r="E4525" s="52" t="s">
        <v>25</v>
      </c>
      <c r="F4525" s="52" t="s">
        <v>26</v>
      </c>
      <c r="G4525" s="53"/>
    </row>
    <row r="4526">
      <c r="A4526" s="49">
        <v>44560.71365809027</v>
      </c>
      <c r="B4526" s="50">
        <v>44560.8386286226</v>
      </c>
      <c r="C4526" s="51">
        <v>1.012</v>
      </c>
      <c r="D4526" s="51">
        <v>63.0</v>
      </c>
      <c r="E4526" s="52" t="s">
        <v>25</v>
      </c>
      <c r="F4526" s="52" t="s">
        <v>26</v>
      </c>
      <c r="G4526" s="53"/>
    </row>
    <row r="4527">
      <c r="A4527" s="49">
        <v>44560.72407768518</v>
      </c>
      <c r="B4527" s="50">
        <v>44560.8490510648</v>
      </c>
      <c r="C4527" s="51">
        <v>1.012</v>
      </c>
      <c r="D4527" s="51">
        <v>63.0</v>
      </c>
      <c r="E4527" s="52" t="s">
        <v>25</v>
      </c>
      <c r="F4527" s="52" t="s">
        <v>26</v>
      </c>
      <c r="G4527" s="53"/>
    </row>
    <row r="4528">
      <c r="A4528" s="49">
        <v>44560.734517997684</v>
      </c>
      <c r="B4528" s="50">
        <v>44560.8594811458</v>
      </c>
      <c r="C4528" s="51">
        <v>1.012</v>
      </c>
      <c r="D4528" s="51">
        <v>63.0</v>
      </c>
      <c r="E4528" s="52" t="s">
        <v>25</v>
      </c>
      <c r="F4528" s="52" t="s">
        <v>26</v>
      </c>
      <c r="G4528" s="53"/>
    </row>
    <row r="4529">
      <c r="A4529" s="49">
        <v>44560.74493450232</v>
      </c>
      <c r="B4529" s="50">
        <v>44560.8699012268</v>
      </c>
      <c r="C4529" s="51">
        <v>1.012</v>
      </c>
      <c r="D4529" s="51">
        <v>63.0</v>
      </c>
      <c r="E4529" s="52" t="s">
        <v>25</v>
      </c>
      <c r="F4529" s="52" t="s">
        <v>26</v>
      </c>
      <c r="G4529" s="53"/>
    </row>
    <row r="4530">
      <c r="A4530" s="49">
        <v>44560.755358055554</v>
      </c>
      <c r="B4530" s="50">
        <v>44560.8803218518</v>
      </c>
      <c r="C4530" s="51">
        <v>1.012</v>
      </c>
      <c r="D4530" s="51">
        <v>63.0</v>
      </c>
      <c r="E4530" s="52" t="s">
        <v>25</v>
      </c>
      <c r="F4530" s="52" t="s">
        <v>26</v>
      </c>
      <c r="G4530" s="53"/>
    </row>
    <row r="4531">
      <c r="A4531" s="49">
        <v>44560.76576862269</v>
      </c>
      <c r="B4531" s="50">
        <v>44560.8907431712</v>
      </c>
      <c r="C4531" s="51">
        <v>1.012</v>
      </c>
      <c r="D4531" s="51">
        <v>63.0</v>
      </c>
      <c r="E4531" s="52" t="s">
        <v>25</v>
      </c>
      <c r="F4531" s="52" t="s">
        <v>26</v>
      </c>
      <c r="G4531" s="53"/>
    </row>
    <row r="4532">
      <c r="A4532" s="49">
        <v>44560.776196493054</v>
      </c>
      <c r="B4532" s="50">
        <v>44560.9011644791</v>
      </c>
      <c r="C4532" s="51">
        <v>1.012</v>
      </c>
      <c r="D4532" s="51">
        <v>63.0</v>
      </c>
      <c r="E4532" s="52" t="s">
        <v>25</v>
      </c>
      <c r="F4532" s="52" t="s">
        <v>26</v>
      </c>
      <c r="G4532" s="53"/>
    </row>
    <row r="4533">
      <c r="A4533" s="49">
        <v>44560.78662034722</v>
      </c>
      <c r="B4533" s="50">
        <v>44560.911586655</v>
      </c>
      <c r="C4533" s="51">
        <v>1.012</v>
      </c>
      <c r="D4533" s="51">
        <v>63.0</v>
      </c>
      <c r="E4533" s="52" t="s">
        <v>25</v>
      </c>
      <c r="F4533" s="52" t="s">
        <v>26</v>
      </c>
      <c r="G4533" s="53"/>
    </row>
    <row r="4534">
      <c r="A4534" s="49">
        <v>44560.79703425926</v>
      </c>
      <c r="B4534" s="50">
        <v>44560.9220051967</v>
      </c>
      <c r="C4534" s="51">
        <v>1.012</v>
      </c>
      <c r="D4534" s="51">
        <v>63.0</v>
      </c>
      <c r="E4534" s="52" t="s">
        <v>25</v>
      </c>
      <c r="F4534" s="52" t="s">
        <v>26</v>
      </c>
      <c r="G4534" s="53"/>
    </row>
    <row r="4535">
      <c r="A4535" s="49">
        <v>44560.807458807874</v>
      </c>
      <c r="B4535" s="50">
        <v>44560.9324261805</v>
      </c>
      <c r="C4535" s="51">
        <v>1.011</v>
      </c>
      <c r="D4535" s="51">
        <v>63.0</v>
      </c>
      <c r="E4535" s="52" t="s">
        <v>25</v>
      </c>
      <c r="F4535" s="52" t="s">
        <v>26</v>
      </c>
      <c r="G4535" s="53"/>
    </row>
    <row r="4536">
      <c r="A4536" s="49">
        <v>44560.817877118054</v>
      </c>
      <c r="B4536" s="50">
        <v>44560.9428472453</v>
      </c>
      <c r="C4536" s="51">
        <v>1.012</v>
      </c>
      <c r="D4536" s="51">
        <v>63.0</v>
      </c>
      <c r="E4536" s="52" t="s">
        <v>25</v>
      </c>
      <c r="F4536" s="52" t="s">
        <v>26</v>
      </c>
      <c r="G4536" s="53"/>
    </row>
    <row r="4537">
      <c r="A4537" s="49">
        <v>44560.828303738424</v>
      </c>
      <c r="B4537" s="50">
        <v>44560.9532794328</v>
      </c>
      <c r="C4537" s="51">
        <v>1.011</v>
      </c>
      <c r="D4537" s="51">
        <v>63.0</v>
      </c>
      <c r="E4537" s="52" t="s">
        <v>25</v>
      </c>
      <c r="F4537" s="52" t="s">
        <v>26</v>
      </c>
      <c r="G4537" s="53"/>
    </row>
    <row r="4538">
      <c r="A4538" s="49">
        <v>44560.83872501158</v>
      </c>
      <c r="B4538" s="50">
        <v>44560.9637007638</v>
      </c>
      <c r="C4538" s="51">
        <v>1.012</v>
      </c>
      <c r="D4538" s="51">
        <v>63.0</v>
      </c>
      <c r="E4538" s="52" t="s">
        <v>25</v>
      </c>
      <c r="F4538" s="52" t="s">
        <v>26</v>
      </c>
      <c r="G4538" s="53"/>
    </row>
    <row r="4539">
      <c r="A4539" s="49">
        <v>44560.849146249995</v>
      </c>
      <c r="B4539" s="50">
        <v>44560.974122905</v>
      </c>
      <c r="C4539" s="51">
        <v>1.012</v>
      </c>
      <c r="D4539" s="51">
        <v>63.0</v>
      </c>
      <c r="E4539" s="52" t="s">
        <v>25</v>
      </c>
      <c r="F4539" s="52" t="s">
        <v>26</v>
      </c>
      <c r="G4539" s="53"/>
    </row>
    <row r="4540">
      <c r="A4540" s="49">
        <v>44560.859576331015</v>
      </c>
      <c r="B4540" s="50">
        <v>44560.9845443518</v>
      </c>
      <c r="C4540" s="51">
        <v>1.012</v>
      </c>
      <c r="D4540" s="51">
        <v>63.0</v>
      </c>
      <c r="E4540" s="52" t="s">
        <v>25</v>
      </c>
      <c r="F4540" s="52" t="s">
        <v>26</v>
      </c>
      <c r="G4540" s="53"/>
    </row>
    <row r="4541">
      <c r="A4541" s="49">
        <v>44560.86999590277</v>
      </c>
      <c r="B4541" s="50">
        <v>44560.994966574</v>
      </c>
      <c r="C4541" s="51">
        <v>1.012</v>
      </c>
      <c r="D4541" s="51">
        <v>63.0</v>
      </c>
      <c r="E4541" s="52" t="s">
        <v>25</v>
      </c>
      <c r="F4541" s="52" t="s">
        <v>26</v>
      </c>
      <c r="G4541" s="53"/>
    </row>
    <row r="4542">
      <c r="A4542" s="49">
        <v>44560.88042570602</v>
      </c>
      <c r="B4542" s="50">
        <v>44561.0054002314</v>
      </c>
      <c r="C4542" s="51">
        <v>1.012</v>
      </c>
      <c r="D4542" s="51">
        <v>63.0</v>
      </c>
      <c r="E4542" s="52" t="s">
        <v>25</v>
      </c>
      <c r="F4542" s="52" t="s">
        <v>26</v>
      </c>
      <c r="G4542" s="53"/>
    </row>
    <row r="4543">
      <c r="A4543" s="49">
        <v>44560.89085711805</v>
      </c>
      <c r="B4543" s="50">
        <v>44561.0158213425</v>
      </c>
      <c r="C4543" s="51">
        <v>1.012</v>
      </c>
      <c r="D4543" s="51">
        <v>63.0</v>
      </c>
      <c r="E4543" s="52" t="s">
        <v>25</v>
      </c>
      <c r="F4543" s="52" t="s">
        <v>26</v>
      </c>
      <c r="G4543" s="53"/>
    </row>
    <row r="4544">
      <c r="A4544" s="49">
        <v>44560.90128215278</v>
      </c>
      <c r="B4544" s="50">
        <v>44561.026253831</v>
      </c>
      <c r="C4544" s="51">
        <v>1.012</v>
      </c>
      <c r="D4544" s="51">
        <v>63.0</v>
      </c>
      <c r="E4544" s="52" t="s">
        <v>25</v>
      </c>
      <c r="F4544" s="52" t="s">
        <v>26</v>
      </c>
      <c r="G4544" s="53"/>
    </row>
    <row r="4545">
      <c r="A4545" s="49">
        <v>44560.91170946759</v>
      </c>
      <c r="B4545" s="50">
        <v>44561.036675405</v>
      </c>
      <c r="C4545" s="51">
        <v>1.012</v>
      </c>
      <c r="D4545" s="51">
        <v>63.0</v>
      </c>
      <c r="E4545" s="52" t="s">
        <v>25</v>
      </c>
      <c r="F4545" s="52" t="s">
        <v>26</v>
      </c>
      <c r="G4545" s="53"/>
    </row>
    <row r="4546">
      <c r="A4546" s="49">
        <v>44560.92217331019</v>
      </c>
      <c r="B4546" s="50">
        <v>44561.0471442013</v>
      </c>
      <c r="C4546" s="51">
        <v>1.012</v>
      </c>
      <c r="D4546" s="51">
        <v>63.0</v>
      </c>
      <c r="E4546" s="52" t="s">
        <v>25</v>
      </c>
      <c r="F4546" s="52" t="s">
        <v>26</v>
      </c>
      <c r="G4546" s="53"/>
    </row>
    <row r="4547">
      <c r="A4547" s="49">
        <v>44560.9325890162</v>
      </c>
      <c r="B4547" s="50">
        <v>44561.0575645717</v>
      </c>
      <c r="C4547" s="51">
        <v>1.012</v>
      </c>
      <c r="D4547" s="51">
        <v>63.0</v>
      </c>
      <c r="E4547" s="52" t="s">
        <v>25</v>
      </c>
      <c r="F4547" s="52" t="s">
        <v>26</v>
      </c>
      <c r="G4547" s="53"/>
    </row>
    <row r="4548">
      <c r="A4548" s="49">
        <v>44560.943018680555</v>
      </c>
      <c r="B4548" s="50">
        <v>44561.0679850694</v>
      </c>
      <c r="C4548" s="51">
        <v>1.012</v>
      </c>
      <c r="D4548" s="51">
        <v>63.0</v>
      </c>
      <c r="E4548" s="52" t="s">
        <v>25</v>
      </c>
      <c r="F4548" s="52" t="s">
        <v>26</v>
      </c>
      <c r="G4548" s="53"/>
    </row>
    <row r="4549">
      <c r="A4549" s="49">
        <v>44560.95343425926</v>
      </c>
      <c r="B4549" s="50">
        <v>44561.0784043518</v>
      </c>
      <c r="C4549" s="51">
        <v>1.012</v>
      </c>
      <c r="D4549" s="51">
        <v>63.0</v>
      </c>
      <c r="E4549" s="52" t="s">
        <v>25</v>
      </c>
      <c r="F4549" s="52" t="s">
        <v>26</v>
      </c>
      <c r="G4549" s="53"/>
    </row>
    <row r="4550">
      <c r="A4550" s="49">
        <v>44560.963871747685</v>
      </c>
      <c r="B4550" s="50">
        <v>44561.0888376157</v>
      </c>
      <c r="C4550" s="51">
        <v>1.012</v>
      </c>
      <c r="D4550" s="51">
        <v>63.0</v>
      </c>
      <c r="E4550" s="52" t="s">
        <v>25</v>
      </c>
      <c r="F4550" s="52" t="s">
        <v>26</v>
      </c>
      <c r="G4550" s="53"/>
    </row>
    <row r="4551">
      <c r="A4551" s="49">
        <v>44560.974286006945</v>
      </c>
      <c r="B4551" s="50">
        <v>44561.099259456</v>
      </c>
      <c r="C4551" s="51">
        <v>1.012</v>
      </c>
      <c r="D4551" s="51">
        <v>63.0</v>
      </c>
      <c r="E4551" s="52" t="s">
        <v>25</v>
      </c>
      <c r="F4551" s="52" t="s">
        <v>26</v>
      </c>
      <c r="G4551" s="53"/>
    </row>
    <row r="4552">
      <c r="A4552" s="49">
        <v>44560.9847177662</v>
      </c>
      <c r="B4552" s="50">
        <v>44561.1096931597</v>
      </c>
      <c r="C4552" s="51">
        <v>1.012</v>
      </c>
      <c r="D4552" s="51">
        <v>63.0</v>
      </c>
      <c r="E4552" s="52" t="s">
        <v>25</v>
      </c>
      <c r="F4552" s="52" t="s">
        <v>26</v>
      </c>
      <c r="G4552" s="53"/>
    </row>
    <row r="4553">
      <c r="A4553" s="49">
        <v>44560.99514347222</v>
      </c>
      <c r="B4553" s="50">
        <v>44561.1201146296</v>
      </c>
      <c r="C4553" s="51">
        <v>1.012</v>
      </c>
      <c r="D4553" s="51">
        <v>63.0</v>
      </c>
      <c r="E4553" s="52" t="s">
        <v>25</v>
      </c>
      <c r="F4553" s="52" t="s">
        <v>26</v>
      </c>
      <c r="G4553" s="53"/>
    </row>
    <row r="4554">
      <c r="A4554" s="49">
        <v>44561.00556791667</v>
      </c>
      <c r="B4554" s="50">
        <v>44561.1305355439</v>
      </c>
      <c r="C4554" s="51">
        <v>1.012</v>
      </c>
      <c r="D4554" s="51">
        <v>63.0</v>
      </c>
      <c r="E4554" s="52" t="s">
        <v>25</v>
      </c>
      <c r="F4554" s="52" t="s">
        <v>26</v>
      </c>
      <c r="G4554" s="53"/>
    </row>
    <row r="4555">
      <c r="A4555" s="49">
        <v>44561.01599662037</v>
      </c>
      <c r="B4555" s="50">
        <v>44561.1409570949</v>
      </c>
      <c r="C4555" s="51">
        <v>1.012</v>
      </c>
      <c r="D4555" s="51">
        <v>63.0</v>
      </c>
      <c r="E4555" s="52" t="s">
        <v>25</v>
      </c>
      <c r="F4555" s="52" t="s">
        <v>26</v>
      </c>
      <c r="G4555" s="53"/>
    </row>
    <row r="4556">
      <c r="A4556" s="49">
        <v>44561.02641496528</v>
      </c>
      <c r="B4556" s="50">
        <v>44561.1513777546</v>
      </c>
      <c r="C4556" s="51">
        <v>1.012</v>
      </c>
      <c r="D4556" s="51">
        <v>63.0</v>
      </c>
      <c r="E4556" s="52" t="s">
        <v>25</v>
      </c>
      <c r="F4556" s="52" t="s">
        <v>26</v>
      </c>
      <c r="G4556" s="53"/>
    </row>
    <row r="4557">
      <c r="A4557" s="49">
        <v>44561.036843622685</v>
      </c>
      <c r="B4557" s="50">
        <v>44561.1618096874</v>
      </c>
      <c r="C4557" s="51">
        <v>1.012</v>
      </c>
      <c r="D4557" s="51">
        <v>63.0</v>
      </c>
      <c r="E4557" s="52" t="s">
        <v>25</v>
      </c>
      <c r="F4557" s="52" t="s">
        <v>26</v>
      </c>
      <c r="G4557" s="53"/>
    </row>
    <row r="4558">
      <c r="A4558" s="49">
        <v>44561.04726042824</v>
      </c>
      <c r="B4558" s="50">
        <v>44561.1722306249</v>
      </c>
      <c r="C4558" s="51">
        <v>1.011</v>
      </c>
      <c r="D4558" s="51">
        <v>63.0</v>
      </c>
      <c r="E4558" s="52" t="s">
        <v>25</v>
      </c>
      <c r="F4558" s="52" t="s">
        <v>26</v>
      </c>
      <c r="G4558" s="53"/>
    </row>
    <row r="4559">
      <c r="A4559" s="49">
        <v>44561.05768034722</v>
      </c>
      <c r="B4559" s="50">
        <v>44561.1826515393</v>
      </c>
      <c r="C4559" s="51">
        <v>1.012</v>
      </c>
      <c r="D4559" s="51">
        <v>63.0</v>
      </c>
      <c r="E4559" s="52" t="s">
        <v>25</v>
      </c>
      <c r="F4559" s="52" t="s">
        <v>26</v>
      </c>
      <c r="G4559" s="53"/>
    </row>
    <row r="4560">
      <c r="A4560" s="49">
        <v>44561.06811458334</v>
      </c>
      <c r="B4560" s="50">
        <v>44561.1930831828</v>
      </c>
      <c r="C4560" s="51">
        <v>1.012</v>
      </c>
      <c r="D4560" s="51">
        <v>63.0</v>
      </c>
      <c r="E4560" s="52" t="s">
        <v>25</v>
      </c>
      <c r="F4560" s="52" t="s">
        <v>26</v>
      </c>
      <c r="G4560" s="53"/>
    </row>
    <row r="4561">
      <c r="A4561" s="49">
        <v>44561.07853396991</v>
      </c>
      <c r="B4561" s="50">
        <v>44561.2035066782</v>
      </c>
      <c r="C4561" s="51">
        <v>1.012</v>
      </c>
      <c r="D4561" s="51">
        <v>63.0</v>
      </c>
      <c r="E4561" s="52" t="s">
        <v>25</v>
      </c>
      <c r="F4561" s="52" t="s">
        <v>26</v>
      </c>
      <c r="G4561" s="53"/>
    </row>
    <row r="4562">
      <c r="A4562" s="49">
        <v>44561.088955300926</v>
      </c>
      <c r="B4562" s="50">
        <v>44561.2139268055</v>
      </c>
      <c r="C4562" s="51">
        <v>1.012</v>
      </c>
      <c r="D4562" s="51">
        <v>63.0</v>
      </c>
      <c r="E4562" s="52" t="s">
        <v>25</v>
      </c>
      <c r="F4562" s="52" t="s">
        <v>26</v>
      </c>
      <c r="G4562" s="53"/>
    </row>
    <row r="4563">
      <c r="A4563" s="49">
        <v>44561.09937866898</v>
      </c>
      <c r="B4563" s="50">
        <v>44561.2243471064</v>
      </c>
      <c r="C4563" s="51">
        <v>1.012</v>
      </c>
      <c r="D4563" s="51">
        <v>63.0</v>
      </c>
      <c r="E4563" s="52" t="s">
        <v>25</v>
      </c>
      <c r="F4563" s="52" t="s">
        <v>26</v>
      </c>
      <c r="G4563" s="53"/>
    </row>
    <row r="4564">
      <c r="A4564" s="49">
        <v>44561.10979857639</v>
      </c>
      <c r="B4564" s="50">
        <v>44561.2347686805</v>
      </c>
      <c r="C4564" s="51">
        <v>1.012</v>
      </c>
      <c r="D4564" s="51">
        <v>63.0</v>
      </c>
      <c r="E4564" s="52" t="s">
        <v>25</v>
      </c>
      <c r="F4564" s="52" t="s">
        <v>26</v>
      </c>
      <c r="G4564" s="53"/>
    </row>
    <row r="4565">
      <c r="A4565" s="49">
        <v>44561.12022144676</v>
      </c>
      <c r="B4565" s="50">
        <v>44561.2451895949</v>
      </c>
      <c r="C4565" s="51">
        <v>1.012</v>
      </c>
      <c r="D4565" s="51">
        <v>63.0</v>
      </c>
      <c r="E4565" s="52" t="s">
        <v>25</v>
      </c>
      <c r="F4565" s="52" t="s">
        <v>26</v>
      </c>
      <c r="G4565" s="53"/>
    </row>
    <row r="4566">
      <c r="A4566" s="49">
        <v>44561.130644756944</v>
      </c>
      <c r="B4566" s="50">
        <v>44561.2556106481</v>
      </c>
      <c r="C4566" s="51">
        <v>1.011</v>
      </c>
      <c r="D4566" s="51">
        <v>63.0</v>
      </c>
      <c r="E4566" s="52" t="s">
        <v>25</v>
      </c>
      <c r="F4566" s="52" t="s">
        <v>26</v>
      </c>
      <c r="G4566" s="53"/>
    </row>
    <row r="4567">
      <c r="A4567" s="49">
        <v>44561.14106487269</v>
      </c>
      <c r="B4567" s="50">
        <v>44561.2660335763</v>
      </c>
      <c r="C4567" s="51">
        <v>1.012</v>
      </c>
      <c r="D4567" s="51">
        <v>63.0</v>
      </c>
      <c r="E4567" s="52" t="s">
        <v>25</v>
      </c>
      <c r="F4567" s="52" t="s">
        <v>26</v>
      </c>
      <c r="G4567" s="53"/>
    </row>
    <row r="4568">
      <c r="A4568" s="49">
        <v>44561.15148123843</v>
      </c>
      <c r="B4568" s="50">
        <v>44561.2764535069</v>
      </c>
      <c r="C4568" s="51">
        <v>1.012</v>
      </c>
      <c r="D4568" s="51">
        <v>63.0</v>
      </c>
      <c r="E4568" s="52" t="s">
        <v>25</v>
      </c>
      <c r="F4568" s="52" t="s">
        <v>26</v>
      </c>
      <c r="G4568" s="53"/>
    </row>
    <row r="4569">
      <c r="A4569" s="49">
        <v>44561.16192021991</v>
      </c>
      <c r="B4569" s="50">
        <v>44561.2868959837</v>
      </c>
      <c r="C4569" s="51">
        <v>1.012</v>
      </c>
      <c r="D4569" s="51">
        <v>63.0</v>
      </c>
      <c r="E4569" s="52" t="s">
        <v>25</v>
      </c>
      <c r="F4569" s="52" t="s">
        <v>26</v>
      </c>
      <c r="G4569" s="53"/>
    </row>
    <row r="4570">
      <c r="A4570" s="49">
        <v>44561.172348935186</v>
      </c>
      <c r="B4570" s="50">
        <v>44561.2973168865</v>
      </c>
      <c r="C4570" s="51">
        <v>1.011</v>
      </c>
      <c r="D4570" s="51">
        <v>63.0</v>
      </c>
      <c r="E4570" s="52" t="s">
        <v>25</v>
      </c>
      <c r="F4570" s="52" t="s">
        <v>26</v>
      </c>
      <c r="G4570" s="53"/>
    </row>
    <row r="4571">
      <c r="A4571" s="49">
        <v>44561.18276778935</v>
      </c>
      <c r="B4571" s="50">
        <v>44561.3077386574</v>
      </c>
      <c r="C4571" s="51">
        <v>1.012</v>
      </c>
      <c r="D4571" s="51">
        <v>63.0</v>
      </c>
      <c r="E4571" s="52" t="s">
        <v>25</v>
      </c>
      <c r="F4571" s="52" t="s">
        <v>26</v>
      </c>
      <c r="G4571" s="53"/>
    </row>
    <row r="4572">
      <c r="A4572" s="49">
        <v>44561.193184710646</v>
      </c>
      <c r="B4572" s="50">
        <v>44561.3181618171</v>
      </c>
      <c r="C4572" s="51">
        <v>1.011</v>
      </c>
      <c r="D4572" s="51">
        <v>63.0</v>
      </c>
      <c r="E4572" s="52" t="s">
        <v>25</v>
      </c>
      <c r="F4572" s="52" t="s">
        <v>26</v>
      </c>
      <c r="G4572" s="53"/>
    </row>
    <row r="4573">
      <c r="A4573" s="49">
        <v>44561.203620925924</v>
      </c>
      <c r="B4573" s="50">
        <v>44561.3285837037</v>
      </c>
      <c r="C4573" s="51">
        <v>1.011</v>
      </c>
      <c r="D4573" s="51">
        <v>63.0</v>
      </c>
      <c r="E4573" s="52" t="s">
        <v>25</v>
      </c>
      <c r="F4573" s="52" t="s">
        <v>26</v>
      </c>
      <c r="G4573" s="53"/>
    </row>
    <row r="4574">
      <c r="A4574" s="49">
        <v>44561.21407696759</v>
      </c>
      <c r="B4574" s="50">
        <v>44561.3390404513</v>
      </c>
      <c r="C4574" s="51">
        <v>1.012</v>
      </c>
      <c r="D4574" s="51">
        <v>63.0</v>
      </c>
      <c r="E4574" s="52" t="s">
        <v>25</v>
      </c>
      <c r="F4574" s="52" t="s">
        <v>26</v>
      </c>
      <c r="G4574" s="53"/>
    </row>
    <row r="4575">
      <c r="A4575" s="49">
        <v>44561.22450674769</v>
      </c>
      <c r="B4575" s="50">
        <v>44561.3494747222</v>
      </c>
      <c r="C4575" s="51">
        <v>1.011</v>
      </c>
      <c r="D4575" s="51">
        <v>63.0</v>
      </c>
      <c r="E4575" s="52" t="s">
        <v>25</v>
      </c>
      <c r="F4575" s="52" t="s">
        <v>26</v>
      </c>
      <c r="G4575" s="53"/>
    </row>
    <row r="4576">
      <c r="A4576" s="49">
        <v>44561.234925729164</v>
      </c>
      <c r="B4576" s="50">
        <v>44561.359894699</v>
      </c>
      <c r="C4576" s="51">
        <v>1.011</v>
      </c>
      <c r="D4576" s="51">
        <v>63.0</v>
      </c>
      <c r="E4576" s="52" t="s">
        <v>25</v>
      </c>
      <c r="F4576" s="52" t="s">
        <v>26</v>
      </c>
      <c r="G4576" s="53"/>
    </row>
    <row r="4577">
      <c r="A4577" s="49">
        <v>44561.24534734954</v>
      </c>
      <c r="B4577" s="50">
        <v>44561.3703166435</v>
      </c>
      <c r="C4577" s="51">
        <v>1.012</v>
      </c>
      <c r="D4577" s="51">
        <v>63.0</v>
      </c>
      <c r="E4577" s="52" t="s">
        <v>25</v>
      </c>
      <c r="F4577" s="52" t="s">
        <v>26</v>
      </c>
      <c r="G4577" s="53"/>
    </row>
    <row r="4578">
      <c r="A4578" s="49">
        <v>44561.2557806713</v>
      </c>
      <c r="B4578" s="50">
        <v>44561.3807494097</v>
      </c>
      <c r="C4578" s="51">
        <v>1.011</v>
      </c>
      <c r="D4578" s="51">
        <v>63.0</v>
      </c>
      <c r="E4578" s="52" t="s">
        <v>25</v>
      </c>
      <c r="F4578" s="52" t="s">
        <v>26</v>
      </c>
      <c r="G4578" s="53"/>
    </row>
    <row r="4579">
      <c r="A4579" s="49">
        <v>44561.266197523146</v>
      </c>
      <c r="B4579" s="50">
        <v>44561.3911711921</v>
      </c>
      <c r="C4579" s="51">
        <v>1.011</v>
      </c>
      <c r="D4579" s="51">
        <v>63.0</v>
      </c>
      <c r="E4579" s="52" t="s">
        <v>25</v>
      </c>
      <c r="F4579" s="52" t="s">
        <v>26</v>
      </c>
      <c r="G4579" s="53"/>
    </row>
    <row r="4580">
      <c r="A4580" s="49">
        <v>44561.28706775463</v>
      </c>
      <c r="B4580" s="50">
        <v>44561.4120261689</v>
      </c>
      <c r="C4580" s="51">
        <v>1.011</v>
      </c>
      <c r="D4580" s="51">
        <v>63.0</v>
      </c>
      <c r="E4580" s="52" t="s">
        <v>25</v>
      </c>
      <c r="F4580" s="52" t="s">
        <v>26</v>
      </c>
      <c r="G4580" s="53"/>
    </row>
    <row r="4581">
      <c r="A4581" s="49">
        <v>44561.29748520833</v>
      </c>
      <c r="B4581" s="50">
        <v>44561.4224489236</v>
      </c>
      <c r="C4581" s="51">
        <v>1.011</v>
      </c>
      <c r="D4581" s="51">
        <v>63.0</v>
      </c>
      <c r="E4581" s="52" t="s">
        <v>25</v>
      </c>
      <c r="F4581" s="52" t="s">
        <v>26</v>
      </c>
      <c r="G4581" s="53"/>
    </row>
    <row r="4582">
      <c r="A4582" s="49">
        <v>44561.30789403935</v>
      </c>
      <c r="B4582" s="50">
        <v>44561.4328703472</v>
      </c>
      <c r="C4582" s="51">
        <v>1.012</v>
      </c>
      <c r="D4582" s="51">
        <v>63.0</v>
      </c>
      <c r="E4582" s="52" t="s">
        <v>25</v>
      </c>
      <c r="F4582" s="52" t="s">
        <v>26</v>
      </c>
      <c r="G4582" s="53"/>
    </row>
    <row r="4583">
      <c r="A4583" s="49">
        <v>44561.31832472222</v>
      </c>
      <c r="B4583" s="50">
        <v>44561.4433023148</v>
      </c>
      <c r="C4583" s="51">
        <v>1.011</v>
      </c>
      <c r="D4583" s="51">
        <v>63.0</v>
      </c>
      <c r="E4583" s="52" t="s">
        <v>25</v>
      </c>
      <c r="F4583" s="52" t="s">
        <v>26</v>
      </c>
      <c r="G4583" s="53"/>
    </row>
    <row r="4584">
      <c r="A4584" s="49">
        <v>44561.328751863424</v>
      </c>
      <c r="B4584" s="50">
        <v>44561.4537256597</v>
      </c>
      <c r="C4584" s="51">
        <v>1.011</v>
      </c>
      <c r="D4584" s="51">
        <v>63.0</v>
      </c>
      <c r="E4584" s="52" t="s">
        <v>25</v>
      </c>
      <c r="F4584" s="52" t="s">
        <v>26</v>
      </c>
      <c r="G4584" s="53"/>
    </row>
    <row r="4585">
      <c r="A4585" s="49">
        <v>44561.33917412037</v>
      </c>
      <c r="B4585" s="50">
        <v>44561.4641455208</v>
      </c>
      <c r="C4585" s="51">
        <v>1.011</v>
      </c>
      <c r="D4585" s="51">
        <v>63.0</v>
      </c>
      <c r="E4585" s="52" t="s">
        <v>25</v>
      </c>
      <c r="F4585" s="52" t="s">
        <v>26</v>
      </c>
      <c r="G4585" s="53"/>
    </row>
    <row r="4586">
      <c r="A4586" s="49">
        <v>44561.34959427083</v>
      </c>
      <c r="B4586" s="50">
        <v>44561.4745655092</v>
      </c>
      <c r="C4586" s="51">
        <v>1.011</v>
      </c>
      <c r="D4586" s="51">
        <v>63.0</v>
      </c>
      <c r="E4586" s="52" t="s">
        <v>25</v>
      </c>
      <c r="F4586" s="52" t="s">
        <v>26</v>
      </c>
      <c r="G4586" s="53"/>
    </row>
    <row r="4587">
      <c r="A4587" s="49">
        <v>44561.36002584491</v>
      </c>
      <c r="B4587" s="50">
        <v>44561.4849997337</v>
      </c>
      <c r="C4587" s="51">
        <v>1.011</v>
      </c>
      <c r="D4587" s="51">
        <v>63.0</v>
      </c>
      <c r="E4587" s="52" t="s">
        <v>25</v>
      </c>
      <c r="F4587" s="52" t="s">
        <v>26</v>
      </c>
      <c r="G4587" s="53"/>
    </row>
    <row r="4588">
      <c r="A4588" s="49">
        <v>44561.37044770834</v>
      </c>
      <c r="B4588" s="50">
        <v>44561.4954193981</v>
      </c>
      <c r="C4588" s="51">
        <v>1.012</v>
      </c>
      <c r="D4588" s="51">
        <v>63.0</v>
      </c>
      <c r="E4588" s="52" t="s">
        <v>25</v>
      </c>
      <c r="F4588" s="52" t="s">
        <v>26</v>
      </c>
      <c r="G4588" s="53"/>
    </row>
    <row r="4589">
      <c r="A4589" s="49">
        <v>44561.38087011574</v>
      </c>
      <c r="B4589" s="50">
        <v>44561.5058397222</v>
      </c>
      <c r="C4589" s="51">
        <v>1.011</v>
      </c>
      <c r="D4589" s="51">
        <v>63.0</v>
      </c>
      <c r="E4589" s="52" t="s">
        <v>25</v>
      </c>
      <c r="F4589" s="52" t="s">
        <v>26</v>
      </c>
      <c r="G4589" s="53"/>
    </row>
    <row r="4590">
      <c r="A4590" s="49">
        <v>44561.39128833333</v>
      </c>
      <c r="B4590" s="50">
        <v>44561.5162603935</v>
      </c>
      <c r="C4590" s="51">
        <v>1.011</v>
      </c>
      <c r="D4590" s="51">
        <v>63.0</v>
      </c>
      <c r="E4590" s="52" t="s">
        <v>25</v>
      </c>
      <c r="F4590" s="52" t="s">
        <v>26</v>
      </c>
      <c r="G4590" s="53"/>
    </row>
    <row r="4591">
      <c r="A4591" s="49">
        <v>44561.40171075231</v>
      </c>
      <c r="B4591" s="50">
        <v>44561.526683125</v>
      </c>
      <c r="C4591" s="51">
        <v>1.011</v>
      </c>
      <c r="D4591" s="51">
        <v>63.0</v>
      </c>
      <c r="E4591" s="52" t="s">
        <v>25</v>
      </c>
      <c r="F4591" s="52" t="s">
        <v>26</v>
      </c>
      <c r="G4591" s="53"/>
    </row>
    <row r="4592">
      <c r="A4592" s="49">
        <v>44561.41213298611</v>
      </c>
      <c r="B4592" s="50">
        <v>44561.5371045717</v>
      </c>
      <c r="C4592" s="51">
        <v>1.011</v>
      </c>
      <c r="D4592" s="51">
        <v>63.0</v>
      </c>
      <c r="E4592" s="52" t="s">
        <v>25</v>
      </c>
      <c r="F4592" s="52" t="s">
        <v>26</v>
      </c>
      <c r="G4592" s="53"/>
    </row>
    <row r="4593">
      <c r="A4593" s="49">
        <v>44561.42255387732</v>
      </c>
      <c r="B4593" s="50">
        <v>44561.5475270138</v>
      </c>
      <c r="C4593" s="51">
        <v>1.011</v>
      </c>
      <c r="D4593" s="51">
        <v>63.0</v>
      </c>
      <c r="E4593" s="52" t="s">
        <v>25</v>
      </c>
      <c r="F4593" s="52" t="s">
        <v>26</v>
      </c>
      <c r="G4593" s="53"/>
    </row>
    <row r="4594">
      <c r="A4594" s="49">
        <v>44561.432982962964</v>
      </c>
      <c r="B4594" s="50">
        <v>44561.5579600694</v>
      </c>
      <c r="C4594" s="51">
        <v>1.011</v>
      </c>
      <c r="D4594" s="51">
        <v>63.0</v>
      </c>
      <c r="E4594" s="52" t="s">
        <v>25</v>
      </c>
      <c r="F4594" s="52" t="s">
        <v>26</v>
      </c>
      <c r="G4594" s="53"/>
    </row>
    <row r="4595">
      <c r="A4595" s="49">
        <v>44561.443417291666</v>
      </c>
      <c r="B4595" s="50">
        <v>44561.5683924768</v>
      </c>
      <c r="C4595" s="51">
        <v>1.011</v>
      </c>
      <c r="D4595" s="51">
        <v>63.0</v>
      </c>
      <c r="E4595" s="52" t="s">
        <v>25</v>
      </c>
      <c r="F4595" s="52" t="s">
        <v>26</v>
      </c>
      <c r="G4595" s="53"/>
    </row>
    <row r="4596">
      <c r="A4596" s="49">
        <v>44561.45383761574</v>
      </c>
      <c r="B4596" s="50">
        <v>44561.5788140625</v>
      </c>
      <c r="C4596" s="51">
        <v>1.012</v>
      </c>
      <c r="D4596" s="51">
        <v>63.0</v>
      </c>
      <c r="E4596" s="52" t="s">
        <v>25</v>
      </c>
      <c r="F4596" s="52" t="s">
        <v>26</v>
      </c>
      <c r="G4596" s="53"/>
    </row>
    <row r="4597">
      <c r="A4597" s="49">
        <v>44561.46425957176</v>
      </c>
      <c r="B4597" s="50">
        <v>44561.5892369444</v>
      </c>
      <c r="C4597" s="51">
        <v>1.012</v>
      </c>
      <c r="D4597" s="51">
        <v>63.0</v>
      </c>
      <c r="E4597" s="52" t="s">
        <v>25</v>
      </c>
      <c r="F4597" s="52" t="s">
        <v>26</v>
      </c>
      <c r="G4597" s="53"/>
    </row>
    <row r="4598">
      <c r="A4598" s="49">
        <v>44561.47468197916</v>
      </c>
      <c r="B4598" s="50">
        <v>44561.5996580786</v>
      </c>
      <c r="C4598" s="51">
        <v>1.012</v>
      </c>
      <c r="D4598" s="51">
        <v>63.0</v>
      </c>
      <c r="E4598" s="52" t="s">
        <v>25</v>
      </c>
      <c r="F4598" s="52" t="s">
        <v>26</v>
      </c>
      <c r="G4598" s="53"/>
    </row>
    <row r="4599">
      <c r="A4599" s="49">
        <v>44561.48512560185</v>
      </c>
      <c r="B4599" s="50">
        <v>44561.61010353</v>
      </c>
      <c r="C4599" s="51">
        <v>1.011</v>
      </c>
      <c r="D4599" s="51">
        <v>63.0</v>
      </c>
      <c r="E4599" s="52" t="s">
        <v>25</v>
      </c>
      <c r="F4599" s="52" t="s">
        <v>26</v>
      </c>
      <c r="G4599" s="53"/>
    </row>
    <row r="4600">
      <c r="A4600" s="49">
        <v>44561.49558094908</v>
      </c>
      <c r="B4600" s="50">
        <v>44561.6205590972</v>
      </c>
      <c r="C4600" s="51">
        <v>1.011</v>
      </c>
      <c r="D4600" s="51">
        <v>63.0</v>
      </c>
      <c r="E4600" s="52" t="s">
        <v>25</v>
      </c>
      <c r="F4600" s="52" t="s">
        <v>26</v>
      </c>
      <c r="G4600" s="53"/>
    </row>
    <row r="4601">
      <c r="A4601" s="49">
        <v>44561.50600476852</v>
      </c>
      <c r="B4601" s="50">
        <v>44561.6309795138</v>
      </c>
      <c r="C4601" s="51">
        <v>1.011</v>
      </c>
      <c r="D4601" s="51">
        <v>63.0</v>
      </c>
      <c r="E4601" s="52" t="s">
        <v>25</v>
      </c>
      <c r="F4601" s="52" t="s">
        <v>26</v>
      </c>
      <c r="G4601" s="53"/>
    </row>
    <row r="4602">
      <c r="A4602" s="49">
        <v>44561.51645009259</v>
      </c>
      <c r="B4602" s="50">
        <v>44561.6414230439</v>
      </c>
      <c r="C4602" s="51">
        <v>1.011</v>
      </c>
      <c r="D4602" s="51">
        <v>63.0</v>
      </c>
      <c r="E4602" s="52" t="s">
        <v>25</v>
      </c>
      <c r="F4602" s="52" t="s">
        <v>26</v>
      </c>
      <c r="G4602" s="53"/>
    </row>
    <row r="4603">
      <c r="A4603" s="49">
        <v>44561.52686357639</v>
      </c>
      <c r="B4603" s="50">
        <v>44561.6518439351</v>
      </c>
      <c r="C4603" s="51">
        <v>1.011</v>
      </c>
      <c r="D4603" s="51">
        <v>63.0</v>
      </c>
      <c r="E4603" s="52" t="s">
        <v>25</v>
      </c>
      <c r="F4603" s="52" t="s">
        <v>26</v>
      </c>
      <c r="G4603" s="53"/>
    </row>
    <row r="4604">
      <c r="A4604" s="49">
        <v>44561.53730403935</v>
      </c>
      <c r="B4604" s="50">
        <v>44561.6622766203</v>
      </c>
      <c r="C4604" s="51">
        <v>1.011</v>
      </c>
      <c r="D4604" s="51">
        <v>63.0</v>
      </c>
      <c r="E4604" s="52" t="s">
        <v>25</v>
      </c>
      <c r="F4604" s="52" t="s">
        <v>26</v>
      </c>
      <c r="G4604" s="53"/>
    </row>
    <row r="4605">
      <c r="A4605" s="49">
        <v>44561.54771770834</v>
      </c>
      <c r="B4605" s="50">
        <v>44561.6726981828</v>
      </c>
      <c r="C4605" s="51">
        <v>1.011</v>
      </c>
      <c r="D4605" s="51">
        <v>63.0</v>
      </c>
      <c r="E4605" s="52" t="s">
        <v>25</v>
      </c>
      <c r="F4605" s="52" t="s">
        <v>26</v>
      </c>
      <c r="G4605" s="53"/>
    </row>
    <row r="4606">
      <c r="A4606" s="49">
        <v>44561.55813667824</v>
      </c>
      <c r="B4606" s="50">
        <v>44561.6831185069</v>
      </c>
      <c r="C4606" s="51">
        <v>1.011</v>
      </c>
      <c r="D4606" s="51">
        <v>63.0</v>
      </c>
      <c r="E4606" s="52" t="s">
        <v>25</v>
      </c>
      <c r="F4606" s="52" t="s">
        <v>26</v>
      </c>
      <c r="G4606" s="53"/>
    </row>
    <row r="4607">
      <c r="A4607" s="49">
        <v>44561.568569201394</v>
      </c>
      <c r="B4607" s="50">
        <v>44561.6935405671</v>
      </c>
      <c r="C4607" s="51">
        <v>1.011</v>
      </c>
      <c r="D4607" s="51">
        <v>63.0</v>
      </c>
      <c r="E4607" s="52" t="s">
        <v>25</v>
      </c>
      <c r="F4607" s="52" t="s">
        <v>26</v>
      </c>
      <c r="G4607" s="53"/>
    </row>
    <row r="4608">
      <c r="A4608" s="49">
        <v>44561.578990740745</v>
      </c>
      <c r="B4608" s="50">
        <v>44561.7039623842</v>
      </c>
      <c r="C4608" s="51">
        <v>1.011</v>
      </c>
      <c r="D4608" s="51">
        <v>63.0</v>
      </c>
      <c r="E4608" s="52" t="s">
        <v>25</v>
      </c>
      <c r="F4608" s="52" t="s">
        <v>26</v>
      </c>
      <c r="G4608" s="53"/>
    </row>
    <row r="4609">
      <c r="A4609" s="49">
        <v>44561.58940217593</v>
      </c>
      <c r="B4609" s="50">
        <v>44561.7143842013</v>
      </c>
      <c r="C4609" s="51">
        <v>1.011</v>
      </c>
      <c r="D4609" s="51">
        <v>63.0</v>
      </c>
      <c r="E4609" s="52" t="s">
        <v>25</v>
      </c>
      <c r="F4609" s="52" t="s">
        <v>26</v>
      </c>
      <c r="G4609" s="53"/>
    </row>
    <row r="4610">
      <c r="A4610" s="49">
        <v>44561.59982837963</v>
      </c>
      <c r="B4610" s="50">
        <v>44561.7248067592</v>
      </c>
      <c r="C4610" s="51">
        <v>1.011</v>
      </c>
      <c r="D4610" s="51">
        <v>63.0</v>
      </c>
      <c r="E4610" s="52" t="s">
        <v>25</v>
      </c>
      <c r="F4610" s="52" t="s">
        <v>26</v>
      </c>
      <c r="G4610" s="53"/>
    </row>
    <row r="4611">
      <c r="A4611" s="49">
        <v>44561.61026458333</v>
      </c>
      <c r="B4611" s="50">
        <v>44561.7352409838</v>
      </c>
      <c r="C4611" s="51">
        <v>1.011</v>
      </c>
      <c r="D4611" s="51">
        <v>63.0</v>
      </c>
      <c r="E4611" s="52" t="s">
        <v>25</v>
      </c>
      <c r="F4611" s="52" t="s">
        <v>26</v>
      </c>
      <c r="G4611" s="53"/>
    </row>
    <row r="4612">
      <c r="A4612" s="49">
        <v>44561.620688194445</v>
      </c>
      <c r="B4612" s="50">
        <v>44561.7456632523</v>
      </c>
      <c r="C4612" s="51">
        <v>1.012</v>
      </c>
      <c r="D4612" s="51">
        <v>63.0</v>
      </c>
      <c r="E4612" s="52" t="s">
        <v>25</v>
      </c>
      <c r="F4612" s="52" t="s">
        <v>26</v>
      </c>
      <c r="G4612" s="53"/>
    </row>
    <row r="4613">
      <c r="A4613" s="49">
        <v>44561.631108587964</v>
      </c>
      <c r="B4613" s="50">
        <v>44561.7560858101</v>
      </c>
      <c r="C4613" s="51">
        <v>1.011</v>
      </c>
      <c r="D4613" s="51">
        <v>63.0</v>
      </c>
      <c r="E4613" s="52" t="s">
        <v>25</v>
      </c>
      <c r="F4613" s="52" t="s">
        <v>26</v>
      </c>
      <c r="G4613" s="53"/>
    </row>
    <row r="4614">
      <c r="A4614" s="49">
        <v>44561.64155714121</v>
      </c>
      <c r="B4614" s="50">
        <v>44561.7665293287</v>
      </c>
      <c r="C4614" s="51">
        <v>1.011</v>
      </c>
      <c r="D4614" s="51">
        <v>63.0</v>
      </c>
      <c r="E4614" s="52" t="s">
        <v>25</v>
      </c>
      <c r="F4614" s="52" t="s">
        <v>26</v>
      </c>
      <c r="G4614" s="53"/>
    </row>
    <row r="4615">
      <c r="A4615" s="49">
        <v>44561.651977256945</v>
      </c>
      <c r="B4615" s="50">
        <v>44561.7769490972</v>
      </c>
      <c r="C4615" s="51">
        <v>1.011</v>
      </c>
      <c r="D4615" s="51">
        <v>63.0</v>
      </c>
      <c r="E4615" s="52" t="s">
        <v>25</v>
      </c>
      <c r="F4615" s="52" t="s">
        <v>26</v>
      </c>
      <c r="G4615" s="53"/>
    </row>
    <row r="4616">
      <c r="A4616" s="49">
        <v>44561.66240861111</v>
      </c>
      <c r="B4616" s="50">
        <v>44561.78738228</v>
      </c>
      <c r="C4616" s="51">
        <v>1.011</v>
      </c>
      <c r="D4616" s="51">
        <v>63.0</v>
      </c>
      <c r="E4616" s="52" t="s">
        <v>25</v>
      </c>
      <c r="F4616" s="52" t="s">
        <v>26</v>
      </c>
      <c r="G4616" s="53"/>
    </row>
    <row r="4617">
      <c r="A4617" s="49">
        <v>44561.67282165509</v>
      </c>
      <c r="B4617" s="50">
        <v>44561.7978029629</v>
      </c>
      <c r="C4617" s="51">
        <v>1.011</v>
      </c>
      <c r="D4617" s="51">
        <v>63.0</v>
      </c>
      <c r="E4617" s="52" t="s">
        <v>25</v>
      </c>
      <c r="F4617" s="52" t="s">
        <v>26</v>
      </c>
      <c r="G4617" s="53"/>
    </row>
    <row r="4618">
      <c r="A4618" s="49">
        <v>44561.683250671296</v>
      </c>
      <c r="B4618" s="50">
        <v>44561.8082250231</v>
      </c>
      <c r="C4618" s="51">
        <v>1.011</v>
      </c>
      <c r="D4618" s="51">
        <v>63.0</v>
      </c>
      <c r="E4618" s="52" t="s">
        <v>25</v>
      </c>
      <c r="F4618" s="52" t="s">
        <v>26</v>
      </c>
      <c r="G4618" s="53"/>
    </row>
    <row r="4619">
      <c r="A4619" s="49">
        <v>44561.693669479166</v>
      </c>
      <c r="B4619" s="50">
        <v>44561.818645243</v>
      </c>
      <c r="C4619" s="51">
        <v>1.011</v>
      </c>
      <c r="D4619" s="51">
        <v>63.0</v>
      </c>
      <c r="E4619" s="52" t="s">
        <v>25</v>
      </c>
      <c r="F4619" s="52" t="s">
        <v>26</v>
      </c>
      <c r="G4619" s="53"/>
    </row>
    <row r="4620">
      <c r="A4620" s="49">
        <v>44561.70410765047</v>
      </c>
      <c r="B4620" s="50">
        <v>44561.829078287</v>
      </c>
      <c r="C4620" s="51">
        <v>1.011</v>
      </c>
      <c r="D4620" s="51">
        <v>63.0</v>
      </c>
      <c r="E4620" s="52" t="s">
        <v>25</v>
      </c>
      <c r="F4620" s="52" t="s">
        <v>26</v>
      </c>
      <c r="G4620" s="53"/>
    </row>
    <row r="4621">
      <c r="A4621" s="49">
        <v>44561.71454863426</v>
      </c>
      <c r="B4621" s="50">
        <v>44561.8395228009</v>
      </c>
      <c r="C4621" s="51">
        <v>1.011</v>
      </c>
      <c r="D4621" s="51">
        <v>63.0</v>
      </c>
      <c r="E4621" s="52" t="s">
        <v>25</v>
      </c>
      <c r="F4621" s="52" t="s">
        <v>26</v>
      </c>
      <c r="G4621" s="53"/>
    </row>
    <row r="4622">
      <c r="A4622" s="49">
        <v>44561.72495833333</v>
      </c>
      <c r="B4622" s="50">
        <v>44561.8499420601</v>
      </c>
      <c r="C4622" s="51">
        <v>1.011</v>
      </c>
      <c r="D4622" s="51">
        <v>63.0</v>
      </c>
      <c r="E4622" s="52" t="s">
        <v>25</v>
      </c>
      <c r="F4622" s="52" t="s">
        <v>26</v>
      </c>
      <c r="G4622" s="53"/>
    </row>
    <row r="4623">
      <c r="A4623" s="49">
        <v>44561.73538409722</v>
      </c>
      <c r="B4623" s="50">
        <v>44561.8603643981</v>
      </c>
      <c r="C4623" s="51">
        <v>1.011</v>
      </c>
      <c r="D4623" s="51">
        <v>63.0</v>
      </c>
      <c r="E4623" s="52" t="s">
        <v>25</v>
      </c>
      <c r="F4623" s="52" t="s">
        <v>26</v>
      </c>
      <c r="G4623" s="53"/>
    </row>
    <row r="4624">
      <c r="A4624" s="49">
        <v>44561.74581206018</v>
      </c>
      <c r="B4624" s="50">
        <v>44561.8707869097</v>
      </c>
      <c r="C4624" s="51">
        <v>1.011</v>
      </c>
      <c r="D4624" s="51">
        <v>63.0</v>
      </c>
      <c r="E4624" s="52" t="s">
        <v>25</v>
      </c>
      <c r="F4624" s="52" t="s">
        <v>26</v>
      </c>
      <c r="G4624" s="53"/>
    </row>
    <row r="4625">
      <c r="A4625" s="49">
        <v>44561.75622834491</v>
      </c>
      <c r="B4625" s="50">
        <v>44561.8812081944</v>
      </c>
      <c r="C4625" s="51">
        <v>1.011</v>
      </c>
      <c r="D4625" s="51">
        <v>63.0</v>
      </c>
      <c r="E4625" s="52" t="s">
        <v>25</v>
      </c>
      <c r="F4625" s="52" t="s">
        <v>26</v>
      </c>
      <c r="G4625" s="53"/>
    </row>
    <row r="4626">
      <c r="A4626" s="49">
        <v>44561.766657615735</v>
      </c>
      <c r="B4626" s="50">
        <v>44561.8916303935</v>
      </c>
      <c r="C4626" s="51">
        <v>1.011</v>
      </c>
      <c r="D4626" s="51">
        <v>63.0</v>
      </c>
      <c r="E4626" s="52" t="s">
        <v>25</v>
      </c>
      <c r="F4626" s="52" t="s">
        <v>26</v>
      </c>
      <c r="G4626" s="53"/>
    </row>
    <row r="4627">
      <c r="A4627" s="49">
        <v>44561.777072303244</v>
      </c>
      <c r="B4627" s="50">
        <v>44561.9020513541</v>
      </c>
      <c r="C4627" s="51">
        <v>1.011</v>
      </c>
      <c r="D4627" s="51">
        <v>63.0</v>
      </c>
      <c r="E4627" s="52" t="s">
        <v>25</v>
      </c>
      <c r="F4627" s="52" t="s">
        <v>26</v>
      </c>
      <c r="G4627" s="53"/>
    </row>
    <row r="4628">
      <c r="A4628" s="49">
        <v>44561.787490717594</v>
      </c>
      <c r="B4628" s="50">
        <v>44561.9124729629</v>
      </c>
      <c r="C4628" s="51">
        <v>1.011</v>
      </c>
      <c r="D4628" s="51">
        <v>63.0</v>
      </c>
      <c r="E4628" s="52" t="s">
        <v>25</v>
      </c>
      <c r="F4628" s="52" t="s">
        <v>26</v>
      </c>
      <c r="G4628" s="53"/>
    </row>
    <row r="4629">
      <c r="A4629" s="49">
        <v>44561.79793380787</v>
      </c>
      <c r="B4629" s="50">
        <v>44561.9229170138</v>
      </c>
      <c r="C4629" s="51">
        <v>1.011</v>
      </c>
      <c r="D4629" s="51">
        <v>63.0</v>
      </c>
      <c r="E4629" s="52" t="s">
        <v>25</v>
      </c>
      <c r="F4629" s="52" t="s">
        <v>26</v>
      </c>
      <c r="G4629" s="53"/>
    </row>
    <row r="4630">
      <c r="A4630" s="49">
        <v>44561.80835712963</v>
      </c>
      <c r="B4630" s="50">
        <v>44561.9333391203</v>
      </c>
      <c r="C4630" s="51">
        <v>1.011</v>
      </c>
      <c r="D4630" s="51">
        <v>63.0</v>
      </c>
      <c r="E4630" s="52" t="s">
        <v>25</v>
      </c>
      <c r="F4630" s="52" t="s">
        <v>26</v>
      </c>
      <c r="G4630" s="53"/>
    </row>
    <row r="4631">
      <c r="A4631" s="49">
        <v>44561.8187840162</v>
      </c>
      <c r="B4631" s="50">
        <v>44561.9437592245</v>
      </c>
      <c r="C4631" s="51">
        <v>1.011</v>
      </c>
      <c r="D4631" s="51">
        <v>63.0</v>
      </c>
      <c r="E4631" s="52" t="s">
        <v>25</v>
      </c>
      <c r="F4631" s="52" t="s">
        <v>26</v>
      </c>
      <c r="G4631" s="53"/>
    </row>
    <row r="4632">
      <c r="A4632" s="49">
        <v>44561.829204062495</v>
      </c>
      <c r="B4632" s="50">
        <v>44561.9541812268</v>
      </c>
      <c r="C4632" s="51">
        <v>1.011</v>
      </c>
      <c r="D4632" s="51">
        <v>63.0</v>
      </c>
      <c r="E4632" s="52" t="s">
        <v>25</v>
      </c>
      <c r="F4632" s="52" t="s">
        <v>26</v>
      </c>
      <c r="G4632" s="53"/>
    </row>
    <row r="4633">
      <c r="A4633" s="49">
        <v>44561.839642175924</v>
      </c>
      <c r="B4633" s="50">
        <v>44561.9646122222</v>
      </c>
      <c r="C4633" s="51">
        <v>1.011</v>
      </c>
      <c r="D4633" s="51">
        <v>63.0</v>
      </c>
      <c r="E4633" s="52" t="s">
        <v>25</v>
      </c>
      <c r="F4633" s="52" t="s">
        <v>26</v>
      </c>
      <c r="G4633" s="53"/>
    </row>
    <row r="4634">
      <c r="A4634" s="49">
        <v>44561.85007206019</v>
      </c>
      <c r="B4634" s="50">
        <v>44561.9750459722</v>
      </c>
      <c r="C4634" s="51">
        <v>1.011</v>
      </c>
      <c r="D4634" s="51">
        <v>63.0</v>
      </c>
      <c r="E4634" s="52" t="s">
        <v>25</v>
      </c>
      <c r="F4634" s="52" t="s">
        <v>26</v>
      </c>
      <c r="G4634" s="53"/>
    </row>
    <row r="4635">
      <c r="A4635" s="49">
        <v>44561.86049184028</v>
      </c>
      <c r="B4635" s="50">
        <v>44561.9854672569</v>
      </c>
      <c r="C4635" s="51">
        <v>1.011</v>
      </c>
      <c r="D4635" s="51">
        <v>63.0</v>
      </c>
      <c r="E4635" s="52" t="s">
        <v>25</v>
      </c>
      <c r="F4635" s="52" t="s">
        <v>26</v>
      </c>
      <c r="G4635" s="53"/>
    </row>
    <row r="4636">
      <c r="A4636" s="49">
        <v>44561.870910972226</v>
      </c>
      <c r="B4636" s="50">
        <v>44561.9958879166</v>
      </c>
      <c r="C4636" s="51">
        <v>1.011</v>
      </c>
      <c r="D4636" s="51">
        <v>63.0</v>
      </c>
      <c r="E4636" s="52" t="s">
        <v>25</v>
      </c>
      <c r="F4636" s="52" t="s">
        <v>26</v>
      </c>
      <c r="G4636" s="53"/>
    </row>
    <row r="4637">
      <c r="A4637" s="49">
        <v>44561.881329930555</v>
      </c>
      <c r="B4637" s="50">
        <v>44562.0063096412</v>
      </c>
      <c r="C4637" s="51">
        <v>1.011</v>
      </c>
      <c r="D4637" s="51">
        <v>63.0</v>
      </c>
      <c r="E4637" s="52" t="s">
        <v>25</v>
      </c>
      <c r="F4637" s="52" t="s">
        <v>26</v>
      </c>
      <c r="G4637" s="53"/>
    </row>
    <row r="4638">
      <c r="A4638" s="49">
        <v>44561.89177332176</v>
      </c>
      <c r="B4638" s="50">
        <v>44562.016742662</v>
      </c>
      <c r="C4638" s="51">
        <v>1.011</v>
      </c>
      <c r="D4638" s="51">
        <v>63.0</v>
      </c>
      <c r="E4638" s="52" t="s">
        <v>25</v>
      </c>
      <c r="F4638" s="52" t="s">
        <v>26</v>
      </c>
      <c r="G4638" s="53"/>
    </row>
    <row r="4639">
      <c r="A4639" s="49">
        <v>44561.90218578704</v>
      </c>
      <c r="B4639" s="50">
        <v>44562.0271633912</v>
      </c>
      <c r="C4639" s="51">
        <v>1.012</v>
      </c>
      <c r="D4639" s="51">
        <v>63.0</v>
      </c>
      <c r="E4639" s="52" t="s">
        <v>25</v>
      </c>
      <c r="F4639" s="52" t="s">
        <v>26</v>
      </c>
      <c r="G4639" s="53"/>
    </row>
    <row r="4640">
      <c r="A4640" s="49">
        <v>44561.91264342592</v>
      </c>
      <c r="B4640" s="50">
        <v>44562.0376080787</v>
      </c>
      <c r="C4640" s="51">
        <v>1.011</v>
      </c>
      <c r="D4640" s="51">
        <v>63.0</v>
      </c>
      <c r="E4640" s="52" t="s">
        <v>25</v>
      </c>
      <c r="F4640" s="52" t="s">
        <v>26</v>
      </c>
      <c r="G4640" s="53"/>
    </row>
    <row r="4641">
      <c r="A4641" s="49">
        <v>44561.92307748843</v>
      </c>
      <c r="B4641" s="50">
        <v>44562.048052199</v>
      </c>
      <c r="C4641" s="51">
        <v>1.011</v>
      </c>
      <c r="D4641" s="51">
        <v>63.0</v>
      </c>
      <c r="E4641" s="52" t="s">
        <v>25</v>
      </c>
      <c r="F4641" s="52" t="s">
        <v>26</v>
      </c>
      <c r="G4641" s="53"/>
    </row>
    <row r="4642">
      <c r="A4642" s="49">
        <v>44561.93349476852</v>
      </c>
      <c r="B4642" s="50">
        <v>44562.0584729513</v>
      </c>
      <c r="C4642" s="51">
        <v>1.011</v>
      </c>
      <c r="D4642" s="51">
        <v>63.0</v>
      </c>
      <c r="E4642" s="52" t="s">
        <v>25</v>
      </c>
      <c r="F4642" s="52" t="s">
        <v>26</v>
      </c>
      <c r="G4642" s="53"/>
    </row>
    <row r="4643">
      <c r="A4643" s="49">
        <v>44561.94392309028</v>
      </c>
      <c r="B4643" s="50">
        <v>44562.0688924884</v>
      </c>
      <c r="C4643" s="51">
        <v>1.012</v>
      </c>
      <c r="D4643" s="51">
        <v>63.0</v>
      </c>
      <c r="E4643" s="52" t="s">
        <v>25</v>
      </c>
      <c r="F4643" s="52" t="s">
        <v>26</v>
      </c>
      <c r="G4643" s="53"/>
    </row>
    <row r="4644">
      <c r="A4644" s="49">
        <v>44561.954341273144</v>
      </c>
      <c r="B4644" s="50">
        <v>44562.0793143055</v>
      </c>
      <c r="C4644" s="51">
        <v>1.011</v>
      </c>
      <c r="D4644" s="51">
        <v>63.0</v>
      </c>
      <c r="E4644" s="52" t="s">
        <v>25</v>
      </c>
      <c r="F4644" s="52" t="s">
        <v>26</v>
      </c>
      <c r="G4644" s="53"/>
    </row>
    <row r="4645">
      <c r="A4645" s="49">
        <v>44561.96476234954</v>
      </c>
      <c r="B4645" s="50">
        <v>44562.0897344097</v>
      </c>
      <c r="C4645" s="51">
        <v>1.011</v>
      </c>
      <c r="D4645" s="51">
        <v>63.0</v>
      </c>
      <c r="E4645" s="52" t="s">
        <v>25</v>
      </c>
      <c r="F4645" s="52" t="s">
        <v>26</v>
      </c>
      <c r="G4645" s="53"/>
    </row>
    <row r="4646">
      <c r="A4646" s="49">
        <v>44561.975183229166</v>
      </c>
      <c r="B4646" s="50">
        <v>44562.1001547569</v>
      </c>
      <c r="C4646" s="51">
        <v>1.011</v>
      </c>
      <c r="D4646" s="51">
        <v>63.0</v>
      </c>
      <c r="E4646" s="52" t="s">
        <v>25</v>
      </c>
      <c r="F4646" s="52" t="s">
        <v>26</v>
      </c>
      <c r="G4646" s="53"/>
    </row>
    <row r="4647">
      <c r="A4647" s="49">
        <v>44561.98562600694</v>
      </c>
      <c r="B4647" s="50">
        <v>44562.1105986689</v>
      </c>
      <c r="C4647" s="51">
        <v>1.011</v>
      </c>
      <c r="D4647" s="51">
        <v>63.0</v>
      </c>
      <c r="E4647" s="52" t="s">
        <v>25</v>
      </c>
      <c r="F4647" s="52" t="s">
        <v>26</v>
      </c>
      <c r="G4647" s="53"/>
    </row>
    <row r="4648">
      <c r="A4648" s="49">
        <v>44561.996046678236</v>
      </c>
      <c r="B4648" s="50">
        <v>44562.1210298032</v>
      </c>
      <c r="C4648" s="51">
        <v>1.011</v>
      </c>
      <c r="D4648" s="51">
        <v>63.0</v>
      </c>
      <c r="E4648" s="52" t="s">
        <v>25</v>
      </c>
      <c r="F4648" s="52" t="s">
        <v>26</v>
      </c>
      <c r="G4648" s="53"/>
    </row>
    <row r="4649">
      <c r="A4649" s="49">
        <v>44562.00647748842</v>
      </c>
      <c r="B4649" s="50">
        <v>44562.1314505439</v>
      </c>
      <c r="C4649" s="51">
        <v>1.011</v>
      </c>
      <c r="D4649" s="51">
        <v>63.0</v>
      </c>
      <c r="E4649" s="52" t="s">
        <v>25</v>
      </c>
      <c r="F4649" s="52" t="s">
        <v>26</v>
      </c>
      <c r="G4649" s="53"/>
    </row>
    <row r="4650">
      <c r="A4650" s="49">
        <v>44562.016898472226</v>
      </c>
      <c r="B4650" s="50">
        <v>44562.1418714004</v>
      </c>
      <c r="C4650" s="51">
        <v>1.011</v>
      </c>
      <c r="D4650" s="51">
        <v>63.0</v>
      </c>
      <c r="E4650" s="52" t="s">
        <v>25</v>
      </c>
      <c r="F4650" s="52" t="s">
        <v>26</v>
      </c>
      <c r="G4650" s="53"/>
    </row>
    <row r="4651">
      <c r="A4651" s="49">
        <v>44562.027317824075</v>
      </c>
      <c r="B4651" s="50">
        <v>44562.1522930902</v>
      </c>
      <c r="C4651" s="51">
        <v>1.011</v>
      </c>
      <c r="D4651" s="51">
        <v>63.0</v>
      </c>
      <c r="E4651" s="52" t="s">
        <v>25</v>
      </c>
      <c r="F4651" s="52" t="s">
        <v>26</v>
      </c>
      <c r="G4651" s="53"/>
    </row>
    <row r="4652">
      <c r="A4652" s="49">
        <v>44562.037733206016</v>
      </c>
      <c r="B4652" s="50">
        <v>44562.162715405</v>
      </c>
      <c r="C4652" s="51">
        <v>1.011</v>
      </c>
      <c r="D4652" s="51">
        <v>63.0</v>
      </c>
      <c r="E4652" s="52" t="s">
        <v>25</v>
      </c>
      <c r="F4652" s="52" t="s">
        <v>26</v>
      </c>
      <c r="G4652" s="53"/>
    </row>
    <row r="4653">
      <c r="A4653" s="49">
        <v>44562.04818515046</v>
      </c>
      <c r="B4653" s="50">
        <v>44562.173158831</v>
      </c>
      <c r="C4653" s="51">
        <v>1.011</v>
      </c>
      <c r="D4653" s="51">
        <v>63.0</v>
      </c>
      <c r="E4653" s="52" t="s">
        <v>25</v>
      </c>
      <c r="F4653" s="52" t="s">
        <v>26</v>
      </c>
      <c r="G4653" s="53"/>
    </row>
    <row r="4654">
      <c r="A4654" s="49">
        <v>44562.05860094907</v>
      </c>
      <c r="B4654" s="50">
        <v>44562.1835794791</v>
      </c>
      <c r="C4654" s="51">
        <v>1.011</v>
      </c>
      <c r="D4654" s="51">
        <v>63.0</v>
      </c>
      <c r="E4654" s="52" t="s">
        <v>25</v>
      </c>
      <c r="F4654" s="52" t="s">
        <v>26</v>
      </c>
      <c r="G4654" s="53"/>
    </row>
    <row r="4655">
      <c r="A4655" s="49">
        <v>44562.06902796296</v>
      </c>
      <c r="B4655" s="50">
        <v>44562.1940013657</v>
      </c>
      <c r="C4655" s="51">
        <v>1.011</v>
      </c>
      <c r="D4655" s="51">
        <v>63.0</v>
      </c>
      <c r="E4655" s="52" t="s">
        <v>25</v>
      </c>
      <c r="F4655" s="52" t="s">
        <v>26</v>
      </c>
      <c r="G4655" s="53"/>
    </row>
    <row r="4656">
      <c r="A4656" s="49">
        <v>44562.079445428244</v>
      </c>
      <c r="B4656" s="50">
        <v>44562.2044236226</v>
      </c>
      <c r="C4656" s="51">
        <v>1.011</v>
      </c>
      <c r="D4656" s="51">
        <v>63.0</v>
      </c>
      <c r="E4656" s="52" t="s">
        <v>25</v>
      </c>
      <c r="F4656" s="52" t="s">
        <v>26</v>
      </c>
      <c r="G4656" s="53"/>
    </row>
    <row r="4657">
      <c r="A4657" s="49">
        <v>44562.08986856481</v>
      </c>
      <c r="B4657" s="50">
        <v>44562.2148450925</v>
      </c>
      <c r="C4657" s="51">
        <v>1.011</v>
      </c>
      <c r="D4657" s="51">
        <v>63.0</v>
      </c>
      <c r="E4657" s="52" t="s">
        <v>25</v>
      </c>
      <c r="F4657" s="52" t="s">
        <v>26</v>
      </c>
      <c r="G4657" s="53"/>
    </row>
    <row r="4658">
      <c r="A4658" s="49">
        <v>44562.100285243054</v>
      </c>
      <c r="B4658" s="50">
        <v>44562.2252673611</v>
      </c>
      <c r="C4658" s="51">
        <v>1.011</v>
      </c>
      <c r="D4658" s="51">
        <v>63.0</v>
      </c>
      <c r="E4658" s="52" t="s">
        <v>25</v>
      </c>
      <c r="F4658" s="52" t="s">
        <v>26</v>
      </c>
      <c r="G4658" s="53"/>
    </row>
    <row r="4659">
      <c r="A4659" s="49">
        <v>44562.110712002315</v>
      </c>
      <c r="B4659" s="50">
        <v>44562.2356886458</v>
      </c>
      <c r="C4659" s="51">
        <v>1.011</v>
      </c>
      <c r="D4659" s="51">
        <v>63.0</v>
      </c>
      <c r="E4659" s="52" t="s">
        <v>25</v>
      </c>
      <c r="F4659" s="52" t="s">
        <v>26</v>
      </c>
      <c r="G4659" s="53"/>
    </row>
    <row r="4660">
      <c r="A4660" s="49">
        <v>44562.121145833335</v>
      </c>
      <c r="B4660" s="50">
        <v>44562.2461218402</v>
      </c>
      <c r="C4660" s="51">
        <v>1.011</v>
      </c>
      <c r="D4660" s="51">
        <v>63.0</v>
      </c>
      <c r="E4660" s="52" t="s">
        <v>25</v>
      </c>
      <c r="F4660" s="52" t="s">
        <v>26</v>
      </c>
      <c r="G4660" s="53"/>
    </row>
    <row r="4661">
      <c r="A4661" s="49">
        <v>44562.13157232639</v>
      </c>
      <c r="B4661" s="50">
        <v>44562.2565434953</v>
      </c>
      <c r="C4661" s="51">
        <v>1.011</v>
      </c>
      <c r="D4661" s="51">
        <v>63.0</v>
      </c>
      <c r="E4661" s="52" t="s">
        <v>25</v>
      </c>
      <c r="F4661" s="52" t="s">
        <v>26</v>
      </c>
      <c r="G4661" s="53"/>
    </row>
    <row r="4662">
      <c r="A4662" s="49">
        <v>44562.14199650463</v>
      </c>
      <c r="B4662" s="50">
        <v>44562.2669768865</v>
      </c>
      <c r="C4662" s="51">
        <v>1.011</v>
      </c>
      <c r="D4662" s="51">
        <v>63.0</v>
      </c>
      <c r="E4662" s="52" t="s">
        <v>25</v>
      </c>
      <c r="F4662" s="52" t="s">
        <v>26</v>
      </c>
      <c r="G4662" s="53"/>
    </row>
    <row r="4663">
      <c r="A4663" s="49">
        <v>44562.15243111111</v>
      </c>
      <c r="B4663" s="50">
        <v>44562.2773992708</v>
      </c>
      <c r="C4663" s="51">
        <v>1.011</v>
      </c>
      <c r="D4663" s="51">
        <v>63.0</v>
      </c>
      <c r="E4663" s="52" t="s">
        <v>25</v>
      </c>
      <c r="F4663" s="52" t="s">
        <v>26</v>
      </c>
      <c r="G4663" s="53"/>
    </row>
    <row r="4664">
      <c r="A4664" s="49">
        <v>44562.16284291667</v>
      </c>
      <c r="B4664" s="50">
        <v>44562.2878208333</v>
      </c>
      <c r="C4664" s="51">
        <v>1.011</v>
      </c>
      <c r="D4664" s="51">
        <v>63.0</v>
      </c>
      <c r="E4664" s="52" t="s">
        <v>25</v>
      </c>
      <c r="F4664" s="52" t="s">
        <v>26</v>
      </c>
      <c r="G4664" s="53"/>
    </row>
    <row r="4665">
      <c r="A4665" s="49">
        <v>44562.1732763426</v>
      </c>
      <c r="B4665" s="50">
        <v>44562.2982527199</v>
      </c>
      <c r="C4665" s="51">
        <v>1.011</v>
      </c>
      <c r="D4665" s="51">
        <v>63.0</v>
      </c>
      <c r="E4665" s="52" t="s">
        <v>25</v>
      </c>
      <c r="F4665" s="52" t="s">
        <v>26</v>
      </c>
      <c r="G4665" s="53"/>
    </row>
    <row r="4666">
      <c r="A4666" s="49">
        <v>44562.1837112037</v>
      </c>
      <c r="B4666" s="50">
        <v>44562.308684155</v>
      </c>
      <c r="C4666" s="51">
        <v>1.011</v>
      </c>
      <c r="D4666" s="51">
        <v>63.0</v>
      </c>
      <c r="E4666" s="52" t="s">
        <v>25</v>
      </c>
      <c r="F4666" s="52" t="s">
        <v>26</v>
      </c>
      <c r="G4666" s="53"/>
    </row>
    <row r="4667">
      <c r="A4667" s="49">
        <v>44562.194140590276</v>
      </c>
      <c r="B4667" s="50">
        <v>44562.319103993</v>
      </c>
      <c r="C4667" s="51">
        <v>1.011</v>
      </c>
      <c r="D4667" s="51">
        <v>63.0</v>
      </c>
      <c r="E4667" s="52" t="s">
        <v>25</v>
      </c>
      <c r="F4667" s="52" t="s">
        <v>26</v>
      </c>
      <c r="G4667" s="53"/>
    </row>
    <row r="4668">
      <c r="A4668" s="49">
        <v>44562.204546099536</v>
      </c>
      <c r="B4668" s="50">
        <v>44562.3295252546</v>
      </c>
      <c r="C4668" s="51">
        <v>1.011</v>
      </c>
      <c r="D4668" s="51">
        <v>63.0</v>
      </c>
      <c r="E4668" s="52" t="s">
        <v>25</v>
      </c>
      <c r="F4668" s="52" t="s">
        <v>26</v>
      </c>
      <c r="G4668" s="53"/>
    </row>
    <row r="4669">
      <c r="A4669" s="49">
        <v>44562.21498355324</v>
      </c>
      <c r="B4669" s="50">
        <v>44562.3399568981</v>
      </c>
      <c r="C4669" s="51">
        <v>1.011</v>
      </c>
      <c r="D4669" s="51">
        <v>63.0</v>
      </c>
      <c r="E4669" s="52" t="s">
        <v>25</v>
      </c>
      <c r="F4669" s="52" t="s">
        <v>26</v>
      </c>
      <c r="G4669" s="53"/>
    </row>
    <row r="4670">
      <c r="A4670" s="49">
        <v>44562.22540618056</v>
      </c>
      <c r="B4670" s="50">
        <v>44562.3503786689</v>
      </c>
      <c r="C4670" s="51">
        <v>1.011</v>
      </c>
      <c r="D4670" s="51">
        <v>63.0</v>
      </c>
      <c r="E4670" s="52" t="s">
        <v>25</v>
      </c>
      <c r="F4670" s="52" t="s">
        <v>26</v>
      </c>
      <c r="G4670" s="53"/>
    </row>
    <row r="4671">
      <c r="A4671" s="49">
        <v>44562.23582271991</v>
      </c>
      <c r="B4671" s="50">
        <v>44562.3607997106</v>
      </c>
      <c r="C4671" s="51">
        <v>1.011</v>
      </c>
      <c r="D4671" s="51">
        <v>63.0</v>
      </c>
      <c r="E4671" s="52" t="s">
        <v>25</v>
      </c>
      <c r="F4671" s="52" t="s">
        <v>26</v>
      </c>
      <c r="G4671" s="53"/>
    </row>
    <row r="4672">
      <c r="A4672" s="49">
        <v>44562.24624679398</v>
      </c>
      <c r="B4672" s="50">
        <v>44562.3712209375</v>
      </c>
      <c r="C4672" s="51">
        <v>1.011</v>
      </c>
      <c r="D4672" s="51">
        <v>63.0</v>
      </c>
      <c r="E4672" s="52" t="s">
        <v>25</v>
      </c>
      <c r="F4672" s="52" t="s">
        <v>26</v>
      </c>
      <c r="G4672" s="53"/>
    </row>
    <row r="4673">
      <c r="A4673" s="49">
        <v>44562.25666134259</v>
      </c>
      <c r="B4673" s="50">
        <v>44562.3816415162</v>
      </c>
      <c r="C4673" s="51">
        <v>1.011</v>
      </c>
      <c r="D4673" s="51">
        <v>63.0</v>
      </c>
      <c r="E4673" s="52" t="s">
        <v>25</v>
      </c>
      <c r="F4673" s="52" t="s">
        <v>26</v>
      </c>
      <c r="G4673" s="53"/>
    </row>
    <row r="4674">
      <c r="A4674" s="49">
        <v>44562.2670902199</v>
      </c>
      <c r="B4674" s="50">
        <v>44562.392063287</v>
      </c>
      <c r="C4674" s="51">
        <v>1.011</v>
      </c>
      <c r="D4674" s="51">
        <v>63.0</v>
      </c>
      <c r="E4674" s="52" t="s">
        <v>25</v>
      </c>
      <c r="F4674" s="52" t="s">
        <v>26</v>
      </c>
      <c r="G4674" s="53"/>
    </row>
    <row r="4675">
      <c r="A4675" s="49">
        <v>44562.27752761574</v>
      </c>
      <c r="B4675" s="50">
        <v>44562.4024958564</v>
      </c>
      <c r="C4675" s="51">
        <v>1.011</v>
      </c>
      <c r="D4675" s="51">
        <v>63.0</v>
      </c>
      <c r="E4675" s="52" t="s">
        <v>25</v>
      </c>
      <c r="F4675" s="52" t="s">
        <v>26</v>
      </c>
      <c r="G4675" s="53"/>
    </row>
    <row r="4676">
      <c r="A4676" s="49">
        <v>44562.28795386574</v>
      </c>
      <c r="B4676" s="50">
        <v>44562.4129287384</v>
      </c>
      <c r="C4676" s="51">
        <v>1.011</v>
      </c>
      <c r="D4676" s="51">
        <v>63.0</v>
      </c>
      <c r="E4676" s="52" t="s">
        <v>25</v>
      </c>
      <c r="F4676" s="52" t="s">
        <v>26</v>
      </c>
      <c r="G4676" s="53"/>
    </row>
    <row r="4677">
      <c r="A4677" s="49">
        <v>44562.29838010417</v>
      </c>
      <c r="B4677" s="50">
        <v>44562.4233502083</v>
      </c>
      <c r="C4677" s="51">
        <v>1.011</v>
      </c>
      <c r="D4677" s="51">
        <v>63.0</v>
      </c>
      <c r="E4677" s="52" t="s">
        <v>25</v>
      </c>
      <c r="F4677" s="52" t="s">
        <v>26</v>
      </c>
      <c r="G4677" s="53"/>
    </row>
    <row r="4678">
      <c r="A4678" s="49">
        <v>44562.308796805555</v>
      </c>
      <c r="B4678" s="50">
        <v>44562.433770868</v>
      </c>
      <c r="C4678" s="51">
        <v>1.011</v>
      </c>
      <c r="D4678" s="51">
        <v>63.0</v>
      </c>
      <c r="E4678" s="52" t="s">
        <v>25</v>
      </c>
      <c r="F4678" s="52" t="s">
        <v>26</v>
      </c>
      <c r="G4678" s="53"/>
    </row>
    <row r="4679">
      <c r="A4679" s="49">
        <v>44562.31921700231</v>
      </c>
      <c r="B4679" s="50">
        <v>44562.4441903935</v>
      </c>
      <c r="C4679" s="51">
        <v>1.011</v>
      </c>
      <c r="D4679" s="51">
        <v>63.0</v>
      </c>
      <c r="E4679" s="52" t="s">
        <v>25</v>
      </c>
      <c r="F4679" s="52" t="s">
        <v>26</v>
      </c>
      <c r="G4679" s="53"/>
    </row>
    <row r="4680">
      <c r="A4680" s="49">
        <v>44562.329650810185</v>
      </c>
      <c r="B4680" s="50">
        <v>44562.4546231481</v>
      </c>
      <c r="C4680" s="51">
        <v>1.011</v>
      </c>
      <c r="D4680" s="51">
        <v>63.0</v>
      </c>
      <c r="E4680" s="52" t="s">
        <v>25</v>
      </c>
      <c r="F4680" s="52" t="s">
        <v>26</v>
      </c>
      <c r="G4680" s="53"/>
    </row>
    <row r="4681">
      <c r="A4681" s="49">
        <v>44562.340084062496</v>
      </c>
      <c r="B4681" s="50">
        <v>44562.4650556597</v>
      </c>
      <c r="C4681" s="51">
        <v>1.011</v>
      </c>
      <c r="D4681" s="51">
        <v>63.0</v>
      </c>
      <c r="E4681" s="52" t="s">
        <v>25</v>
      </c>
      <c r="F4681" s="52" t="s">
        <v>26</v>
      </c>
      <c r="G4681" s="53"/>
    </row>
    <row r="4682">
      <c r="A4682" s="49">
        <v>44562.35050137731</v>
      </c>
      <c r="B4682" s="50">
        <v>44562.4754754976</v>
      </c>
      <c r="C4682" s="51">
        <v>1.011</v>
      </c>
      <c r="D4682" s="51">
        <v>63.0</v>
      </c>
      <c r="E4682" s="52" t="s">
        <v>25</v>
      </c>
      <c r="F4682" s="52" t="s">
        <v>26</v>
      </c>
      <c r="G4682" s="53"/>
    </row>
    <row r="4683">
      <c r="A4683" s="49">
        <v>44562.3609187963</v>
      </c>
      <c r="B4683" s="50">
        <v>44562.4858954513</v>
      </c>
      <c r="C4683" s="51">
        <v>1.011</v>
      </c>
      <c r="D4683" s="51">
        <v>63.0</v>
      </c>
      <c r="E4683" s="52" t="s">
        <v>25</v>
      </c>
      <c r="F4683" s="52" t="s">
        <v>26</v>
      </c>
      <c r="G4683" s="53"/>
    </row>
    <row r="4684">
      <c r="A4684" s="49">
        <v>44562.3713799074</v>
      </c>
      <c r="B4684" s="50">
        <v>44562.4963518287</v>
      </c>
      <c r="C4684" s="51">
        <v>1.011</v>
      </c>
      <c r="D4684" s="51">
        <v>63.0</v>
      </c>
      <c r="E4684" s="52" t="s">
        <v>25</v>
      </c>
      <c r="F4684" s="52" t="s">
        <v>26</v>
      </c>
      <c r="G4684" s="53"/>
    </row>
    <row r="4685">
      <c r="A4685" s="49">
        <v>44562.381807488426</v>
      </c>
      <c r="B4685" s="50">
        <v>44562.5067846874</v>
      </c>
      <c r="C4685" s="51">
        <v>1.011</v>
      </c>
      <c r="D4685" s="51">
        <v>63.0</v>
      </c>
      <c r="E4685" s="52" t="s">
        <v>25</v>
      </c>
      <c r="F4685" s="52" t="s">
        <v>26</v>
      </c>
      <c r="G4685" s="53"/>
    </row>
    <row r="4686">
      <c r="A4686" s="49">
        <v>44562.39222555555</v>
      </c>
      <c r="B4686" s="50">
        <v>44562.5172061111</v>
      </c>
      <c r="C4686" s="51">
        <v>1.011</v>
      </c>
      <c r="D4686" s="51">
        <v>63.0</v>
      </c>
      <c r="E4686" s="52" t="s">
        <v>25</v>
      </c>
      <c r="F4686" s="52" t="s">
        <v>26</v>
      </c>
      <c r="G4686" s="53"/>
    </row>
    <row r="4687">
      <c r="A4687" s="49">
        <v>44562.40264328704</v>
      </c>
      <c r="B4687" s="50">
        <v>44562.527625949</v>
      </c>
      <c r="C4687" s="51">
        <v>1.011</v>
      </c>
      <c r="D4687" s="51">
        <v>63.0</v>
      </c>
      <c r="E4687" s="52" t="s">
        <v>25</v>
      </c>
      <c r="F4687" s="52" t="s">
        <v>26</v>
      </c>
      <c r="G4687" s="53"/>
    </row>
    <row r="4688">
      <c r="A4688" s="49">
        <v>44562.41308549768</v>
      </c>
      <c r="B4688" s="50">
        <v>44562.5380587847</v>
      </c>
      <c r="C4688" s="51">
        <v>1.011</v>
      </c>
      <c r="D4688" s="51">
        <v>63.0</v>
      </c>
      <c r="E4688" s="52" t="s">
        <v>25</v>
      </c>
      <c r="F4688" s="52" t="s">
        <v>26</v>
      </c>
      <c r="G4688" s="53"/>
    </row>
    <row r="4689">
      <c r="A4689" s="49">
        <v>44562.42350984954</v>
      </c>
      <c r="B4689" s="50">
        <v>44562.5484820601</v>
      </c>
      <c r="C4689" s="51">
        <v>1.011</v>
      </c>
      <c r="D4689" s="51">
        <v>63.0</v>
      </c>
      <c r="E4689" s="52" t="s">
        <v>25</v>
      </c>
      <c r="F4689" s="52" t="s">
        <v>26</v>
      </c>
      <c r="G4689" s="53"/>
    </row>
    <row r="4690">
      <c r="A4690" s="49">
        <v>44562.43392701389</v>
      </c>
      <c r="B4690" s="50">
        <v>44562.5589014004</v>
      </c>
      <c r="C4690" s="51">
        <v>1.011</v>
      </c>
      <c r="D4690" s="51">
        <v>63.0</v>
      </c>
      <c r="E4690" s="52" t="s">
        <v>25</v>
      </c>
      <c r="F4690" s="52" t="s">
        <v>26</v>
      </c>
      <c r="G4690" s="53"/>
    </row>
    <row r="4691">
      <c r="A4691" s="49">
        <v>44562.444358657405</v>
      </c>
      <c r="B4691" s="50">
        <v>44562.5693333101</v>
      </c>
      <c r="C4691" s="51">
        <v>1.011</v>
      </c>
      <c r="D4691" s="51">
        <v>63.0</v>
      </c>
      <c r="E4691" s="52" t="s">
        <v>25</v>
      </c>
      <c r="F4691" s="52" t="s">
        <v>26</v>
      </c>
      <c r="G4691" s="53"/>
    </row>
    <row r="4692">
      <c r="A4692" s="49">
        <v>44562.45477082176</v>
      </c>
      <c r="B4692" s="50">
        <v>44562.5797541782</v>
      </c>
      <c r="C4692" s="51">
        <v>1.011</v>
      </c>
      <c r="D4692" s="51">
        <v>63.0</v>
      </c>
      <c r="E4692" s="52" t="s">
        <v>25</v>
      </c>
      <c r="F4692" s="52" t="s">
        <v>26</v>
      </c>
      <c r="G4692" s="53"/>
    </row>
    <row r="4693">
      <c r="A4693" s="49">
        <v>44562.46520197917</v>
      </c>
      <c r="B4693" s="50">
        <v>44562.5901759722</v>
      </c>
      <c r="C4693" s="51">
        <v>1.011</v>
      </c>
      <c r="D4693" s="51">
        <v>63.0</v>
      </c>
      <c r="E4693" s="52" t="s">
        <v>25</v>
      </c>
      <c r="F4693" s="52" t="s">
        <v>26</v>
      </c>
      <c r="G4693" s="53"/>
    </row>
    <row r="4694">
      <c r="A4694" s="49">
        <v>44562.47561876157</v>
      </c>
      <c r="B4694" s="50">
        <v>44562.600598206</v>
      </c>
      <c r="C4694" s="51">
        <v>1.012</v>
      </c>
      <c r="D4694" s="51">
        <v>63.0</v>
      </c>
      <c r="E4694" s="52" t="s">
        <v>25</v>
      </c>
      <c r="F4694" s="52" t="s">
        <v>26</v>
      </c>
      <c r="G4694" s="53"/>
    </row>
    <row r="4695">
      <c r="A4695" s="49">
        <v>44562.48604646991</v>
      </c>
      <c r="B4695" s="50">
        <v>44562.6110172916</v>
      </c>
      <c r="C4695" s="51">
        <v>1.011</v>
      </c>
      <c r="D4695" s="51">
        <v>63.0</v>
      </c>
      <c r="E4695" s="52" t="s">
        <v>25</v>
      </c>
      <c r="F4695" s="52" t="s">
        <v>26</v>
      </c>
      <c r="G4695" s="53"/>
    </row>
    <row r="4696">
      <c r="A4696" s="49">
        <v>44562.496465335644</v>
      </c>
      <c r="B4696" s="50">
        <v>44562.6214376504</v>
      </c>
      <c r="C4696" s="51">
        <v>1.011</v>
      </c>
      <c r="D4696" s="51">
        <v>63.0</v>
      </c>
      <c r="E4696" s="52" t="s">
        <v>25</v>
      </c>
      <c r="F4696" s="52" t="s">
        <v>26</v>
      </c>
      <c r="G4696" s="53"/>
    </row>
    <row r="4697">
      <c r="A4697" s="49">
        <v>44562.50689188657</v>
      </c>
      <c r="B4697" s="50">
        <v>44562.6318590277</v>
      </c>
      <c r="C4697" s="51">
        <v>1.011</v>
      </c>
      <c r="D4697" s="51">
        <v>63.0</v>
      </c>
      <c r="E4697" s="52" t="s">
        <v>25</v>
      </c>
      <c r="F4697" s="52" t="s">
        <v>26</v>
      </c>
      <c r="G4697" s="53"/>
    </row>
    <row r="4698">
      <c r="A4698" s="49">
        <v>44562.51732555556</v>
      </c>
      <c r="B4698" s="50">
        <v>44562.6423033912</v>
      </c>
      <c r="C4698" s="51">
        <v>1.011</v>
      </c>
      <c r="D4698" s="51">
        <v>63.0</v>
      </c>
      <c r="E4698" s="52" t="s">
        <v>25</v>
      </c>
      <c r="F4698" s="52" t="s">
        <v>26</v>
      </c>
      <c r="G4698" s="53"/>
    </row>
    <row r="4699">
      <c r="A4699" s="49">
        <v>44562.52774766204</v>
      </c>
      <c r="B4699" s="50">
        <v>44562.6527250694</v>
      </c>
      <c r="C4699" s="51">
        <v>1.012</v>
      </c>
      <c r="D4699" s="51">
        <v>63.0</v>
      </c>
      <c r="E4699" s="52" t="s">
        <v>25</v>
      </c>
      <c r="F4699" s="52" t="s">
        <v>26</v>
      </c>
      <c r="G4699" s="53"/>
    </row>
    <row r="4700">
      <c r="A4700" s="49">
        <v>44562.53818311343</v>
      </c>
      <c r="B4700" s="50">
        <v>44562.6631580787</v>
      </c>
      <c r="C4700" s="51">
        <v>1.011</v>
      </c>
      <c r="D4700" s="51">
        <v>63.0</v>
      </c>
      <c r="E4700" s="52" t="s">
        <v>25</v>
      </c>
      <c r="F4700" s="52" t="s">
        <v>26</v>
      </c>
      <c r="G4700" s="53"/>
    </row>
    <row r="4701">
      <c r="A4701" s="49">
        <v>44562.54859815972</v>
      </c>
      <c r="B4701" s="50">
        <v>44562.6735794328</v>
      </c>
      <c r="C4701" s="51">
        <v>1.011</v>
      </c>
      <c r="D4701" s="51">
        <v>63.0</v>
      </c>
      <c r="E4701" s="52" t="s">
        <v>25</v>
      </c>
      <c r="F4701" s="52" t="s">
        <v>26</v>
      </c>
      <c r="G4701" s="53"/>
    </row>
    <row r="4702">
      <c r="A4702" s="49">
        <v>44562.55904314815</v>
      </c>
      <c r="B4702" s="50">
        <v>44562.684010787</v>
      </c>
      <c r="C4702" s="51">
        <v>1.011</v>
      </c>
      <c r="D4702" s="51">
        <v>63.0</v>
      </c>
      <c r="E4702" s="52" t="s">
        <v>25</v>
      </c>
      <c r="F4702" s="52" t="s">
        <v>26</v>
      </c>
      <c r="G4702" s="53"/>
    </row>
    <row r="4703">
      <c r="A4703" s="49">
        <v>44562.569470937495</v>
      </c>
      <c r="B4703" s="50">
        <v>44562.6944426851</v>
      </c>
      <c r="C4703" s="51">
        <v>1.011</v>
      </c>
      <c r="D4703" s="51">
        <v>63.0</v>
      </c>
      <c r="E4703" s="52" t="s">
        <v>25</v>
      </c>
      <c r="F4703" s="52" t="s">
        <v>26</v>
      </c>
      <c r="G4703" s="53"/>
    </row>
    <row r="4704">
      <c r="A4704" s="49">
        <v>44562.579887569445</v>
      </c>
      <c r="B4704" s="50">
        <v>44562.7048633333</v>
      </c>
      <c r="C4704" s="51">
        <v>1.011</v>
      </c>
      <c r="D4704" s="51">
        <v>63.0</v>
      </c>
      <c r="E4704" s="52" t="s">
        <v>25</v>
      </c>
      <c r="F4704" s="52" t="s">
        <v>26</v>
      </c>
      <c r="G4704" s="53"/>
    </row>
    <row r="4705">
      <c r="A4705" s="49">
        <v>44562.590310405096</v>
      </c>
      <c r="B4705" s="50">
        <v>44562.7152849768</v>
      </c>
      <c r="C4705" s="51">
        <v>1.011</v>
      </c>
      <c r="D4705" s="51">
        <v>63.0</v>
      </c>
      <c r="E4705" s="52" t="s">
        <v>25</v>
      </c>
      <c r="F4705" s="52" t="s">
        <v>26</v>
      </c>
      <c r="G4705" s="53"/>
    </row>
    <row r="4706">
      <c r="A4706" s="49">
        <v>44562.60074591435</v>
      </c>
      <c r="B4706" s="50">
        <v>44562.725718206</v>
      </c>
      <c r="C4706" s="51">
        <v>1.011</v>
      </c>
      <c r="D4706" s="51">
        <v>63.0</v>
      </c>
      <c r="E4706" s="52" t="s">
        <v>25</v>
      </c>
      <c r="F4706" s="52" t="s">
        <v>26</v>
      </c>
      <c r="G4706" s="53"/>
    </row>
    <row r="4707">
      <c r="A4707" s="49">
        <v>44562.611162615736</v>
      </c>
      <c r="B4707" s="50">
        <v>44562.7361393981</v>
      </c>
      <c r="C4707" s="51">
        <v>1.011</v>
      </c>
      <c r="D4707" s="51">
        <v>63.0</v>
      </c>
      <c r="E4707" s="52" t="s">
        <v>25</v>
      </c>
      <c r="F4707" s="52" t="s">
        <v>26</v>
      </c>
      <c r="G4707" s="53"/>
    </row>
    <row r="4708">
      <c r="A4708" s="49">
        <v>44562.62158494213</v>
      </c>
      <c r="B4708" s="50">
        <v>44562.7465627083</v>
      </c>
      <c r="C4708" s="51">
        <v>1.011</v>
      </c>
      <c r="D4708" s="51">
        <v>63.0</v>
      </c>
      <c r="E4708" s="52" t="s">
        <v>25</v>
      </c>
      <c r="F4708" s="52" t="s">
        <v>26</v>
      </c>
      <c r="G4708" s="53"/>
    </row>
    <row r="4709">
      <c r="A4709" s="49">
        <v>44562.63200096065</v>
      </c>
      <c r="B4709" s="50">
        <v>44562.7569830324</v>
      </c>
      <c r="C4709" s="51">
        <v>1.011</v>
      </c>
      <c r="D4709" s="51">
        <v>63.0</v>
      </c>
      <c r="E4709" s="52" t="s">
        <v>25</v>
      </c>
      <c r="F4709" s="52" t="s">
        <v>26</v>
      </c>
      <c r="G4709" s="53"/>
    </row>
    <row r="4710">
      <c r="A4710" s="49">
        <v>44562.642427569444</v>
      </c>
      <c r="B4710" s="50">
        <v>44562.767403912</v>
      </c>
      <c r="C4710" s="51">
        <v>1.011</v>
      </c>
      <c r="D4710" s="51">
        <v>63.0</v>
      </c>
      <c r="E4710" s="52" t="s">
        <v>25</v>
      </c>
      <c r="F4710" s="52" t="s">
        <v>26</v>
      </c>
      <c r="G4710" s="53"/>
    </row>
    <row r="4711">
      <c r="A4711" s="49">
        <v>44562.65284388889</v>
      </c>
      <c r="B4711" s="50">
        <v>44562.7778238194</v>
      </c>
      <c r="C4711" s="51">
        <v>1.011</v>
      </c>
      <c r="D4711" s="51">
        <v>63.0</v>
      </c>
      <c r="E4711" s="52" t="s">
        <v>25</v>
      </c>
      <c r="F4711" s="52" t="s">
        <v>26</v>
      </c>
      <c r="G4711" s="53"/>
    </row>
    <row r="4712">
      <c r="A4712" s="49">
        <v>44562.66330266204</v>
      </c>
      <c r="B4712" s="50">
        <v>44562.7882802893</v>
      </c>
      <c r="C4712" s="51">
        <v>1.011</v>
      </c>
      <c r="D4712" s="51">
        <v>63.0</v>
      </c>
      <c r="E4712" s="52" t="s">
        <v>25</v>
      </c>
      <c r="F4712" s="52" t="s">
        <v>26</v>
      </c>
      <c r="G4712" s="53"/>
    </row>
    <row r="4713">
      <c r="A4713" s="49">
        <v>44562.67372215277</v>
      </c>
      <c r="B4713" s="50">
        <v>44562.7987011574</v>
      </c>
      <c r="C4713" s="51">
        <v>1.011</v>
      </c>
      <c r="D4713" s="51">
        <v>63.0</v>
      </c>
      <c r="E4713" s="52" t="s">
        <v>25</v>
      </c>
      <c r="F4713" s="52" t="s">
        <v>26</v>
      </c>
      <c r="G4713" s="53"/>
    </row>
    <row r="4714">
      <c r="A4714" s="49">
        <v>44562.68414369213</v>
      </c>
      <c r="B4714" s="50">
        <v>44562.8091218171</v>
      </c>
      <c r="C4714" s="51">
        <v>1.011</v>
      </c>
      <c r="D4714" s="51">
        <v>63.0</v>
      </c>
      <c r="E4714" s="52" t="s">
        <v>25</v>
      </c>
      <c r="F4714" s="52" t="s">
        <v>26</v>
      </c>
      <c r="G4714" s="53"/>
    </row>
    <row r="4715">
      <c r="A4715" s="49">
        <v>44562.69456451389</v>
      </c>
      <c r="B4715" s="50">
        <v>44562.8195422916</v>
      </c>
      <c r="C4715" s="51">
        <v>1.011</v>
      </c>
      <c r="D4715" s="51">
        <v>63.0</v>
      </c>
      <c r="E4715" s="52" t="s">
        <v>25</v>
      </c>
      <c r="F4715" s="52" t="s">
        <v>26</v>
      </c>
      <c r="G4715" s="53"/>
    </row>
    <row r="4716">
      <c r="A4716" s="49">
        <v>44562.70499525463</v>
      </c>
      <c r="B4716" s="50">
        <v>44562.8299635879</v>
      </c>
      <c r="C4716" s="51">
        <v>1.011</v>
      </c>
      <c r="D4716" s="51">
        <v>63.0</v>
      </c>
      <c r="E4716" s="52" t="s">
        <v>25</v>
      </c>
      <c r="F4716" s="52" t="s">
        <v>26</v>
      </c>
      <c r="G4716" s="53"/>
    </row>
    <row r="4717">
      <c r="A4717" s="49">
        <v>44562.71541435186</v>
      </c>
      <c r="B4717" s="50">
        <v>44562.8403846874</v>
      </c>
      <c r="C4717" s="51">
        <v>1.011</v>
      </c>
      <c r="D4717" s="51">
        <v>63.0</v>
      </c>
      <c r="E4717" s="52" t="s">
        <v>25</v>
      </c>
      <c r="F4717" s="52" t="s">
        <v>26</v>
      </c>
      <c r="G4717" s="53"/>
    </row>
    <row r="4718">
      <c r="A4718" s="49">
        <v>44562.72584320602</v>
      </c>
      <c r="B4718" s="50">
        <v>44562.8508168634</v>
      </c>
      <c r="C4718" s="51">
        <v>1.011</v>
      </c>
      <c r="D4718" s="51">
        <v>63.0</v>
      </c>
      <c r="E4718" s="52" t="s">
        <v>25</v>
      </c>
      <c r="F4718" s="52" t="s">
        <v>26</v>
      </c>
      <c r="G4718" s="53"/>
    </row>
    <row r="4719">
      <c r="A4719" s="49">
        <v>44562.73626197917</v>
      </c>
      <c r="B4719" s="50">
        <v>44562.861238287</v>
      </c>
      <c r="C4719" s="51">
        <v>1.011</v>
      </c>
      <c r="D4719" s="51">
        <v>63.0</v>
      </c>
      <c r="E4719" s="52" t="s">
        <v>25</v>
      </c>
      <c r="F4719" s="52" t="s">
        <v>26</v>
      </c>
      <c r="G4719" s="53"/>
    </row>
    <row r="4720">
      <c r="A4720" s="49">
        <v>44562.7466865625</v>
      </c>
      <c r="B4720" s="50">
        <v>44562.8716599305</v>
      </c>
      <c r="C4720" s="51">
        <v>1.011</v>
      </c>
      <c r="D4720" s="51">
        <v>63.0</v>
      </c>
      <c r="E4720" s="52" t="s">
        <v>25</v>
      </c>
      <c r="F4720" s="52" t="s">
        <v>26</v>
      </c>
      <c r="G4720" s="53"/>
    </row>
    <row r="4721">
      <c r="A4721" s="49">
        <v>44562.7571593287</v>
      </c>
      <c r="B4721" s="50">
        <v>44562.8821058333</v>
      </c>
      <c r="C4721" s="51">
        <v>1.011</v>
      </c>
      <c r="D4721" s="51">
        <v>63.0</v>
      </c>
      <c r="E4721" s="52" t="s">
        <v>25</v>
      </c>
      <c r="F4721" s="52" t="s">
        <v>26</v>
      </c>
      <c r="G4721" s="53"/>
    </row>
    <row r="4722">
      <c r="A4722" s="49">
        <v>44562.76757203703</v>
      </c>
      <c r="B4722" s="50">
        <v>44562.8925492939</v>
      </c>
      <c r="C4722" s="51">
        <v>1.011</v>
      </c>
      <c r="D4722" s="51">
        <v>63.0</v>
      </c>
      <c r="E4722" s="52" t="s">
        <v>25</v>
      </c>
      <c r="F4722" s="52" t="s">
        <v>26</v>
      </c>
      <c r="G4722" s="53"/>
    </row>
    <row r="4723">
      <c r="A4723" s="49">
        <v>44562.777993888885</v>
      </c>
      <c r="B4723" s="50">
        <v>44562.9029692129</v>
      </c>
      <c r="C4723" s="51">
        <v>1.011</v>
      </c>
      <c r="D4723" s="51">
        <v>63.0</v>
      </c>
      <c r="E4723" s="52" t="s">
        <v>25</v>
      </c>
      <c r="F4723" s="52" t="s">
        <v>26</v>
      </c>
      <c r="G4723" s="53"/>
    </row>
    <row r="4724">
      <c r="A4724" s="49">
        <v>44562.78841891204</v>
      </c>
      <c r="B4724" s="50">
        <v>44562.9134028472</v>
      </c>
      <c r="C4724" s="51">
        <v>1.011</v>
      </c>
      <c r="D4724" s="51">
        <v>63.0</v>
      </c>
      <c r="E4724" s="52" t="s">
        <v>25</v>
      </c>
      <c r="F4724" s="52" t="s">
        <v>26</v>
      </c>
      <c r="G4724" s="53"/>
    </row>
    <row r="4725">
      <c r="A4725" s="49">
        <v>44562.79884751157</v>
      </c>
      <c r="B4725" s="50">
        <v>44562.9238244675</v>
      </c>
      <c r="C4725" s="51">
        <v>1.011</v>
      </c>
      <c r="D4725" s="51">
        <v>63.0</v>
      </c>
      <c r="E4725" s="52" t="s">
        <v>25</v>
      </c>
      <c r="F4725" s="52" t="s">
        <v>26</v>
      </c>
      <c r="G4725" s="53"/>
    </row>
    <row r="4726">
      <c r="A4726" s="49">
        <v>44562.809288819444</v>
      </c>
      <c r="B4726" s="50">
        <v>44562.9342700694</v>
      </c>
      <c r="C4726" s="51">
        <v>1.011</v>
      </c>
      <c r="D4726" s="51">
        <v>63.0</v>
      </c>
      <c r="E4726" s="52" t="s">
        <v>25</v>
      </c>
      <c r="F4726" s="52" t="s">
        <v>26</v>
      </c>
      <c r="G4726" s="53"/>
    </row>
    <row r="4727">
      <c r="A4727" s="49">
        <v>44562.819738969905</v>
      </c>
      <c r="B4727" s="50">
        <v>44562.9447148032</v>
      </c>
      <c r="C4727" s="51">
        <v>1.011</v>
      </c>
      <c r="D4727" s="51">
        <v>63.0</v>
      </c>
      <c r="E4727" s="52" t="s">
        <v>25</v>
      </c>
      <c r="F4727" s="52" t="s">
        <v>26</v>
      </c>
      <c r="G4727" s="53"/>
    </row>
    <row r="4728">
      <c r="A4728" s="49">
        <v>44562.830177592594</v>
      </c>
      <c r="B4728" s="50">
        <v>44562.9551461342</v>
      </c>
      <c r="C4728" s="51">
        <v>1.011</v>
      </c>
      <c r="D4728" s="51">
        <v>63.0</v>
      </c>
      <c r="E4728" s="52" t="s">
        <v>25</v>
      </c>
      <c r="F4728" s="52" t="s">
        <v>26</v>
      </c>
      <c r="G4728" s="53"/>
    </row>
    <row r="4729">
      <c r="A4729" s="49">
        <v>44562.840586192135</v>
      </c>
      <c r="B4729" s="50">
        <v>44562.9655680671</v>
      </c>
      <c r="C4729" s="51">
        <v>1.011</v>
      </c>
      <c r="D4729" s="51">
        <v>63.0</v>
      </c>
      <c r="E4729" s="52" t="s">
        <v>25</v>
      </c>
      <c r="F4729" s="52" t="s">
        <v>26</v>
      </c>
      <c r="G4729" s="53"/>
    </row>
    <row r="4730">
      <c r="A4730" s="49">
        <v>44562.85102670139</v>
      </c>
      <c r="B4730" s="50">
        <v>44562.9760013657</v>
      </c>
      <c r="C4730" s="51">
        <v>1.011</v>
      </c>
      <c r="D4730" s="51">
        <v>63.0</v>
      </c>
      <c r="E4730" s="52" t="s">
        <v>25</v>
      </c>
      <c r="F4730" s="52" t="s">
        <v>26</v>
      </c>
      <c r="G4730" s="53"/>
    </row>
    <row r="4731">
      <c r="A4731" s="49">
        <v>44562.86149009259</v>
      </c>
      <c r="B4731" s="50">
        <v>44562.9864665046</v>
      </c>
      <c r="C4731" s="51">
        <v>1.011</v>
      </c>
      <c r="D4731" s="51">
        <v>63.0</v>
      </c>
      <c r="E4731" s="52" t="s">
        <v>25</v>
      </c>
      <c r="F4731" s="52" t="s">
        <v>26</v>
      </c>
      <c r="G4731" s="53"/>
    </row>
    <row r="4732">
      <c r="A4732" s="49">
        <v>44562.871919826386</v>
      </c>
      <c r="B4732" s="50">
        <v>44562.9968884606</v>
      </c>
      <c r="C4732" s="51">
        <v>1.011</v>
      </c>
      <c r="D4732" s="51">
        <v>63.0</v>
      </c>
      <c r="E4732" s="52" t="s">
        <v>25</v>
      </c>
      <c r="F4732" s="52" t="s">
        <v>26</v>
      </c>
      <c r="G4732" s="53"/>
    </row>
    <row r="4733">
      <c r="A4733" s="49">
        <v>44562.88235621528</v>
      </c>
      <c r="B4733" s="50">
        <v>44563.0073325115</v>
      </c>
      <c r="C4733" s="51">
        <v>1.011</v>
      </c>
      <c r="D4733" s="51">
        <v>63.0</v>
      </c>
      <c r="E4733" s="52" t="s">
        <v>25</v>
      </c>
      <c r="F4733" s="52" t="s">
        <v>26</v>
      </c>
      <c r="G4733" s="53"/>
    </row>
    <row r="4734">
      <c r="A4734" s="49">
        <v>44562.89276990741</v>
      </c>
      <c r="B4734" s="50">
        <v>44563.0177517361</v>
      </c>
      <c r="C4734" s="51">
        <v>1.011</v>
      </c>
      <c r="D4734" s="51">
        <v>63.0</v>
      </c>
      <c r="E4734" s="52" t="s">
        <v>25</v>
      </c>
      <c r="F4734" s="52" t="s">
        <v>26</v>
      </c>
      <c r="G4734" s="53"/>
    </row>
    <row r="4735">
      <c r="A4735" s="49">
        <v>44562.90320390047</v>
      </c>
      <c r="B4735" s="50">
        <v>44563.0281745023</v>
      </c>
      <c r="C4735" s="51">
        <v>1.011</v>
      </c>
      <c r="D4735" s="51">
        <v>63.0</v>
      </c>
      <c r="E4735" s="52" t="s">
        <v>25</v>
      </c>
      <c r="F4735" s="52" t="s">
        <v>26</v>
      </c>
      <c r="G4735" s="53"/>
    </row>
    <row r="4736">
      <c r="A4736" s="49">
        <v>44562.91368247685</v>
      </c>
      <c r="B4736" s="50">
        <v>44563.0386542245</v>
      </c>
      <c r="C4736" s="51">
        <v>1.011</v>
      </c>
      <c r="D4736" s="51">
        <v>63.0</v>
      </c>
      <c r="E4736" s="52" t="s">
        <v>25</v>
      </c>
      <c r="F4736" s="52" t="s">
        <v>26</v>
      </c>
      <c r="G4736" s="53"/>
    </row>
    <row r="4737">
      <c r="A4737" s="49">
        <v>44562.9241229051</v>
      </c>
      <c r="B4737" s="50">
        <v>44563.0490973842</v>
      </c>
      <c r="C4737" s="51">
        <v>1.011</v>
      </c>
      <c r="D4737" s="51">
        <v>63.0</v>
      </c>
      <c r="E4737" s="52" t="s">
        <v>25</v>
      </c>
      <c r="F4737" s="52" t="s">
        <v>26</v>
      </c>
      <c r="G4737" s="53"/>
    </row>
    <row r="4738">
      <c r="A4738" s="49">
        <v>44562.93455363426</v>
      </c>
      <c r="B4738" s="50">
        <v>44563.0595312731</v>
      </c>
      <c r="C4738" s="51">
        <v>1.011</v>
      </c>
      <c r="D4738" s="51">
        <v>63.0</v>
      </c>
      <c r="E4738" s="52" t="s">
        <v>25</v>
      </c>
      <c r="F4738" s="52" t="s">
        <v>26</v>
      </c>
      <c r="G4738" s="53"/>
    </row>
    <row r="4739">
      <c r="A4739" s="49">
        <v>44562.94498508102</v>
      </c>
      <c r="B4739" s="50">
        <v>44563.0699537731</v>
      </c>
      <c r="C4739" s="51">
        <v>1.011</v>
      </c>
      <c r="D4739" s="51">
        <v>63.0</v>
      </c>
      <c r="E4739" s="52" t="s">
        <v>25</v>
      </c>
      <c r="F4739" s="52" t="s">
        <v>26</v>
      </c>
      <c r="G4739" s="53"/>
    </row>
    <row r="4740">
      <c r="A4740" s="49">
        <v>44562.95540170139</v>
      </c>
      <c r="B4740" s="50">
        <v>44563.0803752199</v>
      </c>
      <c r="C4740" s="51">
        <v>1.011</v>
      </c>
      <c r="D4740" s="51">
        <v>63.0</v>
      </c>
      <c r="E4740" s="52" t="s">
        <v>25</v>
      </c>
      <c r="F4740" s="52" t="s">
        <v>26</v>
      </c>
      <c r="G4740" s="53"/>
    </row>
    <row r="4741">
      <c r="A4741" s="49">
        <v>44562.97626459491</v>
      </c>
      <c r="B4741" s="50">
        <v>44563.101229456</v>
      </c>
      <c r="C4741" s="51">
        <v>1.011</v>
      </c>
      <c r="D4741" s="51">
        <v>63.0</v>
      </c>
      <c r="E4741" s="52" t="s">
        <v>25</v>
      </c>
      <c r="F4741" s="52" t="s">
        <v>26</v>
      </c>
      <c r="G4741" s="53"/>
    </row>
    <row r="4742">
      <c r="A4742" s="49">
        <v>44562.986707233795</v>
      </c>
      <c r="B4742" s="50">
        <v>44563.1116856481</v>
      </c>
      <c r="C4742" s="51">
        <v>1.011</v>
      </c>
      <c r="D4742" s="51">
        <v>63.0</v>
      </c>
      <c r="E4742" s="52" t="s">
        <v>25</v>
      </c>
      <c r="F4742" s="52" t="s">
        <v>26</v>
      </c>
      <c r="G4742" s="53"/>
    </row>
    <row r="4743">
      <c r="A4743" s="49">
        <v>44562.99713346065</v>
      </c>
      <c r="B4743" s="50">
        <v>44563.1221064351</v>
      </c>
      <c r="C4743" s="51">
        <v>1.011</v>
      </c>
      <c r="D4743" s="51">
        <v>63.0</v>
      </c>
      <c r="E4743" s="52" t="s">
        <v>25</v>
      </c>
      <c r="F4743" s="52" t="s">
        <v>26</v>
      </c>
      <c r="G4743" s="53"/>
    </row>
    <row r="4744">
      <c r="A4744" s="49">
        <v>44563.007563113424</v>
      </c>
      <c r="B4744" s="50">
        <v>44563.132527037</v>
      </c>
      <c r="C4744" s="51">
        <v>1.011</v>
      </c>
      <c r="D4744" s="51">
        <v>63.0</v>
      </c>
      <c r="E4744" s="52" t="s">
        <v>25</v>
      </c>
      <c r="F4744" s="52" t="s">
        <v>26</v>
      </c>
      <c r="G4744" s="53"/>
    </row>
    <row r="4745">
      <c r="A4745" s="49">
        <v>44563.017975173614</v>
      </c>
      <c r="B4745" s="50">
        <v>44563.1429479976</v>
      </c>
      <c r="C4745" s="51">
        <v>1.011</v>
      </c>
      <c r="D4745" s="51">
        <v>63.0</v>
      </c>
      <c r="E4745" s="52" t="s">
        <v>25</v>
      </c>
      <c r="F4745" s="52" t="s">
        <v>26</v>
      </c>
      <c r="G4745" s="53"/>
    </row>
    <row r="4746">
      <c r="A4746" s="49">
        <v>44563.02839976852</v>
      </c>
      <c r="B4746" s="50">
        <v>44563.153367743</v>
      </c>
      <c r="C4746" s="51">
        <v>1.011</v>
      </c>
      <c r="D4746" s="51">
        <v>63.0</v>
      </c>
      <c r="E4746" s="52" t="s">
        <v>25</v>
      </c>
      <c r="F4746" s="52" t="s">
        <v>26</v>
      </c>
      <c r="G4746" s="53"/>
    </row>
    <row r="4747">
      <c r="A4747" s="49">
        <v>44563.03882418982</v>
      </c>
      <c r="B4747" s="50">
        <v>44563.1637988541</v>
      </c>
      <c r="C4747" s="51">
        <v>1.011</v>
      </c>
      <c r="D4747" s="51">
        <v>63.0</v>
      </c>
      <c r="E4747" s="52" t="s">
        <v>25</v>
      </c>
      <c r="F4747" s="52" t="s">
        <v>26</v>
      </c>
      <c r="G4747" s="53"/>
    </row>
    <row r="4748">
      <c r="A4748" s="49">
        <v>44563.049257754625</v>
      </c>
      <c r="B4748" s="50">
        <v>44563.1742331944</v>
      </c>
      <c r="C4748" s="51">
        <v>1.011</v>
      </c>
      <c r="D4748" s="51">
        <v>63.0</v>
      </c>
      <c r="E4748" s="52" t="s">
        <v>25</v>
      </c>
      <c r="F4748" s="52" t="s">
        <v>26</v>
      </c>
      <c r="G4748" s="53"/>
    </row>
    <row r="4749">
      <c r="A4749" s="49">
        <v>44563.05970703704</v>
      </c>
      <c r="B4749" s="50">
        <v>44563.1846766319</v>
      </c>
      <c r="C4749" s="51">
        <v>1.011</v>
      </c>
      <c r="D4749" s="51">
        <v>63.0</v>
      </c>
      <c r="E4749" s="52" t="s">
        <v>25</v>
      </c>
      <c r="F4749" s="52" t="s">
        <v>26</v>
      </c>
      <c r="G4749" s="53"/>
    </row>
    <row r="4750">
      <c r="A4750" s="49">
        <v>44563.070130196764</v>
      </c>
      <c r="B4750" s="50">
        <v>44563.1950980787</v>
      </c>
      <c r="C4750" s="51">
        <v>1.011</v>
      </c>
      <c r="D4750" s="51">
        <v>63.0</v>
      </c>
      <c r="E4750" s="52" t="s">
        <v>25</v>
      </c>
      <c r="F4750" s="52" t="s">
        <v>26</v>
      </c>
      <c r="G4750" s="53"/>
    </row>
    <row r="4751">
      <c r="A4751" s="49">
        <v>44563.08056353009</v>
      </c>
      <c r="B4751" s="50">
        <v>44563.2055319212</v>
      </c>
      <c r="C4751" s="51">
        <v>1.011</v>
      </c>
      <c r="D4751" s="51">
        <v>63.0</v>
      </c>
      <c r="E4751" s="52" t="s">
        <v>25</v>
      </c>
      <c r="F4751" s="52" t="s">
        <v>26</v>
      </c>
      <c r="G4751" s="53"/>
    </row>
    <row r="4752">
      <c r="A4752" s="49">
        <v>44563.09098386574</v>
      </c>
      <c r="B4752" s="50">
        <v>44563.2159523611</v>
      </c>
      <c r="C4752" s="51">
        <v>1.011</v>
      </c>
      <c r="D4752" s="51">
        <v>63.0</v>
      </c>
      <c r="E4752" s="52" t="s">
        <v>25</v>
      </c>
      <c r="F4752" s="52" t="s">
        <v>26</v>
      </c>
      <c r="G4752" s="53"/>
    </row>
    <row r="4753">
      <c r="A4753" s="49">
        <v>44563.1014087963</v>
      </c>
      <c r="B4753" s="50">
        <v>44563.2263745949</v>
      </c>
      <c r="C4753" s="51">
        <v>1.011</v>
      </c>
      <c r="D4753" s="51">
        <v>63.0</v>
      </c>
      <c r="E4753" s="52" t="s">
        <v>25</v>
      </c>
      <c r="F4753" s="52" t="s">
        <v>26</v>
      </c>
      <c r="G4753" s="53"/>
    </row>
    <row r="4754">
      <c r="A4754" s="49">
        <v>44563.12224802084</v>
      </c>
      <c r="B4754" s="50">
        <v>44563.2472161458</v>
      </c>
      <c r="C4754" s="51">
        <v>1.011</v>
      </c>
      <c r="D4754" s="51">
        <v>63.0</v>
      </c>
      <c r="E4754" s="52" t="s">
        <v>25</v>
      </c>
      <c r="F4754" s="52" t="s">
        <v>26</v>
      </c>
      <c r="G4754" s="53"/>
    </row>
    <row r="4755">
      <c r="A4755" s="49">
        <v>44563.13267377314</v>
      </c>
      <c r="B4755" s="50">
        <v>44563.2576375</v>
      </c>
      <c r="C4755" s="51">
        <v>1.011</v>
      </c>
      <c r="D4755" s="51">
        <v>63.0</v>
      </c>
      <c r="E4755" s="52" t="s">
        <v>25</v>
      </c>
      <c r="F4755" s="52" t="s">
        <v>26</v>
      </c>
      <c r="G4755" s="53"/>
    </row>
    <row r="4756">
      <c r="A4756" s="49">
        <v>44563.14309373843</v>
      </c>
      <c r="B4756" s="50">
        <v>44563.2680580208</v>
      </c>
      <c r="C4756" s="51">
        <v>1.011</v>
      </c>
      <c r="D4756" s="51">
        <v>63.0</v>
      </c>
      <c r="E4756" s="52" t="s">
        <v>25</v>
      </c>
      <c r="F4756" s="52" t="s">
        <v>26</v>
      </c>
      <c r="G4756" s="53"/>
    </row>
    <row r="4757">
      <c r="A4757" s="49">
        <v>44563.153508564814</v>
      </c>
      <c r="B4757" s="50">
        <v>44563.2784793981</v>
      </c>
      <c r="C4757" s="51">
        <v>1.011</v>
      </c>
      <c r="D4757" s="51">
        <v>63.0</v>
      </c>
      <c r="E4757" s="52" t="s">
        <v>25</v>
      </c>
      <c r="F4757" s="52" t="s">
        <v>26</v>
      </c>
      <c r="G4757" s="53"/>
    </row>
    <row r="4758">
      <c r="A4758" s="49">
        <v>44563.163935370365</v>
      </c>
      <c r="B4758" s="50">
        <v>44563.2889006134</v>
      </c>
      <c r="C4758" s="51">
        <v>1.011</v>
      </c>
      <c r="D4758" s="51">
        <v>63.0</v>
      </c>
      <c r="E4758" s="52" t="s">
        <v>25</v>
      </c>
      <c r="F4758" s="52" t="s">
        <v>26</v>
      </c>
      <c r="G4758" s="53"/>
    </row>
    <row r="4759">
      <c r="A4759" s="49">
        <v>44563.174348298606</v>
      </c>
      <c r="B4759" s="50">
        <v>44563.2993219097</v>
      </c>
      <c r="C4759" s="51">
        <v>1.011</v>
      </c>
      <c r="D4759" s="51">
        <v>63.0</v>
      </c>
      <c r="E4759" s="52" t="s">
        <v>25</v>
      </c>
      <c r="F4759" s="52" t="s">
        <v>26</v>
      </c>
      <c r="G4759" s="53"/>
    </row>
    <row r="4760">
      <c r="A4760" s="49">
        <v>44563.184791493055</v>
      </c>
      <c r="B4760" s="50">
        <v>44563.3097563425</v>
      </c>
      <c r="C4760" s="51">
        <v>1.011</v>
      </c>
      <c r="D4760" s="51">
        <v>63.0</v>
      </c>
      <c r="E4760" s="52" t="s">
        <v>25</v>
      </c>
      <c r="F4760" s="52" t="s">
        <v>26</v>
      </c>
      <c r="G4760" s="53"/>
    </row>
    <row r="4761">
      <c r="A4761" s="49">
        <v>44563.195206539356</v>
      </c>
      <c r="B4761" s="50">
        <v>44563.32017728</v>
      </c>
      <c r="C4761" s="51">
        <v>1.011</v>
      </c>
      <c r="D4761" s="51">
        <v>63.0</v>
      </c>
      <c r="E4761" s="52" t="s">
        <v>25</v>
      </c>
      <c r="F4761" s="52" t="s">
        <v>26</v>
      </c>
      <c r="G4761" s="53"/>
    </row>
    <row r="4762">
      <c r="A4762" s="49">
        <v>44563.20563087963</v>
      </c>
      <c r="B4762" s="50">
        <v>44563.3305975578</v>
      </c>
      <c r="C4762" s="51">
        <v>1.011</v>
      </c>
      <c r="D4762" s="51">
        <v>63.0</v>
      </c>
      <c r="E4762" s="52" t="s">
        <v>25</v>
      </c>
      <c r="F4762" s="52" t="s">
        <v>26</v>
      </c>
      <c r="G4762" s="53"/>
    </row>
    <row r="4763">
      <c r="A4763" s="49">
        <v>44563.216055937504</v>
      </c>
      <c r="B4763" s="50">
        <v>44563.3410312152</v>
      </c>
      <c r="C4763" s="51">
        <v>1.011</v>
      </c>
      <c r="D4763" s="51">
        <v>63.0</v>
      </c>
      <c r="E4763" s="52" t="s">
        <v>25</v>
      </c>
      <c r="F4763" s="52" t="s">
        <v>26</v>
      </c>
      <c r="G4763" s="53"/>
    </row>
    <row r="4764">
      <c r="A4764" s="49">
        <v>44563.226481226855</v>
      </c>
      <c r="B4764" s="50">
        <v>44563.3514530555</v>
      </c>
      <c r="C4764" s="51">
        <v>1.011</v>
      </c>
      <c r="D4764" s="51">
        <v>63.0</v>
      </c>
      <c r="E4764" s="52" t="s">
        <v>25</v>
      </c>
      <c r="F4764" s="52" t="s">
        <v>26</v>
      </c>
      <c r="G4764" s="53"/>
    </row>
    <row r="4765">
      <c r="A4765" s="49">
        <v>44563.23692877315</v>
      </c>
      <c r="B4765" s="50">
        <v>44563.3618992476</v>
      </c>
      <c r="C4765" s="51">
        <v>1.011</v>
      </c>
      <c r="D4765" s="51">
        <v>63.0</v>
      </c>
      <c r="E4765" s="52" t="s">
        <v>25</v>
      </c>
      <c r="F4765" s="52" t="s">
        <v>26</v>
      </c>
      <c r="G4765" s="53"/>
    </row>
    <row r="4766">
      <c r="A4766" s="49">
        <v>44563.24735261574</v>
      </c>
      <c r="B4766" s="50">
        <v>44563.3723203125</v>
      </c>
      <c r="C4766" s="51">
        <v>1.011</v>
      </c>
      <c r="D4766" s="51">
        <v>63.0</v>
      </c>
      <c r="E4766" s="52" t="s">
        <v>25</v>
      </c>
      <c r="F4766" s="52" t="s">
        <v>26</v>
      </c>
      <c r="G4766" s="53"/>
    </row>
    <row r="4767">
      <c r="A4767" s="49">
        <v>44563.25777023148</v>
      </c>
      <c r="B4767" s="50">
        <v>44563.3827418981</v>
      </c>
      <c r="C4767" s="51">
        <v>1.011</v>
      </c>
      <c r="D4767" s="51">
        <v>63.0</v>
      </c>
      <c r="E4767" s="52" t="s">
        <v>25</v>
      </c>
      <c r="F4767" s="52" t="s">
        <v>26</v>
      </c>
      <c r="G4767" s="53"/>
    </row>
    <row r="4768">
      <c r="A4768" s="49">
        <v>44563.2682115625</v>
      </c>
      <c r="B4768" s="50">
        <v>44563.3931875115</v>
      </c>
      <c r="C4768" s="51">
        <v>1.011</v>
      </c>
      <c r="D4768" s="51">
        <v>63.0</v>
      </c>
      <c r="E4768" s="52" t="s">
        <v>25</v>
      </c>
      <c r="F4768" s="52" t="s">
        <v>26</v>
      </c>
      <c r="G4768" s="53"/>
    </row>
    <row r="4769">
      <c r="A4769" s="49">
        <v>44563.27863049768</v>
      </c>
      <c r="B4769" s="50">
        <v>44563.403608368</v>
      </c>
      <c r="C4769" s="51">
        <v>1.011</v>
      </c>
      <c r="D4769" s="51">
        <v>63.0</v>
      </c>
      <c r="E4769" s="52" t="s">
        <v>25</v>
      </c>
      <c r="F4769" s="52" t="s">
        <v>26</v>
      </c>
      <c r="G4769" s="53"/>
    </row>
    <row r="4770">
      <c r="A4770" s="49">
        <v>44563.28911189815</v>
      </c>
      <c r="B4770" s="50">
        <v>44563.4140760532</v>
      </c>
      <c r="C4770" s="51">
        <v>1.011</v>
      </c>
      <c r="D4770" s="51">
        <v>63.0</v>
      </c>
      <c r="E4770" s="52" t="s">
        <v>25</v>
      </c>
      <c r="F4770" s="52" t="s">
        <v>26</v>
      </c>
      <c r="G4770" s="53"/>
    </row>
    <row r="4771">
      <c r="A4771" s="49">
        <v>44563.29954945602</v>
      </c>
      <c r="B4771" s="50">
        <v>44563.4245201273</v>
      </c>
      <c r="C4771" s="51">
        <v>1.011</v>
      </c>
      <c r="D4771" s="51">
        <v>63.0</v>
      </c>
      <c r="E4771" s="52" t="s">
        <v>25</v>
      </c>
      <c r="F4771" s="52" t="s">
        <v>26</v>
      </c>
      <c r="G4771" s="53"/>
    </row>
    <row r="4772">
      <c r="A4772" s="49">
        <v>44563.310006134256</v>
      </c>
      <c r="B4772" s="50">
        <v>44563.4349749768</v>
      </c>
      <c r="C4772" s="51">
        <v>1.011</v>
      </c>
      <c r="D4772" s="51">
        <v>63.0</v>
      </c>
      <c r="E4772" s="52" t="s">
        <v>25</v>
      </c>
      <c r="F4772" s="52" t="s">
        <v>26</v>
      </c>
      <c r="G4772" s="53"/>
    </row>
    <row r="4773">
      <c r="A4773" s="49">
        <v>44563.3204305324</v>
      </c>
      <c r="B4773" s="50">
        <v>44563.4453966088</v>
      </c>
      <c r="C4773" s="51">
        <v>1.011</v>
      </c>
      <c r="D4773" s="51">
        <v>63.0</v>
      </c>
      <c r="E4773" s="52" t="s">
        <v>25</v>
      </c>
      <c r="F4773" s="52" t="s">
        <v>26</v>
      </c>
      <c r="G4773" s="53"/>
    </row>
    <row r="4774">
      <c r="A4774" s="49">
        <v>44563.330873009254</v>
      </c>
      <c r="B4774" s="50">
        <v>44563.4558393865</v>
      </c>
      <c r="C4774" s="51">
        <v>1.011</v>
      </c>
      <c r="D4774" s="51">
        <v>63.0</v>
      </c>
      <c r="E4774" s="52" t="s">
        <v>25</v>
      </c>
      <c r="F4774" s="52" t="s">
        <v>26</v>
      </c>
      <c r="G4774" s="53"/>
    </row>
    <row r="4775">
      <c r="A4775" s="49">
        <v>44563.341290462966</v>
      </c>
      <c r="B4775" s="50">
        <v>44563.4662605671</v>
      </c>
      <c r="C4775" s="51">
        <v>1.011</v>
      </c>
      <c r="D4775" s="51">
        <v>63.0</v>
      </c>
      <c r="E4775" s="52" t="s">
        <v>25</v>
      </c>
      <c r="F4775" s="52" t="s">
        <v>26</v>
      </c>
      <c r="G4775" s="53"/>
    </row>
    <row r="4776">
      <c r="A4776" s="49">
        <v>44563.35170543981</v>
      </c>
      <c r="B4776" s="50">
        <v>44563.4766828819</v>
      </c>
      <c r="C4776" s="51">
        <v>1.011</v>
      </c>
      <c r="D4776" s="51">
        <v>63.0</v>
      </c>
      <c r="E4776" s="52" t="s">
        <v>25</v>
      </c>
      <c r="F4776" s="52" t="s">
        <v>26</v>
      </c>
      <c r="G4776" s="53"/>
    </row>
    <row r="4777">
      <c r="A4777" s="49">
        <v>44563.36213685185</v>
      </c>
      <c r="B4777" s="50">
        <v>44563.4871163888</v>
      </c>
      <c r="C4777" s="51">
        <v>1.011</v>
      </c>
      <c r="D4777" s="51">
        <v>63.0</v>
      </c>
      <c r="E4777" s="52" t="s">
        <v>25</v>
      </c>
      <c r="F4777" s="52" t="s">
        <v>26</v>
      </c>
      <c r="G4777" s="53"/>
    </row>
    <row r="4778">
      <c r="A4778" s="49">
        <v>44563.37256230324</v>
      </c>
      <c r="B4778" s="50">
        <v>44563.4975357291</v>
      </c>
      <c r="C4778" s="51">
        <v>1.011</v>
      </c>
      <c r="D4778" s="51">
        <v>63.0</v>
      </c>
      <c r="E4778" s="52" t="s">
        <v>25</v>
      </c>
      <c r="F4778" s="52" t="s">
        <v>26</v>
      </c>
      <c r="G4778" s="53"/>
    </row>
    <row r="4779">
      <c r="A4779" s="49">
        <v>44563.3829934838</v>
      </c>
      <c r="B4779" s="50">
        <v>44563.5079562731</v>
      </c>
      <c r="C4779" s="51">
        <v>1.011</v>
      </c>
      <c r="D4779" s="51">
        <v>63.0</v>
      </c>
      <c r="E4779" s="52" t="s">
        <v>25</v>
      </c>
      <c r="F4779" s="52" t="s">
        <v>26</v>
      </c>
      <c r="G4779" s="53"/>
    </row>
    <row r="4780">
      <c r="A4780" s="49">
        <v>44563.39339871528</v>
      </c>
      <c r="B4780" s="50">
        <v>44563.5183767245</v>
      </c>
      <c r="C4780" s="51">
        <v>1.011</v>
      </c>
      <c r="D4780" s="51">
        <v>63.0</v>
      </c>
      <c r="E4780" s="52" t="s">
        <v>25</v>
      </c>
      <c r="F4780" s="52" t="s">
        <v>26</v>
      </c>
      <c r="G4780" s="53"/>
    </row>
    <row r="4781">
      <c r="A4781" s="49">
        <v>44563.40383795139</v>
      </c>
      <c r="B4781" s="50">
        <v>44563.5287987847</v>
      </c>
      <c r="C4781" s="51">
        <v>1.011</v>
      </c>
      <c r="D4781" s="51">
        <v>63.0</v>
      </c>
      <c r="E4781" s="52" t="s">
        <v>25</v>
      </c>
      <c r="F4781" s="52" t="s">
        <v>26</v>
      </c>
      <c r="G4781" s="53"/>
    </row>
    <row r="4782">
      <c r="A4782" s="49">
        <v>44563.41424711805</v>
      </c>
      <c r="B4782" s="50">
        <v>44563.5392307291</v>
      </c>
      <c r="C4782" s="51">
        <v>1.011</v>
      </c>
      <c r="D4782" s="51">
        <v>63.0</v>
      </c>
      <c r="E4782" s="52" t="s">
        <v>25</v>
      </c>
      <c r="F4782" s="52" t="s">
        <v>26</v>
      </c>
      <c r="G4782" s="53"/>
    </row>
    <row r="4783">
      <c r="A4783" s="49">
        <v>44563.42467547454</v>
      </c>
      <c r="B4783" s="50">
        <v>44563.5496529398</v>
      </c>
      <c r="C4783" s="51">
        <v>1.011</v>
      </c>
      <c r="D4783" s="51">
        <v>63.0</v>
      </c>
      <c r="E4783" s="52" t="s">
        <v>25</v>
      </c>
      <c r="F4783" s="52" t="s">
        <v>26</v>
      </c>
      <c r="G4783" s="53"/>
    </row>
    <row r="4784">
      <c r="A4784" s="49">
        <v>44563.435100787035</v>
      </c>
      <c r="B4784" s="50">
        <v>44563.5600733912</v>
      </c>
      <c r="C4784" s="51">
        <v>1.011</v>
      </c>
      <c r="D4784" s="51">
        <v>63.0</v>
      </c>
      <c r="E4784" s="52" t="s">
        <v>25</v>
      </c>
      <c r="F4784" s="52" t="s">
        <v>26</v>
      </c>
      <c r="G4784" s="53"/>
    </row>
    <row r="4785">
      <c r="A4785" s="49">
        <v>44563.44552166667</v>
      </c>
      <c r="B4785" s="50">
        <v>44563.5704946875</v>
      </c>
      <c r="C4785" s="51">
        <v>1.011</v>
      </c>
      <c r="D4785" s="51">
        <v>63.0</v>
      </c>
      <c r="E4785" s="52" t="s">
        <v>25</v>
      </c>
      <c r="F4785" s="52" t="s">
        <v>26</v>
      </c>
      <c r="G4785" s="53"/>
    </row>
    <row r="4786">
      <c r="A4786" s="49">
        <v>44563.45594020833</v>
      </c>
      <c r="B4786" s="50">
        <v>44563.5809153009</v>
      </c>
      <c r="C4786" s="51">
        <v>1.011</v>
      </c>
      <c r="D4786" s="51">
        <v>63.0</v>
      </c>
      <c r="E4786" s="52" t="s">
        <v>25</v>
      </c>
      <c r="F4786" s="52" t="s">
        <v>26</v>
      </c>
      <c r="G4786" s="53"/>
    </row>
    <row r="4787">
      <c r="A4787" s="49">
        <v>44563.466364259264</v>
      </c>
      <c r="B4787" s="50">
        <v>44563.5913357638</v>
      </c>
      <c r="C4787" s="51">
        <v>1.011</v>
      </c>
      <c r="D4787" s="51">
        <v>63.0</v>
      </c>
      <c r="E4787" s="52" t="s">
        <v>25</v>
      </c>
      <c r="F4787" s="52" t="s">
        <v>26</v>
      </c>
      <c r="G4787" s="53"/>
    </row>
    <row r="4788">
      <c r="A4788" s="49">
        <v>44563.47677519676</v>
      </c>
      <c r="B4788" s="50">
        <v>44563.6017571296</v>
      </c>
      <c r="C4788" s="51">
        <v>1.011</v>
      </c>
      <c r="D4788" s="51">
        <v>63.0</v>
      </c>
      <c r="E4788" s="52" t="s">
        <v>25</v>
      </c>
      <c r="F4788" s="52" t="s">
        <v>26</v>
      </c>
      <c r="G4788" s="53"/>
    </row>
    <row r="4789">
      <c r="A4789" s="49">
        <v>44563.487226006946</v>
      </c>
      <c r="B4789" s="50">
        <v>44563.6122002314</v>
      </c>
      <c r="C4789" s="51">
        <v>1.011</v>
      </c>
      <c r="D4789" s="51">
        <v>63.0</v>
      </c>
      <c r="E4789" s="52" t="s">
        <v>25</v>
      </c>
      <c r="F4789" s="52" t="s">
        <v>26</v>
      </c>
      <c r="G4789" s="53"/>
    </row>
    <row r="4790">
      <c r="A4790" s="49">
        <v>44563.49764552084</v>
      </c>
      <c r="B4790" s="50">
        <v>44563.6226201851</v>
      </c>
      <c r="C4790" s="51">
        <v>1.011</v>
      </c>
      <c r="D4790" s="51">
        <v>63.0</v>
      </c>
      <c r="E4790" s="52" t="s">
        <v>25</v>
      </c>
      <c r="F4790" s="52" t="s">
        <v>26</v>
      </c>
      <c r="G4790" s="53"/>
    </row>
    <row r="4791">
      <c r="A4791" s="49">
        <v>44563.50806548611</v>
      </c>
      <c r="B4791" s="50">
        <v>44563.6330410763</v>
      </c>
      <c r="C4791" s="51">
        <v>1.011</v>
      </c>
      <c r="D4791" s="51">
        <v>63.0</v>
      </c>
      <c r="E4791" s="52" t="s">
        <v>25</v>
      </c>
      <c r="F4791" s="52" t="s">
        <v>26</v>
      </c>
      <c r="G4791" s="53"/>
    </row>
    <row r="4792">
      <c r="A4792" s="49">
        <v>44563.51848547454</v>
      </c>
      <c r="B4792" s="50">
        <v>44563.6434629166</v>
      </c>
      <c r="C4792" s="51">
        <v>1.011</v>
      </c>
      <c r="D4792" s="51">
        <v>63.0</v>
      </c>
      <c r="E4792" s="52" t="s">
        <v>25</v>
      </c>
      <c r="F4792" s="52" t="s">
        <v>26</v>
      </c>
      <c r="G4792" s="53"/>
    </row>
    <row r="4793">
      <c r="A4793" s="49">
        <v>44563.52890690972</v>
      </c>
      <c r="B4793" s="50">
        <v>44563.6538828703</v>
      </c>
      <c r="C4793" s="51">
        <v>1.011</v>
      </c>
      <c r="D4793" s="51">
        <v>63.0</v>
      </c>
      <c r="E4793" s="52" t="s">
        <v>25</v>
      </c>
      <c r="F4793" s="52" t="s">
        <v>26</v>
      </c>
      <c r="G4793" s="53"/>
    </row>
    <row r="4794">
      <c r="A4794" s="49">
        <v>44563.53932149305</v>
      </c>
      <c r="B4794" s="50">
        <v>44563.6643026504</v>
      </c>
      <c r="C4794" s="51">
        <v>1.011</v>
      </c>
      <c r="D4794" s="51">
        <v>63.0</v>
      </c>
      <c r="E4794" s="52" t="s">
        <v>25</v>
      </c>
      <c r="F4794" s="52" t="s">
        <v>26</v>
      </c>
      <c r="G4794" s="53"/>
    </row>
    <row r="4795">
      <c r="A4795" s="49">
        <v>44563.549747881945</v>
      </c>
      <c r="B4795" s="50">
        <v>44563.6747234143</v>
      </c>
      <c r="C4795" s="51">
        <v>1.011</v>
      </c>
      <c r="D4795" s="51">
        <v>63.0</v>
      </c>
      <c r="E4795" s="52" t="s">
        <v>25</v>
      </c>
      <c r="F4795" s="52" t="s">
        <v>26</v>
      </c>
      <c r="G4795" s="53"/>
    </row>
    <row r="4796">
      <c r="A4796" s="49">
        <v>44563.56017217593</v>
      </c>
      <c r="B4796" s="50">
        <v>44563.6851426157</v>
      </c>
      <c r="C4796" s="51">
        <v>1.011</v>
      </c>
      <c r="D4796" s="51">
        <v>63.0</v>
      </c>
      <c r="E4796" s="52" t="s">
        <v>25</v>
      </c>
      <c r="F4796" s="52" t="s">
        <v>26</v>
      </c>
      <c r="G4796" s="53"/>
    </row>
    <row r="4797">
      <c r="A4797" s="49">
        <v>44563.57060803241</v>
      </c>
      <c r="B4797" s="50">
        <v>44563.6955867245</v>
      </c>
      <c r="C4797" s="51">
        <v>1.011</v>
      </c>
      <c r="D4797" s="51">
        <v>63.0</v>
      </c>
      <c r="E4797" s="52" t="s">
        <v>25</v>
      </c>
      <c r="F4797" s="52" t="s">
        <v>26</v>
      </c>
      <c r="G4797" s="53"/>
    </row>
    <row r="4798">
      <c r="A4798" s="49">
        <v>44563.58104234954</v>
      </c>
      <c r="B4798" s="50">
        <v>44563.7060185763</v>
      </c>
      <c r="C4798" s="51">
        <v>1.011</v>
      </c>
      <c r="D4798" s="51">
        <v>63.0</v>
      </c>
      <c r="E4798" s="52" t="s">
        <v>25</v>
      </c>
      <c r="F4798" s="52" t="s">
        <v>26</v>
      </c>
      <c r="G4798" s="53"/>
    </row>
    <row r="4799">
      <c r="A4799" s="49">
        <v>44563.59148120371</v>
      </c>
      <c r="B4799" s="50">
        <v>44563.7164509722</v>
      </c>
      <c r="C4799" s="51">
        <v>1.011</v>
      </c>
      <c r="D4799" s="51">
        <v>63.0</v>
      </c>
      <c r="E4799" s="52" t="s">
        <v>25</v>
      </c>
      <c r="F4799" s="52" t="s">
        <v>26</v>
      </c>
      <c r="G4799" s="53"/>
    </row>
    <row r="4800">
      <c r="A4800" s="49">
        <v>44563.60190460648</v>
      </c>
      <c r="B4800" s="50">
        <v>44563.7268830671</v>
      </c>
      <c r="C4800" s="51">
        <v>1.011</v>
      </c>
      <c r="D4800" s="51">
        <v>63.0</v>
      </c>
      <c r="E4800" s="52" t="s">
        <v>25</v>
      </c>
      <c r="F4800" s="52" t="s">
        <v>26</v>
      </c>
      <c r="G4800" s="53"/>
    </row>
    <row r="4801">
      <c r="A4801" s="49">
        <v>44563.61232185185</v>
      </c>
      <c r="B4801" s="50">
        <v>44563.7373035648</v>
      </c>
      <c r="C4801" s="51">
        <v>1.011</v>
      </c>
      <c r="D4801" s="51">
        <v>63.0</v>
      </c>
      <c r="E4801" s="52" t="s">
        <v>25</v>
      </c>
      <c r="F4801" s="52" t="s">
        <v>26</v>
      </c>
      <c r="G4801" s="53"/>
    </row>
    <row r="4802">
      <c r="A4802" s="49">
        <v>44563.622750462964</v>
      </c>
      <c r="B4802" s="50">
        <v>44563.7477247106</v>
      </c>
      <c r="C4802" s="51">
        <v>1.011</v>
      </c>
      <c r="D4802" s="51">
        <v>63.0</v>
      </c>
      <c r="E4802" s="52" t="s">
        <v>25</v>
      </c>
      <c r="F4802" s="52" t="s">
        <v>26</v>
      </c>
      <c r="G4802" s="53"/>
    </row>
    <row r="4803">
      <c r="A4803" s="49">
        <v>44563.63317854167</v>
      </c>
      <c r="B4803" s="50">
        <v>44563.7581572916</v>
      </c>
      <c r="C4803" s="51">
        <v>1.011</v>
      </c>
      <c r="D4803" s="51">
        <v>63.0</v>
      </c>
      <c r="E4803" s="52" t="s">
        <v>25</v>
      </c>
      <c r="F4803" s="52" t="s">
        <v>26</v>
      </c>
      <c r="G4803" s="53"/>
    </row>
    <row r="4804">
      <c r="A4804" s="49">
        <v>44563.64359976852</v>
      </c>
      <c r="B4804" s="50">
        <v>44563.7685767708</v>
      </c>
      <c r="C4804" s="51">
        <v>1.011</v>
      </c>
      <c r="D4804" s="51">
        <v>63.0</v>
      </c>
      <c r="E4804" s="52" t="s">
        <v>25</v>
      </c>
      <c r="F4804" s="52" t="s">
        <v>26</v>
      </c>
      <c r="G4804" s="53"/>
    </row>
    <row r="4805">
      <c r="A4805" s="49">
        <v>44563.654023888885</v>
      </c>
      <c r="B4805" s="50">
        <v>44563.7789998379</v>
      </c>
      <c r="C4805" s="51">
        <v>1.011</v>
      </c>
      <c r="D4805" s="51">
        <v>63.0</v>
      </c>
      <c r="E4805" s="52" t="s">
        <v>25</v>
      </c>
      <c r="F4805" s="52" t="s">
        <v>26</v>
      </c>
      <c r="G4805" s="53"/>
    </row>
    <row r="4806">
      <c r="A4806" s="49">
        <v>44563.66445084491</v>
      </c>
      <c r="B4806" s="50">
        <v>44563.7894229398</v>
      </c>
      <c r="C4806" s="51">
        <v>1.011</v>
      </c>
      <c r="D4806" s="51">
        <v>63.0</v>
      </c>
      <c r="E4806" s="52" t="s">
        <v>25</v>
      </c>
      <c r="F4806" s="52" t="s">
        <v>26</v>
      </c>
      <c r="G4806" s="53"/>
    </row>
    <row r="4807">
      <c r="A4807" s="49">
        <v>44563.674877812504</v>
      </c>
      <c r="B4807" s="50">
        <v>44563.7998564583</v>
      </c>
      <c r="C4807" s="51">
        <v>1.011</v>
      </c>
      <c r="D4807" s="51">
        <v>63.0</v>
      </c>
      <c r="E4807" s="52" t="s">
        <v>25</v>
      </c>
      <c r="F4807" s="52" t="s">
        <v>26</v>
      </c>
      <c r="G4807" s="53"/>
    </row>
    <row r="4808">
      <c r="A4808" s="49">
        <v>44563.68530599537</v>
      </c>
      <c r="B4808" s="50">
        <v>44563.810280324</v>
      </c>
      <c r="C4808" s="51">
        <v>1.011</v>
      </c>
      <c r="D4808" s="51">
        <v>63.0</v>
      </c>
      <c r="E4808" s="52" t="s">
        <v>25</v>
      </c>
      <c r="F4808" s="52" t="s">
        <v>26</v>
      </c>
      <c r="G4808" s="53"/>
    </row>
    <row r="4809">
      <c r="A4809" s="49">
        <v>44563.69573215277</v>
      </c>
      <c r="B4809" s="50">
        <v>44563.820712662</v>
      </c>
      <c r="C4809" s="51">
        <v>1.011</v>
      </c>
      <c r="D4809" s="51">
        <v>63.0</v>
      </c>
      <c r="E4809" s="52" t="s">
        <v>25</v>
      </c>
      <c r="F4809" s="52" t="s">
        <v>26</v>
      </c>
      <c r="G4809" s="53"/>
    </row>
    <row r="4810">
      <c r="A4810" s="49">
        <v>44563.70615107639</v>
      </c>
      <c r="B4810" s="50">
        <v>44563.8311345949</v>
      </c>
      <c r="C4810" s="51">
        <v>1.011</v>
      </c>
      <c r="D4810" s="51">
        <v>63.0</v>
      </c>
      <c r="E4810" s="52" t="s">
        <v>25</v>
      </c>
      <c r="F4810" s="52" t="s">
        <v>26</v>
      </c>
      <c r="G4810" s="53"/>
    </row>
    <row r="4811">
      <c r="A4811" s="49">
        <v>44563.716577060186</v>
      </c>
      <c r="B4811" s="50">
        <v>44563.8415576041</v>
      </c>
      <c r="C4811" s="51">
        <v>1.011</v>
      </c>
      <c r="D4811" s="51">
        <v>63.0</v>
      </c>
      <c r="E4811" s="52" t="s">
        <v>25</v>
      </c>
      <c r="F4811" s="52" t="s">
        <v>26</v>
      </c>
      <c r="G4811" s="53"/>
    </row>
    <row r="4812">
      <c r="A4812" s="49">
        <v>44563.72700384259</v>
      </c>
      <c r="B4812" s="50">
        <v>44563.8519778935</v>
      </c>
      <c r="C4812" s="51">
        <v>1.011</v>
      </c>
      <c r="D4812" s="51">
        <v>63.0</v>
      </c>
      <c r="E4812" s="52" t="s">
        <v>25</v>
      </c>
      <c r="F4812" s="52" t="s">
        <v>26</v>
      </c>
      <c r="G4812" s="53"/>
    </row>
    <row r="4813">
      <c r="A4813" s="49">
        <v>44563.737432071764</v>
      </c>
      <c r="B4813" s="50">
        <v>44563.8624109027</v>
      </c>
      <c r="C4813" s="51">
        <v>1.011</v>
      </c>
      <c r="D4813" s="51">
        <v>63.0</v>
      </c>
      <c r="E4813" s="52" t="s">
        <v>25</v>
      </c>
      <c r="F4813" s="52" t="s">
        <v>26</v>
      </c>
      <c r="G4813" s="53"/>
    </row>
    <row r="4814">
      <c r="A4814" s="49">
        <v>44563.74786928241</v>
      </c>
      <c r="B4814" s="50">
        <v>44563.8728440277</v>
      </c>
      <c r="C4814" s="51">
        <v>1.011</v>
      </c>
      <c r="D4814" s="51">
        <v>63.0</v>
      </c>
      <c r="E4814" s="52" t="s">
        <v>25</v>
      </c>
      <c r="F4814" s="52" t="s">
        <v>26</v>
      </c>
      <c r="G4814" s="53"/>
    </row>
    <row r="4815">
      <c r="A4815" s="49">
        <v>44563.75829383102</v>
      </c>
      <c r="B4815" s="50">
        <v>44563.8832646412</v>
      </c>
      <c r="C4815" s="51">
        <v>1.011</v>
      </c>
      <c r="D4815" s="51">
        <v>63.0</v>
      </c>
      <c r="E4815" s="52" t="s">
        <v>25</v>
      </c>
      <c r="F4815" s="52" t="s">
        <v>26</v>
      </c>
      <c r="G4815" s="53"/>
    </row>
    <row r="4816">
      <c r="A4816" s="49">
        <v>44563.76870648148</v>
      </c>
      <c r="B4816" s="50">
        <v>44563.8936864814</v>
      </c>
      <c r="C4816" s="51">
        <v>1.011</v>
      </c>
      <c r="D4816" s="51">
        <v>63.0</v>
      </c>
      <c r="E4816" s="52" t="s">
        <v>25</v>
      </c>
      <c r="F4816" s="52" t="s">
        <v>26</v>
      </c>
      <c r="G4816" s="53"/>
    </row>
    <row r="4817">
      <c r="A4817" s="49">
        <v>44563.77912746528</v>
      </c>
      <c r="B4817" s="50">
        <v>44563.9041088078</v>
      </c>
      <c r="C4817" s="51">
        <v>1.011</v>
      </c>
      <c r="D4817" s="51">
        <v>63.0</v>
      </c>
      <c r="E4817" s="52" t="s">
        <v>25</v>
      </c>
      <c r="F4817" s="52" t="s">
        <v>26</v>
      </c>
      <c r="G4817" s="53"/>
    </row>
    <row r="4818">
      <c r="A4818" s="49">
        <v>44563.7895583912</v>
      </c>
      <c r="B4818" s="50">
        <v>44563.914542118</v>
      </c>
      <c r="C4818" s="51">
        <v>1.011</v>
      </c>
      <c r="D4818" s="51">
        <v>63.0</v>
      </c>
      <c r="E4818" s="52" t="s">
        <v>25</v>
      </c>
      <c r="F4818" s="52" t="s">
        <v>26</v>
      </c>
      <c r="G4818" s="53"/>
    </row>
    <row r="4819">
      <c r="A4819" s="49">
        <v>44563.800000625</v>
      </c>
      <c r="B4819" s="50">
        <v>44563.9249741782</v>
      </c>
      <c r="C4819" s="51">
        <v>1.011</v>
      </c>
      <c r="D4819" s="51">
        <v>63.0</v>
      </c>
      <c r="E4819" s="52" t="s">
        <v>25</v>
      </c>
      <c r="F4819" s="52" t="s">
        <v>26</v>
      </c>
      <c r="G4819" s="53"/>
    </row>
    <row r="4820">
      <c r="A4820" s="49">
        <v>44563.810433125</v>
      </c>
      <c r="B4820" s="50">
        <v>44563.9354079282</v>
      </c>
      <c r="C4820" s="51">
        <v>1.011</v>
      </c>
      <c r="D4820" s="51">
        <v>63.0</v>
      </c>
      <c r="E4820" s="52" t="s">
        <v>25</v>
      </c>
      <c r="F4820" s="52" t="s">
        <v>26</v>
      </c>
      <c r="G4820" s="53"/>
    </row>
    <row r="4821">
      <c r="A4821" s="49">
        <v>44563.8208655787</v>
      </c>
      <c r="B4821" s="50">
        <v>44563.9458435879</v>
      </c>
      <c r="C4821" s="51">
        <v>1.011</v>
      </c>
      <c r="D4821" s="51">
        <v>63.0</v>
      </c>
      <c r="E4821" s="52" t="s">
        <v>25</v>
      </c>
      <c r="F4821" s="52" t="s">
        <v>26</v>
      </c>
      <c r="G4821" s="53"/>
    </row>
    <row r="4822">
      <c r="A4822" s="49">
        <v>44563.83128590278</v>
      </c>
      <c r="B4822" s="50">
        <v>44563.9562648263</v>
      </c>
      <c r="C4822" s="51">
        <v>1.011</v>
      </c>
      <c r="D4822" s="51">
        <v>63.0</v>
      </c>
      <c r="E4822" s="52" t="s">
        <v>25</v>
      </c>
      <c r="F4822" s="52" t="s">
        <v>26</v>
      </c>
      <c r="G4822" s="53"/>
    </row>
    <row r="4823">
      <c r="A4823" s="49">
        <v>44563.84170385417</v>
      </c>
      <c r="B4823" s="50">
        <v>44563.9666848148</v>
      </c>
      <c r="C4823" s="51">
        <v>1.011</v>
      </c>
      <c r="D4823" s="51">
        <v>63.0</v>
      </c>
      <c r="E4823" s="52" t="s">
        <v>25</v>
      </c>
      <c r="F4823" s="52" t="s">
        <v>26</v>
      </c>
      <c r="G4823" s="53"/>
    </row>
    <row r="4824">
      <c r="A4824" s="49">
        <v>44563.852135787034</v>
      </c>
      <c r="B4824" s="50">
        <v>44563.9771168055</v>
      </c>
      <c r="C4824" s="51">
        <v>1.011</v>
      </c>
      <c r="D4824" s="51">
        <v>63.0</v>
      </c>
      <c r="E4824" s="52" t="s">
        <v>25</v>
      </c>
      <c r="F4824" s="52" t="s">
        <v>26</v>
      </c>
      <c r="G4824" s="53"/>
    </row>
    <row r="4825">
      <c r="A4825" s="49">
        <v>44563.86256584491</v>
      </c>
      <c r="B4825" s="50">
        <v>44563.9875379513</v>
      </c>
      <c r="C4825" s="51">
        <v>1.011</v>
      </c>
      <c r="D4825" s="51">
        <v>63.0</v>
      </c>
      <c r="E4825" s="52" t="s">
        <v>25</v>
      </c>
      <c r="F4825" s="52" t="s">
        <v>26</v>
      </c>
      <c r="G4825" s="53"/>
    </row>
    <row r="4826">
      <c r="A4826" s="49">
        <v>44563.872987442126</v>
      </c>
      <c r="B4826" s="50">
        <v>44563.9979710879</v>
      </c>
      <c r="C4826" s="51">
        <v>1.011</v>
      </c>
      <c r="D4826" s="51">
        <v>63.0</v>
      </c>
      <c r="E4826" s="52" t="s">
        <v>25</v>
      </c>
      <c r="F4826" s="52" t="s">
        <v>26</v>
      </c>
      <c r="G4826" s="53"/>
    </row>
    <row r="4827">
      <c r="A4827" s="49">
        <v>44563.88341625</v>
      </c>
      <c r="B4827" s="50">
        <v>44564.00839125</v>
      </c>
      <c r="C4827" s="51">
        <v>1.011</v>
      </c>
      <c r="D4827" s="51">
        <v>63.0</v>
      </c>
      <c r="E4827" s="52" t="s">
        <v>25</v>
      </c>
      <c r="F4827" s="52" t="s">
        <v>26</v>
      </c>
      <c r="G4827" s="53"/>
    </row>
    <row r="4828">
      <c r="A4828" s="49">
        <v>44563.89384737269</v>
      </c>
      <c r="B4828" s="50">
        <v>44564.0188237615</v>
      </c>
      <c r="C4828" s="51">
        <v>1.011</v>
      </c>
      <c r="D4828" s="51">
        <v>63.0</v>
      </c>
      <c r="E4828" s="52" t="s">
        <v>25</v>
      </c>
      <c r="F4828" s="52" t="s">
        <v>26</v>
      </c>
      <c r="G4828" s="53"/>
    </row>
    <row r="4829">
      <c r="A4829" s="49">
        <v>44563.90427570602</v>
      </c>
      <c r="B4829" s="50">
        <v>44564.0292572569</v>
      </c>
      <c r="C4829" s="51">
        <v>1.011</v>
      </c>
      <c r="D4829" s="51">
        <v>63.0</v>
      </c>
      <c r="E4829" s="52" t="s">
        <v>25</v>
      </c>
      <c r="F4829" s="52" t="s">
        <v>26</v>
      </c>
      <c r="G4829" s="53"/>
    </row>
    <row r="4830">
      <c r="A4830" s="49">
        <v>44563.91470202546</v>
      </c>
      <c r="B4830" s="50">
        <v>44564.0396803587</v>
      </c>
      <c r="C4830" s="51">
        <v>1.011</v>
      </c>
      <c r="D4830" s="51">
        <v>63.0</v>
      </c>
      <c r="E4830" s="52" t="s">
        <v>25</v>
      </c>
      <c r="F4830" s="52" t="s">
        <v>26</v>
      </c>
      <c r="G4830" s="53"/>
    </row>
    <row r="4831">
      <c r="A4831" s="49">
        <v>44563.92513386574</v>
      </c>
      <c r="B4831" s="50">
        <v>44564.0501025925</v>
      </c>
      <c r="C4831" s="51">
        <v>1.011</v>
      </c>
      <c r="D4831" s="51">
        <v>63.0</v>
      </c>
      <c r="E4831" s="52" t="s">
        <v>25</v>
      </c>
      <c r="F4831" s="52" t="s">
        <v>26</v>
      </c>
      <c r="G4831" s="53"/>
    </row>
    <row r="4832">
      <c r="A4832" s="49">
        <v>44563.93554523148</v>
      </c>
      <c r="B4832" s="50">
        <v>44564.0605239814</v>
      </c>
      <c r="C4832" s="51">
        <v>1.011</v>
      </c>
      <c r="D4832" s="51">
        <v>63.0</v>
      </c>
      <c r="E4832" s="52" t="s">
        <v>25</v>
      </c>
      <c r="F4832" s="52" t="s">
        <v>26</v>
      </c>
      <c r="G4832" s="53"/>
    </row>
    <row r="4833">
      <c r="A4833" s="49">
        <v>44563.94599349537</v>
      </c>
      <c r="B4833" s="50">
        <v>44564.0709662615</v>
      </c>
      <c r="C4833" s="51">
        <v>1.011</v>
      </c>
      <c r="D4833" s="51">
        <v>63.0</v>
      </c>
      <c r="E4833" s="52" t="s">
        <v>25</v>
      </c>
      <c r="F4833" s="52" t="s">
        <v>26</v>
      </c>
      <c r="G4833" s="53"/>
    </row>
    <row r="4834">
      <c r="A4834" s="49">
        <v>44563.95641662037</v>
      </c>
      <c r="B4834" s="50">
        <v>44564.0814005787</v>
      </c>
      <c r="C4834" s="51">
        <v>1.011</v>
      </c>
      <c r="D4834" s="51">
        <v>63.0</v>
      </c>
      <c r="E4834" s="52" t="s">
        <v>25</v>
      </c>
      <c r="F4834" s="52" t="s">
        <v>26</v>
      </c>
      <c r="G4834" s="53"/>
    </row>
    <row r="4835">
      <c r="A4835" s="49">
        <v>44563.966846157404</v>
      </c>
      <c r="B4835" s="50">
        <v>44564.0918215624</v>
      </c>
      <c r="C4835" s="51">
        <v>1.011</v>
      </c>
      <c r="D4835" s="51">
        <v>63.0</v>
      </c>
      <c r="E4835" s="52" t="s">
        <v>25</v>
      </c>
      <c r="F4835" s="52" t="s">
        <v>26</v>
      </c>
      <c r="G4835" s="53"/>
    </row>
    <row r="4836">
      <c r="A4836" s="49">
        <v>44563.977267326394</v>
      </c>
      <c r="B4836" s="50">
        <v>44564.1022404629</v>
      </c>
      <c r="C4836" s="51">
        <v>1.011</v>
      </c>
      <c r="D4836" s="51">
        <v>63.0</v>
      </c>
      <c r="E4836" s="52" t="s">
        <v>25</v>
      </c>
      <c r="F4836" s="52" t="s">
        <v>26</v>
      </c>
      <c r="G4836" s="53"/>
    </row>
    <row r="4837">
      <c r="A4837" s="49">
        <v>44563.98768693287</v>
      </c>
      <c r="B4837" s="50">
        <v>44564.1126613541</v>
      </c>
      <c r="C4837" s="51">
        <v>1.011</v>
      </c>
      <c r="D4837" s="51">
        <v>63.0</v>
      </c>
      <c r="E4837" s="52" t="s">
        <v>25</v>
      </c>
      <c r="F4837" s="52" t="s">
        <v>26</v>
      </c>
      <c r="G4837" s="53"/>
    </row>
    <row r="4838">
      <c r="A4838" s="49">
        <v>44563.99810810185</v>
      </c>
      <c r="B4838" s="50">
        <v>44564.1230832175</v>
      </c>
      <c r="C4838" s="51">
        <v>1.011</v>
      </c>
      <c r="D4838" s="51">
        <v>63.0</v>
      </c>
      <c r="E4838" s="52" t="s">
        <v>25</v>
      </c>
      <c r="F4838" s="52" t="s">
        <v>26</v>
      </c>
      <c r="G4838" s="53"/>
    </row>
    <row r="4839">
      <c r="A4839" s="49">
        <v>44564.00855162037</v>
      </c>
      <c r="B4839" s="50">
        <v>44564.1335145486</v>
      </c>
      <c r="C4839" s="51">
        <v>1.011</v>
      </c>
      <c r="D4839" s="51">
        <v>63.0</v>
      </c>
      <c r="E4839" s="52" t="s">
        <v>25</v>
      </c>
      <c r="F4839" s="52" t="s">
        <v>26</v>
      </c>
      <c r="G4839" s="53"/>
    </row>
    <row r="4840">
      <c r="A4840" s="49">
        <v>44564.01896195602</v>
      </c>
      <c r="B4840" s="50">
        <v>44564.1439466319</v>
      </c>
      <c r="C4840" s="51">
        <v>1.011</v>
      </c>
      <c r="D4840" s="51">
        <v>63.0</v>
      </c>
      <c r="E4840" s="52" t="s">
        <v>25</v>
      </c>
      <c r="F4840" s="52" t="s">
        <v>26</v>
      </c>
      <c r="G4840" s="53"/>
    </row>
    <row r="4841">
      <c r="A4841" s="49">
        <v>44564.02941891203</v>
      </c>
      <c r="B4841" s="50">
        <v>44564.1543899421</v>
      </c>
      <c r="C4841" s="51">
        <v>1.011</v>
      </c>
      <c r="D4841" s="51">
        <v>63.0</v>
      </c>
      <c r="E4841" s="52" t="s">
        <v>25</v>
      </c>
      <c r="F4841" s="52" t="s">
        <v>26</v>
      </c>
      <c r="G4841" s="53"/>
    </row>
    <row r="4842">
      <c r="A4842" s="49">
        <v>44564.03984539352</v>
      </c>
      <c r="B4842" s="50">
        <v>44564.1648122453</v>
      </c>
      <c r="C4842" s="51">
        <v>1.011</v>
      </c>
      <c r="D4842" s="51">
        <v>63.0</v>
      </c>
      <c r="E4842" s="52" t="s">
        <v>25</v>
      </c>
      <c r="F4842" s="52" t="s">
        <v>26</v>
      </c>
      <c r="G4842" s="53"/>
    </row>
    <row r="4843">
      <c r="A4843" s="49">
        <v>44564.05028415509</v>
      </c>
      <c r="B4843" s="50">
        <v>44564.1752552893</v>
      </c>
      <c r="C4843" s="51">
        <v>1.011</v>
      </c>
      <c r="D4843" s="51">
        <v>63.0</v>
      </c>
      <c r="E4843" s="52" t="s">
        <v>25</v>
      </c>
      <c r="F4843" s="52" t="s">
        <v>26</v>
      </c>
      <c r="G4843" s="53"/>
    </row>
    <row r="4844">
      <c r="A4844" s="49">
        <v>44564.06070158565</v>
      </c>
      <c r="B4844" s="50">
        <v>44564.1856768634</v>
      </c>
      <c r="C4844" s="51">
        <v>1.011</v>
      </c>
      <c r="D4844" s="51">
        <v>63.0</v>
      </c>
      <c r="E4844" s="52" t="s">
        <v>25</v>
      </c>
      <c r="F4844" s="52" t="s">
        <v>26</v>
      </c>
      <c r="G4844" s="53"/>
    </row>
    <row r="4845">
      <c r="A4845" s="49">
        <v>44564.07111234954</v>
      </c>
      <c r="B4845" s="50">
        <v>44564.1960976851</v>
      </c>
      <c r="C4845" s="51">
        <v>1.011</v>
      </c>
      <c r="D4845" s="51">
        <v>63.0</v>
      </c>
      <c r="E4845" s="52" t="s">
        <v>25</v>
      </c>
      <c r="F4845" s="52" t="s">
        <v>26</v>
      </c>
      <c r="G4845" s="53"/>
    </row>
    <row r="4846">
      <c r="A4846" s="49">
        <v>44564.08153445602</v>
      </c>
      <c r="B4846" s="50">
        <v>44564.2065178472</v>
      </c>
      <c r="C4846" s="51">
        <v>1.011</v>
      </c>
      <c r="D4846" s="51">
        <v>63.0</v>
      </c>
      <c r="E4846" s="52" t="s">
        <v>25</v>
      </c>
      <c r="F4846" s="52" t="s">
        <v>26</v>
      </c>
      <c r="G4846" s="53"/>
    </row>
    <row r="4847">
      <c r="A4847" s="49">
        <v>44564.09196289352</v>
      </c>
      <c r="B4847" s="50">
        <v>44564.2169358796</v>
      </c>
      <c r="C4847" s="51">
        <v>1.011</v>
      </c>
      <c r="D4847" s="51">
        <v>63.0</v>
      </c>
      <c r="E4847" s="52" t="s">
        <v>25</v>
      </c>
      <c r="F4847" s="52" t="s">
        <v>26</v>
      </c>
      <c r="G4847" s="53"/>
    </row>
    <row r="4848">
      <c r="A4848" s="49">
        <v>44564.10237828703</v>
      </c>
      <c r="B4848" s="50">
        <v>44564.227358125</v>
      </c>
      <c r="C4848" s="51">
        <v>1.011</v>
      </c>
      <c r="D4848" s="51">
        <v>63.0</v>
      </c>
      <c r="E4848" s="52" t="s">
        <v>25</v>
      </c>
      <c r="F4848" s="52" t="s">
        <v>26</v>
      </c>
      <c r="G4848" s="53"/>
    </row>
    <row r="4849">
      <c r="A4849" s="49">
        <v>44564.11280766204</v>
      </c>
      <c r="B4849" s="50">
        <v>44564.2377908217</v>
      </c>
      <c r="C4849" s="51">
        <v>1.011</v>
      </c>
      <c r="D4849" s="51">
        <v>63.0</v>
      </c>
      <c r="E4849" s="52" t="s">
        <v>25</v>
      </c>
      <c r="F4849" s="52" t="s">
        <v>26</v>
      </c>
      <c r="G4849" s="53"/>
    </row>
    <row r="4850">
      <c r="A4850" s="49">
        <v>44564.123234178245</v>
      </c>
      <c r="B4850" s="50">
        <v>44564.248210787</v>
      </c>
      <c r="C4850" s="51">
        <v>1.011</v>
      </c>
      <c r="D4850" s="51">
        <v>63.0</v>
      </c>
      <c r="E4850" s="52" t="s">
        <v>25</v>
      </c>
      <c r="F4850" s="52" t="s">
        <v>26</v>
      </c>
      <c r="G4850" s="53"/>
    </row>
    <row r="4851">
      <c r="A4851" s="49">
        <v>44564.13364971065</v>
      </c>
      <c r="B4851" s="50">
        <v>44564.2586337268</v>
      </c>
      <c r="C4851" s="51">
        <v>1.011</v>
      </c>
      <c r="D4851" s="51">
        <v>63.0</v>
      </c>
      <c r="E4851" s="52" t="s">
        <v>25</v>
      </c>
      <c r="F4851" s="52" t="s">
        <v>26</v>
      </c>
      <c r="G4851" s="53"/>
    </row>
    <row r="4852">
      <c r="A4852" s="49">
        <v>44564.14408388889</v>
      </c>
      <c r="B4852" s="50">
        <v>44564.2690550925</v>
      </c>
      <c r="C4852" s="51">
        <v>1.011</v>
      </c>
      <c r="D4852" s="51">
        <v>63.0</v>
      </c>
      <c r="E4852" s="52" t="s">
        <v>25</v>
      </c>
      <c r="F4852" s="52" t="s">
        <v>26</v>
      </c>
      <c r="G4852" s="53"/>
    </row>
    <row r="4853">
      <c r="A4853" s="49">
        <v>44564.154537152775</v>
      </c>
      <c r="B4853" s="50">
        <v>44564.2795125</v>
      </c>
      <c r="C4853" s="51">
        <v>1.011</v>
      </c>
      <c r="D4853" s="51">
        <v>63.0</v>
      </c>
      <c r="E4853" s="52" t="s">
        <v>25</v>
      </c>
      <c r="F4853" s="52" t="s">
        <v>26</v>
      </c>
      <c r="G4853" s="53"/>
    </row>
    <row r="4854">
      <c r="A4854" s="49">
        <v>44564.16496480324</v>
      </c>
      <c r="B4854" s="50">
        <v>44564.2899349652</v>
      </c>
      <c r="C4854" s="51">
        <v>1.011</v>
      </c>
      <c r="D4854" s="51">
        <v>63.0</v>
      </c>
      <c r="E4854" s="52" t="s">
        <v>25</v>
      </c>
      <c r="F4854" s="52" t="s">
        <v>26</v>
      </c>
      <c r="G4854" s="53"/>
    </row>
    <row r="4855">
      <c r="A4855" s="49">
        <v>44564.17537548611</v>
      </c>
      <c r="B4855" s="50">
        <v>44564.3003571412</v>
      </c>
      <c r="C4855" s="51">
        <v>1.011</v>
      </c>
      <c r="D4855" s="51">
        <v>63.0</v>
      </c>
      <c r="E4855" s="52" t="s">
        <v>25</v>
      </c>
      <c r="F4855" s="52" t="s">
        <v>26</v>
      </c>
      <c r="G4855" s="53"/>
    </row>
    <row r="4856">
      <c r="A4856" s="49">
        <v>44564.185801921296</v>
      </c>
      <c r="B4856" s="50">
        <v>44564.3107794907</v>
      </c>
      <c r="C4856" s="51">
        <v>1.011</v>
      </c>
      <c r="D4856" s="51">
        <v>63.0</v>
      </c>
      <c r="E4856" s="52" t="s">
        <v>25</v>
      </c>
      <c r="F4856" s="52" t="s">
        <v>26</v>
      </c>
      <c r="G4856" s="53"/>
    </row>
    <row r="4857">
      <c r="A4857" s="49">
        <v>44564.19622253472</v>
      </c>
      <c r="B4857" s="50">
        <v>44564.3212014351</v>
      </c>
      <c r="C4857" s="51">
        <v>1.011</v>
      </c>
      <c r="D4857" s="51">
        <v>63.0</v>
      </c>
      <c r="E4857" s="52" t="s">
        <v>25</v>
      </c>
      <c r="F4857" s="52" t="s">
        <v>26</v>
      </c>
      <c r="G4857" s="53"/>
    </row>
    <row r="4858">
      <c r="A4858" s="49">
        <v>44564.20665625</v>
      </c>
      <c r="B4858" s="50">
        <v>44564.3316336574</v>
      </c>
      <c r="C4858" s="51">
        <v>1.011</v>
      </c>
      <c r="D4858" s="51">
        <v>63.0</v>
      </c>
      <c r="E4858" s="52" t="s">
        <v>25</v>
      </c>
      <c r="F4858" s="52" t="s">
        <v>26</v>
      </c>
      <c r="G4858" s="53"/>
    </row>
    <row r="4859">
      <c r="A4859" s="49">
        <v>44564.2170796412</v>
      </c>
      <c r="B4859" s="50">
        <v>44564.3420534259</v>
      </c>
      <c r="C4859" s="51">
        <v>1.011</v>
      </c>
      <c r="D4859" s="51">
        <v>63.0</v>
      </c>
      <c r="E4859" s="52" t="s">
        <v>25</v>
      </c>
      <c r="F4859" s="52" t="s">
        <v>26</v>
      </c>
      <c r="G4859" s="53"/>
    </row>
    <row r="4860">
      <c r="A4860" s="49">
        <v>44564.227511793986</v>
      </c>
      <c r="B4860" s="50">
        <v>44564.3524854861</v>
      </c>
      <c r="C4860" s="51">
        <v>1.011</v>
      </c>
      <c r="D4860" s="51">
        <v>63.0</v>
      </c>
      <c r="E4860" s="52" t="s">
        <v>25</v>
      </c>
      <c r="F4860" s="52" t="s">
        <v>26</v>
      </c>
      <c r="G4860" s="53"/>
    </row>
    <row r="4861">
      <c r="A4861" s="49">
        <v>44564.237946863424</v>
      </c>
      <c r="B4861" s="50">
        <v>44564.3629301388</v>
      </c>
      <c r="C4861" s="51">
        <v>1.011</v>
      </c>
      <c r="D4861" s="51">
        <v>63.0</v>
      </c>
      <c r="E4861" s="52" t="s">
        <v>25</v>
      </c>
      <c r="F4861" s="52" t="s">
        <v>26</v>
      </c>
      <c r="G4861" s="53"/>
    </row>
    <row r="4862">
      <c r="A4862" s="49">
        <v>44564.24837025463</v>
      </c>
      <c r="B4862" s="50">
        <v>44564.3733507523</v>
      </c>
      <c r="C4862" s="51">
        <v>1.011</v>
      </c>
      <c r="D4862" s="51">
        <v>63.0</v>
      </c>
      <c r="E4862" s="52" t="s">
        <v>25</v>
      </c>
      <c r="F4862" s="52" t="s">
        <v>26</v>
      </c>
      <c r="G4862" s="53"/>
    </row>
    <row r="4863">
      <c r="A4863" s="49">
        <v>44564.25879068287</v>
      </c>
      <c r="B4863" s="50">
        <v>44564.3837711342</v>
      </c>
      <c r="C4863" s="51">
        <v>1.011</v>
      </c>
      <c r="D4863" s="51">
        <v>63.0</v>
      </c>
      <c r="E4863" s="52" t="s">
        <v>25</v>
      </c>
      <c r="F4863" s="52" t="s">
        <v>26</v>
      </c>
      <c r="G4863" s="53"/>
    </row>
    <row r="4864">
      <c r="A4864" s="49">
        <v>44564.26921508102</v>
      </c>
      <c r="B4864" s="50">
        <v>44564.3941937962</v>
      </c>
      <c r="C4864" s="51">
        <v>1.011</v>
      </c>
      <c r="D4864" s="51">
        <v>63.0</v>
      </c>
      <c r="E4864" s="52" t="s">
        <v>25</v>
      </c>
      <c r="F4864" s="52" t="s">
        <v>26</v>
      </c>
      <c r="G4864" s="53"/>
    </row>
    <row r="4865">
      <c r="A4865" s="49">
        <v>44564.279640277775</v>
      </c>
      <c r="B4865" s="50">
        <v>44564.4046144097</v>
      </c>
      <c r="C4865" s="51">
        <v>1.011</v>
      </c>
      <c r="D4865" s="51">
        <v>63.0</v>
      </c>
      <c r="E4865" s="52" t="s">
        <v>25</v>
      </c>
      <c r="F4865" s="52" t="s">
        <v>26</v>
      </c>
      <c r="G4865" s="53"/>
    </row>
    <row r="4866">
      <c r="A4866" s="49">
        <v>44564.29005947917</v>
      </c>
      <c r="B4866" s="50">
        <v>44564.4150328125</v>
      </c>
      <c r="C4866" s="51">
        <v>1.011</v>
      </c>
      <c r="D4866" s="51">
        <v>63.0</v>
      </c>
      <c r="E4866" s="52" t="s">
        <v>25</v>
      </c>
      <c r="F4866" s="52" t="s">
        <v>26</v>
      </c>
      <c r="G4866" s="53"/>
    </row>
    <row r="4867">
      <c r="A4867" s="49">
        <v>44564.30049418981</v>
      </c>
      <c r="B4867" s="50">
        <v>44564.4254755208</v>
      </c>
      <c r="C4867" s="51">
        <v>1.011</v>
      </c>
      <c r="D4867" s="51">
        <v>63.0</v>
      </c>
      <c r="E4867" s="52" t="s">
        <v>25</v>
      </c>
      <c r="F4867" s="52" t="s">
        <v>26</v>
      </c>
      <c r="G4867" s="53"/>
    </row>
    <row r="4868">
      <c r="A4868" s="49">
        <v>44564.310976493056</v>
      </c>
      <c r="B4868" s="50">
        <v>44564.4359443634</v>
      </c>
      <c r="C4868" s="51">
        <v>1.011</v>
      </c>
      <c r="D4868" s="51">
        <v>63.0</v>
      </c>
      <c r="E4868" s="52" t="s">
        <v>25</v>
      </c>
      <c r="F4868" s="52" t="s">
        <v>26</v>
      </c>
      <c r="G4868" s="53"/>
    </row>
    <row r="4869">
      <c r="A4869" s="49">
        <v>44564.32144546296</v>
      </c>
      <c r="B4869" s="50">
        <v>44564.4464246527</v>
      </c>
      <c r="C4869" s="51">
        <v>1.011</v>
      </c>
      <c r="D4869" s="51">
        <v>63.0</v>
      </c>
      <c r="E4869" s="52" t="s">
        <v>25</v>
      </c>
      <c r="F4869" s="52" t="s">
        <v>26</v>
      </c>
      <c r="G4869" s="53"/>
    </row>
    <row r="4870">
      <c r="A4870" s="49">
        <v>44564.33190863426</v>
      </c>
      <c r="B4870" s="50">
        <v>44564.4568924421</v>
      </c>
      <c r="C4870" s="51">
        <v>1.011</v>
      </c>
      <c r="D4870" s="51">
        <v>63.0</v>
      </c>
      <c r="E4870" s="52" t="s">
        <v>25</v>
      </c>
      <c r="F4870" s="52" t="s">
        <v>26</v>
      </c>
      <c r="G4870" s="53"/>
    </row>
    <row r="4871">
      <c r="A4871" s="49">
        <v>44564.342363460644</v>
      </c>
      <c r="B4871" s="50">
        <v>44564.4673366435</v>
      </c>
      <c r="C4871" s="51">
        <v>1.011</v>
      </c>
      <c r="D4871" s="51">
        <v>63.0</v>
      </c>
      <c r="E4871" s="52" t="s">
        <v>25</v>
      </c>
      <c r="F4871" s="52" t="s">
        <v>26</v>
      </c>
      <c r="G4871" s="53"/>
    </row>
    <row r="4872">
      <c r="A4872" s="49">
        <v>44564.35282371528</v>
      </c>
      <c r="B4872" s="50">
        <v>44564.4777918865</v>
      </c>
      <c r="C4872" s="51">
        <v>1.01</v>
      </c>
      <c r="D4872" s="51">
        <v>63.0</v>
      </c>
      <c r="E4872" s="52" t="s">
        <v>25</v>
      </c>
      <c r="F4872" s="52" t="s">
        <v>26</v>
      </c>
      <c r="G4872" s="53"/>
    </row>
    <row r="4873">
      <c r="A4873" s="49">
        <v>44564.36326474537</v>
      </c>
      <c r="B4873" s="50">
        <v>44564.4882360069</v>
      </c>
      <c r="C4873" s="51">
        <v>1.011</v>
      </c>
      <c r="D4873" s="51">
        <v>63.0</v>
      </c>
      <c r="E4873" s="52" t="s">
        <v>25</v>
      </c>
      <c r="F4873" s="52" t="s">
        <v>26</v>
      </c>
      <c r="G4873" s="53"/>
    </row>
    <row r="4874">
      <c r="A4874" s="49">
        <v>44564.37369769676</v>
      </c>
      <c r="B4874" s="50">
        <v>44564.4986809143</v>
      </c>
      <c r="C4874" s="51">
        <v>1.011</v>
      </c>
      <c r="D4874" s="51">
        <v>63.0</v>
      </c>
      <c r="E4874" s="52" t="s">
        <v>25</v>
      </c>
      <c r="F4874" s="52" t="s">
        <v>26</v>
      </c>
      <c r="G4874" s="53"/>
    </row>
    <row r="4875">
      <c r="A4875" s="49">
        <v>44564.38415269676</v>
      </c>
      <c r="B4875" s="50">
        <v>44564.5091233796</v>
      </c>
      <c r="C4875" s="51">
        <v>1.01</v>
      </c>
      <c r="D4875" s="51">
        <v>63.0</v>
      </c>
      <c r="E4875" s="52" t="s">
        <v>25</v>
      </c>
      <c r="F4875" s="52" t="s">
        <v>26</v>
      </c>
      <c r="G4875" s="53"/>
    </row>
    <row r="4876">
      <c r="A4876" s="49">
        <v>44564.39458121528</v>
      </c>
      <c r="B4876" s="50">
        <v>44564.5195424421</v>
      </c>
      <c r="C4876" s="51">
        <v>1.011</v>
      </c>
      <c r="D4876" s="51">
        <v>63.0</v>
      </c>
      <c r="E4876" s="52" t="s">
        <v>25</v>
      </c>
      <c r="F4876" s="52" t="s">
        <v>26</v>
      </c>
      <c r="G4876" s="53"/>
    </row>
    <row r="4877">
      <c r="A4877" s="49">
        <v>44564.405001226856</v>
      </c>
      <c r="B4877" s="50">
        <v>44564.5299742824</v>
      </c>
      <c r="C4877" s="51">
        <v>1.011</v>
      </c>
      <c r="D4877" s="51">
        <v>63.0</v>
      </c>
      <c r="E4877" s="52" t="s">
        <v>25</v>
      </c>
      <c r="F4877" s="52" t="s">
        <v>26</v>
      </c>
      <c r="G4877" s="53"/>
    </row>
    <row r="4878">
      <c r="A4878" s="49">
        <v>44564.41543385417</v>
      </c>
      <c r="B4878" s="50">
        <v>44564.540407662</v>
      </c>
      <c r="C4878" s="51">
        <v>1.011</v>
      </c>
      <c r="D4878" s="51">
        <v>63.0</v>
      </c>
      <c r="E4878" s="52" t="s">
        <v>25</v>
      </c>
      <c r="F4878" s="52" t="s">
        <v>26</v>
      </c>
      <c r="G4878" s="53"/>
    </row>
    <row r="4879">
      <c r="A4879" s="49">
        <v>44564.42586042824</v>
      </c>
      <c r="B4879" s="50">
        <v>44564.550840405</v>
      </c>
      <c r="C4879" s="51">
        <v>1.011</v>
      </c>
      <c r="D4879" s="51">
        <v>63.0</v>
      </c>
      <c r="E4879" s="52" t="s">
        <v>25</v>
      </c>
      <c r="F4879" s="52" t="s">
        <v>26</v>
      </c>
      <c r="G4879" s="53"/>
    </row>
    <row r="4880">
      <c r="A4880" s="49">
        <v>44564.43628556713</v>
      </c>
      <c r="B4880" s="50">
        <v>44564.5612614583</v>
      </c>
      <c r="C4880" s="51">
        <v>1.01</v>
      </c>
      <c r="D4880" s="51">
        <v>63.0</v>
      </c>
      <c r="E4880" s="52" t="s">
        <v>25</v>
      </c>
      <c r="F4880" s="52" t="s">
        <v>26</v>
      </c>
      <c r="G4880" s="53"/>
    </row>
    <row r="4881">
      <c r="A4881" s="49">
        <v>44564.446718935185</v>
      </c>
      <c r="B4881" s="50">
        <v>44564.5716936458</v>
      </c>
      <c r="C4881" s="51">
        <v>1.011</v>
      </c>
      <c r="D4881" s="51">
        <v>63.0</v>
      </c>
      <c r="E4881" s="52" t="s">
        <v>25</v>
      </c>
      <c r="F4881" s="52" t="s">
        <v>26</v>
      </c>
      <c r="G4881" s="53"/>
    </row>
    <row r="4882">
      <c r="A4882" s="49">
        <v>44564.45718087963</v>
      </c>
      <c r="B4882" s="50">
        <v>44564.5821626273</v>
      </c>
      <c r="C4882" s="51">
        <v>1.011</v>
      </c>
      <c r="D4882" s="51">
        <v>63.0</v>
      </c>
      <c r="E4882" s="52" t="s">
        <v>25</v>
      </c>
      <c r="F4882" s="52" t="s">
        <v>26</v>
      </c>
      <c r="G4882" s="53"/>
    </row>
    <row r="4883">
      <c r="A4883" s="49">
        <v>44564.46760567129</v>
      </c>
      <c r="B4883" s="50">
        <v>44564.5925841666</v>
      </c>
      <c r="C4883" s="51">
        <v>1.011</v>
      </c>
      <c r="D4883" s="51">
        <v>63.0</v>
      </c>
      <c r="E4883" s="52" t="s">
        <v>25</v>
      </c>
      <c r="F4883" s="52" t="s">
        <v>26</v>
      </c>
      <c r="G4883" s="53"/>
    </row>
    <row r="4884">
      <c r="A4884" s="49">
        <v>44564.478053425926</v>
      </c>
      <c r="B4884" s="50">
        <v>44564.6030270717</v>
      </c>
      <c r="C4884" s="51">
        <v>1.01</v>
      </c>
      <c r="D4884" s="51">
        <v>63.0</v>
      </c>
      <c r="E4884" s="52" t="s">
        <v>25</v>
      </c>
      <c r="F4884" s="52" t="s">
        <v>26</v>
      </c>
      <c r="G4884" s="53"/>
    </row>
    <row r="4885">
      <c r="A4885" s="49">
        <v>44564.488469710646</v>
      </c>
      <c r="B4885" s="50">
        <v>44564.6134481365</v>
      </c>
      <c r="C4885" s="51">
        <v>1.01</v>
      </c>
      <c r="D4885" s="51">
        <v>63.0</v>
      </c>
      <c r="E4885" s="52" t="s">
        <v>25</v>
      </c>
      <c r="F4885" s="52" t="s">
        <v>26</v>
      </c>
      <c r="G4885" s="53"/>
    </row>
    <row r="4886">
      <c r="A4886" s="49">
        <v>44564.49890450231</v>
      </c>
      <c r="B4886" s="50">
        <v>44564.6238808564</v>
      </c>
      <c r="C4886" s="51">
        <v>1.01</v>
      </c>
      <c r="D4886" s="51">
        <v>63.0</v>
      </c>
      <c r="E4886" s="52" t="s">
        <v>25</v>
      </c>
      <c r="F4886" s="52" t="s">
        <v>26</v>
      </c>
      <c r="G4886" s="53"/>
    </row>
    <row r="4887">
      <c r="A4887" s="49">
        <v>44564.50932913194</v>
      </c>
      <c r="B4887" s="50">
        <v>44564.6343024537</v>
      </c>
      <c r="C4887" s="51">
        <v>1.01</v>
      </c>
      <c r="D4887" s="51">
        <v>63.0</v>
      </c>
      <c r="E4887" s="52" t="s">
        <v>25</v>
      </c>
      <c r="F4887" s="52" t="s">
        <v>26</v>
      </c>
      <c r="G4887" s="53"/>
    </row>
    <row r="4888">
      <c r="A4888" s="49">
        <v>44564.51975922454</v>
      </c>
      <c r="B4888" s="50">
        <v>44564.6447351504</v>
      </c>
      <c r="C4888" s="51">
        <v>1.01</v>
      </c>
      <c r="D4888" s="51">
        <v>63.0</v>
      </c>
      <c r="E4888" s="52" t="s">
        <v>25</v>
      </c>
      <c r="F4888" s="52" t="s">
        <v>26</v>
      </c>
      <c r="G4888" s="53"/>
    </row>
    <row r="4889">
      <c r="A4889" s="49">
        <v>44564.5302129051</v>
      </c>
      <c r="B4889" s="50">
        <v>44564.6551895486</v>
      </c>
      <c r="C4889" s="51">
        <v>1.01</v>
      </c>
      <c r="D4889" s="51">
        <v>63.0</v>
      </c>
      <c r="E4889" s="52" t="s">
        <v>25</v>
      </c>
      <c r="F4889" s="52" t="s">
        <v>26</v>
      </c>
      <c r="G4889" s="53"/>
    </row>
    <row r="4890">
      <c r="A4890" s="49">
        <v>44564.54064303241</v>
      </c>
      <c r="B4890" s="50">
        <v>44564.6656232754</v>
      </c>
      <c r="C4890" s="51">
        <v>1.01</v>
      </c>
      <c r="D4890" s="51">
        <v>63.0</v>
      </c>
      <c r="E4890" s="52" t="s">
        <v>25</v>
      </c>
      <c r="F4890" s="52" t="s">
        <v>26</v>
      </c>
      <c r="G4890" s="53"/>
    </row>
    <row r="4891">
      <c r="A4891" s="49">
        <v>44564.55106171296</v>
      </c>
      <c r="B4891" s="50">
        <v>44564.6760434722</v>
      </c>
      <c r="C4891" s="51">
        <v>1.01</v>
      </c>
      <c r="D4891" s="51">
        <v>63.0</v>
      </c>
      <c r="E4891" s="52" t="s">
        <v>25</v>
      </c>
      <c r="F4891" s="52" t="s">
        <v>26</v>
      </c>
      <c r="G4891" s="53"/>
    </row>
    <row r="4892">
      <c r="A4892" s="49">
        <v>44564.561489201384</v>
      </c>
      <c r="B4892" s="50">
        <v>44564.686465243</v>
      </c>
      <c r="C4892" s="51">
        <v>1.01</v>
      </c>
      <c r="D4892" s="51">
        <v>63.0</v>
      </c>
      <c r="E4892" s="52" t="s">
        <v>25</v>
      </c>
      <c r="F4892" s="52" t="s">
        <v>26</v>
      </c>
      <c r="G4892" s="53"/>
    </row>
    <row r="4893">
      <c r="A4893" s="49">
        <v>44564.57191641204</v>
      </c>
      <c r="B4893" s="50">
        <v>44564.6968954398</v>
      </c>
      <c r="C4893" s="51">
        <v>1.01</v>
      </c>
      <c r="D4893" s="51">
        <v>63.0</v>
      </c>
      <c r="E4893" s="52" t="s">
        <v>25</v>
      </c>
      <c r="F4893" s="52" t="s">
        <v>26</v>
      </c>
      <c r="G4893" s="53"/>
    </row>
    <row r="4894">
      <c r="A4894" s="49">
        <v>44564.58233331019</v>
      </c>
      <c r="B4894" s="50">
        <v>44564.7073183217</v>
      </c>
      <c r="C4894" s="51">
        <v>1.01</v>
      </c>
      <c r="D4894" s="51">
        <v>63.0</v>
      </c>
      <c r="E4894" s="52" t="s">
        <v>25</v>
      </c>
      <c r="F4894" s="52" t="s">
        <v>26</v>
      </c>
      <c r="G4894" s="53"/>
    </row>
    <row r="4895">
      <c r="A4895" s="49">
        <v>44564.59276112268</v>
      </c>
      <c r="B4895" s="50">
        <v>44564.7177383912</v>
      </c>
      <c r="C4895" s="51">
        <v>1.01</v>
      </c>
      <c r="D4895" s="51">
        <v>63.0</v>
      </c>
      <c r="E4895" s="52" t="s">
        <v>25</v>
      </c>
      <c r="F4895" s="52" t="s">
        <v>26</v>
      </c>
      <c r="G4895" s="53"/>
    </row>
    <row r="4896">
      <c r="A4896" s="49">
        <v>44564.60318237268</v>
      </c>
      <c r="B4896" s="50">
        <v>44564.7281601851</v>
      </c>
      <c r="C4896" s="51">
        <v>1.01</v>
      </c>
      <c r="D4896" s="51">
        <v>63.0</v>
      </c>
      <c r="E4896" s="52" t="s">
        <v>25</v>
      </c>
      <c r="F4896" s="52" t="s">
        <v>26</v>
      </c>
      <c r="G4896" s="53"/>
    </row>
    <row r="4897">
      <c r="A4897" s="49">
        <v>44564.61359800926</v>
      </c>
      <c r="B4897" s="50">
        <v>44564.738582037</v>
      </c>
      <c r="C4897" s="51">
        <v>1.011</v>
      </c>
      <c r="D4897" s="51">
        <v>63.0</v>
      </c>
      <c r="E4897" s="52" t="s">
        <v>25</v>
      </c>
      <c r="F4897" s="52" t="s">
        <v>26</v>
      </c>
      <c r="G4897" s="53"/>
    </row>
    <row r="4898">
      <c r="A4898" s="49">
        <v>44564.6240253125</v>
      </c>
      <c r="B4898" s="50">
        <v>44564.7490025463</v>
      </c>
      <c r="C4898" s="51">
        <v>1.011</v>
      </c>
      <c r="D4898" s="51">
        <v>63.0</v>
      </c>
      <c r="E4898" s="52" t="s">
        <v>25</v>
      </c>
      <c r="F4898" s="52" t="s">
        <v>26</v>
      </c>
      <c r="G4898" s="53"/>
    </row>
    <row r="4899">
      <c r="A4899" s="49">
        <v>44564.63445835648</v>
      </c>
      <c r="B4899" s="50">
        <v>44564.7594356944</v>
      </c>
      <c r="C4899" s="51">
        <v>1.01</v>
      </c>
      <c r="D4899" s="51">
        <v>63.0</v>
      </c>
      <c r="E4899" s="52" t="s">
        <v>25</v>
      </c>
      <c r="F4899" s="52" t="s">
        <v>26</v>
      </c>
      <c r="G4899" s="53"/>
    </row>
    <row r="4900">
      <c r="A4900" s="49">
        <v>44564.64487846065</v>
      </c>
      <c r="B4900" s="50">
        <v>44564.7698579861</v>
      </c>
      <c r="C4900" s="51">
        <v>1.01</v>
      </c>
      <c r="D4900" s="51">
        <v>63.0</v>
      </c>
      <c r="E4900" s="52" t="s">
        <v>25</v>
      </c>
      <c r="F4900" s="52" t="s">
        <v>26</v>
      </c>
      <c r="G4900" s="53"/>
    </row>
    <row r="4901">
      <c r="A4901" s="49">
        <v>44564.65530755787</v>
      </c>
      <c r="B4901" s="50">
        <v>44564.7802904398</v>
      </c>
      <c r="C4901" s="51">
        <v>1.01</v>
      </c>
      <c r="D4901" s="51">
        <v>63.0</v>
      </c>
      <c r="E4901" s="52" t="s">
        <v>25</v>
      </c>
      <c r="F4901" s="52" t="s">
        <v>26</v>
      </c>
      <c r="G4901" s="53"/>
    </row>
    <row r="4902">
      <c r="A4902" s="49">
        <v>44564.66574408565</v>
      </c>
      <c r="B4902" s="50">
        <v>44564.7907118171</v>
      </c>
      <c r="C4902" s="51">
        <v>1.01</v>
      </c>
      <c r="D4902" s="51">
        <v>63.0</v>
      </c>
      <c r="E4902" s="52" t="s">
        <v>25</v>
      </c>
      <c r="F4902" s="52" t="s">
        <v>26</v>
      </c>
      <c r="G4902" s="53"/>
    </row>
    <row r="4903">
      <c r="A4903" s="49">
        <v>44564.676157800925</v>
      </c>
      <c r="B4903" s="50">
        <v>44564.8011337731</v>
      </c>
      <c r="C4903" s="51">
        <v>1.01</v>
      </c>
      <c r="D4903" s="51">
        <v>63.0</v>
      </c>
      <c r="E4903" s="52" t="s">
        <v>25</v>
      </c>
      <c r="F4903" s="52" t="s">
        <v>26</v>
      </c>
      <c r="G4903" s="53"/>
    </row>
    <row r="4904">
      <c r="A4904" s="49">
        <v>44564.68656685185</v>
      </c>
      <c r="B4904" s="50">
        <v>44564.811553125</v>
      </c>
      <c r="C4904" s="51">
        <v>1.01</v>
      </c>
      <c r="D4904" s="51">
        <v>63.0</v>
      </c>
      <c r="E4904" s="52" t="s">
        <v>25</v>
      </c>
      <c r="F4904" s="52" t="s">
        <v>26</v>
      </c>
      <c r="G4904" s="53"/>
    </row>
    <row r="4905">
      <c r="A4905" s="49">
        <v>44564.697001504624</v>
      </c>
      <c r="B4905" s="50">
        <v>44564.8219756134</v>
      </c>
      <c r="C4905" s="51">
        <v>1.01</v>
      </c>
      <c r="D4905" s="51">
        <v>63.0</v>
      </c>
      <c r="E4905" s="52" t="s">
        <v>25</v>
      </c>
      <c r="F4905" s="52" t="s">
        <v>26</v>
      </c>
      <c r="G4905" s="53"/>
    </row>
    <row r="4906">
      <c r="A4906" s="49">
        <v>44564.70743155092</v>
      </c>
      <c r="B4906" s="50">
        <v>44564.8324084722</v>
      </c>
      <c r="C4906" s="51">
        <v>1.01</v>
      </c>
      <c r="D4906" s="51">
        <v>63.0</v>
      </c>
      <c r="E4906" s="52" t="s">
        <v>25</v>
      </c>
      <c r="F4906" s="52" t="s">
        <v>26</v>
      </c>
      <c r="G4906" s="53"/>
    </row>
    <row r="4907">
      <c r="A4907" s="49">
        <v>44564.71787047454</v>
      </c>
      <c r="B4907" s="50">
        <v>44564.842843125</v>
      </c>
      <c r="C4907" s="51">
        <v>1.011</v>
      </c>
      <c r="D4907" s="51">
        <v>63.0</v>
      </c>
      <c r="E4907" s="52" t="s">
        <v>25</v>
      </c>
      <c r="F4907" s="52" t="s">
        <v>26</v>
      </c>
      <c r="G4907" s="53"/>
    </row>
    <row r="4908">
      <c r="A4908" s="49">
        <v>44564.72829254629</v>
      </c>
      <c r="B4908" s="50">
        <v>44564.8532649652</v>
      </c>
      <c r="C4908" s="51">
        <v>1.01</v>
      </c>
      <c r="D4908" s="51">
        <v>63.0</v>
      </c>
      <c r="E4908" s="52" t="s">
        <v>25</v>
      </c>
      <c r="F4908" s="52" t="s">
        <v>26</v>
      </c>
      <c r="G4908" s="53"/>
    </row>
    <row r="4909">
      <c r="A4909" s="49">
        <v>44564.738706296295</v>
      </c>
      <c r="B4909" s="50">
        <v>44564.8636866435</v>
      </c>
      <c r="C4909" s="51">
        <v>1.01</v>
      </c>
      <c r="D4909" s="51">
        <v>63.0</v>
      </c>
      <c r="E4909" s="52" t="s">
        <v>25</v>
      </c>
      <c r="F4909" s="52" t="s">
        <v>26</v>
      </c>
      <c r="G4909" s="53"/>
    </row>
    <row r="4910">
      <c r="A4910" s="49">
        <v>44564.74913164352</v>
      </c>
      <c r="B4910" s="50">
        <v>44564.8741092129</v>
      </c>
      <c r="C4910" s="51">
        <v>1.011</v>
      </c>
      <c r="D4910" s="51">
        <v>63.0</v>
      </c>
      <c r="E4910" s="52" t="s">
        <v>25</v>
      </c>
      <c r="F4910" s="52" t="s">
        <v>26</v>
      </c>
      <c r="G4910" s="53"/>
    </row>
    <row r="4911">
      <c r="A4911" s="49">
        <v>44564.759545486115</v>
      </c>
      <c r="B4911" s="50">
        <v>44564.8845293287</v>
      </c>
      <c r="C4911" s="51">
        <v>1.01</v>
      </c>
      <c r="D4911" s="51">
        <v>63.0</v>
      </c>
      <c r="E4911" s="52" t="s">
        <v>25</v>
      </c>
      <c r="F4911" s="52" t="s">
        <v>26</v>
      </c>
      <c r="G4911" s="53"/>
    </row>
    <row r="4912">
      <c r="A4912" s="49">
        <v>44564.769966527776</v>
      </c>
      <c r="B4912" s="50">
        <v>44564.8949509143</v>
      </c>
      <c r="C4912" s="51">
        <v>1.01</v>
      </c>
      <c r="D4912" s="51">
        <v>63.0</v>
      </c>
      <c r="E4912" s="52" t="s">
        <v>25</v>
      </c>
      <c r="F4912" s="52" t="s">
        <v>26</v>
      </c>
      <c r="G4912" s="53"/>
    </row>
    <row r="4913">
      <c r="A4913" s="49">
        <v>44564.78039837963</v>
      </c>
      <c r="B4913" s="50">
        <v>44564.9053842129</v>
      </c>
      <c r="C4913" s="51">
        <v>1.011</v>
      </c>
      <c r="D4913" s="51">
        <v>63.0</v>
      </c>
      <c r="E4913" s="52" t="s">
        <v>25</v>
      </c>
      <c r="F4913" s="52" t="s">
        <v>26</v>
      </c>
      <c r="G4913" s="53"/>
    </row>
    <row r="4914">
      <c r="A4914" s="49">
        <v>44564.79082997685</v>
      </c>
      <c r="B4914" s="50">
        <v>44564.9158040625</v>
      </c>
      <c r="C4914" s="51">
        <v>1.01</v>
      </c>
      <c r="D4914" s="51">
        <v>63.0</v>
      </c>
      <c r="E4914" s="52" t="s">
        <v>25</v>
      </c>
      <c r="F4914" s="52" t="s">
        <v>26</v>
      </c>
      <c r="G4914" s="53"/>
    </row>
    <row r="4915">
      <c r="A4915" s="49">
        <v>44564.80125724537</v>
      </c>
      <c r="B4915" s="50">
        <v>44564.9262363541</v>
      </c>
      <c r="C4915" s="51">
        <v>1.01</v>
      </c>
      <c r="D4915" s="51">
        <v>63.0</v>
      </c>
      <c r="E4915" s="52" t="s">
        <v>25</v>
      </c>
      <c r="F4915" s="52" t="s">
        <v>26</v>
      </c>
      <c r="G4915" s="53"/>
    </row>
    <row r="4916">
      <c r="A4916" s="49">
        <v>44564.811674502314</v>
      </c>
      <c r="B4916" s="50">
        <v>44564.9366573263</v>
      </c>
      <c r="C4916" s="51">
        <v>1.01</v>
      </c>
      <c r="D4916" s="51">
        <v>63.0</v>
      </c>
      <c r="E4916" s="52" t="s">
        <v>25</v>
      </c>
      <c r="F4916" s="52" t="s">
        <v>26</v>
      </c>
      <c r="G4916" s="53"/>
    </row>
    <row r="4917">
      <c r="A4917" s="49">
        <v>44564.82210101852</v>
      </c>
      <c r="B4917" s="50">
        <v>44564.9470768634</v>
      </c>
      <c r="C4917" s="51">
        <v>1.011</v>
      </c>
      <c r="D4917" s="51">
        <v>63.0</v>
      </c>
      <c r="E4917" s="52" t="s">
        <v>25</v>
      </c>
      <c r="F4917" s="52" t="s">
        <v>26</v>
      </c>
      <c r="G4917" s="53"/>
    </row>
    <row r="4918">
      <c r="A4918" s="49">
        <v>44564.83251777777</v>
      </c>
      <c r="B4918" s="50">
        <v>44564.9574960416</v>
      </c>
      <c r="C4918" s="51">
        <v>1.01</v>
      </c>
      <c r="D4918" s="51">
        <v>63.0</v>
      </c>
      <c r="E4918" s="52" t="s">
        <v>25</v>
      </c>
      <c r="F4918" s="52" t="s">
        <v>26</v>
      </c>
      <c r="G4918" s="53"/>
    </row>
    <row r="4919">
      <c r="A4919" s="49">
        <v>44564.84294429398</v>
      </c>
      <c r="B4919" s="50">
        <v>44564.967917581</v>
      </c>
      <c r="C4919" s="51">
        <v>1.01</v>
      </c>
      <c r="D4919" s="51">
        <v>63.0</v>
      </c>
      <c r="E4919" s="52" t="s">
        <v>25</v>
      </c>
      <c r="F4919" s="52" t="s">
        <v>26</v>
      </c>
      <c r="G4919" s="53"/>
    </row>
    <row r="4920">
      <c r="A4920" s="49">
        <v>44564.85338425926</v>
      </c>
      <c r="B4920" s="50">
        <v>44564.9783616087</v>
      </c>
      <c r="C4920" s="51">
        <v>1.01</v>
      </c>
      <c r="D4920" s="51">
        <v>63.0</v>
      </c>
      <c r="E4920" s="52" t="s">
        <v>25</v>
      </c>
      <c r="F4920" s="52" t="s">
        <v>26</v>
      </c>
      <c r="G4920" s="53"/>
    </row>
    <row r="4921">
      <c r="A4921" s="49">
        <v>44564.86382893518</v>
      </c>
      <c r="B4921" s="50">
        <v>44564.9888072222</v>
      </c>
      <c r="C4921" s="51">
        <v>1.01</v>
      </c>
      <c r="D4921" s="51">
        <v>63.0</v>
      </c>
      <c r="E4921" s="52" t="s">
        <v>25</v>
      </c>
      <c r="F4921" s="52" t="s">
        <v>26</v>
      </c>
      <c r="G4921" s="53"/>
    </row>
    <row r="4922">
      <c r="A4922" s="49">
        <v>44564.874248912034</v>
      </c>
      <c r="B4922" s="50">
        <v>44564.999229375</v>
      </c>
      <c r="C4922" s="51">
        <v>1.011</v>
      </c>
      <c r="D4922" s="51">
        <v>63.0</v>
      </c>
      <c r="E4922" s="52" t="s">
        <v>25</v>
      </c>
      <c r="F4922" s="52" t="s">
        <v>26</v>
      </c>
      <c r="G4922" s="53"/>
    </row>
    <row r="4923">
      <c r="A4923" s="49">
        <v>44564.88466549768</v>
      </c>
      <c r="B4923" s="50">
        <v>44565.0096500694</v>
      </c>
      <c r="C4923" s="51">
        <v>1.011</v>
      </c>
      <c r="D4923" s="51">
        <v>63.0</v>
      </c>
      <c r="E4923" s="52" t="s">
        <v>25</v>
      </c>
      <c r="F4923" s="52" t="s">
        <v>26</v>
      </c>
      <c r="G4923" s="53"/>
    </row>
    <row r="4924">
      <c r="A4924" s="49">
        <v>44564.895096238426</v>
      </c>
      <c r="B4924" s="50">
        <v>44565.0200708796</v>
      </c>
      <c r="C4924" s="51">
        <v>1.01</v>
      </c>
      <c r="D4924" s="51">
        <v>63.0</v>
      </c>
      <c r="E4924" s="52" t="s">
        <v>25</v>
      </c>
      <c r="F4924" s="52" t="s">
        <v>26</v>
      </c>
      <c r="G4924" s="53"/>
    </row>
    <row r="4925">
      <c r="A4925" s="49">
        <v>44564.905514768514</v>
      </c>
      <c r="B4925" s="50">
        <v>44565.0304914351</v>
      </c>
      <c r="C4925" s="51">
        <v>1.011</v>
      </c>
      <c r="D4925" s="51">
        <v>63.0</v>
      </c>
      <c r="E4925" s="52" t="s">
        <v>25</v>
      </c>
      <c r="F4925" s="52" t="s">
        <v>26</v>
      </c>
      <c r="G4925" s="53"/>
    </row>
    <row r="4926">
      <c r="A4926" s="49">
        <v>44564.915963217594</v>
      </c>
      <c r="B4926" s="50">
        <v>44565.0409371296</v>
      </c>
      <c r="C4926" s="51">
        <v>1.01</v>
      </c>
      <c r="D4926" s="51">
        <v>63.0</v>
      </c>
      <c r="E4926" s="52" t="s">
        <v>25</v>
      </c>
      <c r="F4926" s="52" t="s">
        <v>26</v>
      </c>
      <c r="G4926" s="53"/>
    </row>
    <row r="4927">
      <c r="A4927" s="49">
        <v>44564.92640604167</v>
      </c>
      <c r="B4927" s="50">
        <v>44565.0513822222</v>
      </c>
      <c r="C4927" s="51">
        <v>1.011</v>
      </c>
      <c r="D4927" s="51">
        <v>63.0</v>
      </c>
      <c r="E4927" s="52" t="s">
        <v>25</v>
      </c>
      <c r="F4927" s="52" t="s">
        <v>26</v>
      </c>
      <c r="G4927" s="53"/>
    </row>
    <row r="4928">
      <c r="A4928" s="49">
        <v>44564.93682123843</v>
      </c>
      <c r="B4928" s="50">
        <v>44565.0618022453</v>
      </c>
      <c r="C4928" s="51">
        <v>1.011</v>
      </c>
      <c r="D4928" s="51">
        <v>63.0</v>
      </c>
      <c r="E4928" s="52" t="s">
        <v>25</v>
      </c>
      <c r="F4928" s="52" t="s">
        <v>26</v>
      </c>
      <c r="G4928" s="53"/>
    </row>
    <row r="4929">
      <c r="A4929" s="49">
        <v>44564.947238078705</v>
      </c>
      <c r="B4929" s="50">
        <v>44565.0722238425</v>
      </c>
      <c r="C4929" s="51">
        <v>1.01</v>
      </c>
      <c r="D4929" s="51">
        <v>63.0</v>
      </c>
      <c r="E4929" s="52" t="s">
        <v>25</v>
      </c>
      <c r="F4929" s="52" t="s">
        <v>26</v>
      </c>
      <c r="G4929" s="53"/>
    </row>
    <row r="4930">
      <c r="A4930" s="49">
        <v>44564.95769351852</v>
      </c>
      <c r="B4930" s="50">
        <v>44565.0826687152</v>
      </c>
      <c r="C4930" s="51">
        <v>1.011</v>
      </c>
      <c r="D4930" s="51">
        <v>63.0</v>
      </c>
      <c r="E4930" s="52" t="s">
        <v>25</v>
      </c>
      <c r="F4930" s="52" t="s">
        <v>26</v>
      </c>
      <c r="G4930" s="53"/>
    </row>
    <row r="4931">
      <c r="A4931" s="49">
        <v>44564.96812278935</v>
      </c>
      <c r="B4931" s="50">
        <v>44565.0931021412</v>
      </c>
      <c r="C4931" s="51">
        <v>1.01</v>
      </c>
      <c r="D4931" s="51">
        <v>64.0</v>
      </c>
      <c r="E4931" s="52" t="s">
        <v>25</v>
      </c>
      <c r="F4931" s="52" t="s">
        <v>26</v>
      </c>
      <c r="G4931" s="53"/>
    </row>
    <row r="4932">
      <c r="A4932" s="49">
        <v>44564.978551712964</v>
      </c>
      <c r="B4932" s="50">
        <v>44565.1035344675</v>
      </c>
      <c r="C4932" s="51">
        <v>1.01</v>
      </c>
      <c r="D4932" s="51">
        <v>64.0</v>
      </c>
      <c r="E4932" s="52" t="s">
        <v>25</v>
      </c>
      <c r="F4932" s="52" t="s">
        <v>26</v>
      </c>
      <c r="G4932" s="53"/>
    </row>
    <row r="4933">
      <c r="A4933" s="49">
        <v>44564.98898288194</v>
      </c>
      <c r="B4933" s="50">
        <v>44565.1139553935</v>
      </c>
      <c r="C4933" s="51">
        <v>1.01</v>
      </c>
      <c r="D4933" s="51">
        <v>65.0</v>
      </c>
      <c r="E4933" s="52" t="s">
        <v>25</v>
      </c>
      <c r="F4933" s="52" t="s">
        <v>26</v>
      </c>
      <c r="G4933" s="53"/>
    </row>
    <row r="4934">
      <c r="A4934" s="49">
        <v>44564.99940269676</v>
      </c>
      <c r="B4934" s="50">
        <v>44565.1243744791</v>
      </c>
      <c r="C4934" s="51">
        <v>1.01</v>
      </c>
      <c r="D4934" s="51">
        <v>65.0</v>
      </c>
      <c r="E4934" s="52" t="s">
        <v>25</v>
      </c>
      <c r="F4934" s="52" t="s">
        <v>26</v>
      </c>
      <c r="G4934" s="53"/>
    </row>
    <row r="4935">
      <c r="A4935" s="49">
        <v>44565.00982346065</v>
      </c>
      <c r="B4935" s="50">
        <v>44565.1347964351</v>
      </c>
      <c r="C4935" s="51">
        <v>1.01</v>
      </c>
      <c r="D4935" s="51">
        <v>65.0</v>
      </c>
      <c r="E4935" s="52" t="s">
        <v>25</v>
      </c>
      <c r="F4935" s="52" t="s">
        <v>26</v>
      </c>
      <c r="G4935" s="53"/>
    </row>
    <row r="4936">
      <c r="A4936" s="49">
        <v>44565.02025460648</v>
      </c>
      <c r="B4936" s="50">
        <v>44565.1452393518</v>
      </c>
      <c r="C4936" s="51">
        <v>1.01</v>
      </c>
      <c r="D4936" s="51">
        <v>66.0</v>
      </c>
      <c r="E4936" s="52" t="s">
        <v>25</v>
      </c>
      <c r="F4936" s="52" t="s">
        <v>26</v>
      </c>
      <c r="G4936" s="53"/>
    </row>
    <row r="4937">
      <c r="A4937" s="49">
        <v>44565.03068891204</v>
      </c>
      <c r="B4937" s="50">
        <v>44565.1556719212</v>
      </c>
      <c r="C4937" s="51">
        <v>1.01</v>
      </c>
      <c r="D4937" s="51">
        <v>66.0</v>
      </c>
      <c r="E4937" s="52" t="s">
        <v>25</v>
      </c>
      <c r="F4937" s="52" t="s">
        <v>26</v>
      </c>
      <c r="G4937" s="53"/>
    </row>
    <row r="4938">
      <c r="A4938" s="49">
        <v>44565.041118333334</v>
      </c>
      <c r="B4938" s="50">
        <v>44565.1660933217</v>
      </c>
      <c r="C4938" s="51">
        <v>1.01</v>
      </c>
      <c r="D4938" s="51">
        <v>67.0</v>
      </c>
      <c r="E4938" s="52" t="s">
        <v>25</v>
      </c>
      <c r="F4938" s="52" t="s">
        <v>26</v>
      </c>
      <c r="G4938" s="53"/>
    </row>
    <row r="4939">
      <c r="A4939" s="49">
        <v>44565.05157269676</v>
      </c>
      <c r="B4939" s="50">
        <v>44565.1765505555</v>
      </c>
      <c r="C4939" s="51">
        <v>1.01</v>
      </c>
      <c r="D4939" s="51">
        <v>67.0</v>
      </c>
      <c r="E4939" s="52" t="s">
        <v>25</v>
      </c>
      <c r="F4939" s="52" t="s">
        <v>26</v>
      </c>
      <c r="G4939" s="53"/>
    </row>
    <row r="4940">
      <c r="A4940" s="49">
        <v>44565.06201569445</v>
      </c>
      <c r="B4940" s="50">
        <v>44565.1869941666</v>
      </c>
      <c r="C4940" s="51">
        <v>1.01</v>
      </c>
      <c r="D4940" s="51">
        <v>67.0</v>
      </c>
      <c r="E4940" s="52" t="s">
        <v>25</v>
      </c>
      <c r="F4940" s="52" t="s">
        <v>26</v>
      </c>
      <c r="G4940" s="53"/>
    </row>
    <row r="4941">
      <c r="A4941" s="49">
        <v>44565.072509074074</v>
      </c>
      <c r="B4941" s="50">
        <v>44565.1974842013</v>
      </c>
      <c r="C4941" s="51">
        <v>1.01</v>
      </c>
      <c r="D4941" s="51">
        <v>68.0</v>
      </c>
      <c r="E4941" s="52" t="s">
        <v>25</v>
      </c>
      <c r="F4941" s="52" t="s">
        <v>26</v>
      </c>
      <c r="G4941" s="53"/>
    </row>
    <row r="4942">
      <c r="A4942" s="49">
        <v>44565.082944988426</v>
      </c>
      <c r="B4942" s="50">
        <v>44565.2079171412</v>
      </c>
      <c r="C4942" s="51">
        <v>1.009</v>
      </c>
      <c r="D4942" s="51">
        <v>68.0</v>
      </c>
      <c r="E4942" s="52" t="s">
        <v>25</v>
      </c>
      <c r="F4942" s="52" t="s">
        <v>26</v>
      </c>
      <c r="G4942" s="53"/>
    </row>
    <row r="4943">
      <c r="A4943" s="49">
        <v>44565.093362893516</v>
      </c>
      <c r="B4943" s="50">
        <v>44565.2183384375</v>
      </c>
      <c r="C4943" s="51">
        <v>1.01</v>
      </c>
      <c r="D4943" s="51">
        <v>68.0</v>
      </c>
      <c r="E4943" s="52" t="s">
        <v>25</v>
      </c>
      <c r="F4943" s="52" t="s">
        <v>26</v>
      </c>
      <c r="G4943" s="53"/>
    </row>
    <row r="4944">
      <c r="A4944" s="49">
        <v>44565.10378297453</v>
      </c>
      <c r="B4944" s="50">
        <v>44565.2287596296</v>
      </c>
      <c r="C4944" s="51">
        <v>1.01</v>
      </c>
      <c r="D4944" s="51">
        <v>68.0</v>
      </c>
      <c r="E4944" s="52" t="s">
        <v>25</v>
      </c>
      <c r="F4944" s="52" t="s">
        <v>26</v>
      </c>
      <c r="G4944" s="53"/>
    </row>
    <row r="4945">
      <c r="A4945" s="49">
        <v>44565.11420391204</v>
      </c>
      <c r="B4945" s="50">
        <v>44565.2391809375</v>
      </c>
      <c r="C4945" s="51">
        <v>1.01</v>
      </c>
      <c r="D4945" s="51">
        <v>68.0</v>
      </c>
      <c r="E4945" s="52" t="s">
        <v>25</v>
      </c>
      <c r="F4945" s="52" t="s">
        <v>26</v>
      </c>
      <c r="G4945" s="53"/>
    </row>
    <row r="4946">
      <c r="A4946" s="49">
        <v>44565.12463590278</v>
      </c>
      <c r="B4946" s="50">
        <v>44565.2496020023</v>
      </c>
      <c r="C4946" s="51">
        <v>1.01</v>
      </c>
      <c r="D4946" s="51">
        <v>68.0</v>
      </c>
      <c r="E4946" s="52" t="s">
        <v>25</v>
      </c>
      <c r="F4946" s="52" t="s">
        <v>26</v>
      </c>
      <c r="G4946" s="53"/>
    </row>
    <row r="4947">
      <c r="A4947" s="49">
        <v>44565.135048067124</v>
      </c>
      <c r="B4947" s="50">
        <v>44565.2600205439</v>
      </c>
      <c r="C4947" s="51">
        <v>1.01</v>
      </c>
      <c r="D4947" s="51">
        <v>68.0</v>
      </c>
      <c r="E4947" s="52" t="s">
        <v>25</v>
      </c>
      <c r="F4947" s="52" t="s">
        <v>26</v>
      </c>
      <c r="G4947" s="53"/>
    </row>
    <row r="4948">
      <c r="A4948" s="49">
        <v>44565.14546694444</v>
      </c>
      <c r="B4948" s="50">
        <v>44565.2704409606</v>
      </c>
      <c r="C4948" s="51">
        <v>1.01</v>
      </c>
      <c r="D4948" s="51">
        <v>68.0</v>
      </c>
      <c r="E4948" s="52" t="s">
        <v>25</v>
      </c>
      <c r="F4948" s="52" t="s">
        <v>26</v>
      </c>
      <c r="G4948" s="53"/>
    </row>
    <row r="4949">
      <c r="A4949" s="49">
        <v>44565.1558777662</v>
      </c>
      <c r="B4949" s="50">
        <v>44565.2808617939</v>
      </c>
      <c r="C4949" s="51">
        <v>1.01</v>
      </c>
      <c r="D4949" s="51">
        <v>68.0</v>
      </c>
      <c r="E4949" s="52" t="s">
        <v>25</v>
      </c>
      <c r="F4949" s="52" t="s">
        <v>26</v>
      </c>
      <c r="G4949" s="53"/>
    </row>
    <row r="4950">
      <c r="A4950" s="49">
        <v>44565.16630626157</v>
      </c>
      <c r="B4950" s="50">
        <v>44565.2912847916</v>
      </c>
      <c r="C4950" s="51">
        <v>1.01</v>
      </c>
      <c r="D4950" s="51">
        <v>68.0</v>
      </c>
      <c r="E4950" s="52" t="s">
        <v>25</v>
      </c>
      <c r="F4950" s="52" t="s">
        <v>26</v>
      </c>
      <c r="G4950" s="53"/>
    </row>
    <row r="4951">
      <c r="A4951" s="49">
        <v>44565.1767686574</v>
      </c>
      <c r="B4951" s="50">
        <v>44565.3017410532</v>
      </c>
      <c r="C4951" s="51">
        <v>1.01</v>
      </c>
      <c r="D4951" s="51">
        <v>68.0</v>
      </c>
      <c r="E4951" s="52" t="s">
        <v>25</v>
      </c>
      <c r="F4951" s="52" t="s">
        <v>26</v>
      </c>
      <c r="G4951" s="53"/>
    </row>
    <row r="4952">
      <c r="A4952" s="49">
        <v>44565.187184803246</v>
      </c>
      <c r="B4952" s="50">
        <v>44565.3121628703</v>
      </c>
      <c r="C4952" s="51">
        <v>1.01</v>
      </c>
      <c r="D4952" s="51">
        <v>68.0</v>
      </c>
      <c r="E4952" s="52" t="s">
        <v>25</v>
      </c>
      <c r="F4952" s="52" t="s">
        <v>26</v>
      </c>
      <c r="G4952" s="53"/>
    </row>
    <row r="4953">
      <c r="A4953" s="49">
        <v>44565.19763844907</v>
      </c>
      <c r="B4953" s="50">
        <v>44565.3226074537</v>
      </c>
      <c r="C4953" s="51">
        <v>1.01</v>
      </c>
      <c r="D4953" s="51">
        <v>68.0</v>
      </c>
      <c r="E4953" s="52" t="s">
        <v>25</v>
      </c>
      <c r="F4953" s="52" t="s">
        <v>26</v>
      </c>
      <c r="G4953" s="53"/>
    </row>
    <row r="4954">
      <c r="A4954" s="49">
        <v>44565.20805505787</v>
      </c>
      <c r="B4954" s="50">
        <v>44565.3330298958</v>
      </c>
      <c r="C4954" s="51">
        <v>1.01</v>
      </c>
      <c r="D4954" s="51">
        <v>68.0</v>
      </c>
      <c r="E4954" s="52" t="s">
        <v>25</v>
      </c>
      <c r="F4954" s="52" t="s">
        <v>26</v>
      </c>
      <c r="G4954" s="53"/>
    </row>
    <row r="4955">
      <c r="A4955" s="49">
        <v>44565.218472673616</v>
      </c>
      <c r="B4955" s="50">
        <v>44565.3434509722</v>
      </c>
      <c r="C4955" s="51">
        <v>1.01</v>
      </c>
      <c r="D4955" s="51">
        <v>67.0</v>
      </c>
      <c r="E4955" s="52" t="s">
        <v>25</v>
      </c>
      <c r="F4955" s="52" t="s">
        <v>26</v>
      </c>
      <c r="G4955" s="53"/>
    </row>
    <row r="4956">
      <c r="A4956" s="49">
        <v>44565.228899884256</v>
      </c>
      <c r="B4956" s="50">
        <v>44565.3538717592</v>
      </c>
      <c r="C4956" s="51">
        <v>1.01</v>
      </c>
      <c r="D4956" s="51">
        <v>67.0</v>
      </c>
      <c r="E4956" s="52" t="s">
        <v>25</v>
      </c>
      <c r="F4956" s="52" t="s">
        <v>26</v>
      </c>
      <c r="G4956" s="53"/>
    </row>
    <row r="4957">
      <c r="A4957" s="49">
        <v>44565.23932986111</v>
      </c>
      <c r="B4957" s="50">
        <v>44565.3642944675</v>
      </c>
      <c r="C4957" s="51">
        <v>1.01</v>
      </c>
      <c r="D4957" s="51">
        <v>67.0</v>
      </c>
      <c r="E4957" s="52" t="s">
        <v>25</v>
      </c>
      <c r="F4957" s="52" t="s">
        <v>26</v>
      </c>
      <c r="G4957" s="53"/>
    </row>
    <row r="4958">
      <c r="A4958" s="49">
        <v>44565.249744016204</v>
      </c>
      <c r="B4958" s="50">
        <v>44565.3747168171</v>
      </c>
      <c r="C4958" s="51">
        <v>1.01</v>
      </c>
      <c r="D4958" s="51">
        <v>67.0</v>
      </c>
      <c r="E4958" s="52" t="s">
        <v>25</v>
      </c>
      <c r="F4958" s="52" t="s">
        <v>26</v>
      </c>
      <c r="G4958" s="53"/>
    </row>
    <row r="4959">
      <c r="A4959" s="49">
        <v>44565.26016611111</v>
      </c>
      <c r="B4959" s="50">
        <v>44565.3851392939</v>
      </c>
      <c r="C4959" s="51">
        <v>1.01</v>
      </c>
      <c r="D4959" s="51">
        <v>67.0</v>
      </c>
      <c r="E4959" s="52" t="s">
        <v>25</v>
      </c>
      <c r="F4959" s="52" t="s">
        <v>26</v>
      </c>
      <c r="G4959" s="53"/>
    </row>
    <row r="4960">
      <c r="A4960" s="49">
        <v>44565.27063054398</v>
      </c>
      <c r="B4960" s="50">
        <v>44565.3955624884</v>
      </c>
      <c r="C4960" s="51">
        <v>1.01</v>
      </c>
      <c r="D4960" s="51">
        <v>67.0</v>
      </c>
      <c r="E4960" s="52" t="s">
        <v>25</v>
      </c>
      <c r="F4960" s="52" t="s">
        <v>26</v>
      </c>
      <c r="G4960" s="53"/>
    </row>
    <row r="4961">
      <c r="A4961" s="49">
        <v>44565.28104872685</v>
      </c>
      <c r="B4961" s="50">
        <v>44565.4059944328</v>
      </c>
      <c r="C4961" s="51">
        <v>1.01</v>
      </c>
      <c r="D4961" s="51">
        <v>67.0</v>
      </c>
      <c r="E4961" s="52" t="s">
        <v>25</v>
      </c>
      <c r="F4961" s="52" t="s">
        <v>26</v>
      </c>
      <c r="G4961" s="53"/>
    </row>
    <row r="4962">
      <c r="A4962" s="49">
        <v>44565.29143981481</v>
      </c>
      <c r="B4962" s="50">
        <v>44565.4164143402</v>
      </c>
      <c r="C4962" s="51">
        <v>1.01</v>
      </c>
      <c r="D4962" s="51">
        <v>67.0</v>
      </c>
      <c r="E4962" s="52" t="s">
        <v>25</v>
      </c>
      <c r="F4962" s="52" t="s">
        <v>26</v>
      </c>
      <c r="G4962" s="53"/>
    </row>
    <row r="4963">
      <c r="A4963" s="49">
        <v>44565.30186934028</v>
      </c>
      <c r="B4963" s="50">
        <v>44565.4268463888</v>
      </c>
      <c r="C4963" s="51">
        <v>1.01</v>
      </c>
      <c r="D4963" s="51">
        <v>67.0</v>
      </c>
      <c r="E4963" s="52" t="s">
        <v>25</v>
      </c>
      <c r="F4963" s="52" t="s">
        <v>26</v>
      </c>
      <c r="G4963" s="53"/>
    </row>
    <row r="4964">
      <c r="A4964" s="49">
        <v>44565.31229585648</v>
      </c>
      <c r="B4964" s="50">
        <v>44565.4372689004</v>
      </c>
      <c r="C4964" s="51">
        <v>1.01</v>
      </c>
      <c r="D4964" s="51">
        <v>67.0</v>
      </c>
      <c r="E4964" s="52" t="s">
        <v>25</v>
      </c>
      <c r="F4964" s="52" t="s">
        <v>26</v>
      </c>
      <c r="G4964" s="53"/>
    </row>
    <row r="4965">
      <c r="A4965" s="49">
        <v>44565.322714525464</v>
      </c>
      <c r="B4965" s="50">
        <v>44565.4476901504</v>
      </c>
      <c r="C4965" s="51">
        <v>1.009</v>
      </c>
      <c r="D4965" s="51">
        <v>67.0</v>
      </c>
      <c r="E4965" s="52" t="s">
        <v>25</v>
      </c>
      <c r="F4965" s="52" t="s">
        <v>26</v>
      </c>
      <c r="G4965" s="53"/>
    </row>
    <row r="4966">
      <c r="A4966" s="49">
        <v>44565.33316420139</v>
      </c>
      <c r="B4966" s="50">
        <v>44565.4581237152</v>
      </c>
      <c r="C4966" s="51">
        <v>1.01</v>
      </c>
      <c r="D4966" s="51">
        <v>67.0</v>
      </c>
      <c r="E4966" s="52" t="s">
        <v>25</v>
      </c>
      <c r="F4966" s="52" t="s">
        <v>26</v>
      </c>
      <c r="G4966" s="53"/>
    </row>
    <row r="4967">
      <c r="A4967" s="49">
        <v>44565.343563159724</v>
      </c>
      <c r="B4967" s="50">
        <v>44565.4685436111</v>
      </c>
      <c r="C4967" s="51">
        <v>1.01</v>
      </c>
      <c r="D4967" s="51">
        <v>67.0</v>
      </c>
      <c r="E4967" s="52" t="s">
        <v>25</v>
      </c>
      <c r="F4967" s="52" t="s">
        <v>26</v>
      </c>
      <c r="G4967" s="53"/>
    </row>
    <row r="4968">
      <c r="A4968" s="49">
        <v>44565.354029166665</v>
      </c>
      <c r="B4968" s="50">
        <v>44565.47898853</v>
      </c>
      <c r="C4968" s="51">
        <v>1.01</v>
      </c>
      <c r="D4968" s="51">
        <v>67.0</v>
      </c>
      <c r="E4968" s="52" t="s">
        <v>25</v>
      </c>
      <c r="F4968" s="52" t="s">
        <v>26</v>
      </c>
      <c r="G4968" s="53"/>
    </row>
    <row r="4969">
      <c r="A4969" s="49">
        <v>44565.364445150466</v>
      </c>
      <c r="B4969" s="50">
        <v>44565.4894212847</v>
      </c>
      <c r="C4969" s="51">
        <v>1.01</v>
      </c>
      <c r="D4969" s="51">
        <v>67.0</v>
      </c>
      <c r="E4969" s="52" t="s">
        <v>25</v>
      </c>
      <c r="F4969" s="52" t="s">
        <v>26</v>
      </c>
      <c r="G4969" s="53"/>
    </row>
    <row r="4970">
      <c r="A4970" s="49">
        <v>44565.37486099537</v>
      </c>
      <c r="B4970" s="50">
        <v>44565.4998432986</v>
      </c>
      <c r="C4970" s="51">
        <v>1.01</v>
      </c>
      <c r="D4970" s="51">
        <v>67.0</v>
      </c>
      <c r="E4970" s="52" t="s">
        <v>25</v>
      </c>
      <c r="F4970" s="52" t="s">
        <v>26</v>
      </c>
      <c r="G4970" s="53"/>
    </row>
    <row r="4971">
      <c r="A4971" s="49">
        <v>44565.385297754634</v>
      </c>
      <c r="B4971" s="50">
        <v>44565.5102649421</v>
      </c>
      <c r="C4971" s="51">
        <v>1.01</v>
      </c>
      <c r="D4971" s="51">
        <v>67.0</v>
      </c>
      <c r="E4971" s="52" t="s">
        <v>25</v>
      </c>
      <c r="F4971" s="52" t="s">
        <v>26</v>
      </c>
      <c r="G4971" s="53"/>
    </row>
    <row r="4972">
      <c r="A4972" s="49">
        <v>44565.395770636576</v>
      </c>
      <c r="B4972" s="50">
        <v>44565.5206963425</v>
      </c>
      <c r="C4972" s="51">
        <v>1.01</v>
      </c>
      <c r="D4972" s="51">
        <v>67.0</v>
      </c>
      <c r="E4972" s="52" t="s">
        <v>25</v>
      </c>
      <c r="F4972" s="52" t="s">
        <v>26</v>
      </c>
      <c r="G4972" s="53"/>
    </row>
    <row r="4973">
      <c r="A4973" s="49">
        <v>44565.40614516204</v>
      </c>
      <c r="B4973" s="50">
        <v>44565.5311171875</v>
      </c>
      <c r="C4973" s="51">
        <v>1.01</v>
      </c>
      <c r="D4973" s="51">
        <v>67.0</v>
      </c>
      <c r="E4973" s="52" t="s">
        <v>25</v>
      </c>
      <c r="F4973" s="52" t="s">
        <v>26</v>
      </c>
      <c r="G4973" s="53"/>
    </row>
    <row r="4974">
      <c r="A4974" s="49">
        <v>44565.416562847226</v>
      </c>
      <c r="B4974" s="50">
        <v>44565.5415382175</v>
      </c>
      <c r="C4974" s="51">
        <v>1.01</v>
      </c>
      <c r="D4974" s="51">
        <v>67.0</v>
      </c>
      <c r="E4974" s="52" t="s">
        <v>25</v>
      </c>
      <c r="F4974" s="52" t="s">
        <v>26</v>
      </c>
      <c r="G4974" s="53"/>
    </row>
    <row r="4975">
      <c r="A4975" s="49">
        <v>44565.42698487268</v>
      </c>
      <c r="B4975" s="50">
        <v>44565.5519591435</v>
      </c>
      <c r="C4975" s="51">
        <v>1.01</v>
      </c>
      <c r="D4975" s="51">
        <v>67.0</v>
      </c>
      <c r="E4975" s="52" t="s">
        <v>25</v>
      </c>
      <c r="F4975" s="52" t="s">
        <v>26</v>
      </c>
      <c r="G4975" s="53"/>
    </row>
    <row r="4976">
      <c r="A4976" s="49">
        <v>44565.43747415509</v>
      </c>
      <c r="B4976" s="50">
        <v>44565.5624043865</v>
      </c>
      <c r="C4976" s="51">
        <v>1.01</v>
      </c>
      <c r="D4976" s="51">
        <v>67.0</v>
      </c>
      <c r="E4976" s="52" t="s">
        <v>25</v>
      </c>
      <c r="F4976" s="52" t="s">
        <v>26</v>
      </c>
      <c r="G4976" s="53"/>
    </row>
    <row r="4977">
      <c r="A4977" s="49">
        <v>44565.44787030092</v>
      </c>
      <c r="B4977" s="50">
        <v>44565.572839074</v>
      </c>
      <c r="C4977" s="51">
        <v>1.01</v>
      </c>
      <c r="D4977" s="51">
        <v>67.0</v>
      </c>
      <c r="E4977" s="52" t="s">
        <v>25</v>
      </c>
      <c r="F4977" s="52" t="s">
        <v>26</v>
      </c>
      <c r="G4977" s="53"/>
    </row>
    <row r="4978">
      <c r="A4978" s="49">
        <v>44565.458280983796</v>
      </c>
      <c r="B4978" s="50">
        <v>44565.5832593865</v>
      </c>
      <c r="C4978" s="51">
        <v>1.01</v>
      </c>
      <c r="D4978" s="51">
        <v>67.0</v>
      </c>
      <c r="E4978" s="52" t="s">
        <v>25</v>
      </c>
      <c r="F4978" s="52" t="s">
        <v>26</v>
      </c>
      <c r="G4978" s="53"/>
    </row>
    <row r="4979">
      <c r="A4979" s="49">
        <v>44565.468713090275</v>
      </c>
      <c r="B4979" s="50">
        <v>44565.5936815277</v>
      </c>
      <c r="C4979" s="51">
        <v>1.01</v>
      </c>
      <c r="D4979" s="51">
        <v>67.0</v>
      </c>
      <c r="E4979" s="52" t="s">
        <v>25</v>
      </c>
      <c r="F4979" s="52" t="s">
        <v>26</v>
      </c>
      <c r="G4979" s="53"/>
    </row>
    <row r="4980">
      <c r="A4980" s="49">
        <v>44565.4792421412</v>
      </c>
      <c r="B4980" s="50">
        <v>44565.6041135879</v>
      </c>
      <c r="C4980" s="51">
        <v>1.01</v>
      </c>
      <c r="D4980" s="51">
        <v>67.0</v>
      </c>
      <c r="E4980" s="52" t="s">
        <v>25</v>
      </c>
      <c r="F4980" s="52" t="s">
        <v>26</v>
      </c>
      <c r="G4980" s="53"/>
    </row>
    <row r="4981">
      <c r="A4981" s="49">
        <v>44565.48960565972</v>
      </c>
      <c r="B4981" s="50">
        <v>44565.6145698495</v>
      </c>
      <c r="C4981" s="51">
        <v>1.01</v>
      </c>
      <c r="D4981" s="51">
        <v>67.0</v>
      </c>
      <c r="E4981" s="52" t="s">
        <v>25</v>
      </c>
      <c r="F4981" s="52" t="s">
        <v>26</v>
      </c>
      <c r="G4981" s="53"/>
    </row>
    <row r="4982">
      <c r="A4982" s="49">
        <v>44565.50003490741</v>
      </c>
      <c r="B4982" s="50">
        <v>44565.6249922569</v>
      </c>
      <c r="C4982" s="51">
        <v>1.01</v>
      </c>
      <c r="D4982" s="51">
        <v>67.0</v>
      </c>
      <c r="E4982" s="52" t="s">
        <v>25</v>
      </c>
      <c r="F4982" s="52" t="s">
        <v>26</v>
      </c>
      <c r="G4982" s="53"/>
    </row>
    <row r="4983">
      <c r="A4983" s="49">
        <v>44565.510440150465</v>
      </c>
      <c r="B4983" s="50">
        <v>44565.6354132175</v>
      </c>
      <c r="C4983" s="51">
        <v>1.01</v>
      </c>
      <c r="D4983" s="51">
        <v>67.0</v>
      </c>
      <c r="E4983" s="52" t="s">
        <v>25</v>
      </c>
      <c r="F4983" s="52" t="s">
        <v>26</v>
      </c>
      <c r="G4983" s="53"/>
    </row>
    <row r="4984">
      <c r="A4984" s="49">
        <v>44565.520866782404</v>
      </c>
      <c r="B4984" s="50">
        <v>44565.6458340393</v>
      </c>
      <c r="C4984" s="51">
        <v>1.01</v>
      </c>
      <c r="D4984" s="51">
        <v>66.0</v>
      </c>
      <c r="E4984" s="52" t="s">
        <v>25</v>
      </c>
      <c r="F4984" s="52" t="s">
        <v>26</v>
      </c>
      <c r="G4984" s="53"/>
    </row>
    <row r="4985">
      <c r="A4985" s="49">
        <v>44565.53129</v>
      </c>
      <c r="B4985" s="50">
        <v>44565.6562670717</v>
      </c>
      <c r="C4985" s="51">
        <v>1.01</v>
      </c>
      <c r="D4985" s="51">
        <v>66.0</v>
      </c>
      <c r="E4985" s="52" t="s">
        <v>25</v>
      </c>
      <c r="F4985" s="52" t="s">
        <v>26</v>
      </c>
      <c r="G4985" s="53"/>
    </row>
    <row r="4986">
      <c r="A4986" s="49">
        <v>44565.54170966435</v>
      </c>
      <c r="B4986" s="50">
        <v>44565.6666887037</v>
      </c>
      <c r="C4986" s="51">
        <v>1.01</v>
      </c>
      <c r="D4986" s="51">
        <v>66.0</v>
      </c>
      <c r="E4986" s="52" t="s">
        <v>25</v>
      </c>
      <c r="F4986" s="52" t="s">
        <v>26</v>
      </c>
      <c r="G4986" s="53"/>
    </row>
    <row r="4987">
      <c r="A4987" s="49">
        <v>44565.552124062495</v>
      </c>
      <c r="B4987" s="50">
        <v>44565.6771088541</v>
      </c>
      <c r="C4987" s="51">
        <v>1.01</v>
      </c>
      <c r="D4987" s="51">
        <v>66.0</v>
      </c>
      <c r="E4987" s="52" t="s">
        <v>25</v>
      </c>
      <c r="F4987" s="52" t="s">
        <v>26</v>
      </c>
      <c r="G4987" s="53"/>
    </row>
    <row r="4988">
      <c r="A4988" s="49">
        <v>44565.562551400464</v>
      </c>
      <c r="B4988" s="50">
        <v>44565.687530706</v>
      </c>
      <c r="C4988" s="51">
        <v>1.01</v>
      </c>
      <c r="D4988" s="51">
        <v>66.0</v>
      </c>
      <c r="E4988" s="52" t="s">
        <v>25</v>
      </c>
      <c r="F4988" s="52" t="s">
        <v>26</v>
      </c>
      <c r="G4988" s="53"/>
    </row>
    <row r="4989">
      <c r="A4989" s="49">
        <v>44565.572970486115</v>
      </c>
      <c r="B4989" s="50">
        <v>44565.6979518171</v>
      </c>
      <c r="C4989" s="51">
        <v>1.01</v>
      </c>
      <c r="D4989" s="51">
        <v>66.0</v>
      </c>
      <c r="E4989" s="52" t="s">
        <v>25</v>
      </c>
      <c r="F4989" s="52" t="s">
        <v>26</v>
      </c>
      <c r="G4989" s="53"/>
    </row>
    <row r="4990">
      <c r="A4990" s="49">
        <v>44565.583391631946</v>
      </c>
      <c r="B4990" s="50">
        <v>44565.7083714236</v>
      </c>
      <c r="C4990" s="51">
        <v>1.01</v>
      </c>
      <c r="D4990" s="51">
        <v>66.0</v>
      </c>
      <c r="E4990" s="52" t="s">
        <v>25</v>
      </c>
      <c r="F4990" s="52" t="s">
        <v>26</v>
      </c>
      <c r="G4990" s="53"/>
    </row>
    <row r="4991">
      <c r="A4991" s="49">
        <v>44565.59382775463</v>
      </c>
      <c r="B4991" s="50">
        <v>44565.7188035069</v>
      </c>
      <c r="C4991" s="51">
        <v>1.01</v>
      </c>
      <c r="D4991" s="51">
        <v>66.0</v>
      </c>
      <c r="E4991" s="52" t="s">
        <v>25</v>
      </c>
      <c r="F4991" s="52" t="s">
        <v>26</v>
      </c>
      <c r="G4991" s="53"/>
    </row>
    <row r="4992">
      <c r="A4992" s="49">
        <v>44565.60424690972</v>
      </c>
      <c r="B4992" s="50">
        <v>44565.729224537</v>
      </c>
      <c r="C4992" s="51">
        <v>1.01</v>
      </c>
      <c r="D4992" s="51">
        <v>66.0</v>
      </c>
      <c r="E4992" s="52" t="s">
        <v>25</v>
      </c>
      <c r="F4992" s="52" t="s">
        <v>26</v>
      </c>
      <c r="G4992" s="53"/>
    </row>
    <row r="4993">
      <c r="A4993" s="49">
        <v>44565.61467329861</v>
      </c>
      <c r="B4993" s="50">
        <v>44565.7396454861</v>
      </c>
      <c r="C4993" s="51">
        <v>1.01</v>
      </c>
      <c r="D4993" s="51">
        <v>66.0</v>
      </c>
      <c r="E4993" s="52" t="s">
        <v>25</v>
      </c>
      <c r="F4993" s="52" t="s">
        <v>26</v>
      </c>
      <c r="G4993" s="53"/>
    </row>
    <row r="4994">
      <c r="A4994" s="49">
        <v>44565.62509392361</v>
      </c>
      <c r="B4994" s="50">
        <v>44565.7500671412</v>
      </c>
      <c r="C4994" s="51">
        <v>1.01</v>
      </c>
      <c r="D4994" s="51">
        <v>66.0</v>
      </c>
      <c r="E4994" s="52" t="s">
        <v>25</v>
      </c>
      <c r="F4994" s="52" t="s">
        <v>26</v>
      </c>
      <c r="G4994" s="53"/>
    </row>
    <row r="4995">
      <c r="A4995" s="49">
        <v>44565.63551939814</v>
      </c>
      <c r="B4995" s="50">
        <v>44565.760490243</v>
      </c>
      <c r="C4995" s="51">
        <v>1.01</v>
      </c>
      <c r="D4995" s="51">
        <v>66.0</v>
      </c>
      <c r="E4995" s="52" t="s">
        <v>25</v>
      </c>
      <c r="F4995" s="52" t="s">
        <v>26</v>
      </c>
      <c r="G4995" s="53"/>
    </row>
    <row r="4996">
      <c r="A4996" s="49">
        <v>44565.64595164351</v>
      </c>
      <c r="B4996" s="50">
        <v>44565.7709237152</v>
      </c>
      <c r="C4996" s="51">
        <v>1.01</v>
      </c>
      <c r="D4996" s="51">
        <v>66.0</v>
      </c>
      <c r="E4996" s="52" t="s">
        <v>25</v>
      </c>
      <c r="F4996" s="52" t="s">
        <v>26</v>
      </c>
      <c r="G4996" s="53"/>
    </row>
    <row r="4997">
      <c r="A4997" s="49">
        <v>44565.65637496528</v>
      </c>
      <c r="B4997" s="50">
        <v>44565.7813458101</v>
      </c>
      <c r="C4997" s="51">
        <v>1.01</v>
      </c>
      <c r="D4997" s="51">
        <v>66.0</v>
      </c>
      <c r="E4997" s="52" t="s">
        <v>25</v>
      </c>
      <c r="F4997" s="52" t="s">
        <v>26</v>
      </c>
      <c r="G4997" s="53"/>
    </row>
    <row r="4998">
      <c r="A4998" s="49">
        <v>44565.66680831018</v>
      </c>
      <c r="B4998" s="50">
        <v>44565.7917798495</v>
      </c>
      <c r="C4998" s="51">
        <v>1.01</v>
      </c>
      <c r="D4998" s="51">
        <v>66.0</v>
      </c>
      <c r="E4998" s="52" t="s">
        <v>25</v>
      </c>
      <c r="F4998" s="52" t="s">
        <v>26</v>
      </c>
      <c r="G4998" s="53"/>
    </row>
    <row r="4999">
      <c r="A4999" s="49">
        <v>44565.677222893515</v>
      </c>
      <c r="B4999" s="50">
        <v>44565.8022010648</v>
      </c>
      <c r="C4999" s="51">
        <v>1.01</v>
      </c>
      <c r="D4999" s="51">
        <v>66.0</v>
      </c>
      <c r="E4999" s="52" t="s">
        <v>25</v>
      </c>
      <c r="F4999" s="52" t="s">
        <v>26</v>
      </c>
      <c r="G4999" s="53"/>
    </row>
    <row r="5000">
      <c r="A5000" s="49">
        <v>44565.6876438426</v>
      </c>
      <c r="B5000" s="50">
        <v>44565.8126214583</v>
      </c>
      <c r="C5000" s="51">
        <v>1.01</v>
      </c>
      <c r="D5000" s="51">
        <v>66.0</v>
      </c>
      <c r="E5000" s="52" t="s">
        <v>25</v>
      </c>
      <c r="F5000" s="52" t="s">
        <v>26</v>
      </c>
      <c r="G5000" s="53"/>
    </row>
    <row r="5001">
      <c r="A5001" s="49">
        <v>44565.698094224535</v>
      </c>
      <c r="B5001" s="50">
        <v>44565.8230662615</v>
      </c>
      <c r="C5001" s="51">
        <v>1.01</v>
      </c>
      <c r="D5001" s="51">
        <v>66.0</v>
      </c>
      <c r="E5001" s="52" t="s">
        <v>25</v>
      </c>
      <c r="F5001" s="52" t="s">
        <v>26</v>
      </c>
      <c r="G5001" s="53"/>
    </row>
    <row r="5002">
      <c r="A5002" s="49">
        <v>44565.708513564816</v>
      </c>
      <c r="B5002" s="50">
        <v>44565.8334882638</v>
      </c>
      <c r="C5002" s="51">
        <v>1.01</v>
      </c>
      <c r="D5002" s="51">
        <v>66.0</v>
      </c>
      <c r="E5002" s="52" t="s">
        <v>25</v>
      </c>
      <c r="F5002" s="52" t="s">
        <v>26</v>
      </c>
      <c r="G5002" s="53"/>
    </row>
    <row r="5003">
      <c r="A5003" s="49">
        <v>44565.71892890046</v>
      </c>
      <c r="B5003" s="50">
        <v>44565.8439096759</v>
      </c>
      <c r="C5003" s="51">
        <v>1.01</v>
      </c>
      <c r="D5003" s="51">
        <v>66.0</v>
      </c>
      <c r="E5003" s="52" t="s">
        <v>25</v>
      </c>
      <c r="F5003" s="52" t="s">
        <v>26</v>
      </c>
      <c r="G5003" s="53"/>
    </row>
    <row r="5004">
      <c r="A5004" s="49">
        <v>44565.72938240741</v>
      </c>
      <c r="B5004" s="50">
        <v>44565.8543538194</v>
      </c>
      <c r="C5004" s="51">
        <v>1.01</v>
      </c>
      <c r="D5004" s="51">
        <v>66.0</v>
      </c>
      <c r="E5004" s="52" t="s">
        <v>25</v>
      </c>
      <c r="F5004" s="52" t="s">
        <v>26</v>
      </c>
      <c r="G5004" s="53"/>
    </row>
    <row r="5005">
      <c r="A5005" s="49">
        <v>44565.739795925925</v>
      </c>
      <c r="B5005" s="50">
        <v>44565.8647757638</v>
      </c>
      <c r="C5005" s="51">
        <v>1.01</v>
      </c>
      <c r="D5005" s="51">
        <v>66.0</v>
      </c>
      <c r="E5005" s="52" t="s">
        <v>25</v>
      </c>
      <c r="F5005" s="52" t="s">
        <v>26</v>
      </c>
      <c r="G5005" s="53"/>
    </row>
    <row r="5006">
      <c r="A5006" s="49">
        <v>44565.750214837964</v>
      </c>
      <c r="B5006" s="50">
        <v>44565.8751941898</v>
      </c>
      <c r="C5006" s="51">
        <v>1.01</v>
      </c>
      <c r="D5006" s="51">
        <v>66.0</v>
      </c>
      <c r="E5006" s="52" t="s">
        <v>25</v>
      </c>
      <c r="F5006" s="52" t="s">
        <v>26</v>
      </c>
      <c r="G5006" s="53"/>
    </row>
    <row r="5007">
      <c r="A5007" s="49">
        <v>44565.76066646991</v>
      </c>
      <c r="B5007" s="50">
        <v>44565.8856396759</v>
      </c>
      <c r="C5007" s="51">
        <v>1.01</v>
      </c>
      <c r="D5007" s="51">
        <v>66.0</v>
      </c>
      <c r="E5007" s="52" t="s">
        <v>25</v>
      </c>
      <c r="F5007" s="52" t="s">
        <v>26</v>
      </c>
      <c r="G5007" s="53"/>
    </row>
    <row r="5008">
      <c r="A5008" s="49">
        <v>44565.77110038194</v>
      </c>
      <c r="B5008" s="50">
        <v>44565.8960733333</v>
      </c>
      <c r="C5008" s="51">
        <v>1.01</v>
      </c>
      <c r="D5008" s="51">
        <v>66.0</v>
      </c>
      <c r="E5008" s="52" t="s">
        <v>25</v>
      </c>
      <c r="F5008" s="52" t="s">
        <v>26</v>
      </c>
      <c r="G5008" s="53"/>
    </row>
    <row r="5009">
      <c r="A5009" s="49">
        <v>44565.781518414355</v>
      </c>
      <c r="B5009" s="50">
        <v>44565.906493912</v>
      </c>
      <c r="C5009" s="51">
        <v>1.01</v>
      </c>
      <c r="D5009" s="51">
        <v>66.0</v>
      </c>
      <c r="E5009" s="52" t="s">
        <v>25</v>
      </c>
      <c r="F5009" s="52" t="s">
        <v>26</v>
      </c>
      <c r="G5009" s="53"/>
    </row>
    <row r="5010">
      <c r="A5010" s="49">
        <v>44565.79193681713</v>
      </c>
      <c r="B5010" s="50">
        <v>44565.9169150347</v>
      </c>
      <c r="C5010" s="51">
        <v>1.01</v>
      </c>
      <c r="D5010" s="51">
        <v>66.0</v>
      </c>
      <c r="E5010" s="52" t="s">
        <v>25</v>
      </c>
      <c r="F5010" s="52" t="s">
        <v>26</v>
      </c>
      <c r="G5010" s="53"/>
    </row>
    <row r="5011">
      <c r="A5011" s="49">
        <v>44565.80237150463</v>
      </c>
      <c r="B5011" s="50">
        <v>44565.927336331</v>
      </c>
      <c r="C5011" s="51">
        <v>1.01</v>
      </c>
      <c r="D5011" s="51">
        <v>66.0</v>
      </c>
      <c r="E5011" s="52" t="s">
        <v>25</v>
      </c>
      <c r="F5011" s="52" t="s">
        <v>26</v>
      </c>
      <c r="G5011" s="53"/>
    </row>
    <row r="5012">
      <c r="A5012" s="49">
        <v>44565.81279239584</v>
      </c>
      <c r="B5012" s="50">
        <v>44565.937757743</v>
      </c>
      <c r="C5012" s="51">
        <v>1.01</v>
      </c>
      <c r="D5012" s="51">
        <v>66.0</v>
      </c>
      <c r="E5012" s="52" t="s">
        <v>25</v>
      </c>
      <c r="F5012" s="52" t="s">
        <v>26</v>
      </c>
      <c r="G5012" s="53"/>
    </row>
    <row r="5013">
      <c r="A5013" s="49">
        <v>44565.82320782407</v>
      </c>
      <c r="B5013" s="50">
        <v>44565.948189155</v>
      </c>
      <c r="C5013" s="51">
        <v>1.01</v>
      </c>
      <c r="D5013" s="51">
        <v>66.0</v>
      </c>
      <c r="E5013" s="52" t="s">
        <v>25</v>
      </c>
      <c r="F5013" s="52" t="s">
        <v>26</v>
      </c>
      <c r="G5013" s="53"/>
    </row>
    <row r="5014">
      <c r="A5014" s="49">
        <v>44565.83363408565</v>
      </c>
      <c r="B5014" s="50">
        <v>44565.9586099652</v>
      </c>
      <c r="C5014" s="51">
        <v>1.01</v>
      </c>
      <c r="D5014" s="51">
        <v>66.0</v>
      </c>
      <c r="E5014" s="52" t="s">
        <v>25</v>
      </c>
      <c r="F5014" s="52" t="s">
        <v>26</v>
      </c>
      <c r="G5014" s="53"/>
    </row>
    <row r="5015">
      <c r="A5015" s="49">
        <v>44565.844050740736</v>
      </c>
      <c r="B5015" s="50">
        <v>44565.9690319212</v>
      </c>
      <c r="C5015" s="51">
        <v>1.01</v>
      </c>
      <c r="D5015" s="51">
        <v>66.0</v>
      </c>
      <c r="E5015" s="52" t="s">
        <v>25</v>
      </c>
      <c r="F5015" s="52" t="s">
        <v>26</v>
      </c>
      <c r="G5015" s="53"/>
    </row>
    <row r="5016">
      <c r="A5016" s="49">
        <v>44565.854468171296</v>
      </c>
      <c r="B5016" s="50">
        <v>44565.9794526041</v>
      </c>
      <c r="C5016" s="51">
        <v>1.01</v>
      </c>
      <c r="D5016" s="51">
        <v>66.0</v>
      </c>
      <c r="E5016" s="52" t="s">
        <v>25</v>
      </c>
      <c r="F5016" s="52" t="s">
        <v>26</v>
      </c>
      <c r="G5016" s="53"/>
    </row>
    <row r="5017">
      <c r="A5017" s="49">
        <v>44565.8649181713</v>
      </c>
      <c r="B5017" s="50">
        <v>44565.9898972453</v>
      </c>
      <c r="C5017" s="51">
        <v>1.01</v>
      </c>
      <c r="D5017" s="51">
        <v>66.0</v>
      </c>
      <c r="E5017" s="52" t="s">
        <v>25</v>
      </c>
      <c r="F5017" s="52" t="s">
        <v>26</v>
      </c>
      <c r="G5017" s="53"/>
    </row>
    <row r="5018">
      <c r="A5018" s="49">
        <v>44565.87535793982</v>
      </c>
      <c r="B5018" s="50">
        <v>44566.0003406712</v>
      </c>
      <c r="C5018" s="51">
        <v>1.01</v>
      </c>
      <c r="D5018" s="51">
        <v>66.0</v>
      </c>
      <c r="E5018" s="52" t="s">
        <v>25</v>
      </c>
      <c r="F5018" s="52" t="s">
        <v>26</v>
      </c>
      <c r="G5018" s="53"/>
    </row>
    <row r="5019">
      <c r="A5019" s="49">
        <v>44565.885777222225</v>
      </c>
      <c r="B5019" s="50">
        <v>44566.0107605902</v>
      </c>
      <c r="C5019" s="51">
        <v>1.01</v>
      </c>
      <c r="D5019" s="51">
        <v>66.0</v>
      </c>
      <c r="E5019" s="52" t="s">
        <v>25</v>
      </c>
      <c r="F5019" s="52" t="s">
        <v>26</v>
      </c>
      <c r="G5019" s="53"/>
    </row>
    <row r="5020">
      <c r="A5020" s="49">
        <v>44565.896208101854</v>
      </c>
      <c r="B5020" s="50">
        <v>44566.0211826967</v>
      </c>
      <c r="C5020" s="51">
        <v>1.01</v>
      </c>
      <c r="D5020" s="51">
        <v>66.0</v>
      </c>
      <c r="E5020" s="52" t="s">
        <v>25</v>
      </c>
      <c r="F5020" s="52" t="s">
        <v>26</v>
      </c>
      <c r="G5020" s="53"/>
    </row>
    <row r="5021">
      <c r="A5021" s="49">
        <v>44565.906626689815</v>
      </c>
      <c r="B5021" s="50">
        <v>44566.0316044212</v>
      </c>
      <c r="C5021" s="51">
        <v>1.01</v>
      </c>
      <c r="D5021" s="51">
        <v>65.0</v>
      </c>
      <c r="E5021" s="52" t="s">
        <v>25</v>
      </c>
      <c r="F5021" s="52" t="s">
        <v>26</v>
      </c>
      <c r="G5021" s="53"/>
    </row>
    <row r="5022">
      <c r="A5022" s="49">
        <v>44565.917055300924</v>
      </c>
      <c r="B5022" s="50">
        <v>44566.0420386342</v>
      </c>
      <c r="C5022" s="51">
        <v>1.01</v>
      </c>
      <c r="D5022" s="51">
        <v>66.0</v>
      </c>
      <c r="E5022" s="52" t="s">
        <v>25</v>
      </c>
      <c r="F5022" s="52" t="s">
        <v>26</v>
      </c>
      <c r="G5022" s="53"/>
    </row>
    <row r="5023">
      <c r="A5023" s="49">
        <v>44565.92750806713</v>
      </c>
      <c r="B5023" s="50">
        <v>44566.052482905</v>
      </c>
      <c r="C5023" s="51">
        <v>1.01</v>
      </c>
      <c r="D5023" s="51">
        <v>65.0</v>
      </c>
      <c r="E5023" s="52" t="s">
        <v>25</v>
      </c>
      <c r="F5023" s="52" t="s">
        <v>26</v>
      </c>
      <c r="G5023" s="53"/>
    </row>
    <row r="5024">
      <c r="A5024" s="49">
        <v>44565.93792471065</v>
      </c>
      <c r="B5024" s="50">
        <v>44566.0629044444</v>
      </c>
      <c r="C5024" s="51">
        <v>1.01</v>
      </c>
      <c r="D5024" s="51">
        <v>65.0</v>
      </c>
      <c r="E5024" s="52" t="s">
        <v>25</v>
      </c>
      <c r="F5024" s="52" t="s">
        <v>26</v>
      </c>
      <c r="G5024" s="53"/>
    </row>
    <row r="5025">
      <c r="A5025" s="49">
        <v>44565.948340821764</v>
      </c>
      <c r="B5025" s="50">
        <v>44566.0733245023</v>
      </c>
      <c r="C5025" s="51">
        <v>1.01</v>
      </c>
      <c r="D5025" s="51">
        <v>65.0</v>
      </c>
      <c r="E5025" s="52" t="s">
        <v>25</v>
      </c>
      <c r="F5025" s="52" t="s">
        <v>26</v>
      </c>
      <c r="G5025" s="53"/>
    </row>
    <row r="5026">
      <c r="A5026" s="49">
        <v>44565.95878375</v>
      </c>
      <c r="B5026" s="50">
        <v>44566.0837574652</v>
      </c>
      <c r="C5026" s="51">
        <v>1.01</v>
      </c>
      <c r="D5026" s="51">
        <v>65.0</v>
      </c>
      <c r="E5026" s="52" t="s">
        <v>25</v>
      </c>
      <c r="F5026" s="52" t="s">
        <v>26</v>
      </c>
      <c r="G5026" s="53"/>
    </row>
    <row r="5027">
      <c r="A5027" s="49">
        <v>44565.969196261576</v>
      </c>
      <c r="B5027" s="50">
        <v>44566.0941796412</v>
      </c>
      <c r="C5027" s="51">
        <v>1.01</v>
      </c>
      <c r="D5027" s="51">
        <v>65.0</v>
      </c>
      <c r="E5027" s="52" t="s">
        <v>25</v>
      </c>
      <c r="F5027" s="52" t="s">
        <v>26</v>
      </c>
      <c r="G5027" s="53"/>
    </row>
    <row r="5028">
      <c r="A5028" s="49">
        <v>44565.979621226856</v>
      </c>
      <c r="B5028" s="50">
        <v>44566.1046008796</v>
      </c>
      <c r="C5028" s="51">
        <v>1.01</v>
      </c>
      <c r="D5028" s="51">
        <v>65.0</v>
      </c>
      <c r="E5028" s="52" t="s">
        <v>25</v>
      </c>
      <c r="F5028" s="52" t="s">
        <v>26</v>
      </c>
      <c r="G5028" s="53"/>
    </row>
    <row r="5029">
      <c r="A5029" s="49">
        <v>44565.990054803246</v>
      </c>
      <c r="B5029" s="50">
        <v>44566.1150223032</v>
      </c>
      <c r="C5029" s="51">
        <v>1.01</v>
      </c>
      <c r="D5029" s="51">
        <v>65.0</v>
      </c>
      <c r="E5029" s="52" t="s">
        <v>25</v>
      </c>
      <c r="F5029" s="52" t="s">
        <v>26</v>
      </c>
      <c r="G5029" s="53"/>
    </row>
    <row r="5030">
      <c r="A5030" s="49">
        <v>44566.00047141204</v>
      </c>
      <c r="B5030" s="50">
        <v>44566.1254431134</v>
      </c>
      <c r="C5030" s="51">
        <v>1.01</v>
      </c>
      <c r="D5030" s="51">
        <v>65.0</v>
      </c>
      <c r="E5030" s="52" t="s">
        <v>25</v>
      </c>
      <c r="F5030" s="52" t="s">
        <v>26</v>
      </c>
      <c r="G5030" s="53"/>
    </row>
    <row r="5031">
      <c r="A5031" s="49">
        <v>44566.01089482639</v>
      </c>
      <c r="B5031" s="50">
        <v>44566.135876655</v>
      </c>
      <c r="C5031" s="51">
        <v>1.01</v>
      </c>
      <c r="D5031" s="51">
        <v>65.0</v>
      </c>
      <c r="E5031" s="52" t="s">
        <v>25</v>
      </c>
      <c r="F5031" s="52" t="s">
        <v>26</v>
      </c>
      <c r="G5031" s="53"/>
    </row>
    <row r="5032">
      <c r="A5032" s="49">
        <v>44566.02134626158</v>
      </c>
      <c r="B5032" s="50">
        <v>44566.1463204745</v>
      </c>
      <c r="C5032" s="51">
        <v>1.01</v>
      </c>
      <c r="D5032" s="51">
        <v>65.0</v>
      </c>
      <c r="E5032" s="52" t="s">
        <v>25</v>
      </c>
      <c r="F5032" s="52" t="s">
        <v>26</v>
      </c>
      <c r="G5032" s="53"/>
    </row>
    <row r="5033">
      <c r="A5033" s="49">
        <v>44566.03175912037</v>
      </c>
      <c r="B5033" s="50">
        <v>44566.1567409953</v>
      </c>
      <c r="C5033" s="51">
        <v>1.01</v>
      </c>
      <c r="D5033" s="51">
        <v>65.0</v>
      </c>
      <c r="E5033" s="52" t="s">
        <v>25</v>
      </c>
      <c r="F5033" s="52" t="s">
        <v>26</v>
      </c>
      <c r="G5033" s="53"/>
    </row>
    <row r="5034">
      <c r="A5034" s="49">
        <v>44566.04220372685</v>
      </c>
      <c r="B5034" s="50">
        <v>44566.1671858796</v>
      </c>
      <c r="C5034" s="51">
        <v>1.01</v>
      </c>
      <c r="D5034" s="51">
        <v>65.0</v>
      </c>
      <c r="E5034" s="52" t="s">
        <v>25</v>
      </c>
      <c r="F5034" s="52" t="s">
        <v>26</v>
      </c>
      <c r="G5034" s="53"/>
    </row>
    <row r="5035">
      <c r="A5035" s="49">
        <v>44566.05264126157</v>
      </c>
      <c r="B5035" s="50">
        <v>44566.177616655</v>
      </c>
      <c r="C5035" s="51">
        <v>1.01</v>
      </c>
      <c r="D5035" s="51">
        <v>65.0</v>
      </c>
      <c r="E5035" s="52" t="s">
        <v>25</v>
      </c>
      <c r="F5035" s="52" t="s">
        <v>26</v>
      </c>
      <c r="G5035" s="53"/>
    </row>
    <row r="5036">
      <c r="A5036" s="49">
        <v>44566.06306373843</v>
      </c>
      <c r="B5036" s="50">
        <v>44566.188037743</v>
      </c>
      <c r="C5036" s="51">
        <v>1.01</v>
      </c>
      <c r="D5036" s="51">
        <v>65.0</v>
      </c>
      <c r="E5036" s="52" t="s">
        <v>25</v>
      </c>
      <c r="F5036" s="52" t="s">
        <v>26</v>
      </c>
      <c r="G5036" s="53"/>
    </row>
    <row r="5037">
      <c r="A5037" s="49">
        <v>44566.07348090278</v>
      </c>
      <c r="B5037" s="50">
        <v>44566.1984589583</v>
      </c>
      <c r="C5037" s="51">
        <v>1.01</v>
      </c>
      <c r="D5037" s="51">
        <v>65.0</v>
      </c>
      <c r="E5037" s="52" t="s">
        <v>25</v>
      </c>
      <c r="F5037" s="52" t="s">
        <v>26</v>
      </c>
      <c r="G5037" s="53"/>
    </row>
    <row r="5038">
      <c r="A5038" s="49">
        <v>44566.08391945602</v>
      </c>
      <c r="B5038" s="50">
        <v>44566.2088914814</v>
      </c>
      <c r="C5038" s="51">
        <v>1.01</v>
      </c>
      <c r="D5038" s="51">
        <v>65.0</v>
      </c>
      <c r="E5038" s="52" t="s">
        <v>25</v>
      </c>
      <c r="F5038" s="52" t="s">
        <v>26</v>
      </c>
      <c r="G5038" s="53"/>
    </row>
    <row r="5039">
      <c r="A5039" s="49">
        <v>44566.09433770833</v>
      </c>
      <c r="B5039" s="50">
        <v>44566.2193122569</v>
      </c>
      <c r="C5039" s="51">
        <v>1.01</v>
      </c>
      <c r="D5039" s="51">
        <v>65.0</v>
      </c>
      <c r="E5039" s="52" t="s">
        <v>25</v>
      </c>
      <c r="F5039" s="52" t="s">
        <v>26</v>
      </c>
      <c r="G5039" s="53"/>
    </row>
    <row r="5040">
      <c r="A5040" s="49">
        <v>44566.10476054398</v>
      </c>
      <c r="B5040" s="50">
        <v>44566.2297453125</v>
      </c>
      <c r="C5040" s="51">
        <v>1.01</v>
      </c>
      <c r="D5040" s="51">
        <v>65.0</v>
      </c>
      <c r="E5040" s="52" t="s">
        <v>25</v>
      </c>
      <c r="F5040" s="52" t="s">
        <v>26</v>
      </c>
      <c r="G5040" s="53"/>
    </row>
    <row r="5041">
      <c r="A5041" s="49">
        <v>44566.11518409722</v>
      </c>
      <c r="B5041" s="50">
        <v>44566.2401650925</v>
      </c>
      <c r="C5041" s="51">
        <v>1.01</v>
      </c>
      <c r="D5041" s="51">
        <v>65.0</v>
      </c>
      <c r="E5041" s="52" t="s">
        <v>25</v>
      </c>
      <c r="F5041" s="52" t="s">
        <v>26</v>
      </c>
      <c r="G5041" s="53"/>
    </row>
    <row r="5042">
      <c r="A5042" s="49">
        <v>44566.12562375</v>
      </c>
      <c r="B5042" s="50">
        <v>44566.25059728</v>
      </c>
      <c r="C5042" s="51">
        <v>1.01</v>
      </c>
      <c r="D5042" s="51">
        <v>65.0</v>
      </c>
      <c r="E5042" s="52" t="s">
        <v>25</v>
      </c>
      <c r="F5042" s="52" t="s">
        <v>26</v>
      </c>
      <c r="G5042" s="53"/>
    </row>
    <row r="5043">
      <c r="A5043" s="49">
        <v>44566.13604357639</v>
      </c>
      <c r="B5043" s="50">
        <v>44566.2610186111</v>
      </c>
      <c r="C5043" s="51">
        <v>1.01</v>
      </c>
      <c r="D5043" s="51">
        <v>65.0</v>
      </c>
      <c r="E5043" s="52" t="s">
        <v>25</v>
      </c>
      <c r="F5043" s="52" t="s">
        <v>26</v>
      </c>
      <c r="G5043" s="53"/>
    </row>
    <row r="5044">
      <c r="A5044" s="49">
        <v>44566.146470486114</v>
      </c>
      <c r="B5044" s="50">
        <v>44566.2714509143</v>
      </c>
      <c r="C5044" s="51">
        <v>1.01</v>
      </c>
      <c r="D5044" s="51">
        <v>65.0</v>
      </c>
      <c r="E5044" s="52" t="s">
        <v>25</v>
      </c>
      <c r="F5044" s="52" t="s">
        <v>26</v>
      </c>
      <c r="G5044" s="53"/>
    </row>
    <row r="5045">
      <c r="A5045" s="49">
        <v>44566.15689662037</v>
      </c>
      <c r="B5045" s="50">
        <v>44566.281872824</v>
      </c>
      <c r="C5045" s="51">
        <v>1.01</v>
      </c>
      <c r="D5045" s="51">
        <v>65.0</v>
      </c>
      <c r="E5045" s="52" t="s">
        <v>25</v>
      </c>
      <c r="F5045" s="52" t="s">
        <v>26</v>
      </c>
      <c r="G5045" s="53"/>
    </row>
    <row r="5046">
      <c r="A5046" s="49">
        <v>44566.16732620371</v>
      </c>
      <c r="B5046" s="50">
        <v>44566.2923065393</v>
      </c>
      <c r="C5046" s="51">
        <v>1.01</v>
      </c>
      <c r="D5046" s="51">
        <v>65.0</v>
      </c>
      <c r="E5046" s="52" t="s">
        <v>25</v>
      </c>
      <c r="F5046" s="52" t="s">
        <v>26</v>
      </c>
      <c r="G5046" s="53"/>
    </row>
    <row r="5047">
      <c r="A5047" s="49">
        <v>44566.17775436342</v>
      </c>
      <c r="B5047" s="50">
        <v>44566.302727662</v>
      </c>
      <c r="C5047" s="51">
        <v>1.01</v>
      </c>
      <c r="D5047" s="51">
        <v>65.0</v>
      </c>
      <c r="E5047" s="52" t="s">
        <v>25</v>
      </c>
      <c r="F5047" s="52" t="s">
        <v>26</v>
      </c>
      <c r="G5047" s="53"/>
    </row>
    <row r="5048">
      <c r="A5048" s="49">
        <v>44566.188172395836</v>
      </c>
      <c r="B5048" s="50">
        <v>44566.3131499999</v>
      </c>
      <c r="C5048" s="51">
        <v>1.01</v>
      </c>
      <c r="D5048" s="51">
        <v>65.0</v>
      </c>
      <c r="E5048" s="52" t="s">
        <v>25</v>
      </c>
      <c r="F5048" s="52" t="s">
        <v>26</v>
      </c>
      <c r="G5048" s="53"/>
    </row>
    <row r="5049">
      <c r="A5049" s="49">
        <v>44566.198602951394</v>
      </c>
      <c r="B5049" s="50">
        <v>44566.3235828703</v>
      </c>
      <c r="C5049" s="51">
        <v>1.01</v>
      </c>
      <c r="D5049" s="51">
        <v>65.0</v>
      </c>
      <c r="E5049" s="52" t="s">
        <v>25</v>
      </c>
      <c r="F5049" s="52" t="s">
        <v>26</v>
      </c>
      <c r="G5049" s="53"/>
    </row>
    <row r="5050">
      <c r="A5050" s="49">
        <v>44566.20902384259</v>
      </c>
      <c r="B5050" s="50">
        <v>44566.3340025</v>
      </c>
      <c r="C5050" s="51">
        <v>1.01</v>
      </c>
      <c r="D5050" s="51">
        <v>65.0</v>
      </c>
      <c r="E5050" s="52" t="s">
        <v>25</v>
      </c>
      <c r="F5050" s="52" t="s">
        <v>26</v>
      </c>
      <c r="G5050" s="53"/>
    </row>
    <row r="5051">
      <c r="A5051" s="49">
        <v>44566.21944596065</v>
      </c>
      <c r="B5051" s="50">
        <v>44566.3444246064</v>
      </c>
      <c r="C5051" s="51">
        <v>1.01</v>
      </c>
      <c r="D5051" s="51">
        <v>65.0</v>
      </c>
      <c r="E5051" s="52" t="s">
        <v>25</v>
      </c>
      <c r="F5051" s="52" t="s">
        <v>26</v>
      </c>
      <c r="G5051" s="53"/>
    </row>
    <row r="5052">
      <c r="A5052" s="49">
        <v>44566.22988461806</v>
      </c>
      <c r="B5052" s="50">
        <v>44566.3548676157</v>
      </c>
      <c r="C5052" s="51">
        <v>1.01</v>
      </c>
      <c r="D5052" s="51">
        <v>65.0</v>
      </c>
      <c r="E5052" s="52" t="s">
        <v>25</v>
      </c>
      <c r="F5052" s="52" t="s">
        <v>26</v>
      </c>
      <c r="G5052" s="53"/>
    </row>
    <row r="5053">
      <c r="A5053" s="49">
        <v>44566.24032211806</v>
      </c>
      <c r="B5053" s="50">
        <v>44566.3653018634</v>
      </c>
      <c r="C5053" s="51">
        <v>1.01</v>
      </c>
      <c r="D5053" s="51">
        <v>65.0</v>
      </c>
      <c r="E5053" s="52" t="s">
        <v>25</v>
      </c>
      <c r="F5053" s="52" t="s">
        <v>26</v>
      </c>
      <c r="G5053" s="53"/>
    </row>
    <row r="5054">
      <c r="A5054" s="49">
        <v>44566.250746157406</v>
      </c>
      <c r="B5054" s="50">
        <v>44566.3757239467</v>
      </c>
      <c r="C5054" s="51">
        <v>1.01</v>
      </c>
      <c r="D5054" s="51">
        <v>65.0</v>
      </c>
      <c r="E5054" s="52" t="s">
        <v>25</v>
      </c>
      <c r="F5054" s="52" t="s">
        <v>26</v>
      </c>
      <c r="G5054" s="53"/>
    </row>
    <row r="5055">
      <c r="A5055" s="49">
        <v>44566.271591400466</v>
      </c>
      <c r="B5055" s="50">
        <v>44566.3965690856</v>
      </c>
      <c r="C5055" s="51">
        <v>1.01</v>
      </c>
      <c r="D5055" s="51">
        <v>65.0</v>
      </c>
      <c r="E5055" s="52" t="s">
        <v>25</v>
      </c>
      <c r="F5055" s="52" t="s">
        <v>26</v>
      </c>
      <c r="G5055" s="53"/>
    </row>
    <row r="5056">
      <c r="A5056" s="49">
        <v>44566.2820216088</v>
      </c>
      <c r="B5056" s="50">
        <v>44566.4069900925</v>
      </c>
      <c r="C5056" s="51">
        <v>1.01</v>
      </c>
      <c r="D5056" s="51">
        <v>65.0</v>
      </c>
      <c r="E5056" s="52" t="s">
        <v>25</v>
      </c>
      <c r="F5056" s="52" t="s">
        <v>26</v>
      </c>
      <c r="G5056" s="53"/>
    </row>
    <row r="5057">
      <c r="A5057" s="49">
        <v>44566.29243799769</v>
      </c>
      <c r="B5057" s="50">
        <v>44566.4174112847</v>
      </c>
      <c r="C5057" s="51">
        <v>1.009</v>
      </c>
      <c r="D5057" s="51">
        <v>65.0</v>
      </c>
      <c r="E5057" s="52" t="s">
        <v>25</v>
      </c>
      <c r="F5057" s="52" t="s">
        <v>26</v>
      </c>
      <c r="G5057" s="53"/>
    </row>
    <row r="5058">
      <c r="A5058" s="49">
        <v>44566.302903715274</v>
      </c>
      <c r="B5058" s="50">
        <v>44566.4278800694</v>
      </c>
      <c r="C5058" s="51">
        <v>1.009</v>
      </c>
      <c r="D5058" s="51">
        <v>65.0</v>
      </c>
      <c r="E5058" s="52" t="s">
        <v>25</v>
      </c>
      <c r="F5058" s="52" t="s">
        <v>26</v>
      </c>
      <c r="G5058" s="53"/>
    </row>
    <row r="5059">
      <c r="A5059" s="49">
        <v>44566.31332396991</v>
      </c>
      <c r="B5059" s="50">
        <v>44566.4383026388</v>
      </c>
      <c r="C5059" s="51">
        <v>1.009</v>
      </c>
      <c r="D5059" s="51">
        <v>65.0</v>
      </c>
      <c r="E5059" s="52" t="s">
        <v>25</v>
      </c>
      <c r="F5059" s="52" t="s">
        <v>26</v>
      </c>
      <c r="G5059" s="53"/>
    </row>
    <row r="5060">
      <c r="A5060" s="49">
        <v>44566.323750254625</v>
      </c>
      <c r="B5060" s="50">
        <v>44566.4487232986</v>
      </c>
      <c r="C5060" s="51">
        <v>1.01</v>
      </c>
      <c r="D5060" s="51">
        <v>64.0</v>
      </c>
      <c r="E5060" s="52" t="s">
        <v>25</v>
      </c>
      <c r="F5060" s="52" t="s">
        <v>26</v>
      </c>
      <c r="G5060" s="53"/>
    </row>
    <row r="5061">
      <c r="A5061" s="49">
        <v>44566.33418774305</v>
      </c>
      <c r="B5061" s="50">
        <v>44566.4591571527</v>
      </c>
      <c r="C5061" s="51">
        <v>1.01</v>
      </c>
      <c r="D5061" s="51">
        <v>64.0</v>
      </c>
      <c r="E5061" s="52" t="s">
        <v>25</v>
      </c>
      <c r="F5061" s="52" t="s">
        <v>26</v>
      </c>
      <c r="G5061" s="53"/>
    </row>
    <row r="5062">
      <c r="A5062" s="49">
        <v>44566.34460671296</v>
      </c>
      <c r="B5062" s="50">
        <v>44566.4695777314</v>
      </c>
      <c r="C5062" s="51">
        <v>1.009</v>
      </c>
      <c r="D5062" s="51">
        <v>64.0</v>
      </c>
      <c r="E5062" s="52" t="s">
        <v>25</v>
      </c>
      <c r="F5062" s="52" t="s">
        <v>26</v>
      </c>
      <c r="G5062" s="53"/>
    </row>
    <row r="5063">
      <c r="A5063" s="49">
        <v>44566.355019027775</v>
      </c>
      <c r="B5063" s="50">
        <v>44566.4800000462</v>
      </c>
      <c r="C5063" s="51">
        <v>1.009</v>
      </c>
      <c r="D5063" s="51">
        <v>64.0</v>
      </c>
      <c r="E5063" s="52" t="s">
        <v>25</v>
      </c>
      <c r="F5063" s="52" t="s">
        <v>26</v>
      </c>
      <c r="G5063" s="53"/>
    </row>
    <row r="5064">
      <c r="A5064" s="49">
        <v>44566.36545835648</v>
      </c>
      <c r="B5064" s="50">
        <v>44566.4904314351</v>
      </c>
      <c r="C5064" s="51">
        <v>1.01</v>
      </c>
      <c r="D5064" s="51">
        <v>64.0</v>
      </c>
      <c r="E5064" s="52" t="s">
        <v>25</v>
      </c>
      <c r="F5064" s="52" t="s">
        <v>26</v>
      </c>
      <c r="G5064" s="53"/>
    </row>
    <row r="5065">
      <c r="A5065" s="49">
        <v>44566.37587737269</v>
      </c>
      <c r="B5065" s="50">
        <v>44566.5008534375</v>
      </c>
      <c r="C5065" s="51">
        <v>1.01</v>
      </c>
      <c r="D5065" s="51">
        <v>64.0</v>
      </c>
      <c r="E5065" s="52" t="s">
        <v>25</v>
      </c>
      <c r="F5065" s="52" t="s">
        <v>26</v>
      </c>
      <c r="G5065" s="53"/>
    </row>
    <row r="5066">
      <c r="A5066" s="49">
        <v>44566.38629353009</v>
      </c>
      <c r="B5066" s="50">
        <v>44566.5112743981</v>
      </c>
      <c r="C5066" s="51">
        <v>1.01</v>
      </c>
      <c r="D5066" s="51">
        <v>64.0</v>
      </c>
      <c r="E5066" s="52" t="s">
        <v>25</v>
      </c>
      <c r="F5066" s="52" t="s">
        <v>26</v>
      </c>
      <c r="G5066" s="53"/>
    </row>
    <row r="5067">
      <c r="A5067" s="49">
        <v>44566.3967253125</v>
      </c>
      <c r="B5067" s="50">
        <v>44566.5216967129</v>
      </c>
      <c r="C5067" s="51">
        <v>1.009</v>
      </c>
      <c r="D5067" s="51">
        <v>64.0</v>
      </c>
      <c r="E5067" s="52" t="s">
        <v>25</v>
      </c>
      <c r="F5067" s="52" t="s">
        <v>26</v>
      </c>
      <c r="G5067" s="53"/>
    </row>
    <row r="5068">
      <c r="A5068" s="49">
        <v>44566.40715517361</v>
      </c>
      <c r="B5068" s="50">
        <v>44566.5321294675</v>
      </c>
      <c r="C5068" s="51">
        <v>1.01</v>
      </c>
      <c r="D5068" s="51">
        <v>64.0</v>
      </c>
      <c r="E5068" s="52" t="s">
        <v>25</v>
      </c>
      <c r="F5068" s="52" t="s">
        <v>26</v>
      </c>
      <c r="G5068" s="53"/>
    </row>
    <row r="5069">
      <c r="A5069" s="49">
        <v>44566.417575</v>
      </c>
      <c r="B5069" s="50">
        <v>44566.5425510185</v>
      </c>
      <c r="C5069" s="51">
        <v>1.01</v>
      </c>
      <c r="D5069" s="51">
        <v>64.0</v>
      </c>
      <c r="E5069" s="52" t="s">
        <v>25</v>
      </c>
      <c r="F5069" s="52" t="s">
        <v>26</v>
      </c>
      <c r="G5069" s="53"/>
    </row>
    <row r="5070">
      <c r="A5070" s="49">
        <v>44566.42808067129</v>
      </c>
      <c r="B5070" s="50">
        <v>44566.5530535995</v>
      </c>
      <c r="C5070" s="51">
        <v>1.01</v>
      </c>
      <c r="D5070" s="51">
        <v>64.0</v>
      </c>
      <c r="E5070" s="52" t="s">
        <v>25</v>
      </c>
      <c r="F5070" s="52" t="s">
        <v>26</v>
      </c>
      <c r="G5070" s="53"/>
    </row>
    <row r="5071">
      <c r="A5071" s="49">
        <v>44566.438537870374</v>
      </c>
      <c r="B5071" s="50">
        <v>44566.5635071296</v>
      </c>
      <c r="C5071" s="51">
        <v>1.01</v>
      </c>
      <c r="D5071" s="51">
        <v>64.0</v>
      </c>
      <c r="E5071" s="52" t="s">
        <v>25</v>
      </c>
      <c r="F5071" s="52" t="s">
        <v>26</v>
      </c>
      <c r="G5071" s="53"/>
    </row>
    <row r="5072">
      <c r="A5072" s="49">
        <v>44566.44902763889</v>
      </c>
      <c r="B5072" s="50">
        <v>44566.5739988078</v>
      </c>
      <c r="C5072" s="51">
        <v>1.01</v>
      </c>
      <c r="D5072" s="51">
        <v>64.0</v>
      </c>
      <c r="E5072" s="52" t="s">
        <v>25</v>
      </c>
      <c r="F5072" s="52" t="s">
        <v>26</v>
      </c>
      <c r="G5072" s="53"/>
    </row>
    <row r="5073">
      <c r="A5073" s="49">
        <v>44566.45945763889</v>
      </c>
      <c r="B5073" s="50">
        <v>44566.5844309722</v>
      </c>
      <c r="C5073" s="51">
        <v>1.01</v>
      </c>
      <c r="D5073" s="51">
        <v>64.0</v>
      </c>
      <c r="E5073" s="52" t="s">
        <v>25</v>
      </c>
      <c r="F5073" s="52" t="s">
        <v>26</v>
      </c>
      <c r="G5073" s="53"/>
    </row>
    <row r="5074">
      <c r="A5074" s="49">
        <v>44566.469880902776</v>
      </c>
      <c r="B5074" s="50">
        <v>44566.5948531828</v>
      </c>
      <c r="C5074" s="51">
        <v>1.01</v>
      </c>
      <c r="D5074" s="51">
        <v>64.0</v>
      </c>
      <c r="E5074" s="52" t="s">
        <v>25</v>
      </c>
      <c r="F5074" s="52" t="s">
        <v>26</v>
      </c>
      <c r="G5074" s="53"/>
    </row>
    <row r="5075">
      <c r="A5075" s="49">
        <v>44566.480292858796</v>
      </c>
      <c r="B5075" s="50">
        <v>44566.6052722916</v>
      </c>
      <c r="C5075" s="51">
        <v>1.01</v>
      </c>
      <c r="D5075" s="51">
        <v>64.0</v>
      </c>
      <c r="E5075" s="52" t="s">
        <v>25</v>
      </c>
      <c r="F5075" s="52" t="s">
        <v>26</v>
      </c>
      <c r="G5075" s="53"/>
    </row>
    <row r="5076">
      <c r="A5076" s="49">
        <v>44566.490729791665</v>
      </c>
      <c r="B5076" s="50">
        <v>44566.6157050347</v>
      </c>
      <c r="C5076" s="51">
        <v>1.01</v>
      </c>
      <c r="D5076" s="51">
        <v>64.0</v>
      </c>
      <c r="E5076" s="52" t="s">
        <v>25</v>
      </c>
      <c r="F5076" s="52" t="s">
        <v>26</v>
      </c>
      <c r="G5076" s="53"/>
    </row>
    <row r="5077">
      <c r="A5077" s="49">
        <v>44566.501161504624</v>
      </c>
      <c r="B5077" s="50">
        <v>44566.6261382638</v>
      </c>
      <c r="C5077" s="51">
        <v>1.01</v>
      </c>
      <c r="D5077" s="51">
        <v>64.0</v>
      </c>
      <c r="E5077" s="52" t="s">
        <v>25</v>
      </c>
      <c r="F5077" s="52" t="s">
        <v>26</v>
      </c>
      <c r="G5077" s="53"/>
    </row>
    <row r="5078">
      <c r="A5078" s="49">
        <v>44566.51159918982</v>
      </c>
      <c r="B5078" s="50">
        <v>44566.6365726273</v>
      </c>
      <c r="C5078" s="51">
        <v>1.01</v>
      </c>
      <c r="D5078" s="51">
        <v>64.0</v>
      </c>
      <c r="E5078" s="52" t="s">
        <v>25</v>
      </c>
      <c r="F5078" s="52" t="s">
        <v>26</v>
      </c>
      <c r="G5078" s="53"/>
    </row>
    <row r="5079">
      <c r="A5079" s="49">
        <v>44566.52204327546</v>
      </c>
      <c r="B5079" s="50">
        <v>44566.6470173379</v>
      </c>
      <c r="C5079" s="51">
        <v>1.01</v>
      </c>
      <c r="D5079" s="51">
        <v>64.0</v>
      </c>
      <c r="E5079" s="52" t="s">
        <v>25</v>
      </c>
      <c r="F5079" s="52" t="s">
        <v>26</v>
      </c>
      <c r="G5079" s="53"/>
    </row>
    <row r="5080">
      <c r="A5080" s="49">
        <v>44566.53246825231</v>
      </c>
      <c r="B5080" s="50">
        <v>44566.6574389583</v>
      </c>
      <c r="C5080" s="51">
        <v>1.009</v>
      </c>
      <c r="D5080" s="51">
        <v>64.0</v>
      </c>
      <c r="E5080" s="52" t="s">
        <v>25</v>
      </c>
      <c r="F5080" s="52" t="s">
        <v>26</v>
      </c>
      <c r="G5080" s="53"/>
    </row>
    <row r="5081">
      <c r="A5081" s="49">
        <v>44566.542888067124</v>
      </c>
      <c r="B5081" s="50">
        <v>44566.6678615162</v>
      </c>
      <c r="C5081" s="51">
        <v>1.01</v>
      </c>
      <c r="D5081" s="51">
        <v>64.0</v>
      </c>
      <c r="E5081" s="52" t="s">
        <v>25</v>
      </c>
      <c r="F5081" s="52" t="s">
        <v>26</v>
      </c>
      <c r="G5081" s="53"/>
    </row>
    <row r="5082">
      <c r="A5082" s="49">
        <v>44566.55332527778</v>
      </c>
      <c r="B5082" s="50">
        <v>44566.6783066782</v>
      </c>
      <c r="C5082" s="51">
        <v>1.01</v>
      </c>
      <c r="D5082" s="51">
        <v>64.0</v>
      </c>
      <c r="E5082" s="52" t="s">
        <v>25</v>
      </c>
      <c r="F5082" s="52" t="s">
        <v>26</v>
      </c>
      <c r="G5082" s="53"/>
    </row>
    <row r="5083">
      <c r="A5083" s="49">
        <v>44566.563759641205</v>
      </c>
      <c r="B5083" s="50">
        <v>44566.6887276041</v>
      </c>
      <c r="C5083" s="51">
        <v>1.009</v>
      </c>
      <c r="D5083" s="51">
        <v>64.0</v>
      </c>
      <c r="E5083" s="52" t="s">
        <v>25</v>
      </c>
      <c r="F5083" s="52" t="s">
        <v>26</v>
      </c>
      <c r="G5083" s="53"/>
    </row>
    <row r="5084">
      <c r="A5084" s="49">
        <v>44566.57417420139</v>
      </c>
      <c r="B5084" s="50">
        <v>44566.6991493287</v>
      </c>
      <c r="C5084" s="51">
        <v>1.009</v>
      </c>
      <c r="D5084" s="51">
        <v>64.0</v>
      </c>
      <c r="E5084" s="52" t="s">
        <v>25</v>
      </c>
      <c r="F5084" s="52" t="s">
        <v>26</v>
      </c>
      <c r="G5084" s="53"/>
    </row>
    <row r="5085">
      <c r="A5085" s="49">
        <v>44566.584600497685</v>
      </c>
      <c r="B5085" s="50">
        <v>44566.7095714236</v>
      </c>
      <c r="C5085" s="51">
        <v>1.01</v>
      </c>
      <c r="D5085" s="51">
        <v>64.0</v>
      </c>
      <c r="E5085" s="52" t="s">
        <v>25</v>
      </c>
      <c r="F5085" s="52" t="s">
        <v>26</v>
      </c>
      <c r="G5085" s="53"/>
    </row>
    <row r="5086">
      <c r="A5086" s="49">
        <v>44566.59501800926</v>
      </c>
      <c r="B5086" s="50">
        <v>44566.719991655</v>
      </c>
      <c r="C5086" s="51">
        <v>1.01</v>
      </c>
      <c r="D5086" s="51">
        <v>64.0</v>
      </c>
      <c r="E5086" s="52" t="s">
        <v>25</v>
      </c>
      <c r="F5086" s="52" t="s">
        <v>26</v>
      </c>
      <c r="G5086" s="53"/>
    </row>
    <row r="5087">
      <c r="A5087" s="49">
        <v>44566.60543704861</v>
      </c>
      <c r="B5087" s="50">
        <v>44566.7304122453</v>
      </c>
      <c r="C5087" s="51">
        <v>1.01</v>
      </c>
      <c r="D5087" s="51">
        <v>64.0</v>
      </c>
      <c r="E5087" s="52" t="s">
        <v>25</v>
      </c>
      <c r="F5087" s="52" t="s">
        <v>26</v>
      </c>
      <c r="G5087" s="53"/>
    </row>
    <row r="5088">
      <c r="A5088" s="49">
        <v>44566.615861087965</v>
      </c>
      <c r="B5088" s="50">
        <v>44566.7408356134</v>
      </c>
      <c r="C5088" s="51">
        <v>1.01</v>
      </c>
      <c r="D5088" s="51">
        <v>64.0</v>
      </c>
      <c r="E5088" s="52" t="s">
        <v>25</v>
      </c>
      <c r="F5088" s="52" t="s">
        <v>26</v>
      </c>
      <c r="G5088" s="53"/>
    </row>
    <row r="5089">
      <c r="A5089" s="49">
        <v>44566.62628621528</v>
      </c>
      <c r="B5089" s="50">
        <v>44566.7512567245</v>
      </c>
      <c r="C5089" s="51">
        <v>1.01</v>
      </c>
      <c r="D5089" s="51">
        <v>64.0</v>
      </c>
      <c r="E5089" s="52" t="s">
        <v>25</v>
      </c>
      <c r="F5089" s="52" t="s">
        <v>26</v>
      </c>
      <c r="G5089" s="53"/>
    </row>
    <row r="5090">
      <c r="A5090" s="49">
        <v>44566.63673957176</v>
      </c>
      <c r="B5090" s="50">
        <v>44566.7617129282</v>
      </c>
      <c r="C5090" s="51">
        <v>1.01</v>
      </c>
      <c r="D5090" s="51">
        <v>64.0</v>
      </c>
      <c r="E5090" s="52" t="s">
        <v>25</v>
      </c>
      <c r="F5090" s="52" t="s">
        <v>26</v>
      </c>
      <c r="G5090" s="53"/>
    </row>
    <row r="5091">
      <c r="A5091" s="49">
        <v>44566.64716409722</v>
      </c>
      <c r="B5091" s="50">
        <v>44566.7721354282</v>
      </c>
      <c r="C5091" s="51">
        <v>1.01</v>
      </c>
      <c r="D5091" s="51">
        <v>64.0</v>
      </c>
      <c r="E5091" s="52" t="s">
        <v>25</v>
      </c>
      <c r="F5091" s="52" t="s">
        <v>26</v>
      </c>
      <c r="G5091" s="53"/>
    </row>
    <row r="5092">
      <c r="A5092" s="49">
        <v>44566.657593055555</v>
      </c>
      <c r="B5092" s="50">
        <v>44566.7825667476</v>
      </c>
      <c r="C5092" s="51">
        <v>1.009</v>
      </c>
      <c r="D5092" s="51">
        <v>64.0</v>
      </c>
      <c r="E5092" s="52" t="s">
        <v>25</v>
      </c>
      <c r="F5092" s="52" t="s">
        <v>26</v>
      </c>
      <c r="G5092" s="53"/>
    </row>
    <row r="5093">
      <c r="A5093" s="49">
        <v>44566.66815751157</v>
      </c>
      <c r="B5093" s="50">
        <v>44566.7929883912</v>
      </c>
      <c r="C5093" s="51">
        <v>1.01</v>
      </c>
      <c r="D5093" s="51">
        <v>64.0</v>
      </c>
      <c r="E5093" s="52" t="s">
        <v>25</v>
      </c>
      <c r="F5093" s="52" t="s">
        <v>26</v>
      </c>
      <c r="G5093" s="53"/>
    </row>
    <row r="5094">
      <c r="A5094" s="49">
        <v>44566.67844939815</v>
      </c>
      <c r="B5094" s="50">
        <v>44566.803423287</v>
      </c>
      <c r="C5094" s="51">
        <v>1.01</v>
      </c>
      <c r="D5094" s="51">
        <v>64.0</v>
      </c>
      <c r="E5094" s="52" t="s">
        <v>25</v>
      </c>
      <c r="F5094" s="52" t="s">
        <v>26</v>
      </c>
      <c r="G5094" s="53"/>
    </row>
    <row r="5095">
      <c r="A5095" s="49">
        <v>44566.6889147801</v>
      </c>
      <c r="B5095" s="50">
        <v>44566.8138925462</v>
      </c>
      <c r="C5095" s="51">
        <v>1.01</v>
      </c>
      <c r="D5095" s="51">
        <v>64.0</v>
      </c>
      <c r="E5095" s="52" t="s">
        <v>25</v>
      </c>
      <c r="F5095" s="52" t="s">
        <v>26</v>
      </c>
      <c r="G5095" s="53"/>
    </row>
    <row r="5096">
      <c r="A5096" s="49">
        <v>44566.69933969907</v>
      </c>
      <c r="B5096" s="50">
        <v>44566.8243129166</v>
      </c>
      <c r="C5096" s="51">
        <v>1.01</v>
      </c>
      <c r="D5096" s="51">
        <v>64.0</v>
      </c>
      <c r="E5096" s="52" t="s">
        <v>25</v>
      </c>
      <c r="F5096" s="52" t="s">
        <v>26</v>
      </c>
      <c r="G5096" s="53"/>
    </row>
    <row r="5097">
      <c r="A5097" s="49">
        <v>44566.709764872685</v>
      </c>
      <c r="B5097" s="50">
        <v>44566.8347351736</v>
      </c>
      <c r="C5097" s="51">
        <v>1.01</v>
      </c>
      <c r="D5097" s="51">
        <v>64.0</v>
      </c>
      <c r="E5097" s="52" t="s">
        <v>25</v>
      </c>
      <c r="F5097" s="52" t="s">
        <v>26</v>
      </c>
      <c r="G5097" s="53"/>
    </row>
    <row r="5098">
      <c r="A5098" s="49">
        <v>44566.72017605324</v>
      </c>
      <c r="B5098" s="50">
        <v>44566.8451561921</v>
      </c>
      <c r="C5098" s="51">
        <v>1.01</v>
      </c>
      <c r="D5098" s="51">
        <v>64.0</v>
      </c>
      <c r="E5098" s="52" t="s">
        <v>25</v>
      </c>
      <c r="F5098" s="52" t="s">
        <v>26</v>
      </c>
      <c r="G5098" s="53"/>
    </row>
    <row r="5099">
      <c r="A5099" s="49">
        <v>44566.730599305556</v>
      </c>
      <c r="B5099" s="50">
        <v>44566.8555754513</v>
      </c>
      <c r="C5099" s="51">
        <v>1.01</v>
      </c>
      <c r="D5099" s="51">
        <v>64.0</v>
      </c>
      <c r="E5099" s="52" t="s">
        <v>25</v>
      </c>
      <c r="F5099" s="52" t="s">
        <v>26</v>
      </c>
      <c r="G5099" s="53"/>
    </row>
    <row r="5100">
      <c r="A5100" s="49">
        <v>44566.74101358796</v>
      </c>
      <c r="B5100" s="50">
        <v>44566.8659955671</v>
      </c>
      <c r="C5100" s="51">
        <v>1.01</v>
      </c>
      <c r="D5100" s="51">
        <v>64.0</v>
      </c>
      <c r="E5100" s="52" t="s">
        <v>25</v>
      </c>
      <c r="F5100" s="52" t="s">
        <v>26</v>
      </c>
      <c r="G5100" s="53"/>
    </row>
    <row r="5101">
      <c r="A5101" s="49">
        <v>44566.75144263889</v>
      </c>
      <c r="B5101" s="50">
        <v>44566.8764163773</v>
      </c>
      <c r="C5101" s="51">
        <v>1.01</v>
      </c>
      <c r="D5101" s="51">
        <v>64.0</v>
      </c>
      <c r="E5101" s="52" t="s">
        <v>25</v>
      </c>
      <c r="F5101" s="52" t="s">
        <v>26</v>
      </c>
      <c r="G5101" s="53"/>
    </row>
    <row r="5102">
      <c r="A5102" s="49">
        <v>44566.76188837963</v>
      </c>
      <c r="B5102" s="50">
        <v>44566.8868611226</v>
      </c>
      <c r="C5102" s="51">
        <v>1.01</v>
      </c>
      <c r="D5102" s="51">
        <v>64.0</v>
      </c>
      <c r="E5102" s="52" t="s">
        <v>25</v>
      </c>
      <c r="F5102" s="52" t="s">
        <v>26</v>
      </c>
      <c r="G5102" s="53"/>
    </row>
    <row r="5103">
      <c r="A5103" s="49">
        <v>44566.77230650463</v>
      </c>
      <c r="B5103" s="50">
        <v>44566.8972821759</v>
      </c>
      <c r="C5103" s="51">
        <v>1.01</v>
      </c>
      <c r="D5103" s="51">
        <v>64.0</v>
      </c>
      <c r="E5103" s="52" t="s">
        <v>25</v>
      </c>
      <c r="F5103" s="52" t="s">
        <v>26</v>
      </c>
      <c r="G5103" s="53"/>
    </row>
    <row r="5104">
      <c r="A5104" s="49">
        <v>44566.78272982639</v>
      </c>
      <c r="B5104" s="50">
        <v>44566.9077014699</v>
      </c>
      <c r="C5104" s="51">
        <v>1.01</v>
      </c>
      <c r="D5104" s="51">
        <v>64.0</v>
      </c>
      <c r="E5104" s="52" t="s">
        <v>25</v>
      </c>
      <c r="F5104" s="52" t="s">
        <v>26</v>
      </c>
      <c r="G5104" s="53"/>
    </row>
    <row r="5105">
      <c r="A5105" s="49">
        <v>44566.79315247685</v>
      </c>
      <c r="B5105" s="50">
        <v>44566.9181231365</v>
      </c>
      <c r="C5105" s="51">
        <v>1.01</v>
      </c>
      <c r="D5105" s="51">
        <v>64.0</v>
      </c>
      <c r="E5105" s="52" t="s">
        <v>25</v>
      </c>
      <c r="F5105" s="52" t="s">
        <v>26</v>
      </c>
      <c r="G5105" s="53"/>
    </row>
    <row r="5106">
      <c r="A5106" s="49">
        <v>44566.8035740625</v>
      </c>
      <c r="B5106" s="50">
        <v>44566.9285456134</v>
      </c>
      <c r="C5106" s="51">
        <v>1.01</v>
      </c>
      <c r="D5106" s="51">
        <v>64.0</v>
      </c>
      <c r="E5106" s="52" t="s">
        <v>25</v>
      </c>
      <c r="F5106" s="52" t="s">
        <v>26</v>
      </c>
      <c r="G5106" s="53"/>
    </row>
    <row r="5107">
      <c r="A5107" s="49">
        <v>44566.813982928245</v>
      </c>
      <c r="B5107" s="50">
        <v>44566.9389660879</v>
      </c>
      <c r="C5107" s="51">
        <v>1.01</v>
      </c>
      <c r="D5107" s="51">
        <v>64.0</v>
      </c>
      <c r="E5107" s="52" t="s">
        <v>25</v>
      </c>
      <c r="F5107" s="52" t="s">
        <v>26</v>
      </c>
      <c r="G5107" s="53"/>
    </row>
    <row r="5108">
      <c r="A5108" s="49">
        <v>44566.82441094908</v>
      </c>
      <c r="B5108" s="50">
        <v>44566.9493888773</v>
      </c>
      <c r="C5108" s="51">
        <v>1.01</v>
      </c>
      <c r="D5108" s="51">
        <v>64.0</v>
      </c>
      <c r="E5108" s="52" t="s">
        <v>25</v>
      </c>
      <c r="F5108" s="52" t="s">
        <v>26</v>
      </c>
      <c r="G5108" s="53"/>
    </row>
    <row r="5109">
      <c r="A5109" s="49">
        <v>44566.83484118056</v>
      </c>
      <c r="B5109" s="50">
        <v>44566.9598104282</v>
      </c>
      <c r="C5109" s="51">
        <v>1.01</v>
      </c>
      <c r="D5109" s="51">
        <v>64.0</v>
      </c>
      <c r="E5109" s="52" t="s">
        <v>25</v>
      </c>
      <c r="F5109" s="52" t="s">
        <v>26</v>
      </c>
      <c r="G5109" s="53"/>
    </row>
    <row r="5110">
      <c r="A5110" s="49">
        <v>44566.84525436343</v>
      </c>
      <c r="B5110" s="50">
        <v>44566.9702314699</v>
      </c>
      <c r="C5110" s="51">
        <v>1.01</v>
      </c>
      <c r="D5110" s="51">
        <v>64.0</v>
      </c>
      <c r="E5110" s="52" t="s">
        <v>25</v>
      </c>
      <c r="F5110" s="52" t="s">
        <v>26</v>
      </c>
      <c r="G5110" s="53"/>
    </row>
    <row r="5111">
      <c r="A5111" s="49">
        <v>44566.85569188657</v>
      </c>
      <c r="B5111" s="50">
        <v>44566.9806662037</v>
      </c>
      <c r="C5111" s="51">
        <v>1.009</v>
      </c>
      <c r="D5111" s="51">
        <v>64.0</v>
      </c>
      <c r="E5111" s="52" t="s">
        <v>25</v>
      </c>
      <c r="F5111" s="52" t="s">
        <v>26</v>
      </c>
      <c r="G5111" s="53"/>
    </row>
    <row r="5112">
      <c r="A5112" s="49">
        <v>44566.866120011575</v>
      </c>
      <c r="B5112" s="50">
        <v>44566.9910981249</v>
      </c>
      <c r="C5112" s="51">
        <v>1.01</v>
      </c>
      <c r="D5112" s="51">
        <v>64.0</v>
      </c>
      <c r="E5112" s="52" t="s">
        <v>25</v>
      </c>
      <c r="F5112" s="52" t="s">
        <v>26</v>
      </c>
      <c r="G5112" s="53"/>
    </row>
    <row r="5113">
      <c r="A5113" s="49">
        <v>44566.8765931713</v>
      </c>
      <c r="B5113" s="50">
        <v>44567.0015660763</v>
      </c>
      <c r="C5113" s="51">
        <v>1.01</v>
      </c>
      <c r="D5113" s="51">
        <v>63.0</v>
      </c>
      <c r="E5113" s="52" t="s">
        <v>25</v>
      </c>
      <c r="F5113" s="52" t="s">
        <v>26</v>
      </c>
      <c r="G5113" s="53"/>
    </row>
    <row r="5114">
      <c r="A5114" s="49">
        <v>44566.88706015046</v>
      </c>
      <c r="B5114" s="50">
        <v>44567.0120342129</v>
      </c>
      <c r="C5114" s="51">
        <v>1.009</v>
      </c>
      <c r="D5114" s="51">
        <v>64.0</v>
      </c>
      <c r="E5114" s="52" t="s">
        <v>25</v>
      </c>
      <c r="F5114" s="52" t="s">
        <v>26</v>
      </c>
      <c r="G5114" s="53"/>
    </row>
    <row r="5115">
      <c r="A5115" s="49">
        <v>44566.89748630787</v>
      </c>
      <c r="B5115" s="50">
        <v>44567.0224556597</v>
      </c>
      <c r="C5115" s="51">
        <v>1.01</v>
      </c>
      <c r="D5115" s="51">
        <v>63.0</v>
      </c>
      <c r="E5115" s="52" t="s">
        <v>25</v>
      </c>
      <c r="F5115" s="52" t="s">
        <v>26</v>
      </c>
      <c r="G5115" s="53"/>
    </row>
    <row r="5116">
      <c r="A5116" s="49">
        <v>44566.9078930324</v>
      </c>
      <c r="B5116" s="50">
        <v>44567.032874537</v>
      </c>
      <c r="C5116" s="51">
        <v>1.01</v>
      </c>
      <c r="D5116" s="51">
        <v>64.0</v>
      </c>
      <c r="E5116" s="52" t="s">
        <v>25</v>
      </c>
      <c r="F5116" s="52" t="s">
        <v>26</v>
      </c>
      <c r="G5116" s="53"/>
    </row>
    <row r="5117">
      <c r="A5117" s="49">
        <v>44566.91831592593</v>
      </c>
      <c r="B5117" s="50">
        <v>44567.0432959259</v>
      </c>
      <c r="C5117" s="51">
        <v>1.009</v>
      </c>
      <c r="D5117" s="51">
        <v>63.0</v>
      </c>
      <c r="E5117" s="52" t="s">
        <v>25</v>
      </c>
      <c r="F5117" s="52" t="s">
        <v>26</v>
      </c>
      <c r="G5117" s="53"/>
    </row>
    <row r="5118">
      <c r="A5118" s="49">
        <v>44566.9288174074</v>
      </c>
      <c r="B5118" s="50">
        <v>44567.0537877199</v>
      </c>
      <c r="C5118" s="51">
        <v>1.01</v>
      </c>
      <c r="D5118" s="51">
        <v>63.0</v>
      </c>
      <c r="E5118" s="52" t="s">
        <v>25</v>
      </c>
      <c r="F5118" s="52" t="s">
        <v>26</v>
      </c>
      <c r="G5118" s="53"/>
    </row>
    <row r="5119">
      <c r="A5119" s="49">
        <v>44566.93923210648</v>
      </c>
      <c r="B5119" s="50">
        <v>44567.0642077314</v>
      </c>
      <c r="C5119" s="51">
        <v>1.01</v>
      </c>
      <c r="D5119" s="51">
        <v>63.0</v>
      </c>
      <c r="E5119" s="52" t="s">
        <v>25</v>
      </c>
      <c r="F5119" s="52" t="s">
        <v>26</v>
      </c>
      <c r="G5119" s="53"/>
    </row>
    <row r="5120">
      <c r="A5120" s="49">
        <v>44566.94965255787</v>
      </c>
      <c r="B5120" s="50">
        <v>44567.0746280092</v>
      </c>
      <c r="C5120" s="51">
        <v>1.01</v>
      </c>
      <c r="D5120" s="51">
        <v>63.0</v>
      </c>
      <c r="E5120" s="52" t="s">
        <v>25</v>
      </c>
      <c r="F5120" s="52" t="s">
        <v>26</v>
      </c>
      <c r="G5120" s="53"/>
    </row>
    <row r="5121">
      <c r="A5121" s="49">
        <v>44566.96007427083</v>
      </c>
      <c r="B5121" s="50">
        <v>44567.085048125</v>
      </c>
      <c r="C5121" s="51">
        <v>1.01</v>
      </c>
      <c r="D5121" s="51">
        <v>63.0</v>
      </c>
      <c r="E5121" s="52" t="s">
        <v>25</v>
      </c>
      <c r="F5121" s="52" t="s">
        <v>26</v>
      </c>
      <c r="G5121" s="53"/>
    </row>
    <row r="5122">
      <c r="A5122" s="49">
        <v>44566.97051777778</v>
      </c>
      <c r="B5122" s="50">
        <v>44567.0954814814</v>
      </c>
      <c r="C5122" s="51">
        <v>1.01</v>
      </c>
      <c r="D5122" s="51">
        <v>63.0</v>
      </c>
      <c r="E5122" s="52" t="s">
        <v>25</v>
      </c>
      <c r="F5122" s="52" t="s">
        <v>26</v>
      </c>
      <c r="G5122" s="53"/>
    </row>
    <row r="5123">
      <c r="A5123" s="49">
        <v>44566.980925972224</v>
      </c>
      <c r="B5123" s="50">
        <v>44567.1059036921</v>
      </c>
      <c r="C5123" s="51">
        <v>1.01</v>
      </c>
      <c r="D5123" s="51">
        <v>63.0</v>
      </c>
      <c r="E5123" s="52" t="s">
        <v>25</v>
      </c>
      <c r="F5123" s="52" t="s">
        <v>26</v>
      </c>
      <c r="G5123" s="53"/>
    </row>
    <row r="5124">
      <c r="A5124" s="49">
        <v>44566.99136494213</v>
      </c>
      <c r="B5124" s="50">
        <v>44567.1163376851</v>
      </c>
      <c r="C5124" s="51">
        <v>1.01</v>
      </c>
      <c r="D5124" s="51">
        <v>63.0</v>
      </c>
      <c r="E5124" s="52" t="s">
        <v>25</v>
      </c>
      <c r="F5124" s="52" t="s">
        <v>26</v>
      </c>
      <c r="G5124" s="53"/>
    </row>
    <row r="5125">
      <c r="A5125" s="49">
        <v>44567.00178475694</v>
      </c>
      <c r="B5125" s="50">
        <v>44567.1267580902</v>
      </c>
      <c r="C5125" s="51">
        <v>1.01</v>
      </c>
      <c r="D5125" s="51">
        <v>63.0</v>
      </c>
      <c r="E5125" s="52" t="s">
        <v>25</v>
      </c>
      <c r="F5125" s="52" t="s">
        <v>26</v>
      </c>
      <c r="G5125" s="53"/>
    </row>
    <row r="5126">
      <c r="A5126" s="49">
        <v>44567.012204224535</v>
      </c>
      <c r="B5126" s="50">
        <v>44567.1371802199</v>
      </c>
      <c r="C5126" s="51">
        <v>1.01</v>
      </c>
      <c r="D5126" s="51">
        <v>63.0</v>
      </c>
      <c r="E5126" s="52" t="s">
        <v>25</v>
      </c>
      <c r="F5126" s="52" t="s">
        <v>26</v>
      </c>
      <c r="G5126" s="53"/>
    </row>
    <row r="5127">
      <c r="A5127" s="49">
        <v>44567.022644675926</v>
      </c>
      <c r="B5127" s="50">
        <v>44567.1476135763</v>
      </c>
      <c r="C5127" s="51">
        <v>1.01</v>
      </c>
      <c r="D5127" s="51">
        <v>63.0</v>
      </c>
      <c r="E5127" s="52" t="s">
        <v>25</v>
      </c>
      <c r="F5127" s="52" t="s">
        <v>26</v>
      </c>
      <c r="G5127" s="53"/>
    </row>
    <row r="5128">
      <c r="A5128" s="49">
        <v>44567.03305917824</v>
      </c>
      <c r="B5128" s="50">
        <v>44567.1580354398</v>
      </c>
      <c r="C5128" s="51">
        <v>1.01</v>
      </c>
      <c r="D5128" s="51">
        <v>63.0</v>
      </c>
      <c r="E5128" s="52" t="s">
        <v>25</v>
      </c>
      <c r="F5128" s="52" t="s">
        <v>26</v>
      </c>
      <c r="G5128" s="53"/>
    </row>
    <row r="5129">
      <c r="A5129" s="49">
        <v>44567.04348717592</v>
      </c>
      <c r="B5129" s="50">
        <v>44567.1684565162</v>
      </c>
      <c r="C5129" s="51">
        <v>1.009</v>
      </c>
      <c r="D5129" s="51">
        <v>63.0</v>
      </c>
      <c r="E5129" s="52" t="s">
        <v>25</v>
      </c>
      <c r="F5129" s="52" t="s">
        <v>26</v>
      </c>
      <c r="G5129" s="53"/>
    </row>
    <row r="5130">
      <c r="A5130" s="49">
        <v>44567.053905243054</v>
      </c>
      <c r="B5130" s="50">
        <v>44567.1788776157</v>
      </c>
      <c r="C5130" s="51">
        <v>1.01</v>
      </c>
      <c r="D5130" s="51">
        <v>63.0</v>
      </c>
      <c r="E5130" s="52" t="s">
        <v>25</v>
      </c>
      <c r="F5130" s="52" t="s">
        <v>26</v>
      </c>
      <c r="G5130" s="53"/>
    </row>
    <row r="5131">
      <c r="A5131" s="49">
        <v>44567.06434038194</v>
      </c>
      <c r="B5131" s="50">
        <v>44567.189311956</v>
      </c>
      <c r="C5131" s="51">
        <v>1.01</v>
      </c>
      <c r="D5131" s="51">
        <v>63.0</v>
      </c>
      <c r="E5131" s="52" t="s">
        <v>25</v>
      </c>
      <c r="F5131" s="52" t="s">
        <v>26</v>
      </c>
      <c r="G5131" s="53"/>
    </row>
    <row r="5132">
      <c r="A5132" s="49">
        <v>44567.07477736111</v>
      </c>
      <c r="B5132" s="50">
        <v>44567.1997565277</v>
      </c>
      <c r="C5132" s="51">
        <v>1.01</v>
      </c>
      <c r="D5132" s="51">
        <v>63.0</v>
      </c>
      <c r="E5132" s="52" t="s">
        <v>25</v>
      </c>
      <c r="F5132" s="52" t="s">
        <v>26</v>
      </c>
      <c r="G5132" s="53"/>
    </row>
    <row r="5133">
      <c r="A5133" s="49">
        <v>44567.085230358796</v>
      </c>
      <c r="B5133" s="50">
        <v>44567.2101889699</v>
      </c>
      <c r="C5133" s="51">
        <v>1.01</v>
      </c>
      <c r="D5133" s="51">
        <v>63.0</v>
      </c>
      <c r="E5133" s="52" t="s">
        <v>25</v>
      </c>
      <c r="F5133" s="52" t="s">
        <v>26</v>
      </c>
      <c r="G5133" s="53"/>
    </row>
    <row r="5134">
      <c r="A5134" s="49">
        <v>44567.09563646991</v>
      </c>
      <c r="B5134" s="50">
        <v>44567.2206080671</v>
      </c>
      <c r="C5134" s="51">
        <v>1.01</v>
      </c>
      <c r="D5134" s="51">
        <v>63.0</v>
      </c>
      <c r="E5134" s="52" t="s">
        <v>25</v>
      </c>
      <c r="F5134" s="52" t="s">
        <v>26</v>
      </c>
      <c r="G5134" s="53"/>
    </row>
    <row r="5135">
      <c r="A5135" s="49">
        <v>44567.106062175924</v>
      </c>
      <c r="B5135" s="50">
        <v>44567.2310287615</v>
      </c>
      <c r="C5135" s="51">
        <v>1.009</v>
      </c>
      <c r="D5135" s="51">
        <v>63.0</v>
      </c>
      <c r="E5135" s="52" t="s">
        <v>25</v>
      </c>
      <c r="F5135" s="52" t="s">
        <v>26</v>
      </c>
      <c r="G5135" s="53"/>
    </row>
    <row r="5136">
      <c r="A5136" s="49">
        <v>44567.116485439816</v>
      </c>
      <c r="B5136" s="50">
        <v>44567.2414614236</v>
      </c>
      <c r="C5136" s="51">
        <v>1.009</v>
      </c>
      <c r="D5136" s="51">
        <v>63.0</v>
      </c>
      <c r="E5136" s="52" t="s">
        <v>25</v>
      </c>
      <c r="F5136" s="52" t="s">
        <v>26</v>
      </c>
      <c r="G5136" s="53"/>
    </row>
    <row r="5137">
      <c r="A5137" s="49">
        <v>44567.12690021991</v>
      </c>
      <c r="B5137" s="50">
        <v>44567.2518824074</v>
      </c>
      <c r="C5137" s="51">
        <v>1.01</v>
      </c>
      <c r="D5137" s="51">
        <v>63.0</v>
      </c>
      <c r="E5137" s="52" t="s">
        <v>25</v>
      </c>
      <c r="F5137" s="52" t="s">
        <v>26</v>
      </c>
      <c r="G5137" s="53"/>
    </row>
    <row r="5138">
      <c r="A5138" s="49">
        <v>44567.13733883102</v>
      </c>
      <c r="B5138" s="50">
        <v>44567.2623138194</v>
      </c>
      <c r="C5138" s="51">
        <v>1.009</v>
      </c>
      <c r="D5138" s="51">
        <v>63.0</v>
      </c>
      <c r="E5138" s="52" t="s">
        <v>25</v>
      </c>
      <c r="F5138" s="52" t="s">
        <v>26</v>
      </c>
      <c r="G5138" s="53"/>
    </row>
    <row r="5139">
      <c r="A5139" s="49">
        <v>44567.14775908565</v>
      </c>
      <c r="B5139" s="50">
        <v>44567.2727367361</v>
      </c>
      <c r="C5139" s="51">
        <v>1.01</v>
      </c>
      <c r="D5139" s="51">
        <v>63.0</v>
      </c>
      <c r="E5139" s="52" t="s">
        <v>25</v>
      </c>
      <c r="F5139" s="52" t="s">
        <v>26</v>
      </c>
      <c r="G5139" s="53"/>
    </row>
    <row r="5140">
      <c r="A5140" s="49">
        <v>44567.15818275463</v>
      </c>
      <c r="B5140" s="50">
        <v>44567.2831574768</v>
      </c>
      <c r="C5140" s="51">
        <v>1.01</v>
      </c>
      <c r="D5140" s="51">
        <v>63.0</v>
      </c>
      <c r="E5140" s="52" t="s">
        <v>25</v>
      </c>
      <c r="F5140" s="52" t="s">
        <v>26</v>
      </c>
      <c r="G5140" s="53"/>
    </row>
    <row r="5141">
      <c r="A5141" s="49">
        <v>44567.16860159722</v>
      </c>
      <c r="B5141" s="50">
        <v>44567.2935814814</v>
      </c>
      <c r="C5141" s="51">
        <v>1.01</v>
      </c>
      <c r="D5141" s="51">
        <v>63.0</v>
      </c>
      <c r="E5141" s="52" t="s">
        <v>25</v>
      </c>
      <c r="F5141" s="52" t="s">
        <v>26</v>
      </c>
      <c r="G5141" s="53"/>
    </row>
    <row r="5142">
      <c r="A5142" s="49">
        <v>44567.17903168981</v>
      </c>
      <c r="B5142" s="50">
        <v>44567.3040143865</v>
      </c>
      <c r="C5142" s="51">
        <v>1.01</v>
      </c>
      <c r="D5142" s="51">
        <v>63.0</v>
      </c>
      <c r="E5142" s="52" t="s">
        <v>25</v>
      </c>
      <c r="F5142" s="52" t="s">
        <v>26</v>
      </c>
      <c r="G5142" s="53"/>
    </row>
    <row r="5143">
      <c r="A5143" s="49">
        <v>44567.189457835644</v>
      </c>
      <c r="B5143" s="50">
        <v>44567.3144339699</v>
      </c>
      <c r="C5143" s="51">
        <v>1.01</v>
      </c>
      <c r="D5143" s="51">
        <v>63.0</v>
      </c>
      <c r="E5143" s="52" t="s">
        <v>25</v>
      </c>
      <c r="F5143" s="52" t="s">
        <v>26</v>
      </c>
      <c r="G5143" s="53"/>
    </row>
    <row r="5144">
      <c r="A5144" s="49">
        <v>44567.19988534722</v>
      </c>
      <c r="B5144" s="50">
        <v>44567.3248660416</v>
      </c>
      <c r="C5144" s="51">
        <v>1.01</v>
      </c>
      <c r="D5144" s="51">
        <v>63.0</v>
      </c>
      <c r="E5144" s="52" t="s">
        <v>25</v>
      </c>
      <c r="F5144" s="52" t="s">
        <v>26</v>
      </c>
      <c r="G5144" s="53"/>
    </row>
    <row r="5145">
      <c r="A5145" s="49">
        <v>44567.2103052662</v>
      </c>
      <c r="B5145" s="50">
        <v>44567.3352872916</v>
      </c>
      <c r="C5145" s="51">
        <v>1.01</v>
      </c>
      <c r="D5145" s="51">
        <v>63.0</v>
      </c>
      <c r="E5145" s="52" t="s">
        <v>25</v>
      </c>
      <c r="F5145" s="52" t="s">
        <v>26</v>
      </c>
      <c r="G5145" s="53"/>
    </row>
    <row r="5146">
      <c r="A5146" s="49">
        <v>44567.22073623842</v>
      </c>
      <c r="B5146" s="50">
        <v>44567.3457199652</v>
      </c>
      <c r="C5146" s="51">
        <v>1.01</v>
      </c>
      <c r="D5146" s="51">
        <v>63.0</v>
      </c>
      <c r="E5146" s="52" t="s">
        <v>25</v>
      </c>
      <c r="F5146" s="52" t="s">
        <v>26</v>
      </c>
      <c r="G5146" s="53"/>
    </row>
    <row r="5147">
      <c r="A5147" s="49">
        <v>44567.23116434028</v>
      </c>
      <c r="B5147" s="50">
        <v>44567.3561413888</v>
      </c>
      <c r="C5147" s="51">
        <v>1.009</v>
      </c>
      <c r="D5147" s="51">
        <v>63.0</v>
      </c>
      <c r="E5147" s="52" t="s">
        <v>25</v>
      </c>
      <c r="F5147" s="52" t="s">
        <v>26</v>
      </c>
      <c r="G5147" s="53"/>
    </row>
    <row r="5148">
      <c r="A5148" s="49">
        <v>44567.24158229167</v>
      </c>
      <c r="B5148" s="50">
        <v>44567.3665631597</v>
      </c>
      <c r="C5148" s="51">
        <v>1.01</v>
      </c>
      <c r="D5148" s="51">
        <v>63.0</v>
      </c>
      <c r="E5148" s="52" t="s">
        <v>25</v>
      </c>
      <c r="F5148" s="52" t="s">
        <v>26</v>
      </c>
      <c r="G5148" s="53"/>
    </row>
    <row r="5149">
      <c r="A5149" s="49">
        <v>44567.252004594906</v>
      </c>
      <c r="B5149" s="50">
        <v>44567.3769848611</v>
      </c>
      <c r="C5149" s="51">
        <v>1.01</v>
      </c>
      <c r="D5149" s="51">
        <v>63.0</v>
      </c>
      <c r="E5149" s="52" t="s">
        <v>25</v>
      </c>
      <c r="F5149" s="52" t="s">
        <v>26</v>
      </c>
      <c r="G5149" s="53"/>
    </row>
    <row r="5150">
      <c r="A5150" s="49">
        <v>44567.262427291666</v>
      </c>
      <c r="B5150" s="50">
        <v>44567.3874079282</v>
      </c>
      <c r="C5150" s="51">
        <v>1.01</v>
      </c>
      <c r="D5150" s="51">
        <v>63.0</v>
      </c>
      <c r="E5150" s="52" t="s">
        <v>25</v>
      </c>
      <c r="F5150" s="52" t="s">
        <v>26</v>
      </c>
      <c r="G5150" s="53"/>
    </row>
    <row r="5151">
      <c r="A5151" s="49">
        <v>44567.27286539352</v>
      </c>
      <c r="B5151" s="50">
        <v>44567.3978413657</v>
      </c>
      <c r="C5151" s="51">
        <v>1.009</v>
      </c>
      <c r="D5151" s="51">
        <v>63.0</v>
      </c>
      <c r="E5151" s="52" t="s">
        <v>25</v>
      </c>
      <c r="F5151" s="52" t="s">
        <v>26</v>
      </c>
      <c r="G5151" s="53"/>
    </row>
    <row r="5152">
      <c r="A5152" s="49">
        <v>44567.28333708333</v>
      </c>
      <c r="B5152" s="50">
        <v>44567.4083086574</v>
      </c>
      <c r="C5152" s="51">
        <v>1.01</v>
      </c>
      <c r="D5152" s="51">
        <v>63.0</v>
      </c>
      <c r="E5152" s="52" t="s">
        <v>25</v>
      </c>
      <c r="F5152" s="52" t="s">
        <v>26</v>
      </c>
      <c r="G5152" s="53"/>
    </row>
    <row r="5153">
      <c r="A5153" s="49">
        <v>44567.29375106482</v>
      </c>
      <c r="B5153" s="50">
        <v>44567.4187299652</v>
      </c>
      <c r="C5153" s="51">
        <v>1.01</v>
      </c>
      <c r="D5153" s="51">
        <v>63.0</v>
      </c>
      <c r="E5153" s="52" t="s">
        <v>25</v>
      </c>
      <c r="F5153" s="52" t="s">
        <v>26</v>
      </c>
      <c r="G5153" s="53"/>
    </row>
    <row r="5154">
      <c r="A5154" s="49">
        <v>44567.30417600695</v>
      </c>
      <c r="B5154" s="50">
        <v>44567.4291514467</v>
      </c>
      <c r="C5154" s="51">
        <v>1.01</v>
      </c>
      <c r="D5154" s="51">
        <v>63.0</v>
      </c>
      <c r="E5154" s="52" t="s">
        <v>25</v>
      </c>
      <c r="F5154" s="52" t="s">
        <v>26</v>
      </c>
      <c r="G5154" s="53"/>
    </row>
    <row r="5155">
      <c r="A5155" s="49">
        <v>44567.31459765046</v>
      </c>
      <c r="B5155" s="50">
        <v>44567.4395724652</v>
      </c>
      <c r="C5155" s="51">
        <v>1.01</v>
      </c>
      <c r="D5155" s="51">
        <v>63.0</v>
      </c>
      <c r="E5155" s="52" t="s">
        <v>25</v>
      </c>
      <c r="F5155" s="52" t="s">
        <v>26</v>
      </c>
      <c r="G5155" s="53"/>
    </row>
    <row r="5156">
      <c r="A5156" s="49">
        <v>44567.3250169213</v>
      </c>
      <c r="B5156" s="50">
        <v>44567.4499941203</v>
      </c>
      <c r="C5156" s="51">
        <v>1.01</v>
      </c>
      <c r="D5156" s="51">
        <v>63.0</v>
      </c>
      <c r="E5156" s="52" t="s">
        <v>25</v>
      </c>
      <c r="F5156" s="52" t="s">
        <v>26</v>
      </c>
      <c r="G5156" s="53"/>
    </row>
    <row r="5157">
      <c r="A5157" s="49">
        <v>44567.33544969907</v>
      </c>
      <c r="B5157" s="50">
        <v>44567.4604270023</v>
      </c>
      <c r="C5157" s="51">
        <v>1.01</v>
      </c>
      <c r="D5157" s="51">
        <v>63.0</v>
      </c>
      <c r="E5157" s="52" t="s">
        <v>25</v>
      </c>
      <c r="F5157" s="52" t="s">
        <v>26</v>
      </c>
      <c r="G5157" s="53"/>
    </row>
    <row r="5158">
      <c r="A5158" s="49">
        <v>44567.34586905093</v>
      </c>
      <c r="B5158" s="50">
        <v>44567.4708487847</v>
      </c>
      <c r="C5158" s="51">
        <v>1.009</v>
      </c>
      <c r="D5158" s="51">
        <v>63.0</v>
      </c>
      <c r="E5158" s="52" t="s">
        <v>25</v>
      </c>
      <c r="F5158" s="52" t="s">
        <v>26</v>
      </c>
      <c r="G5158" s="53"/>
    </row>
    <row r="5159">
      <c r="A5159" s="49">
        <v>44567.35629072916</v>
      </c>
      <c r="B5159" s="50">
        <v>44567.4812719444</v>
      </c>
      <c r="C5159" s="51">
        <v>1.01</v>
      </c>
      <c r="D5159" s="51">
        <v>63.0</v>
      </c>
      <c r="E5159" s="52" t="s">
        <v>25</v>
      </c>
      <c r="F5159" s="52" t="s">
        <v>26</v>
      </c>
      <c r="G5159" s="53"/>
    </row>
    <row r="5160">
      <c r="A5160" s="49">
        <v>44567.36672046296</v>
      </c>
      <c r="B5160" s="50">
        <v>44567.4916945486</v>
      </c>
      <c r="C5160" s="51">
        <v>1.01</v>
      </c>
      <c r="D5160" s="51">
        <v>63.0</v>
      </c>
      <c r="E5160" s="52" t="s">
        <v>25</v>
      </c>
      <c r="F5160" s="52" t="s">
        <v>26</v>
      </c>
      <c r="G5160" s="53"/>
    </row>
    <row r="5161">
      <c r="A5161" s="49">
        <v>44567.377135613424</v>
      </c>
      <c r="B5161" s="50">
        <v>44567.5021152546</v>
      </c>
      <c r="C5161" s="51">
        <v>1.009</v>
      </c>
      <c r="D5161" s="51">
        <v>63.0</v>
      </c>
      <c r="E5161" s="52" t="s">
        <v>25</v>
      </c>
      <c r="F5161" s="52" t="s">
        <v>26</v>
      </c>
      <c r="G5161" s="53"/>
    </row>
    <row r="5162">
      <c r="A5162" s="49">
        <v>44567.38755260417</v>
      </c>
      <c r="B5162" s="50">
        <v>44567.5125358449</v>
      </c>
      <c r="C5162" s="51">
        <v>1.01</v>
      </c>
      <c r="D5162" s="51">
        <v>63.0</v>
      </c>
      <c r="E5162" s="52" t="s">
        <v>25</v>
      </c>
      <c r="F5162" s="52" t="s">
        <v>26</v>
      </c>
      <c r="G5162" s="53"/>
    </row>
    <row r="5163">
      <c r="A5163" s="49">
        <v>44567.397984814816</v>
      </c>
      <c r="B5163" s="50">
        <v>44567.5229574884</v>
      </c>
      <c r="C5163" s="51">
        <v>1.01</v>
      </c>
      <c r="D5163" s="51">
        <v>63.0</v>
      </c>
      <c r="E5163" s="52" t="s">
        <v>25</v>
      </c>
      <c r="F5163" s="52" t="s">
        <v>26</v>
      </c>
      <c r="G5163" s="53"/>
    </row>
    <row r="5164">
      <c r="A5164" s="49">
        <v>44567.408406828705</v>
      </c>
      <c r="B5164" s="50">
        <v>44567.5333919328</v>
      </c>
      <c r="C5164" s="51">
        <v>1.009</v>
      </c>
      <c r="D5164" s="51">
        <v>63.0</v>
      </c>
      <c r="E5164" s="52" t="s">
        <v>25</v>
      </c>
      <c r="F5164" s="52" t="s">
        <v>26</v>
      </c>
      <c r="G5164" s="53"/>
    </row>
    <row r="5165">
      <c r="A5165" s="49">
        <v>44567.418848807865</v>
      </c>
      <c r="B5165" s="50">
        <v>44567.5438263657</v>
      </c>
      <c r="C5165" s="51">
        <v>1.009</v>
      </c>
      <c r="D5165" s="51">
        <v>63.0</v>
      </c>
      <c r="E5165" s="52" t="s">
        <v>25</v>
      </c>
      <c r="F5165" s="52" t="s">
        <v>26</v>
      </c>
      <c r="G5165" s="53"/>
    </row>
    <row r="5166">
      <c r="A5166" s="49">
        <v>44567.42926293981</v>
      </c>
      <c r="B5166" s="50">
        <v>44567.5542483796</v>
      </c>
      <c r="C5166" s="51">
        <v>1.009</v>
      </c>
      <c r="D5166" s="51">
        <v>63.0</v>
      </c>
      <c r="E5166" s="52" t="s">
        <v>25</v>
      </c>
      <c r="F5166" s="52" t="s">
        <v>26</v>
      </c>
      <c r="G5166" s="53"/>
    </row>
    <row r="5167">
      <c r="A5167" s="49">
        <v>44567.43970549769</v>
      </c>
      <c r="B5167" s="50">
        <v>44567.5646807638</v>
      </c>
      <c r="C5167" s="51">
        <v>1.009</v>
      </c>
      <c r="D5167" s="51">
        <v>63.0</v>
      </c>
      <c r="E5167" s="52" t="s">
        <v>25</v>
      </c>
      <c r="F5167" s="52" t="s">
        <v>26</v>
      </c>
      <c r="G5167" s="53"/>
    </row>
    <row r="5168">
      <c r="A5168" s="49">
        <v>44567.45013280092</v>
      </c>
      <c r="B5168" s="50">
        <v>44567.5751123263</v>
      </c>
      <c r="C5168" s="51">
        <v>1.01</v>
      </c>
      <c r="D5168" s="51">
        <v>63.0</v>
      </c>
      <c r="E5168" s="52" t="s">
        <v>25</v>
      </c>
      <c r="F5168" s="52" t="s">
        <v>26</v>
      </c>
      <c r="G5168" s="53"/>
    </row>
    <row r="5169">
      <c r="A5169" s="49">
        <v>44567.460547662035</v>
      </c>
      <c r="B5169" s="50">
        <v>44567.5855329166</v>
      </c>
      <c r="C5169" s="51">
        <v>1.01</v>
      </c>
      <c r="D5169" s="51">
        <v>63.0</v>
      </c>
      <c r="E5169" s="52" t="s">
        <v>25</v>
      </c>
      <c r="F5169" s="52" t="s">
        <v>26</v>
      </c>
      <c r="G5169" s="53"/>
    </row>
    <row r="5170">
      <c r="A5170" s="49">
        <v>44567.4709915625</v>
      </c>
      <c r="B5170" s="50">
        <v>44567.5959667245</v>
      </c>
      <c r="C5170" s="51">
        <v>1.01</v>
      </c>
      <c r="D5170" s="51">
        <v>63.0</v>
      </c>
      <c r="E5170" s="52" t="s">
        <v>25</v>
      </c>
      <c r="F5170" s="52" t="s">
        <v>26</v>
      </c>
      <c r="G5170" s="53"/>
    </row>
    <row r="5171">
      <c r="A5171" s="49">
        <v>44567.48140726852</v>
      </c>
      <c r="B5171" s="50">
        <v>44567.6063888194</v>
      </c>
      <c r="C5171" s="51">
        <v>1.009</v>
      </c>
      <c r="D5171" s="51">
        <v>63.0</v>
      </c>
      <c r="E5171" s="52" t="s">
        <v>25</v>
      </c>
      <c r="F5171" s="52" t="s">
        <v>26</v>
      </c>
      <c r="G5171" s="53"/>
    </row>
    <row r="5172">
      <c r="A5172" s="49">
        <v>44567.49184636574</v>
      </c>
      <c r="B5172" s="50">
        <v>44567.6168214814</v>
      </c>
      <c r="C5172" s="51">
        <v>1.009</v>
      </c>
      <c r="D5172" s="51">
        <v>63.0</v>
      </c>
      <c r="E5172" s="52" t="s">
        <v>25</v>
      </c>
      <c r="F5172" s="52" t="s">
        <v>26</v>
      </c>
      <c r="G5172" s="53"/>
    </row>
    <row r="5173">
      <c r="A5173" s="49">
        <v>44567.50226488426</v>
      </c>
      <c r="B5173" s="50">
        <v>44567.6272419444</v>
      </c>
      <c r="C5173" s="51">
        <v>1.009</v>
      </c>
      <c r="D5173" s="51">
        <v>63.0</v>
      </c>
      <c r="E5173" s="52" t="s">
        <v>25</v>
      </c>
      <c r="F5173" s="52" t="s">
        <v>26</v>
      </c>
      <c r="G5173" s="53"/>
    </row>
    <row r="5174">
      <c r="A5174" s="49">
        <v>44567.51269708334</v>
      </c>
      <c r="B5174" s="50">
        <v>44567.6376743402</v>
      </c>
      <c r="C5174" s="51">
        <v>1.01</v>
      </c>
      <c r="D5174" s="51">
        <v>63.0</v>
      </c>
      <c r="E5174" s="52" t="s">
        <v>25</v>
      </c>
      <c r="F5174" s="52" t="s">
        <v>26</v>
      </c>
      <c r="G5174" s="53"/>
    </row>
    <row r="5175">
      <c r="A5175" s="49">
        <v>44567.523173229165</v>
      </c>
      <c r="B5175" s="50">
        <v>44567.648141331</v>
      </c>
      <c r="C5175" s="51">
        <v>1.009</v>
      </c>
      <c r="D5175" s="51">
        <v>63.0</v>
      </c>
      <c r="E5175" s="52" t="s">
        <v>25</v>
      </c>
      <c r="F5175" s="52" t="s">
        <v>26</v>
      </c>
      <c r="G5175" s="53"/>
    </row>
    <row r="5176">
      <c r="A5176" s="49">
        <v>44567.53357924768</v>
      </c>
      <c r="B5176" s="50">
        <v>44567.6585618171</v>
      </c>
      <c r="C5176" s="51">
        <v>1.009</v>
      </c>
      <c r="D5176" s="51">
        <v>63.0</v>
      </c>
      <c r="E5176" s="52" t="s">
        <v>25</v>
      </c>
      <c r="F5176" s="52" t="s">
        <v>26</v>
      </c>
      <c r="G5176" s="53"/>
    </row>
    <row r="5177">
      <c r="A5177" s="49">
        <v>44567.54401377315</v>
      </c>
      <c r="B5177" s="50">
        <v>44567.6689824305</v>
      </c>
      <c r="C5177" s="51">
        <v>1.009</v>
      </c>
      <c r="D5177" s="51">
        <v>63.0</v>
      </c>
      <c r="E5177" s="52" t="s">
        <v>25</v>
      </c>
      <c r="F5177" s="52" t="s">
        <v>26</v>
      </c>
      <c r="G5177" s="53"/>
    </row>
    <row r="5178">
      <c r="A5178" s="49">
        <v>44567.5544252199</v>
      </c>
      <c r="B5178" s="50">
        <v>44567.6794044791</v>
      </c>
      <c r="C5178" s="51">
        <v>1.01</v>
      </c>
      <c r="D5178" s="51">
        <v>63.0</v>
      </c>
      <c r="E5178" s="52" t="s">
        <v>25</v>
      </c>
      <c r="F5178" s="52" t="s">
        <v>26</v>
      </c>
      <c r="G5178" s="53"/>
    </row>
    <row r="5179">
      <c r="A5179" s="49">
        <v>44567.56485445602</v>
      </c>
      <c r="B5179" s="50">
        <v>44567.6898358449</v>
      </c>
      <c r="C5179" s="51">
        <v>1.009</v>
      </c>
      <c r="D5179" s="51">
        <v>63.0</v>
      </c>
      <c r="E5179" s="52" t="s">
        <v>25</v>
      </c>
      <c r="F5179" s="52" t="s">
        <v>26</v>
      </c>
      <c r="G5179" s="53"/>
    </row>
    <row r="5180">
      <c r="A5180" s="49">
        <v>44567.575321400465</v>
      </c>
      <c r="B5180" s="50">
        <v>44567.7002930555</v>
      </c>
      <c r="C5180" s="51">
        <v>1.01</v>
      </c>
      <c r="D5180" s="51">
        <v>63.0</v>
      </c>
      <c r="E5180" s="52" t="s">
        <v>25</v>
      </c>
      <c r="F5180" s="52" t="s">
        <v>26</v>
      </c>
      <c r="G5180" s="53"/>
    </row>
    <row r="5181">
      <c r="A5181" s="49">
        <v>44567.58573489584</v>
      </c>
      <c r="B5181" s="50">
        <v>44567.7107149421</v>
      </c>
      <c r="C5181" s="51">
        <v>1.009</v>
      </c>
      <c r="D5181" s="51">
        <v>63.0</v>
      </c>
      <c r="E5181" s="52" t="s">
        <v>25</v>
      </c>
      <c r="F5181" s="52" t="s">
        <v>26</v>
      </c>
      <c r="G5181" s="53"/>
    </row>
    <row r="5182">
      <c r="A5182" s="49">
        <v>44567.596170590274</v>
      </c>
      <c r="B5182" s="50">
        <v>44567.7211465624</v>
      </c>
      <c r="C5182" s="51">
        <v>1.009</v>
      </c>
      <c r="D5182" s="51">
        <v>63.0</v>
      </c>
      <c r="E5182" s="52" t="s">
        <v>25</v>
      </c>
      <c r="F5182" s="52" t="s">
        <v>26</v>
      </c>
      <c r="G5182" s="53"/>
    </row>
    <row r="5183">
      <c r="A5183" s="49">
        <v>44567.606587256945</v>
      </c>
      <c r="B5183" s="50">
        <v>44567.7315683912</v>
      </c>
      <c r="C5183" s="51">
        <v>1.009</v>
      </c>
      <c r="D5183" s="51">
        <v>63.0</v>
      </c>
      <c r="E5183" s="52" t="s">
        <v>25</v>
      </c>
      <c r="F5183" s="52" t="s">
        <v>26</v>
      </c>
      <c r="G5183" s="53"/>
    </row>
    <row r="5184">
      <c r="A5184" s="49">
        <v>44567.617009803245</v>
      </c>
      <c r="B5184" s="50">
        <v>44567.7419869791</v>
      </c>
      <c r="C5184" s="51">
        <v>1.009</v>
      </c>
      <c r="D5184" s="51">
        <v>63.0</v>
      </c>
      <c r="E5184" s="52" t="s">
        <v>25</v>
      </c>
      <c r="F5184" s="52" t="s">
        <v>26</v>
      </c>
      <c r="G5184" s="53"/>
    </row>
    <row r="5185">
      <c r="A5185" s="49">
        <v>44567.627446412036</v>
      </c>
      <c r="B5185" s="50">
        <v>44567.7524313425</v>
      </c>
      <c r="C5185" s="51">
        <v>1.009</v>
      </c>
      <c r="D5185" s="51">
        <v>64.0</v>
      </c>
      <c r="E5185" s="52" t="s">
        <v>25</v>
      </c>
      <c r="F5185" s="52" t="s">
        <v>26</v>
      </c>
      <c r="G5185" s="53"/>
    </row>
    <row r="5186">
      <c r="A5186" s="49">
        <v>44567.63787515047</v>
      </c>
      <c r="B5186" s="50">
        <v>44567.762853206</v>
      </c>
      <c r="C5186" s="51">
        <v>1.009</v>
      </c>
      <c r="D5186" s="51">
        <v>64.0</v>
      </c>
      <c r="E5186" s="52" t="s">
        <v>25</v>
      </c>
      <c r="F5186" s="52" t="s">
        <v>26</v>
      </c>
      <c r="G5186" s="53"/>
    </row>
    <row r="5187">
      <c r="A5187" s="49">
        <v>44567.64828944445</v>
      </c>
      <c r="B5187" s="50">
        <v>44567.7732749305</v>
      </c>
      <c r="C5187" s="51">
        <v>1.009</v>
      </c>
      <c r="D5187" s="51">
        <v>65.0</v>
      </c>
      <c r="E5187" s="52" t="s">
        <v>25</v>
      </c>
      <c r="F5187" s="52" t="s">
        <v>26</v>
      </c>
      <c r="G5187" s="53"/>
    </row>
    <row r="5188">
      <c r="A5188" s="49">
        <v>44567.65872072917</v>
      </c>
      <c r="B5188" s="50">
        <v>44567.783696574</v>
      </c>
      <c r="C5188" s="51">
        <v>1.009</v>
      </c>
      <c r="D5188" s="51">
        <v>65.0</v>
      </c>
      <c r="E5188" s="52" t="s">
        <v>25</v>
      </c>
      <c r="F5188" s="52" t="s">
        <v>26</v>
      </c>
      <c r="G5188" s="53"/>
    </row>
    <row r="5189">
      <c r="A5189" s="49">
        <v>44567.66913988426</v>
      </c>
      <c r="B5189" s="50">
        <v>44567.7941200115</v>
      </c>
      <c r="C5189" s="51">
        <v>1.009</v>
      </c>
      <c r="D5189" s="51">
        <v>66.0</v>
      </c>
      <c r="E5189" s="52" t="s">
        <v>25</v>
      </c>
      <c r="F5189" s="52" t="s">
        <v>26</v>
      </c>
      <c r="G5189" s="53"/>
    </row>
    <row r="5190">
      <c r="A5190" s="49">
        <v>44567.67956480324</v>
      </c>
      <c r="B5190" s="50">
        <v>44567.8045417013</v>
      </c>
      <c r="C5190" s="51">
        <v>1.009</v>
      </c>
      <c r="D5190" s="51">
        <v>66.0</v>
      </c>
      <c r="E5190" s="52" t="s">
        <v>25</v>
      </c>
      <c r="F5190" s="52" t="s">
        <v>26</v>
      </c>
      <c r="G5190" s="53"/>
    </row>
    <row r="5191">
      <c r="A5191" s="49">
        <v>44567.68998914352</v>
      </c>
      <c r="B5191" s="50">
        <v>44567.8149635763</v>
      </c>
      <c r="C5191" s="51">
        <v>1.009</v>
      </c>
      <c r="D5191" s="51">
        <v>66.0</v>
      </c>
      <c r="E5191" s="52" t="s">
        <v>25</v>
      </c>
      <c r="F5191" s="52" t="s">
        <v>26</v>
      </c>
      <c r="G5191" s="53"/>
    </row>
    <row r="5192">
      <c r="A5192" s="49">
        <v>44567.70040233796</v>
      </c>
      <c r="B5192" s="50">
        <v>44567.8253853935</v>
      </c>
      <c r="C5192" s="51">
        <v>1.009</v>
      </c>
      <c r="D5192" s="51">
        <v>67.0</v>
      </c>
      <c r="E5192" s="52" t="s">
        <v>25</v>
      </c>
      <c r="F5192" s="52" t="s">
        <v>26</v>
      </c>
      <c r="G5192" s="53"/>
    </row>
    <row r="5193">
      <c r="A5193" s="49">
        <v>44567.710833391204</v>
      </c>
      <c r="B5193" s="50">
        <v>44567.8358187268</v>
      </c>
      <c r="C5193" s="51">
        <v>1.009</v>
      </c>
      <c r="D5193" s="51">
        <v>67.0</v>
      </c>
      <c r="E5193" s="52" t="s">
        <v>25</v>
      </c>
      <c r="F5193" s="52" t="s">
        <v>26</v>
      </c>
      <c r="G5193" s="53"/>
    </row>
    <row r="5194">
      <c r="A5194" s="49">
        <v>44567.721259178245</v>
      </c>
      <c r="B5194" s="50">
        <v>44567.8462394791</v>
      </c>
      <c r="C5194" s="51">
        <v>1.009</v>
      </c>
      <c r="D5194" s="51">
        <v>68.0</v>
      </c>
      <c r="E5194" s="52" t="s">
        <v>25</v>
      </c>
      <c r="F5194" s="52" t="s">
        <v>26</v>
      </c>
      <c r="G5194" s="53"/>
    </row>
    <row r="5195">
      <c r="A5195" s="49">
        <v>44567.731690879635</v>
      </c>
      <c r="B5195" s="50">
        <v>44567.8566727546</v>
      </c>
      <c r="C5195" s="51">
        <v>1.009</v>
      </c>
      <c r="D5195" s="51">
        <v>68.0</v>
      </c>
      <c r="E5195" s="52" t="s">
        <v>25</v>
      </c>
      <c r="F5195" s="52" t="s">
        <v>26</v>
      </c>
      <c r="G5195" s="53"/>
    </row>
    <row r="5196">
      <c r="A5196" s="49">
        <v>44567.74218769676</v>
      </c>
      <c r="B5196" s="50">
        <v>44567.867163993</v>
      </c>
      <c r="C5196" s="51">
        <v>1.009</v>
      </c>
      <c r="D5196" s="51">
        <v>68.0</v>
      </c>
      <c r="E5196" s="52" t="s">
        <v>25</v>
      </c>
      <c r="F5196" s="52" t="s">
        <v>26</v>
      </c>
      <c r="G5196" s="53"/>
    </row>
    <row r="5197">
      <c r="A5197" s="49">
        <v>44567.75260533565</v>
      </c>
      <c r="B5197" s="50">
        <v>44567.8775836574</v>
      </c>
      <c r="C5197" s="51">
        <v>1.009</v>
      </c>
      <c r="D5197" s="51">
        <v>68.0</v>
      </c>
      <c r="E5197" s="52" t="s">
        <v>25</v>
      </c>
      <c r="F5197" s="52" t="s">
        <v>26</v>
      </c>
      <c r="G5197" s="53"/>
    </row>
    <row r="5198">
      <c r="A5198" s="49">
        <v>44567.76306265046</v>
      </c>
      <c r="B5198" s="50">
        <v>44567.8880275578</v>
      </c>
      <c r="C5198" s="51">
        <v>1.009</v>
      </c>
      <c r="D5198" s="51">
        <v>68.0</v>
      </c>
      <c r="E5198" s="52" t="s">
        <v>25</v>
      </c>
      <c r="F5198" s="52" t="s">
        <v>26</v>
      </c>
      <c r="G5198" s="53"/>
    </row>
    <row r="5199">
      <c r="A5199" s="49">
        <v>44567.77348377315</v>
      </c>
      <c r="B5199" s="50">
        <v>44567.8984620601</v>
      </c>
      <c r="C5199" s="51">
        <v>1.009</v>
      </c>
      <c r="D5199" s="51">
        <v>68.0</v>
      </c>
      <c r="E5199" s="52" t="s">
        <v>25</v>
      </c>
      <c r="F5199" s="52" t="s">
        <v>26</v>
      </c>
      <c r="G5199" s="53"/>
    </row>
    <row r="5200">
      <c r="A5200" s="49">
        <v>44567.7839065625</v>
      </c>
      <c r="B5200" s="50">
        <v>44567.9088839583</v>
      </c>
      <c r="C5200" s="51">
        <v>1.009</v>
      </c>
      <c r="D5200" s="51">
        <v>68.0</v>
      </c>
      <c r="E5200" s="52" t="s">
        <v>25</v>
      </c>
      <c r="F5200" s="52" t="s">
        <v>26</v>
      </c>
      <c r="G5200" s="53"/>
    </row>
    <row r="5201">
      <c r="A5201" s="49">
        <v>44567.794325995375</v>
      </c>
      <c r="B5201" s="50">
        <v>44567.9193049189</v>
      </c>
      <c r="C5201" s="51">
        <v>1.009</v>
      </c>
      <c r="D5201" s="51">
        <v>68.0</v>
      </c>
      <c r="E5201" s="52" t="s">
        <v>25</v>
      </c>
      <c r="F5201" s="52" t="s">
        <v>26</v>
      </c>
      <c r="G5201" s="53"/>
    </row>
    <row r="5202">
      <c r="A5202" s="49">
        <v>44567.80476616898</v>
      </c>
      <c r="B5202" s="50">
        <v>44567.9297490509</v>
      </c>
      <c r="C5202" s="51">
        <v>1.009</v>
      </c>
      <c r="D5202" s="51">
        <v>68.0</v>
      </c>
      <c r="E5202" s="52" t="s">
        <v>25</v>
      </c>
      <c r="F5202" s="52" t="s">
        <v>26</v>
      </c>
      <c r="G5202" s="53"/>
    </row>
    <row r="5203">
      <c r="A5203" s="49">
        <v>44567.815199282406</v>
      </c>
      <c r="B5203" s="50">
        <v>44567.940172037</v>
      </c>
      <c r="C5203" s="51">
        <v>1.009</v>
      </c>
      <c r="D5203" s="51">
        <v>68.0</v>
      </c>
      <c r="E5203" s="52" t="s">
        <v>25</v>
      </c>
      <c r="F5203" s="52" t="s">
        <v>26</v>
      </c>
      <c r="G5203" s="53"/>
    </row>
    <row r="5204">
      <c r="A5204" s="49">
        <v>44567.82562283565</v>
      </c>
      <c r="B5204" s="50">
        <v>44567.9506049652</v>
      </c>
      <c r="C5204" s="51">
        <v>1.009</v>
      </c>
      <c r="D5204" s="51">
        <v>68.0</v>
      </c>
      <c r="E5204" s="52" t="s">
        <v>25</v>
      </c>
      <c r="F5204" s="52" t="s">
        <v>26</v>
      </c>
      <c r="G5204" s="53"/>
    </row>
    <row r="5205">
      <c r="A5205" s="49">
        <v>44567.83605251157</v>
      </c>
      <c r="B5205" s="50">
        <v>44567.9610283912</v>
      </c>
      <c r="C5205" s="51">
        <v>1.009</v>
      </c>
      <c r="D5205" s="51">
        <v>68.0</v>
      </c>
      <c r="E5205" s="52" t="s">
        <v>25</v>
      </c>
      <c r="F5205" s="52" t="s">
        <v>26</v>
      </c>
      <c r="G5205" s="53"/>
    </row>
    <row r="5206">
      <c r="A5206" s="49">
        <v>44567.846486180555</v>
      </c>
      <c r="B5206" s="50">
        <v>44567.9714610069</v>
      </c>
      <c r="C5206" s="51">
        <v>1.009</v>
      </c>
      <c r="D5206" s="51">
        <v>68.0</v>
      </c>
      <c r="E5206" s="52" t="s">
        <v>25</v>
      </c>
      <c r="F5206" s="52" t="s">
        <v>26</v>
      </c>
      <c r="G5206" s="53"/>
    </row>
    <row r="5207">
      <c r="A5207" s="49">
        <v>44567.85692021991</v>
      </c>
      <c r="B5207" s="50">
        <v>44567.9818930092</v>
      </c>
      <c r="C5207" s="51">
        <v>1.009</v>
      </c>
      <c r="D5207" s="51">
        <v>68.0</v>
      </c>
      <c r="E5207" s="52" t="s">
        <v>25</v>
      </c>
      <c r="F5207" s="52" t="s">
        <v>26</v>
      </c>
      <c r="G5207" s="53"/>
    </row>
    <row r="5208">
      <c r="A5208" s="49">
        <v>44567.86733488426</v>
      </c>
      <c r="B5208" s="50">
        <v>44567.9923150925</v>
      </c>
      <c r="C5208" s="51">
        <v>1.009</v>
      </c>
      <c r="D5208" s="51">
        <v>68.0</v>
      </c>
      <c r="E5208" s="52" t="s">
        <v>25</v>
      </c>
      <c r="F5208" s="52" t="s">
        <v>26</v>
      </c>
      <c r="G5208" s="53"/>
    </row>
    <row r="5209">
      <c r="A5209" s="49">
        <v>44567.877833101855</v>
      </c>
      <c r="B5209" s="50">
        <v>44568.0028165277</v>
      </c>
      <c r="C5209" s="51">
        <v>1.009</v>
      </c>
      <c r="D5209" s="51">
        <v>68.0</v>
      </c>
      <c r="E5209" s="52" t="s">
        <v>25</v>
      </c>
      <c r="F5209" s="52" t="s">
        <v>26</v>
      </c>
      <c r="G5209" s="53"/>
    </row>
    <row r="5210">
      <c r="A5210" s="49">
        <v>44567.88828748843</v>
      </c>
      <c r="B5210" s="50">
        <v>44568.0132725231</v>
      </c>
      <c r="C5210" s="51">
        <v>1.009</v>
      </c>
      <c r="D5210" s="51">
        <v>68.0</v>
      </c>
      <c r="E5210" s="52" t="s">
        <v>25</v>
      </c>
      <c r="F5210" s="52" t="s">
        <v>26</v>
      </c>
      <c r="G5210" s="53"/>
    </row>
    <row r="5211">
      <c r="A5211" s="49">
        <v>44567.89876107639</v>
      </c>
      <c r="B5211" s="50">
        <v>44568.0237291782</v>
      </c>
      <c r="C5211" s="51">
        <v>1.009</v>
      </c>
      <c r="D5211" s="51">
        <v>68.0</v>
      </c>
      <c r="E5211" s="52" t="s">
        <v>25</v>
      </c>
      <c r="F5211" s="52" t="s">
        <v>26</v>
      </c>
      <c r="G5211" s="53"/>
    </row>
    <row r="5212">
      <c r="A5212" s="49">
        <v>44567.90919278935</v>
      </c>
      <c r="B5212" s="50">
        <v>44568.0341713657</v>
      </c>
      <c r="C5212" s="51">
        <v>1.009</v>
      </c>
      <c r="D5212" s="51">
        <v>67.0</v>
      </c>
      <c r="E5212" s="52" t="s">
        <v>25</v>
      </c>
      <c r="F5212" s="52" t="s">
        <v>26</v>
      </c>
      <c r="G5212" s="53"/>
    </row>
    <row r="5213">
      <c r="A5213" s="49">
        <v>44567.91962180556</v>
      </c>
      <c r="B5213" s="50">
        <v>44568.0446029398</v>
      </c>
      <c r="C5213" s="51">
        <v>1.009</v>
      </c>
      <c r="D5213" s="51">
        <v>67.0</v>
      </c>
      <c r="E5213" s="52" t="s">
        <v>25</v>
      </c>
      <c r="F5213" s="52" t="s">
        <v>26</v>
      </c>
      <c r="G5213" s="53"/>
    </row>
    <row r="5214">
      <c r="A5214" s="49">
        <v>44567.930052905096</v>
      </c>
      <c r="B5214" s="50">
        <v>44568.0550357407</v>
      </c>
      <c r="C5214" s="51">
        <v>1.009</v>
      </c>
      <c r="D5214" s="51">
        <v>67.0</v>
      </c>
      <c r="E5214" s="52" t="s">
        <v>25</v>
      </c>
      <c r="F5214" s="52" t="s">
        <v>26</v>
      </c>
      <c r="G5214" s="53"/>
    </row>
    <row r="5215">
      <c r="A5215" s="49">
        <v>44567.940474560186</v>
      </c>
      <c r="B5215" s="50">
        <v>44568.0654543518</v>
      </c>
      <c r="C5215" s="51">
        <v>1.009</v>
      </c>
      <c r="D5215" s="51">
        <v>67.0</v>
      </c>
      <c r="E5215" s="52" t="s">
        <v>25</v>
      </c>
      <c r="F5215" s="52" t="s">
        <v>26</v>
      </c>
      <c r="G5215" s="53"/>
    </row>
    <row r="5216">
      <c r="A5216" s="49">
        <v>44567.950920787036</v>
      </c>
      <c r="B5216" s="50">
        <v>44568.0758992939</v>
      </c>
      <c r="C5216" s="51">
        <v>1.009</v>
      </c>
      <c r="D5216" s="51">
        <v>67.0</v>
      </c>
      <c r="E5216" s="52" t="s">
        <v>25</v>
      </c>
      <c r="F5216" s="52" t="s">
        <v>26</v>
      </c>
      <c r="G5216" s="53"/>
    </row>
    <row r="5217">
      <c r="A5217" s="49">
        <v>44567.96134222222</v>
      </c>
      <c r="B5217" s="50">
        <v>44568.08632103</v>
      </c>
      <c r="C5217" s="51">
        <v>1.009</v>
      </c>
      <c r="D5217" s="51">
        <v>67.0</v>
      </c>
      <c r="E5217" s="52" t="s">
        <v>25</v>
      </c>
      <c r="F5217" s="52" t="s">
        <v>26</v>
      </c>
      <c r="G5217" s="53"/>
    </row>
    <row r="5218">
      <c r="A5218" s="49">
        <v>44567.97176068287</v>
      </c>
      <c r="B5218" s="50">
        <v>44568.0967427199</v>
      </c>
      <c r="C5218" s="51">
        <v>1.009</v>
      </c>
      <c r="D5218" s="51">
        <v>67.0</v>
      </c>
      <c r="E5218" s="52" t="s">
        <v>25</v>
      </c>
      <c r="F5218" s="52" t="s">
        <v>26</v>
      </c>
      <c r="G5218" s="53"/>
    </row>
    <row r="5219">
      <c r="A5219" s="49">
        <v>44567.982187870366</v>
      </c>
      <c r="B5219" s="50">
        <v>44568.1071644097</v>
      </c>
      <c r="C5219" s="51">
        <v>1.009</v>
      </c>
      <c r="D5219" s="51">
        <v>67.0</v>
      </c>
      <c r="E5219" s="52" t="s">
        <v>25</v>
      </c>
      <c r="F5219" s="52" t="s">
        <v>26</v>
      </c>
      <c r="G5219" s="53"/>
    </row>
    <row r="5220">
      <c r="A5220" s="49">
        <v>44567.99260532408</v>
      </c>
      <c r="B5220" s="50">
        <v>44568.1175859143</v>
      </c>
      <c r="C5220" s="51">
        <v>1.009</v>
      </c>
      <c r="D5220" s="51">
        <v>67.0</v>
      </c>
      <c r="E5220" s="52" t="s">
        <v>25</v>
      </c>
      <c r="F5220" s="52" t="s">
        <v>26</v>
      </c>
      <c r="G5220" s="53"/>
    </row>
    <row r="5221">
      <c r="A5221" s="49">
        <v>44568.00304800926</v>
      </c>
      <c r="B5221" s="50">
        <v>44568.1280309374</v>
      </c>
      <c r="C5221" s="51">
        <v>1.009</v>
      </c>
      <c r="D5221" s="51">
        <v>67.0</v>
      </c>
      <c r="E5221" s="52" t="s">
        <v>25</v>
      </c>
      <c r="F5221" s="52" t="s">
        <v>26</v>
      </c>
      <c r="G5221" s="53"/>
    </row>
    <row r="5222">
      <c r="A5222" s="49">
        <v>44568.013476458334</v>
      </c>
      <c r="B5222" s="50">
        <v>44568.1384532638</v>
      </c>
      <c r="C5222" s="51">
        <v>1.009</v>
      </c>
      <c r="D5222" s="51">
        <v>67.0</v>
      </c>
      <c r="E5222" s="52" t="s">
        <v>25</v>
      </c>
      <c r="F5222" s="52" t="s">
        <v>26</v>
      </c>
      <c r="G5222" s="53"/>
    </row>
    <row r="5223">
      <c r="A5223" s="49">
        <v>44568.02389657407</v>
      </c>
      <c r="B5223" s="50">
        <v>44568.1488744791</v>
      </c>
      <c r="C5223" s="51">
        <v>1.009</v>
      </c>
      <c r="D5223" s="51">
        <v>67.0</v>
      </c>
      <c r="E5223" s="52" t="s">
        <v>25</v>
      </c>
      <c r="F5223" s="52" t="s">
        <v>26</v>
      </c>
      <c r="G5223" s="53"/>
    </row>
    <row r="5224">
      <c r="A5224" s="49">
        <v>44568.03431166666</v>
      </c>
      <c r="B5224" s="50">
        <v>44568.1592949421</v>
      </c>
      <c r="C5224" s="51">
        <v>1.009</v>
      </c>
      <c r="D5224" s="51">
        <v>67.0</v>
      </c>
      <c r="E5224" s="52" t="s">
        <v>25</v>
      </c>
      <c r="F5224" s="52" t="s">
        <v>26</v>
      </c>
      <c r="G5224" s="53"/>
    </row>
    <row r="5225">
      <c r="A5225" s="49">
        <v>44568.04474087963</v>
      </c>
      <c r="B5225" s="50">
        <v>44568.1697148495</v>
      </c>
      <c r="C5225" s="51">
        <v>1.009</v>
      </c>
      <c r="D5225" s="51">
        <v>67.0</v>
      </c>
      <c r="E5225" s="52" t="s">
        <v>25</v>
      </c>
      <c r="F5225" s="52" t="s">
        <v>26</v>
      </c>
      <c r="G5225" s="53"/>
    </row>
    <row r="5226">
      <c r="A5226" s="49">
        <v>44568.05515694444</v>
      </c>
      <c r="B5226" s="50">
        <v>44568.1801367476</v>
      </c>
      <c r="C5226" s="51">
        <v>1.009</v>
      </c>
      <c r="D5226" s="51">
        <v>67.0</v>
      </c>
      <c r="E5226" s="52" t="s">
        <v>25</v>
      </c>
      <c r="F5226" s="52" t="s">
        <v>26</v>
      </c>
      <c r="G5226" s="53"/>
    </row>
    <row r="5227">
      <c r="A5227" s="49">
        <v>44568.065579675924</v>
      </c>
      <c r="B5227" s="50">
        <v>44568.1905587847</v>
      </c>
      <c r="C5227" s="51">
        <v>1.009</v>
      </c>
      <c r="D5227" s="51">
        <v>67.0</v>
      </c>
      <c r="E5227" s="52" t="s">
        <v>25</v>
      </c>
      <c r="F5227" s="52" t="s">
        <v>26</v>
      </c>
      <c r="G5227" s="53"/>
    </row>
    <row r="5228">
      <c r="A5228" s="49">
        <v>44568.07599774306</v>
      </c>
      <c r="B5228" s="50">
        <v>44568.2009778819</v>
      </c>
      <c r="C5228" s="51">
        <v>1.009</v>
      </c>
      <c r="D5228" s="51">
        <v>67.0</v>
      </c>
      <c r="E5228" s="52" t="s">
        <v>25</v>
      </c>
      <c r="F5228" s="52" t="s">
        <v>26</v>
      </c>
      <c r="G5228" s="53"/>
    </row>
    <row r="5229">
      <c r="A5229" s="49">
        <v>44568.086416157406</v>
      </c>
      <c r="B5229" s="50">
        <v>44568.211399699</v>
      </c>
      <c r="C5229" s="51">
        <v>1.009</v>
      </c>
      <c r="D5229" s="51">
        <v>67.0</v>
      </c>
      <c r="E5229" s="52" t="s">
        <v>25</v>
      </c>
      <c r="F5229" s="52" t="s">
        <v>26</v>
      </c>
      <c r="G5229" s="53"/>
    </row>
    <row r="5230">
      <c r="A5230" s="49">
        <v>44568.09686771991</v>
      </c>
      <c r="B5230" s="50">
        <v>44568.2218456944</v>
      </c>
      <c r="C5230" s="51">
        <v>1.009</v>
      </c>
      <c r="D5230" s="51">
        <v>67.0</v>
      </c>
      <c r="E5230" s="52" t="s">
        <v>25</v>
      </c>
      <c r="F5230" s="52" t="s">
        <v>26</v>
      </c>
      <c r="G5230" s="53"/>
    </row>
    <row r="5231">
      <c r="A5231" s="49">
        <v>44568.10728931713</v>
      </c>
      <c r="B5231" s="50">
        <v>44568.2322660532</v>
      </c>
      <c r="C5231" s="51">
        <v>1.009</v>
      </c>
      <c r="D5231" s="51">
        <v>67.0</v>
      </c>
      <c r="E5231" s="52" t="s">
        <v>25</v>
      </c>
      <c r="F5231" s="52" t="s">
        <v>26</v>
      </c>
      <c r="G5231" s="53"/>
    </row>
    <row r="5232">
      <c r="A5232" s="49">
        <v>44568.117700497685</v>
      </c>
      <c r="B5232" s="50">
        <v>44568.242685243</v>
      </c>
      <c r="C5232" s="51">
        <v>1.009</v>
      </c>
      <c r="D5232" s="51">
        <v>67.0</v>
      </c>
      <c r="E5232" s="52" t="s">
        <v>25</v>
      </c>
      <c r="F5232" s="52" t="s">
        <v>26</v>
      </c>
      <c r="G5232" s="53"/>
    </row>
    <row r="5233">
      <c r="A5233" s="49">
        <v>44568.12812997685</v>
      </c>
      <c r="B5233" s="50">
        <v>44568.2531054976</v>
      </c>
      <c r="C5233" s="51">
        <v>1.009</v>
      </c>
      <c r="D5233" s="51">
        <v>67.0</v>
      </c>
      <c r="E5233" s="52" t="s">
        <v>25</v>
      </c>
      <c r="F5233" s="52" t="s">
        <v>26</v>
      </c>
      <c r="G5233" s="53"/>
    </row>
    <row r="5234">
      <c r="A5234" s="49">
        <v>44568.13854909722</v>
      </c>
      <c r="B5234" s="50">
        <v>44568.2635293865</v>
      </c>
      <c r="C5234" s="51">
        <v>1.009</v>
      </c>
      <c r="D5234" s="51">
        <v>67.0</v>
      </c>
      <c r="E5234" s="52" t="s">
        <v>25</v>
      </c>
      <c r="F5234" s="52" t="s">
        <v>26</v>
      </c>
      <c r="G5234" s="53"/>
    </row>
    <row r="5235">
      <c r="A5235" s="49">
        <v>44568.1489740625</v>
      </c>
      <c r="B5235" s="50">
        <v>44568.2739498263</v>
      </c>
      <c r="C5235" s="51">
        <v>1.009</v>
      </c>
      <c r="D5235" s="51">
        <v>67.0</v>
      </c>
      <c r="E5235" s="52" t="s">
        <v>25</v>
      </c>
      <c r="F5235" s="52" t="s">
        <v>26</v>
      </c>
      <c r="G5235" s="53"/>
    </row>
    <row r="5236">
      <c r="A5236" s="49">
        <v>44568.1593990625</v>
      </c>
      <c r="B5236" s="50">
        <v>44568.2843820138</v>
      </c>
      <c r="C5236" s="51">
        <v>1.009</v>
      </c>
      <c r="D5236" s="51">
        <v>66.0</v>
      </c>
      <c r="E5236" s="52" t="s">
        <v>25</v>
      </c>
      <c r="F5236" s="52" t="s">
        <v>26</v>
      </c>
      <c r="G5236" s="53"/>
    </row>
    <row r="5237">
      <c r="A5237" s="49">
        <v>44568.169831527775</v>
      </c>
      <c r="B5237" s="50">
        <v>44568.294803368</v>
      </c>
      <c r="C5237" s="51">
        <v>1.009</v>
      </c>
      <c r="D5237" s="51">
        <v>67.0</v>
      </c>
      <c r="E5237" s="52" t="s">
        <v>25</v>
      </c>
      <c r="F5237" s="52" t="s">
        <v>26</v>
      </c>
      <c r="G5237" s="53"/>
    </row>
    <row r="5238">
      <c r="A5238" s="49">
        <v>44568.180257581014</v>
      </c>
      <c r="B5238" s="50">
        <v>44568.3052378124</v>
      </c>
      <c r="C5238" s="51">
        <v>1.009</v>
      </c>
      <c r="D5238" s="51">
        <v>66.0</v>
      </c>
      <c r="E5238" s="52" t="s">
        <v>25</v>
      </c>
      <c r="F5238" s="52" t="s">
        <v>26</v>
      </c>
      <c r="G5238" s="53"/>
    </row>
    <row r="5239">
      <c r="A5239" s="49">
        <v>44568.19070594908</v>
      </c>
      <c r="B5239" s="50">
        <v>44568.3156834606</v>
      </c>
      <c r="C5239" s="51">
        <v>1.009</v>
      </c>
      <c r="D5239" s="51">
        <v>66.0</v>
      </c>
      <c r="E5239" s="52" t="s">
        <v>25</v>
      </c>
      <c r="F5239" s="52" t="s">
        <v>26</v>
      </c>
      <c r="G5239" s="53"/>
    </row>
    <row r="5240">
      <c r="A5240" s="49">
        <v>44568.20113185185</v>
      </c>
      <c r="B5240" s="50">
        <v>44568.3261047222</v>
      </c>
      <c r="C5240" s="51">
        <v>1.009</v>
      </c>
      <c r="D5240" s="51">
        <v>66.0</v>
      </c>
      <c r="E5240" s="52" t="s">
        <v>25</v>
      </c>
      <c r="F5240" s="52" t="s">
        <v>26</v>
      </c>
      <c r="G5240" s="53"/>
    </row>
    <row r="5241">
      <c r="A5241" s="49">
        <v>44568.21154315972</v>
      </c>
      <c r="B5241" s="50">
        <v>44568.3365261342</v>
      </c>
      <c r="C5241" s="51">
        <v>1.009</v>
      </c>
      <c r="D5241" s="51">
        <v>66.0</v>
      </c>
      <c r="E5241" s="52" t="s">
        <v>25</v>
      </c>
      <c r="F5241" s="52" t="s">
        <v>26</v>
      </c>
      <c r="G5241" s="53"/>
    </row>
    <row r="5242">
      <c r="A5242" s="49">
        <v>44568.221962615746</v>
      </c>
      <c r="B5242" s="50">
        <v>44568.3469484953</v>
      </c>
      <c r="C5242" s="51">
        <v>1.009</v>
      </c>
      <c r="D5242" s="51">
        <v>66.0</v>
      </c>
      <c r="E5242" s="52" t="s">
        <v>25</v>
      </c>
      <c r="F5242" s="52" t="s">
        <v>26</v>
      </c>
      <c r="G5242" s="53"/>
    </row>
    <row r="5243">
      <c r="A5243" s="49">
        <v>44568.23240224537</v>
      </c>
      <c r="B5243" s="50">
        <v>44568.3573820601</v>
      </c>
      <c r="C5243" s="51">
        <v>1.009</v>
      </c>
      <c r="D5243" s="51">
        <v>66.0</v>
      </c>
      <c r="E5243" s="52" t="s">
        <v>25</v>
      </c>
      <c r="F5243" s="52" t="s">
        <v>26</v>
      </c>
      <c r="G5243" s="53"/>
    </row>
    <row r="5244">
      <c r="A5244" s="49">
        <v>44568.242845810186</v>
      </c>
      <c r="B5244" s="50">
        <v>44568.3678154745</v>
      </c>
      <c r="C5244" s="51">
        <v>1.009</v>
      </c>
      <c r="D5244" s="51">
        <v>66.0</v>
      </c>
      <c r="E5244" s="52" t="s">
        <v>25</v>
      </c>
      <c r="F5244" s="52" t="s">
        <v>26</v>
      </c>
      <c r="G5244" s="53"/>
    </row>
    <row r="5245">
      <c r="A5245" s="49">
        <v>44568.25326179399</v>
      </c>
      <c r="B5245" s="50">
        <v>44568.3782367361</v>
      </c>
      <c r="C5245" s="51">
        <v>1.009</v>
      </c>
      <c r="D5245" s="51">
        <v>66.0</v>
      </c>
      <c r="E5245" s="52" t="s">
        <v>25</v>
      </c>
      <c r="F5245" s="52" t="s">
        <v>26</v>
      </c>
      <c r="G5245" s="53"/>
    </row>
    <row r="5246">
      <c r="A5246" s="49">
        <v>44568.2636974537</v>
      </c>
      <c r="B5246" s="50">
        <v>44568.388682743</v>
      </c>
      <c r="C5246" s="51">
        <v>1.009</v>
      </c>
      <c r="D5246" s="51">
        <v>66.0</v>
      </c>
      <c r="E5246" s="52" t="s">
        <v>25</v>
      </c>
      <c r="F5246" s="52" t="s">
        <v>26</v>
      </c>
      <c r="G5246" s="53"/>
    </row>
    <row r="5247">
      <c r="A5247" s="49">
        <v>44568.274144571755</v>
      </c>
      <c r="B5247" s="50">
        <v>44568.3991151157</v>
      </c>
      <c r="C5247" s="51">
        <v>1.009</v>
      </c>
      <c r="D5247" s="51">
        <v>66.0</v>
      </c>
      <c r="E5247" s="52" t="s">
        <v>25</v>
      </c>
      <c r="F5247" s="52" t="s">
        <v>26</v>
      </c>
      <c r="G5247" s="53"/>
    </row>
    <row r="5248">
      <c r="A5248" s="49">
        <v>44568.28456337963</v>
      </c>
      <c r="B5248" s="50">
        <v>44568.4095373842</v>
      </c>
      <c r="C5248" s="51">
        <v>1.009</v>
      </c>
      <c r="D5248" s="51">
        <v>66.0</v>
      </c>
      <c r="E5248" s="52" t="s">
        <v>25</v>
      </c>
      <c r="F5248" s="52" t="s">
        <v>26</v>
      </c>
      <c r="G5248" s="53"/>
    </row>
    <row r="5249">
      <c r="A5249" s="49">
        <v>44568.29497824074</v>
      </c>
      <c r="B5249" s="50">
        <v>44568.4199593865</v>
      </c>
      <c r="C5249" s="51">
        <v>1.009</v>
      </c>
      <c r="D5249" s="51">
        <v>66.0</v>
      </c>
      <c r="E5249" s="52" t="s">
        <v>25</v>
      </c>
      <c r="F5249" s="52" t="s">
        <v>26</v>
      </c>
      <c r="G5249" s="53"/>
    </row>
    <row r="5250">
      <c r="A5250" s="49">
        <v>44568.305428067135</v>
      </c>
      <c r="B5250" s="50">
        <v>44568.4304036111</v>
      </c>
      <c r="C5250" s="51">
        <v>1.009</v>
      </c>
      <c r="D5250" s="51">
        <v>66.0</v>
      </c>
      <c r="E5250" s="52" t="s">
        <v>25</v>
      </c>
      <c r="F5250" s="52" t="s">
        <v>26</v>
      </c>
      <c r="G5250" s="53"/>
    </row>
    <row r="5251">
      <c r="A5251" s="49">
        <v>44568.31585756944</v>
      </c>
      <c r="B5251" s="50">
        <v>44568.4408367476</v>
      </c>
      <c r="C5251" s="51">
        <v>1.009</v>
      </c>
      <c r="D5251" s="51">
        <v>66.0</v>
      </c>
      <c r="E5251" s="52" t="s">
        <v>25</v>
      </c>
      <c r="F5251" s="52" t="s">
        <v>26</v>
      </c>
      <c r="G5251" s="53"/>
    </row>
    <row r="5252">
      <c r="A5252" s="49">
        <v>44568.32627452546</v>
      </c>
      <c r="B5252" s="50">
        <v>44568.4512582754</v>
      </c>
      <c r="C5252" s="51">
        <v>1.009</v>
      </c>
      <c r="D5252" s="51">
        <v>66.0</v>
      </c>
      <c r="E5252" s="52" t="s">
        <v>25</v>
      </c>
      <c r="F5252" s="52" t="s">
        <v>26</v>
      </c>
      <c r="G5252" s="53"/>
    </row>
    <row r="5253">
      <c r="A5253" s="49">
        <v>44568.33670061342</v>
      </c>
      <c r="B5253" s="50">
        <v>44568.461679618</v>
      </c>
      <c r="C5253" s="51">
        <v>1.009</v>
      </c>
      <c r="D5253" s="51">
        <v>66.0</v>
      </c>
      <c r="E5253" s="52" t="s">
        <v>25</v>
      </c>
      <c r="F5253" s="52" t="s">
        <v>26</v>
      </c>
      <c r="G5253" s="53"/>
    </row>
    <row r="5254">
      <c r="A5254" s="49">
        <v>44568.34712175926</v>
      </c>
      <c r="B5254" s="50">
        <v>44568.4720981828</v>
      </c>
      <c r="C5254" s="51">
        <v>1.009</v>
      </c>
      <c r="D5254" s="51">
        <v>66.0</v>
      </c>
      <c r="E5254" s="52" t="s">
        <v>25</v>
      </c>
      <c r="F5254" s="52" t="s">
        <v>26</v>
      </c>
      <c r="G5254" s="53"/>
    </row>
    <row r="5255">
      <c r="A5255" s="49">
        <v>44568.35758965278</v>
      </c>
      <c r="B5255" s="50">
        <v>44568.4825650115</v>
      </c>
      <c r="C5255" s="51">
        <v>1.009</v>
      </c>
      <c r="D5255" s="51">
        <v>66.0</v>
      </c>
      <c r="E5255" s="52" t="s">
        <v>25</v>
      </c>
      <c r="F5255" s="52" t="s">
        <v>26</v>
      </c>
      <c r="G5255" s="53"/>
    </row>
    <row r="5256">
      <c r="A5256" s="49">
        <v>44568.36801136574</v>
      </c>
      <c r="B5256" s="50">
        <v>44568.4929858333</v>
      </c>
      <c r="C5256" s="51">
        <v>1.009</v>
      </c>
      <c r="D5256" s="51">
        <v>66.0</v>
      </c>
      <c r="E5256" s="52" t="s">
        <v>25</v>
      </c>
      <c r="F5256" s="52" t="s">
        <v>26</v>
      </c>
      <c r="G5256" s="53"/>
    </row>
    <row r="5257">
      <c r="A5257" s="49">
        <v>44568.37842555555</v>
      </c>
      <c r="B5257" s="50">
        <v>44568.5034078587</v>
      </c>
      <c r="C5257" s="51">
        <v>1.009</v>
      </c>
      <c r="D5257" s="51">
        <v>66.0</v>
      </c>
      <c r="E5257" s="52" t="s">
        <v>25</v>
      </c>
      <c r="F5257" s="52" t="s">
        <v>26</v>
      </c>
      <c r="G5257" s="53"/>
    </row>
    <row r="5258">
      <c r="A5258" s="49">
        <v>44568.388856018515</v>
      </c>
      <c r="B5258" s="50">
        <v>44568.5138305324</v>
      </c>
      <c r="C5258" s="51">
        <v>1.009</v>
      </c>
      <c r="D5258" s="51">
        <v>66.0</v>
      </c>
      <c r="E5258" s="52" t="s">
        <v>25</v>
      </c>
      <c r="F5258" s="52" t="s">
        <v>26</v>
      </c>
      <c r="G5258" s="53"/>
    </row>
    <row r="5259">
      <c r="A5259" s="49">
        <v>44568.3992741088</v>
      </c>
      <c r="B5259" s="50">
        <v>44568.5242515393</v>
      </c>
      <c r="C5259" s="51">
        <v>1.009</v>
      </c>
      <c r="D5259" s="51">
        <v>66.0</v>
      </c>
      <c r="E5259" s="52" t="s">
        <v>25</v>
      </c>
      <c r="F5259" s="52" t="s">
        <v>26</v>
      </c>
      <c r="G5259" s="53"/>
    </row>
    <row r="5260">
      <c r="A5260" s="49">
        <v>44568.40969076389</v>
      </c>
      <c r="B5260" s="50">
        <v>44568.5346742708</v>
      </c>
      <c r="C5260" s="51">
        <v>1.009</v>
      </c>
      <c r="D5260" s="51">
        <v>66.0</v>
      </c>
      <c r="E5260" s="52" t="s">
        <v>25</v>
      </c>
      <c r="F5260" s="52" t="s">
        <v>26</v>
      </c>
      <c r="G5260" s="53"/>
    </row>
    <row r="5261">
      <c r="A5261" s="49">
        <v>44568.42011872685</v>
      </c>
      <c r="B5261" s="50">
        <v>44568.5450953703</v>
      </c>
      <c r="C5261" s="51">
        <v>1.009</v>
      </c>
      <c r="D5261" s="51">
        <v>66.0</v>
      </c>
      <c r="E5261" s="52" t="s">
        <v>25</v>
      </c>
      <c r="F5261" s="52" t="s">
        <v>26</v>
      </c>
      <c r="G5261" s="53"/>
    </row>
    <row r="5262">
      <c r="A5262" s="49">
        <v>44568.430568090276</v>
      </c>
      <c r="B5262" s="50">
        <v>44568.5555370486</v>
      </c>
      <c r="C5262" s="51">
        <v>1.009</v>
      </c>
      <c r="D5262" s="51">
        <v>66.0</v>
      </c>
      <c r="E5262" s="52" t="s">
        <v>25</v>
      </c>
      <c r="F5262" s="52" t="s">
        <v>26</v>
      </c>
      <c r="G5262" s="53"/>
    </row>
    <row r="5263">
      <c r="A5263" s="49">
        <v>44568.44097476851</v>
      </c>
      <c r="B5263" s="50">
        <v>44568.5659575578</v>
      </c>
      <c r="C5263" s="51">
        <v>1.009</v>
      </c>
      <c r="D5263" s="51">
        <v>66.0</v>
      </c>
      <c r="E5263" s="52" t="s">
        <v>25</v>
      </c>
      <c r="F5263" s="52" t="s">
        <v>26</v>
      </c>
      <c r="G5263" s="53"/>
    </row>
    <row r="5264">
      <c r="A5264" s="49">
        <v>44568.45139827546</v>
      </c>
      <c r="B5264" s="50">
        <v>44568.5763774074</v>
      </c>
      <c r="C5264" s="51">
        <v>1.009</v>
      </c>
      <c r="D5264" s="51">
        <v>66.0</v>
      </c>
      <c r="E5264" s="52" t="s">
        <v>25</v>
      </c>
      <c r="F5264" s="52" t="s">
        <v>26</v>
      </c>
      <c r="G5264" s="53"/>
    </row>
    <row r="5265">
      <c r="A5265" s="49">
        <v>44568.461819108794</v>
      </c>
      <c r="B5265" s="50">
        <v>44568.586796412</v>
      </c>
      <c r="C5265" s="51">
        <v>1.009</v>
      </c>
      <c r="D5265" s="51">
        <v>66.0</v>
      </c>
      <c r="E5265" s="52" t="s">
        <v>25</v>
      </c>
      <c r="F5265" s="52" t="s">
        <v>26</v>
      </c>
      <c r="G5265" s="53"/>
    </row>
    <row r="5266">
      <c r="A5266" s="49">
        <v>44568.472250046296</v>
      </c>
      <c r="B5266" s="50">
        <v>44568.5972290046</v>
      </c>
      <c r="C5266" s="51">
        <v>1.009</v>
      </c>
      <c r="D5266" s="51">
        <v>66.0</v>
      </c>
      <c r="E5266" s="52" t="s">
        <v>25</v>
      </c>
      <c r="F5266" s="52" t="s">
        <v>26</v>
      </c>
      <c r="G5266" s="53"/>
    </row>
    <row r="5267">
      <c r="A5267" s="49">
        <v>44568.48266483797</v>
      </c>
      <c r="B5267" s="50">
        <v>44568.607650324</v>
      </c>
      <c r="C5267" s="51">
        <v>1.009</v>
      </c>
      <c r="D5267" s="51">
        <v>66.0</v>
      </c>
      <c r="E5267" s="52" t="s">
        <v>25</v>
      </c>
      <c r="F5267" s="52" t="s">
        <v>26</v>
      </c>
      <c r="G5267" s="53"/>
    </row>
    <row r="5268">
      <c r="A5268" s="49">
        <v>44568.493108842595</v>
      </c>
      <c r="B5268" s="50">
        <v>44568.618083831</v>
      </c>
      <c r="C5268" s="51">
        <v>1.009</v>
      </c>
      <c r="D5268" s="51">
        <v>66.0</v>
      </c>
      <c r="E5268" s="52" t="s">
        <v>25</v>
      </c>
      <c r="F5268" s="52" t="s">
        <v>26</v>
      </c>
      <c r="G5268" s="53"/>
    </row>
    <row r="5269">
      <c r="A5269" s="49">
        <v>44568.503528182875</v>
      </c>
      <c r="B5269" s="50">
        <v>44568.6285048263</v>
      </c>
      <c r="C5269" s="51">
        <v>1.009</v>
      </c>
      <c r="D5269" s="51">
        <v>66.0</v>
      </c>
      <c r="E5269" s="52" t="s">
        <v>25</v>
      </c>
      <c r="F5269" s="52" t="s">
        <v>26</v>
      </c>
      <c r="G5269" s="53"/>
    </row>
    <row r="5270">
      <c r="A5270" s="49">
        <v>44568.513965833336</v>
      </c>
      <c r="B5270" s="50">
        <v>44568.6389403472</v>
      </c>
      <c r="C5270" s="51">
        <v>1.009</v>
      </c>
      <c r="D5270" s="51">
        <v>66.0</v>
      </c>
      <c r="E5270" s="52" t="s">
        <v>25</v>
      </c>
      <c r="F5270" s="52" t="s">
        <v>26</v>
      </c>
      <c r="G5270" s="53"/>
    </row>
    <row r="5271">
      <c r="A5271" s="49">
        <v>44568.52439856481</v>
      </c>
      <c r="B5271" s="50">
        <v>44568.6493719328</v>
      </c>
      <c r="C5271" s="51">
        <v>1.009</v>
      </c>
      <c r="D5271" s="51">
        <v>66.0</v>
      </c>
      <c r="E5271" s="52" t="s">
        <v>25</v>
      </c>
      <c r="F5271" s="52" t="s">
        <v>26</v>
      </c>
      <c r="G5271" s="53"/>
    </row>
    <row r="5272">
      <c r="A5272" s="49">
        <v>44568.534822754635</v>
      </c>
      <c r="B5272" s="50">
        <v>44568.6597949884</v>
      </c>
      <c r="C5272" s="51">
        <v>1.009</v>
      </c>
      <c r="D5272" s="51">
        <v>66.0</v>
      </c>
      <c r="E5272" s="52" t="s">
        <v>25</v>
      </c>
      <c r="F5272" s="52" t="s">
        <v>26</v>
      </c>
      <c r="G5272" s="53"/>
    </row>
    <row r="5273">
      <c r="A5273" s="49">
        <v>44568.54523832176</v>
      </c>
      <c r="B5273" s="50">
        <v>44568.6702151967</v>
      </c>
      <c r="C5273" s="51">
        <v>1.009</v>
      </c>
      <c r="D5273" s="51">
        <v>65.0</v>
      </c>
      <c r="E5273" s="52" t="s">
        <v>25</v>
      </c>
      <c r="F5273" s="52" t="s">
        <v>26</v>
      </c>
      <c r="G5273" s="53"/>
    </row>
    <row r="5274">
      <c r="A5274" s="49">
        <v>44568.55565967593</v>
      </c>
      <c r="B5274" s="50">
        <v>44568.6806349884</v>
      </c>
      <c r="C5274" s="51">
        <v>1.009</v>
      </c>
      <c r="D5274" s="51">
        <v>66.0</v>
      </c>
      <c r="E5274" s="52" t="s">
        <v>25</v>
      </c>
      <c r="F5274" s="52" t="s">
        <v>26</v>
      </c>
      <c r="G5274" s="53"/>
    </row>
    <row r="5275">
      <c r="A5275" s="49">
        <v>44568.56608292824</v>
      </c>
      <c r="B5275" s="50">
        <v>44568.6910584259</v>
      </c>
      <c r="C5275" s="51">
        <v>1.009</v>
      </c>
      <c r="D5275" s="51">
        <v>65.0</v>
      </c>
      <c r="E5275" s="52" t="s">
        <v>25</v>
      </c>
      <c r="F5275" s="52" t="s">
        <v>26</v>
      </c>
      <c r="G5275" s="53"/>
    </row>
    <row r="5276">
      <c r="A5276" s="49">
        <v>44568.57651730324</v>
      </c>
      <c r="B5276" s="50">
        <v>44568.7014901851</v>
      </c>
      <c r="C5276" s="51">
        <v>1.009</v>
      </c>
      <c r="D5276" s="51">
        <v>65.0</v>
      </c>
      <c r="E5276" s="52" t="s">
        <v>25</v>
      </c>
      <c r="F5276" s="52" t="s">
        <v>26</v>
      </c>
      <c r="G5276" s="53"/>
    </row>
    <row r="5277">
      <c r="A5277" s="49">
        <v>44568.586933252314</v>
      </c>
      <c r="B5277" s="50">
        <v>44568.711912743</v>
      </c>
      <c r="C5277" s="51">
        <v>1.009</v>
      </c>
      <c r="D5277" s="51">
        <v>65.0</v>
      </c>
      <c r="E5277" s="52" t="s">
        <v>25</v>
      </c>
      <c r="F5277" s="52" t="s">
        <v>26</v>
      </c>
      <c r="G5277" s="53"/>
    </row>
    <row r="5278">
      <c r="A5278" s="49">
        <v>44568.59737949074</v>
      </c>
      <c r="B5278" s="50">
        <v>44568.7223558333</v>
      </c>
      <c r="C5278" s="51">
        <v>1.009</v>
      </c>
      <c r="D5278" s="51">
        <v>65.0</v>
      </c>
      <c r="E5278" s="52" t="s">
        <v>25</v>
      </c>
      <c r="F5278" s="52" t="s">
        <v>26</v>
      </c>
      <c r="G5278" s="53"/>
    </row>
    <row r="5279">
      <c r="A5279" s="49">
        <v>44568.60785542824</v>
      </c>
      <c r="B5279" s="50">
        <v>44568.7328349537</v>
      </c>
      <c r="C5279" s="51">
        <v>1.009</v>
      </c>
      <c r="D5279" s="51">
        <v>65.0</v>
      </c>
      <c r="E5279" s="52" t="s">
        <v>25</v>
      </c>
      <c r="F5279" s="52" t="s">
        <v>26</v>
      </c>
      <c r="G5279" s="53"/>
    </row>
    <row r="5280">
      <c r="A5280" s="49">
        <v>44568.6183059375</v>
      </c>
      <c r="B5280" s="50">
        <v>44568.7432800231</v>
      </c>
      <c r="C5280" s="51">
        <v>1.009</v>
      </c>
      <c r="D5280" s="51">
        <v>65.0</v>
      </c>
      <c r="E5280" s="52" t="s">
        <v>25</v>
      </c>
      <c r="F5280" s="52" t="s">
        <v>26</v>
      </c>
      <c r="G5280" s="53"/>
    </row>
    <row r="5281">
      <c r="A5281" s="49">
        <v>44568.628732048615</v>
      </c>
      <c r="B5281" s="50">
        <v>44568.7537114699</v>
      </c>
      <c r="C5281" s="51">
        <v>1.009</v>
      </c>
      <c r="D5281" s="51">
        <v>65.0</v>
      </c>
      <c r="E5281" s="52" t="s">
        <v>25</v>
      </c>
      <c r="F5281" s="52" t="s">
        <v>26</v>
      </c>
      <c r="G5281" s="53"/>
    </row>
    <row r="5282">
      <c r="A5282" s="49">
        <v>44568.63916855324</v>
      </c>
      <c r="B5282" s="50">
        <v>44568.7641432291</v>
      </c>
      <c r="C5282" s="51">
        <v>1.009</v>
      </c>
      <c r="D5282" s="51">
        <v>65.0</v>
      </c>
      <c r="E5282" s="52" t="s">
        <v>25</v>
      </c>
      <c r="F5282" s="52" t="s">
        <v>26</v>
      </c>
      <c r="G5282" s="53"/>
    </row>
    <row r="5283">
      <c r="A5283" s="49">
        <v>44568.64959774306</v>
      </c>
      <c r="B5283" s="50">
        <v>44568.7745765393</v>
      </c>
      <c r="C5283" s="51">
        <v>1.009</v>
      </c>
      <c r="D5283" s="51">
        <v>65.0</v>
      </c>
      <c r="E5283" s="52" t="s">
        <v>25</v>
      </c>
      <c r="F5283" s="52" t="s">
        <v>26</v>
      </c>
      <c r="G5283" s="53"/>
    </row>
    <row r="5284">
      <c r="A5284" s="49">
        <v>44568.66002361111</v>
      </c>
      <c r="B5284" s="50">
        <v>44568.7849983796</v>
      </c>
      <c r="C5284" s="51">
        <v>1.009</v>
      </c>
      <c r="D5284" s="51">
        <v>65.0</v>
      </c>
      <c r="E5284" s="52" t="s">
        <v>25</v>
      </c>
      <c r="F5284" s="52" t="s">
        <v>26</v>
      </c>
      <c r="G5284" s="53"/>
    </row>
    <row r="5285">
      <c r="A5285" s="49">
        <v>44568.670443229166</v>
      </c>
      <c r="B5285" s="50">
        <v>44568.7954219444</v>
      </c>
      <c r="C5285" s="51">
        <v>1.009</v>
      </c>
      <c r="D5285" s="51">
        <v>65.0</v>
      </c>
      <c r="E5285" s="52" t="s">
        <v>25</v>
      </c>
      <c r="F5285" s="52" t="s">
        <v>26</v>
      </c>
      <c r="G5285" s="53"/>
    </row>
    <row r="5286">
      <c r="A5286" s="49">
        <v>44568.680864803246</v>
      </c>
      <c r="B5286" s="50">
        <v>44568.8058431481</v>
      </c>
      <c r="C5286" s="51">
        <v>1.009</v>
      </c>
      <c r="D5286" s="51">
        <v>65.0</v>
      </c>
      <c r="E5286" s="52" t="s">
        <v>25</v>
      </c>
      <c r="F5286" s="52" t="s">
        <v>26</v>
      </c>
      <c r="G5286" s="53"/>
    </row>
    <row r="5287">
      <c r="A5287" s="49">
        <v>44568.69130372685</v>
      </c>
      <c r="B5287" s="50">
        <v>44568.816275405</v>
      </c>
      <c r="C5287" s="51">
        <v>1.009</v>
      </c>
      <c r="D5287" s="51">
        <v>65.0</v>
      </c>
      <c r="E5287" s="52" t="s">
        <v>25</v>
      </c>
      <c r="F5287" s="52" t="s">
        <v>26</v>
      </c>
      <c r="G5287" s="53"/>
    </row>
    <row r="5288">
      <c r="A5288" s="49">
        <v>44568.70172211806</v>
      </c>
      <c r="B5288" s="50">
        <v>44568.8266964699</v>
      </c>
      <c r="C5288" s="51">
        <v>1.009</v>
      </c>
      <c r="D5288" s="51">
        <v>65.0</v>
      </c>
      <c r="E5288" s="52" t="s">
        <v>25</v>
      </c>
      <c r="F5288" s="52" t="s">
        <v>26</v>
      </c>
      <c r="G5288" s="53"/>
    </row>
    <row r="5289">
      <c r="A5289" s="49">
        <v>44568.71214195601</v>
      </c>
      <c r="B5289" s="50">
        <v>44568.8371190856</v>
      </c>
      <c r="C5289" s="51">
        <v>1.009</v>
      </c>
      <c r="D5289" s="51">
        <v>65.0</v>
      </c>
      <c r="E5289" s="52" t="s">
        <v>25</v>
      </c>
      <c r="F5289" s="52" t="s">
        <v>26</v>
      </c>
      <c r="G5289" s="53"/>
    </row>
    <row r="5290">
      <c r="A5290" s="49">
        <v>44568.722656134254</v>
      </c>
      <c r="B5290" s="50">
        <v>44568.8476325</v>
      </c>
      <c r="C5290" s="51">
        <v>1.009</v>
      </c>
      <c r="D5290" s="51">
        <v>65.0</v>
      </c>
      <c r="E5290" s="52" t="s">
        <v>25</v>
      </c>
      <c r="F5290" s="52" t="s">
        <v>26</v>
      </c>
      <c r="G5290" s="53"/>
    </row>
    <row r="5291">
      <c r="A5291" s="49">
        <v>44568.73307960648</v>
      </c>
      <c r="B5291" s="50">
        <v>44568.8580533796</v>
      </c>
      <c r="C5291" s="51">
        <v>1.009</v>
      </c>
      <c r="D5291" s="51">
        <v>65.0</v>
      </c>
      <c r="E5291" s="52" t="s">
        <v>25</v>
      </c>
      <c r="F5291" s="52" t="s">
        <v>26</v>
      </c>
      <c r="G5291" s="53"/>
    </row>
    <row r="5292">
      <c r="A5292" s="49">
        <v>44568.7435228588</v>
      </c>
      <c r="B5292" s="50">
        <v>44568.8684975462</v>
      </c>
      <c r="C5292" s="51">
        <v>1.009</v>
      </c>
      <c r="D5292" s="51">
        <v>65.0</v>
      </c>
      <c r="E5292" s="52" t="s">
        <v>25</v>
      </c>
      <c r="F5292" s="52" t="s">
        <v>26</v>
      </c>
      <c r="G5292" s="53"/>
    </row>
    <row r="5293">
      <c r="A5293" s="49">
        <v>44568.75395440972</v>
      </c>
      <c r="B5293" s="50">
        <v>44568.8789313773</v>
      </c>
      <c r="C5293" s="51">
        <v>1.009</v>
      </c>
      <c r="D5293" s="51">
        <v>65.0</v>
      </c>
      <c r="E5293" s="52" t="s">
        <v>25</v>
      </c>
      <c r="F5293" s="52" t="s">
        <v>26</v>
      </c>
      <c r="G5293" s="53"/>
    </row>
    <row r="5294">
      <c r="A5294" s="49">
        <v>44568.76439196759</v>
      </c>
      <c r="B5294" s="50">
        <v>44568.8893655902</v>
      </c>
      <c r="C5294" s="51">
        <v>1.009</v>
      </c>
      <c r="D5294" s="51">
        <v>65.0</v>
      </c>
      <c r="E5294" s="52" t="s">
        <v>25</v>
      </c>
      <c r="F5294" s="52" t="s">
        <v>26</v>
      </c>
      <c r="G5294" s="53"/>
    </row>
    <row r="5295">
      <c r="A5295" s="49">
        <v>44568.774818819445</v>
      </c>
      <c r="B5295" s="50">
        <v>44568.8998</v>
      </c>
      <c r="C5295" s="51">
        <v>1.009</v>
      </c>
      <c r="D5295" s="51">
        <v>65.0</v>
      </c>
      <c r="E5295" s="52" t="s">
        <v>25</v>
      </c>
      <c r="F5295" s="52" t="s">
        <v>26</v>
      </c>
      <c r="G5295" s="53"/>
    </row>
    <row r="5296">
      <c r="A5296" s="49">
        <v>44568.785248113425</v>
      </c>
      <c r="B5296" s="50">
        <v>44568.9102315393</v>
      </c>
      <c r="C5296" s="51">
        <v>1.009</v>
      </c>
      <c r="D5296" s="51">
        <v>65.0</v>
      </c>
      <c r="E5296" s="52" t="s">
        <v>25</v>
      </c>
      <c r="F5296" s="52" t="s">
        <v>26</v>
      </c>
      <c r="G5296" s="53"/>
    </row>
    <row r="5297">
      <c r="A5297" s="49">
        <v>44568.80609643519</v>
      </c>
      <c r="B5297" s="50">
        <v>44568.9310725</v>
      </c>
      <c r="C5297" s="51">
        <v>1.009</v>
      </c>
      <c r="D5297" s="51">
        <v>65.0</v>
      </c>
      <c r="E5297" s="52" t="s">
        <v>25</v>
      </c>
      <c r="F5297" s="52" t="s">
        <v>26</v>
      </c>
      <c r="G5297" s="53"/>
    </row>
    <row r="5298">
      <c r="A5298" s="49">
        <v>44568.81652283565</v>
      </c>
      <c r="B5298" s="50">
        <v>44568.9414941898</v>
      </c>
      <c r="C5298" s="51">
        <v>1.009</v>
      </c>
      <c r="D5298" s="51">
        <v>65.0</v>
      </c>
      <c r="E5298" s="52" t="s">
        <v>25</v>
      </c>
      <c r="F5298" s="52" t="s">
        <v>26</v>
      </c>
      <c r="G5298" s="53"/>
    </row>
    <row r="5299">
      <c r="A5299" s="49">
        <v>44568.82695908565</v>
      </c>
      <c r="B5299" s="50">
        <v>44568.9519267939</v>
      </c>
      <c r="C5299" s="51">
        <v>1.009</v>
      </c>
      <c r="D5299" s="51">
        <v>65.0</v>
      </c>
      <c r="E5299" s="52" t="s">
        <v>25</v>
      </c>
      <c r="F5299" s="52" t="s">
        <v>26</v>
      </c>
      <c r="G5299" s="53"/>
    </row>
    <row r="5300">
      <c r="A5300" s="49">
        <v>44568.837375937495</v>
      </c>
      <c r="B5300" s="50">
        <v>44568.9623473495</v>
      </c>
      <c r="C5300" s="51">
        <v>1.009</v>
      </c>
      <c r="D5300" s="51">
        <v>65.0</v>
      </c>
      <c r="E5300" s="52" t="s">
        <v>25</v>
      </c>
      <c r="F5300" s="52" t="s">
        <v>26</v>
      </c>
      <c r="G5300" s="53"/>
    </row>
    <row r="5301">
      <c r="A5301" s="49">
        <v>44568.847805833335</v>
      </c>
      <c r="B5301" s="50">
        <v>44568.972779074</v>
      </c>
      <c r="C5301" s="51">
        <v>1.009</v>
      </c>
      <c r="D5301" s="51">
        <v>65.0</v>
      </c>
      <c r="E5301" s="52" t="s">
        <v>25</v>
      </c>
      <c r="F5301" s="52" t="s">
        <v>26</v>
      </c>
      <c r="G5301" s="53"/>
    </row>
    <row r="5302">
      <c r="A5302" s="49">
        <v>44568.858233645835</v>
      </c>
      <c r="B5302" s="50">
        <v>44568.9832003009</v>
      </c>
      <c r="C5302" s="51">
        <v>1.009</v>
      </c>
      <c r="D5302" s="51">
        <v>65.0</v>
      </c>
      <c r="E5302" s="52" t="s">
        <v>25</v>
      </c>
      <c r="F5302" s="52" t="s">
        <v>26</v>
      </c>
      <c r="G5302" s="53"/>
    </row>
    <row r="5303">
      <c r="A5303" s="49">
        <v>44568.86867247685</v>
      </c>
      <c r="B5303" s="50">
        <v>44568.9936449537</v>
      </c>
      <c r="C5303" s="51">
        <v>1.009</v>
      </c>
      <c r="D5303" s="51">
        <v>65.0</v>
      </c>
      <c r="E5303" s="52" t="s">
        <v>25</v>
      </c>
      <c r="F5303" s="52" t="s">
        <v>26</v>
      </c>
      <c r="G5303" s="53"/>
    </row>
    <row r="5304">
      <c r="A5304" s="49">
        <v>44568.87910304398</v>
      </c>
      <c r="B5304" s="50">
        <v>44569.0040789814</v>
      </c>
      <c r="C5304" s="51">
        <v>1.009</v>
      </c>
      <c r="D5304" s="51">
        <v>65.0</v>
      </c>
      <c r="E5304" s="52" t="s">
        <v>25</v>
      </c>
      <c r="F5304" s="52" t="s">
        <v>26</v>
      </c>
      <c r="G5304" s="53"/>
    </row>
    <row r="5305">
      <c r="A5305" s="49">
        <v>44568.8895610301</v>
      </c>
      <c r="B5305" s="50">
        <v>44569.0145241666</v>
      </c>
      <c r="C5305" s="51">
        <v>1.009</v>
      </c>
      <c r="D5305" s="51">
        <v>65.0</v>
      </c>
      <c r="E5305" s="52" t="s">
        <v>25</v>
      </c>
      <c r="F5305" s="52" t="s">
        <v>26</v>
      </c>
      <c r="G5305" s="53"/>
    </row>
    <row r="5306">
      <c r="A5306" s="49">
        <v>44568.899987557874</v>
      </c>
      <c r="B5306" s="50">
        <v>44569.0249549884</v>
      </c>
      <c r="C5306" s="51">
        <v>1.009</v>
      </c>
      <c r="D5306" s="51">
        <v>65.0</v>
      </c>
      <c r="E5306" s="52" t="s">
        <v>25</v>
      </c>
      <c r="F5306" s="52" t="s">
        <v>26</v>
      </c>
      <c r="G5306" s="53"/>
    </row>
    <row r="5307">
      <c r="A5307" s="49">
        <v>44568.91039697916</v>
      </c>
      <c r="B5307" s="50">
        <v>44569.0353738194</v>
      </c>
      <c r="C5307" s="51">
        <v>1.009</v>
      </c>
      <c r="D5307" s="51">
        <v>65.0</v>
      </c>
      <c r="E5307" s="52" t="s">
        <v>25</v>
      </c>
      <c r="F5307" s="52" t="s">
        <v>26</v>
      </c>
      <c r="G5307" s="53"/>
    </row>
    <row r="5308">
      <c r="A5308" s="49">
        <v>44568.920827152775</v>
      </c>
      <c r="B5308" s="50">
        <v>44569.04579478</v>
      </c>
      <c r="C5308" s="51">
        <v>1.009</v>
      </c>
      <c r="D5308" s="51">
        <v>64.0</v>
      </c>
      <c r="E5308" s="52" t="s">
        <v>25</v>
      </c>
      <c r="F5308" s="52" t="s">
        <v>26</v>
      </c>
      <c r="G5308" s="53"/>
    </row>
    <row r="5309">
      <c r="A5309" s="49">
        <v>44568.93125925926</v>
      </c>
      <c r="B5309" s="50">
        <v>44569.0562275115</v>
      </c>
      <c r="C5309" s="51">
        <v>1.009</v>
      </c>
      <c r="D5309" s="51">
        <v>64.0</v>
      </c>
      <c r="E5309" s="52" t="s">
        <v>25</v>
      </c>
      <c r="F5309" s="52" t="s">
        <v>26</v>
      </c>
      <c r="G5309" s="53"/>
    </row>
    <row r="5310">
      <c r="A5310" s="49">
        <v>44568.94172065972</v>
      </c>
      <c r="B5310" s="50">
        <v>44569.0666835532</v>
      </c>
      <c r="C5310" s="51">
        <v>1.009</v>
      </c>
      <c r="D5310" s="51">
        <v>64.0</v>
      </c>
      <c r="E5310" s="52" t="s">
        <v>25</v>
      </c>
      <c r="F5310" s="52" t="s">
        <v>26</v>
      </c>
      <c r="G5310" s="53"/>
    </row>
    <row r="5311">
      <c r="A5311" s="49">
        <v>44568.95214105324</v>
      </c>
      <c r="B5311" s="50">
        <v>44569.0771049305</v>
      </c>
      <c r="C5311" s="51">
        <v>1.009</v>
      </c>
      <c r="D5311" s="51">
        <v>64.0</v>
      </c>
      <c r="E5311" s="52" t="s">
        <v>25</v>
      </c>
      <c r="F5311" s="52" t="s">
        <v>26</v>
      </c>
      <c r="G5311" s="53"/>
    </row>
    <row r="5312">
      <c r="A5312" s="49">
        <v>44568.962552488425</v>
      </c>
      <c r="B5312" s="50">
        <v>44569.0875262615</v>
      </c>
      <c r="C5312" s="51">
        <v>1.009</v>
      </c>
      <c r="D5312" s="51">
        <v>64.0</v>
      </c>
      <c r="E5312" s="52" t="s">
        <v>25</v>
      </c>
      <c r="F5312" s="52" t="s">
        <v>26</v>
      </c>
      <c r="G5312" s="53"/>
    </row>
    <row r="5313">
      <c r="A5313" s="49">
        <v>44568.97297528935</v>
      </c>
      <c r="B5313" s="50">
        <v>44569.0979477893</v>
      </c>
      <c r="C5313" s="51">
        <v>1.009</v>
      </c>
      <c r="D5313" s="51">
        <v>64.0</v>
      </c>
      <c r="E5313" s="52" t="s">
        <v>25</v>
      </c>
      <c r="F5313" s="52" t="s">
        <v>26</v>
      </c>
      <c r="G5313" s="53"/>
    </row>
    <row r="5314">
      <c r="A5314" s="49">
        <v>44568.98339505787</v>
      </c>
      <c r="B5314" s="50">
        <v>44569.1083692708</v>
      </c>
      <c r="C5314" s="51">
        <v>1.009</v>
      </c>
      <c r="D5314" s="51">
        <v>64.0</v>
      </c>
      <c r="E5314" s="52" t="s">
        <v>25</v>
      </c>
      <c r="F5314" s="52" t="s">
        <v>26</v>
      </c>
      <c r="G5314" s="53"/>
    </row>
    <row r="5315">
      <c r="A5315" s="49">
        <v>44568.99386675926</v>
      </c>
      <c r="B5315" s="50">
        <v>44569.118838912</v>
      </c>
      <c r="C5315" s="51">
        <v>1.009</v>
      </c>
      <c r="D5315" s="51">
        <v>64.0</v>
      </c>
      <c r="E5315" s="52" t="s">
        <v>25</v>
      </c>
      <c r="F5315" s="52" t="s">
        <v>26</v>
      </c>
      <c r="G5315" s="53"/>
    </row>
    <row r="5316">
      <c r="A5316" s="49">
        <v>44569.00428969908</v>
      </c>
      <c r="B5316" s="50">
        <v>44569.1292592592</v>
      </c>
      <c r="C5316" s="51">
        <v>1.009</v>
      </c>
      <c r="D5316" s="51">
        <v>64.0</v>
      </c>
      <c r="E5316" s="52" t="s">
        <v>25</v>
      </c>
      <c r="F5316" s="52" t="s">
        <v>26</v>
      </c>
      <c r="G5316" s="53"/>
    </row>
    <row r="5317">
      <c r="A5317" s="49">
        <v>44569.014705277776</v>
      </c>
      <c r="B5317" s="50">
        <v>44569.139680162</v>
      </c>
      <c r="C5317" s="51">
        <v>1.009</v>
      </c>
      <c r="D5317" s="51">
        <v>64.0</v>
      </c>
      <c r="E5317" s="52" t="s">
        <v>25</v>
      </c>
      <c r="F5317" s="52" t="s">
        <v>26</v>
      </c>
      <c r="G5317" s="53"/>
    </row>
    <row r="5318">
      <c r="A5318" s="49">
        <v>44569.02512953704</v>
      </c>
      <c r="B5318" s="50">
        <v>44569.1501011111</v>
      </c>
      <c r="C5318" s="51">
        <v>1.009</v>
      </c>
      <c r="D5318" s="51">
        <v>64.0</v>
      </c>
      <c r="E5318" s="52" t="s">
        <v>25</v>
      </c>
      <c r="F5318" s="52" t="s">
        <v>26</v>
      </c>
      <c r="G5318" s="53"/>
    </row>
    <row r="5319">
      <c r="A5319" s="49">
        <v>44569.035594456014</v>
      </c>
      <c r="B5319" s="50">
        <v>44569.1605687731</v>
      </c>
      <c r="C5319" s="51">
        <v>1.009</v>
      </c>
      <c r="D5319" s="51">
        <v>64.0</v>
      </c>
      <c r="E5319" s="52" t="s">
        <v>25</v>
      </c>
      <c r="F5319" s="52" t="s">
        <v>26</v>
      </c>
      <c r="G5319" s="53"/>
    </row>
    <row r="5320">
      <c r="A5320" s="49">
        <v>44569.0460228588</v>
      </c>
      <c r="B5320" s="50">
        <v>44569.1710015509</v>
      </c>
      <c r="C5320" s="51">
        <v>1.009</v>
      </c>
      <c r="D5320" s="51">
        <v>64.0</v>
      </c>
      <c r="E5320" s="52" t="s">
        <v>25</v>
      </c>
      <c r="F5320" s="52" t="s">
        <v>26</v>
      </c>
      <c r="G5320" s="53"/>
    </row>
    <row r="5321">
      <c r="A5321" s="49">
        <v>44569.05654578704</v>
      </c>
      <c r="B5321" s="50">
        <v>44569.1815041898</v>
      </c>
      <c r="C5321" s="51">
        <v>1.009</v>
      </c>
      <c r="D5321" s="51">
        <v>64.0</v>
      </c>
      <c r="E5321" s="52" t="s">
        <v>25</v>
      </c>
      <c r="F5321" s="52" t="s">
        <v>26</v>
      </c>
      <c r="G5321" s="53"/>
    </row>
    <row r="5322">
      <c r="A5322" s="49">
        <v>44569.0669583912</v>
      </c>
      <c r="B5322" s="50">
        <v>44569.1919253819</v>
      </c>
      <c r="C5322" s="51">
        <v>1.009</v>
      </c>
      <c r="D5322" s="51">
        <v>64.0</v>
      </c>
      <c r="E5322" s="52" t="s">
        <v>25</v>
      </c>
      <c r="F5322" s="52" t="s">
        <v>26</v>
      </c>
      <c r="G5322" s="53"/>
    </row>
    <row r="5323">
      <c r="A5323" s="49">
        <v>44569.0773724537</v>
      </c>
      <c r="B5323" s="50">
        <v>44569.2023448263</v>
      </c>
      <c r="C5323" s="51">
        <v>1.009</v>
      </c>
      <c r="D5323" s="51">
        <v>64.0</v>
      </c>
      <c r="E5323" s="52" t="s">
        <v>25</v>
      </c>
      <c r="F5323" s="52" t="s">
        <v>26</v>
      </c>
      <c r="G5323" s="53"/>
    </row>
    <row r="5324">
      <c r="A5324" s="49">
        <v>44569.087827256946</v>
      </c>
      <c r="B5324" s="50">
        <v>44569.212788993</v>
      </c>
      <c r="C5324" s="51">
        <v>1.009</v>
      </c>
      <c r="D5324" s="51">
        <v>64.0</v>
      </c>
      <c r="E5324" s="52" t="s">
        <v>25</v>
      </c>
      <c r="F5324" s="52" t="s">
        <v>26</v>
      </c>
      <c r="G5324" s="53"/>
    </row>
    <row r="5325">
      <c r="A5325" s="49">
        <v>44569.09823986111</v>
      </c>
      <c r="B5325" s="50">
        <v>44569.2232104976</v>
      </c>
      <c r="C5325" s="51">
        <v>1.009</v>
      </c>
      <c r="D5325" s="51">
        <v>64.0</v>
      </c>
      <c r="E5325" s="52" t="s">
        <v>25</v>
      </c>
      <c r="F5325" s="52" t="s">
        <v>26</v>
      </c>
      <c r="G5325" s="53"/>
    </row>
    <row r="5326">
      <c r="A5326" s="49">
        <v>44569.108703136575</v>
      </c>
      <c r="B5326" s="50">
        <v>44569.2336799305</v>
      </c>
      <c r="C5326" s="51">
        <v>1.009</v>
      </c>
      <c r="D5326" s="51">
        <v>64.0</v>
      </c>
      <c r="E5326" s="52" t="s">
        <v>25</v>
      </c>
      <c r="F5326" s="52" t="s">
        <v>26</v>
      </c>
      <c r="G5326" s="53"/>
    </row>
    <row r="5327">
      <c r="A5327" s="49">
        <v>44569.11913193287</v>
      </c>
      <c r="B5327" s="50">
        <v>44569.2441010416</v>
      </c>
      <c r="C5327" s="51">
        <v>1.009</v>
      </c>
      <c r="D5327" s="51">
        <v>64.0</v>
      </c>
      <c r="E5327" s="52" t="s">
        <v>25</v>
      </c>
      <c r="F5327" s="52" t="s">
        <v>26</v>
      </c>
      <c r="G5327" s="53"/>
    </row>
    <row r="5328">
      <c r="A5328" s="49">
        <v>44569.12955136574</v>
      </c>
      <c r="B5328" s="50">
        <v>44569.2545213541</v>
      </c>
      <c r="C5328" s="51">
        <v>1.009</v>
      </c>
      <c r="D5328" s="51">
        <v>64.0</v>
      </c>
      <c r="E5328" s="52" t="s">
        <v>25</v>
      </c>
      <c r="F5328" s="52" t="s">
        <v>26</v>
      </c>
      <c r="G5328" s="53"/>
    </row>
    <row r="5329">
      <c r="A5329" s="49">
        <v>44569.13997079861</v>
      </c>
      <c r="B5329" s="50">
        <v>44569.2649423495</v>
      </c>
      <c r="C5329" s="51">
        <v>1.009</v>
      </c>
      <c r="D5329" s="51">
        <v>64.0</v>
      </c>
      <c r="E5329" s="52" t="s">
        <v>25</v>
      </c>
      <c r="F5329" s="52" t="s">
        <v>26</v>
      </c>
      <c r="G5329" s="53"/>
    </row>
    <row r="5330">
      <c r="A5330" s="49">
        <v>44569.15039527778</v>
      </c>
      <c r="B5330" s="50">
        <v>44569.2753645949</v>
      </c>
      <c r="C5330" s="51">
        <v>1.009</v>
      </c>
      <c r="D5330" s="51">
        <v>64.0</v>
      </c>
      <c r="E5330" s="52" t="s">
        <v>25</v>
      </c>
      <c r="F5330" s="52" t="s">
        <v>26</v>
      </c>
      <c r="G5330" s="53"/>
    </row>
    <row r="5331">
      <c r="A5331" s="49">
        <v>44569.16080612269</v>
      </c>
      <c r="B5331" s="50">
        <v>44569.2857855324</v>
      </c>
      <c r="C5331" s="51">
        <v>1.009</v>
      </c>
      <c r="D5331" s="51">
        <v>64.0</v>
      </c>
      <c r="E5331" s="52" t="s">
        <v>25</v>
      </c>
      <c r="F5331" s="52" t="s">
        <v>26</v>
      </c>
      <c r="G5331" s="53"/>
    </row>
    <row r="5332">
      <c r="A5332" s="49">
        <v>44569.1712322338</v>
      </c>
      <c r="B5332" s="50">
        <v>44569.2962058101</v>
      </c>
      <c r="C5332" s="51">
        <v>1.009</v>
      </c>
      <c r="D5332" s="51">
        <v>64.0</v>
      </c>
      <c r="E5332" s="52" t="s">
        <v>25</v>
      </c>
      <c r="F5332" s="52" t="s">
        <v>26</v>
      </c>
      <c r="G5332" s="53"/>
    </row>
    <row r="5333">
      <c r="A5333" s="49">
        <v>44569.181651817125</v>
      </c>
      <c r="B5333" s="50">
        <v>44569.3066262384</v>
      </c>
      <c r="C5333" s="51">
        <v>1.009</v>
      </c>
      <c r="D5333" s="51">
        <v>64.0</v>
      </c>
      <c r="E5333" s="52" t="s">
        <v>25</v>
      </c>
      <c r="F5333" s="52" t="s">
        <v>26</v>
      </c>
      <c r="G5333" s="53"/>
    </row>
    <row r="5334">
      <c r="A5334" s="49">
        <v>44569.19206877315</v>
      </c>
      <c r="B5334" s="50">
        <v>44569.3170477199</v>
      </c>
      <c r="C5334" s="51">
        <v>1.009</v>
      </c>
      <c r="D5334" s="51">
        <v>64.0</v>
      </c>
      <c r="E5334" s="52" t="s">
        <v>25</v>
      </c>
      <c r="F5334" s="52" t="s">
        <v>26</v>
      </c>
      <c r="G5334" s="53"/>
    </row>
    <row r="5335">
      <c r="A5335" s="49">
        <v>44569.20250452546</v>
      </c>
      <c r="B5335" s="50">
        <v>44569.3274796064</v>
      </c>
      <c r="C5335" s="51">
        <v>1.009</v>
      </c>
      <c r="D5335" s="51">
        <v>64.0</v>
      </c>
      <c r="E5335" s="52" t="s">
        <v>25</v>
      </c>
      <c r="F5335" s="52" t="s">
        <v>26</v>
      </c>
      <c r="G5335" s="53"/>
    </row>
    <row r="5336">
      <c r="A5336" s="49">
        <v>44569.21293638889</v>
      </c>
      <c r="B5336" s="50">
        <v>44569.3379148263</v>
      </c>
      <c r="C5336" s="51">
        <v>1.009</v>
      </c>
      <c r="D5336" s="51">
        <v>64.0</v>
      </c>
      <c r="E5336" s="52" t="s">
        <v>25</v>
      </c>
      <c r="F5336" s="52" t="s">
        <v>26</v>
      </c>
      <c r="G5336" s="53"/>
    </row>
    <row r="5337">
      <c r="A5337" s="49">
        <v>44569.2233591088</v>
      </c>
      <c r="B5337" s="50">
        <v>44569.3483361111</v>
      </c>
      <c r="C5337" s="51">
        <v>1.009</v>
      </c>
      <c r="D5337" s="51">
        <v>64.0</v>
      </c>
      <c r="E5337" s="52" t="s">
        <v>25</v>
      </c>
      <c r="F5337" s="52" t="s">
        <v>26</v>
      </c>
      <c r="G5337" s="53"/>
    </row>
    <row r="5338">
      <c r="A5338" s="49">
        <v>44569.23377506944</v>
      </c>
      <c r="B5338" s="50">
        <v>44569.35875603</v>
      </c>
      <c r="C5338" s="51">
        <v>1.009</v>
      </c>
      <c r="D5338" s="51">
        <v>64.0</v>
      </c>
      <c r="E5338" s="52" t="s">
        <v>25</v>
      </c>
      <c r="F5338" s="52" t="s">
        <v>26</v>
      </c>
      <c r="G5338" s="53"/>
    </row>
    <row r="5339">
      <c r="A5339" s="49">
        <v>44569.244234502316</v>
      </c>
      <c r="B5339" s="50">
        <v>44569.3692124652</v>
      </c>
      <c r="C5339" s="51">
        <v>1.009</v>
      </c>
      <c r="D5339" s="51">
        <v>64.0</v>
      </c>
      <c r="E5339" s="52" t="s">
        <v>25</v>
      </c>
      <c r="F5339" s="52" t="s">
        <v>26</v>
      </c>
      <c r="G5339" s="53"/>
    </row>
    <row r="5340">
      <c r="A5340" s="49">
        <v>44569.25465487268</v>
      </c>
      <c r="B5340" s="50">
        <v>44569.3796323495</v>
      </c>
      <c r="C5340" s="51">
        <v>1.009</v>
      </c>
      <c r="D5340" s="51">
        <v>64.0</v>
      </c>
      <c r="E5340" s="52" t="s">
        <v>25</v>
      </c>
      <c r="F5340" s="52" t="s">
        <v>26</v>
      </c>
      <c r="G5340" s="53"/>
    </row>
    <row r="5341">
      <c r="A5341" s="49">
        <v>44569.26507574074</v>
      </c>
      <c r="B5341" s="50">
        <v>44569.3900520254</v>
      </c>
      <c r="C5341" s="51">
        <v>1.009</v>
      </c>
      <c r="D5341" s="51">
        <v>64.0</v>
      </c>
      <c r="E5341" s="52" t="s">
        <v>25</v>
      </c>
      <c r="F5341" s="52" t="s">
        <v>26</v>
      </c>
      <c r="G5341" s="53"/>
    </row>
    <row r="5342">
      <c r="A5342" s="49">
        <v>44569.275501041666</v>
      </c>
      <c r="B5342" s="50">
        <v>44569.4004740046</v>
      </c>
      <c r="C5342" s="51">
        <v>1.009</v>
      </c>
      <c r="D5342" s="51">
        <v>64.0</v>
      </c>
      <c r="E5342" s="52" t="s">
        <v>25</v>
      </c>
      <c r="F5342" s="52" t="s">
        <v>26</v>
      </c>
      <c r="G5342" s="53"/>
    </row>
    <row r="5343">
      <c r="A5343" s="49">
        <v>44569.285918298614</v>
      </c>
      <c r="B5343" s="50">
        <v>44569.4108958217</v>
      </c>
      <c r="C5343" s="51">
        <v>1.009</v>
      </c>
      <c r="D5343" s="51">
        <v>64.0</v>
      </c>
      <c r="E5343" s="52" t="s">
        <v>25</v>
      </c>
      <c r="F5343" s="52" t="s">
        <v>26</v>
      </c>
      <c r="G5343" s="53"/>
    </row>
    <row r="5344">
      <c r="A5344" s="49">
        <v>44569.296341747686</v>
      </c>
      <c r="B5344" s="50">
        <v>44569.42131853</v>
      </c>
      <c r="C5344" s="51">
        <v>1.009</v>
      </c>
      <c r="D5344" s="51">
        <v>64.0</v>
      </c>
      <c r="E5344" s="52" t="s">
        <v>25</v>
      </c>
      <c r="F5344" s="52" t="s">
        <v>26</v>
      </c>
      <c r="G5344" s="53"/>
    </row>
    <row r="5345">
      <c r="A5345" s="49">
        <v>44569.30677081019</v>
      </c>
      <c r="B5345" s="50">
        <v>44569.4317500231</v>
      </c>
      <c r="C5345" s="51">
        <v>1.009</v>
      </c>
      <c r="D5345" s="51">
        <v>64.0</v>
      </c>
      <c r="E5345" s="52" t="s">
        <v>25</v>
      </c>
      <c r="F5345" s="52" t="s">
        <v>26</v>
      </c>
      <c r="G5345" s="53"/>
    </row>
    <row r="5346">
      <c r="A5346" s="49">
        <v>44569.317197199074</v>
      </c>
      <c r="B5346" s="50">
        <v>44569.4421692824</v>
      </c>
      <c r="C5346" s="51">
        <v>1.009</v>
      </c>
      <c r="D5346" s="51">
        <v>63.0</v>
      </c>
      <c r="E5346" s="52" t="s">
        <v>25</v>
      </c>
      <c r="F5346" s="52" t="s">
        <v>26</v>
      </c>
      <c r="G5346" s="53"/>
    </row>
    <row r="5347">
      <c r="A5347" s="49">
        <v>44569.32763</v>
      </c>
      <c r="B5347" s="50">
        <v>44569.4526141319</v>
      </c>
      <c r="C5347" s="51">
        <v>1.009</v>
      </c>
      <c r="D5347" s="51">
        <v>64.0</v>
      </c>
      <c r="E5347" s="52" t="s">
        <v>25</v>
      </c>
      <c r="F5347" s="52" t="s">
        <v>26</v>
      </c>
      <c r="G5347" s="53"/>
    </row>
    <row r="5348">
      <c r="A5348" s="49">
        <v>44569.33805984954</v>
      </c>
      <c r="B5348" s="50">
        <v>44569.4630358912</v>
      </c>
      <c r="C5348" s="51">
        <v>1.009</v>
      </c>
      <c r="D5348" s="51">
        <v>63.0</v>
      </c>
      <c r="E5348" s="52" t="s">
        <v>25</v>
      </c>
      <c r="F5348" s="52" t="s">
        <v>26</v>
      </c>
      <c r="G5348" s="53"/>
    </row>
    <row r="5349">
      <c r="A5349" s="49">
        <v>44569.34848810185</v>
      </c>
      <c r="B5349" s="50">
        <v>44569.4734572222</v>
      </c>
      <c r="C5349" s="51">
        <v>1.009</v>
      </c>
      <c r="D5349" s="51">
        <v>63.0</v>
      </c>
      <c r="E5349" s="52" t="s">
        <v>25</v>
      </c>
      <c r="F5349" s="52" t="s">
        <v>26</v>
      </c>
      <c r="G5349" s="53"/>
    </row>
    <row r="5350">
      <c r="A5350" s="49">
        <v>44569.3588977662</v>
      </c>
      <c r="B5350" s="50">
        <v>44569.4838783912</v>
      </c>
      <c r="C5350" s="51">
        <v>1.009</v>
      </c>
      <c r="D5350" s="51">
        <v>63.0</v>
      </c>
      <c r="E5350" s="52" t="s">
        <v>25</v>
      </c>
      <c r="F5350" s="52" t="s">
        <v>26</v>
      </c>
      <c r="G5350" s="53"/>
    </row>
    <row r="5351">
      <c r="A5351" s="49">
        <v>44569.36932266204</v>
      </c>
      <c r="B5351" s="50">
        <v>44569.4942997453</v>
      </c>
      <c r="C5351" s="51">
        <v>1.009</v>
      </c>
      <c r="D5351" s="51">
        <v>63.0</v>
      </c>
      <c r="E5351" s="52" t="s">
        <v>25</v>
      </c>
      <c r="F5351" s="52" t="s">
        <v>26</v>
      </c>
      <c r="G5351" s="53"/>
    </row>
    <row r="5352">
      <c r="A5352" s="49">
        <v>44569.37977975694</v>
      </c>
      <c r="B5352" s="50">
        <v>44569.5047548148</v>
      </c>
      <c r="C5352" s="51">
        <v>1.009</v>
      </c>
      <c r="D5352" s="51">
        <v>63.0</v>
      </c>
      <c r="E5352" s="52" t="s">
        <v>25</v>
      </c>
      <c r="F5352" s="52" t="s">
        <v>26</v>
      </c>
      <c r="G5352" s="53"/>
    </row>
    <row r="5353">
      <c r="A5353" s="49">
        <v>44569.400640312495</v>
      </c>
      <c r="B5353" s="50">
        <v>44569.5256106481</v>
      </c>
      <c r="C5353" s="51">
        <v>1.009</v>
      </c>
      <c r="D5353" s="51">
        <v>63.0</v>
      </c>
      <c r="E5353" s="52" t="s">
        <v>25</v>
      </c>
      <c r="F5353" s="52" t="s">
        <v>26</v>
      </c>
      <c r="G5353" s="53"/>
    </row>
    <row r="5354">
      <c r="A5354" s="49">
        <v>44569.41106052083</v>
      </c>
      <c r="B5354" s="50">
        <v>44569.5360312731</v>
      </c>
      <c r="C5354" s="51">
        <v>1.009</v>
      </c>
      <c r="D5354" s="51">
        <v>63.0</v>
      </c>
      <c r="E5354" s="52" t="s">
        <v>25</v>
      </c>
      <c r="F5354" s="52" t="s">
        <v>26</v>
      </c>
      <c r="G5354" s="53"/>
    </row>
    <row r="5355">
      <c r="A5355" s="49">
        <v>44569.42149364583</v>
      </c>
      <c r="B5355" s="50">
        <v>44569.5464649305</v>
      </c>
      <c r="C5355" s="51">
        <v>1.009</v>
      </c>
      <c r="D5355" s="51">
        <v>63.0</v>
      </c>
      <c r="E5355" s="52" t="s">
        <v>25</v>
      </c>
      <c r="F5355" s="52" t="s">
        <v>26</v>
      </c>
      <c r="G5355" s="53"/>
    </row>
    <row r="5356">
      <c r="A5356" s="49">
        <v>44569.43192696759</v>
      </c>
      <c r="B5356" s="50">
        <v>44569.5568984259</v>
      </c>
      <c r="C5356" s="51">
        <v>1.009</v>
      </c>
      <c r="D5356" s="51">
        <v>63.0</v>
      </c>
      <c r="E5356" s="52" t="s">
        <v>25</v>
      </c>
      <c r="F5356" s="52" t="s">
        <v>26</v>
      </c>
      <c r="G5356" s="53"/>
    </row>
    <row r="5357">
      <c r="A5357" s="49">
        <v>44569.442355023144</v>
      </c>
      <c r="B5357" s="50">
        <v>44569.5673315509</v>
      </c>
      <c r="C5357" s="51">
        <v>1.009</v>
      </c>
      <c r="D5357" s="51">
        <v>63.0</v>
      </c>
      <c r="E5357" s="52" t="s">
        <v>25</v>
      </c>
      <c r="F5357" s="52" t="s">
        <v>26</v>
      </c>
      <c r="G5357" s="53"/>
    </row>
    <row r="5358">
      <c r="A5358" s="49">
        <v>44569.45277527778</v>
      </c>
      <c r="B5358" s="50">
        <v>44569.5777518518</v>
      </c>
      <c r="C5358" s="51">
        <v>1.009</v>
      </c>
      <c r="D5358" s="51">
        <v>63.0</v>
      </c>
      <c r="E5358" s="52" t="s">
        <v>25</v>
      </c>
      <c r="F5358" s="52" t="s">
        <v>26</v>
      </c>
      <c r="G5358" s="53"/>
    </row>
    <row r="5359">
      <c r="A5359" s="49">
        <v>44569.46320668982</v>
      </c>
      <c r="B5359" s="50">
        <v>44569.5881731597</v>
      </c>
      <c r="C5359" s="51">
        <v>1.009</v>
      </c>
      <c r="D5359" s="51">
        <v>63.0</v>
      </c>
      <c r="E5359" s="52" t="s">
        <v>25</v>
      </c>
      <c r="F5359" s="52" t="s">
        <v>26</v>
      </c>
      <c r="G5359" s="53"/>
    </row>
    <row r="5360">
      <c r="A5360" s="49">
        <v>44569.47362258102</v>
      </c>
      <c r="B5360" s="50">
        <v>44569.5985918981</v>
      </c>
      <c r="C5360" s="51">
        <v>1.009</v>
      </c>
      <c r="D5360" s="51">
        <v>63.0</v>
      </c>
      <c r="E5360" s="52" t="s">
        <v>25</v>
      </c>
      <c r="F5360" s="52" t="s">
        <v>26</v>
      </c>
      <c r="G5360" s="53"/>
    </row>
    <row r="5361">
      <c r="A5361" s="49">
        <v>44569.484051631945</v>
      </c>
      <c r="B5361" s="50">
        <v>44569.609025162</v>
      </c>
      <c r="C5361" s="51">
        <v>1.009</v>
      </c>
      <c r="D5361" s="51">
        <v>63.0</v>
      </c>
      <c r="E5361" s="52" t="s">
        <v>25</v>
      </c>
      <c r="F5361" s="52" t="s">
        <v>26</v>
      </c>
      <c r="G5361" s="53"/>
    </row>
    <row r="5362">
      <c r="A5362" s="49">
        <v>44569.494473969906</v>
      </c>
      <c r="B5362" s="50">
        <v>44569.6194578472</v>
      </c>
      <c r="C5362" s="51">
        <v>1.009</v>
      </c>
      <c r="D5362" s="51">
        <v>63.0</v>
      </c>
      <c r="E5362" s="52" t="s">
        <v>25</v>
      </c>
      <c r="F5362" s="52" t="s">
        <v>26</v>
      </c>
      <c r="G5362" s="53"/>
    </row>
    <row r="5363">
      <c r="A5363" s="49">
        <v>44569.50490266204</v>
      </c>
      <c r="B5363" s="50">
        <v>44569.6298803703</v>
      </c>
      <c r="C5363" s="51">
        <v>1.009</v>
      </c>
      <c r="D5363" s="51">
        <v>63.0</v>
      </c>
      <c r="E5363" s="52" t="s">
        <v>25</v>
      </c>
      <c r="F5363" s="52" t="s">
        <v>26</v>
      </c>
      <c r="G5363" s="53"/>
    </row>
    <row r="5364">
      <c r="A5364" s="49">
        <v>44569.51534165509</v>
      </c>
      <c r="B5364" s="50">
        <v>44569.6403155324</v>
      </c>
      <c r="C5364" s="51">
        <v>1.009</v>
      </c>
      <c r="D5364" s="51">
        <v>63.0</v>
      </c>
      <c r="E5364" s="52" t="s">
        <v>25</v>
      </c>
      <c r="F5364" s="52" t="s">
        <v>26</v>
      </c>
      <c r="G5364" s="53"/>
    </row>
    <row r="5365">
      <c r="A5365" s="49">
        <v>44569.525759745375</v>
      </c>
      <c r="B5365" s="50">
        <v>44569.6507361689</v>
      </c>
      <c r="C5365" s="51">
        <v>1.009</v>
      </c>
      <c r="D5365" s="51">
        <v>63.0</v>
      </c>
      <c r="E5365" s="52" t="s">
        <v>25</v>
      </c>
      <c r="F5365" s="52" t="s">
        <v>26</v>
      </c>
      <c r="G5365" s="53"/>
    </row>
    <row r="5366">
      <c r="A5366" s="49">
        <v>44569.53617792824</v>
      </c>
      <c r="B5366" s="50">
        <v>44569.6611573495</v>
      </c>
      <c r="C5366" s="51">
        <v>1.009</v>
      </c>
      <c r="D5366" s="51">
        <v>63.0</v>
      </c>
      <c r="E5366" s="52" t="s">
        <v>25</v>
      </c>
      <c r="F5366" s="52" t="s">
        <v>26</v>
      </c>
      <c r="G5366" s="53"/>
    </row>
    <row r="5367">
      <c r="A5367" s="49">
        <v>44569.54660503472</v>
      </c>
      <c r="B5367" s="50">
        <v>44569.6715784259</v>
      </c>
      <c r="C5367" s="51">
        <v>1.009</v>
      </c>
      <c r="D5367" s="51">
        <v>63.0</v>
      </c>
      <c r="E5367" s="52" t="s">
        <v>25</v>
      </c>
      <c r="F5367" s="52" t="s">
        <v>26</v>
      </c>
      <c r="G5367" s="53"/>
    </row>
    <row r="5368">
      <c r="A5368" s="49">
        <v>44569.557019224536</v>
      </c>
      <c r="B5368" s="50">
        <v>44569.6819985995</v>
      </c>
      <c r="C5368" s="51">
        <v>1.009</v>
      </c>
      <c r="D5368" s="51">
        <v>63.0</v>
      </c>
      <c r="E5368" s="52" t="s">
        <v>25</v>
      </c>
      <c r="F5368" s="52" t="s">
        <v>26</v>
      </c>
      <c r="G5368" s="53"/>
    </row>
    <row r="5369">
      <c r="A5369" s="49">
        <v>44569.567442430554</v>
      </c>
      <c r="B5369" s="50">
        <v>44569.6924182523</v>
      </c>
      <c r="C5369" s="51">
        <v>1.009</v>
      </c>
      <c r="D5369" s="51">
        <v>63.0</v>
      </c>
      <c r="E5369" s="52" t="s">
        <v>25</v>
      </c>
      <c r="F5369" s="52" t="s">
        <v>26</v>
      </c>
      <c r="G5369" s="53"/>
    </row>
    <row r="5370">
      <c r="A5370" s="49">
        <v>44569.577880868055</v>
      </c>
      <c r="B5370" s="50">
        <v>44569.7028518981</v>
      </c>
      <c r="C5370" s="51">
        <v>1.009</v>
      </c>
      <c r="D5370" s="51">
        <v>63.0</v>
      </c>
      <c r="E5370" s="52" t="s">
        <v>25</v>
      </c>
      <c r="F5370" s="52" t="s">
        <v>26</v>
      </c>
      <c r="G5370" s="53"/>
    </row>
    <row r="5371">
      <c r="A5371" s="49">
        <v>44569.58829666667</v>
      </c>
      <c r="B5371" s="50">
        <v>44569.7132718287</v>
      </c>
      <c r="C5371" s="51">
        <v>1.009</v>
      </c>
      <c r="D5371" s="51">
        <v>63.0</v>
      </c>
      <c r="E5371" s="52" t="s">
        <v>25</v>
      </c>
      <c r="F5371" s="52" t="s">
        <v>26</v>
      </c>
      <c r="G5371" s="53"/>
    </row>
    <row r="5372">
      <c r="A5372" s="49">
        <v>44569.598715671294</v>
      </c>
      <c r="B5372" s="50">
        <v>44569.7236936226</v>
      </c>
      <c r="C5372" s="51">
        <v>1.009</v>
      </c>
      <c r="D5372" s="51">
        <v>63.0</v>
      </c>
      <c r="E5372" s="52" t="s">
        <v>25</v>
      </c>
      <c r="F5372" s="52" t="s">
        <v>26</v>
      </c>
      <c r="G5372" s="53"/>
    </row>
    <row r="5373">
      <c r="A5373" s="49">
        <v>44569.60913182871</v>
      </c>
      <c r="B5373" s="50">
        <v>44569.7341158911</v>
      </c>
      <c r="C5373" s="51">
        <v>1.009</v>
      </c>
      <c r="D5373" s="51">
        <v>63.0</v>
      </c>
      <c r="E5373" s="52" t="s">
        <v>25</v>
      </c>
      <c r="F5373" s="52" t="s">
        <v>26</v>
      </c>
      <c r="G5373" s="53"/>
    </row>
    <row r="5374">
      <c r="A5374" s="49">
        <v>44569.61957444444</v>
      </c>
      <c r="B5374" s="50">
        <v>44569.7445478588</v>
      </c>
      <c r="C5374" s="51">
        <v>1.009</v>
      </c>
      <c r="D5374" s="51">
        <v>63.0</v>
      </c>
      <c r="E5374" s="52" t="s">
        <v>25</v>
      </c>
      <c r="F5374" s="52" t="s">
        <v>26</v>
      </c>
      <c r="G5374" s="53"/>
    </row>
    <row r="5375">
      <c r="A5375" s="49">
        <v>44569.63000138889</v>
      </c>
      <c r="B5375" s="50">
        <v>44569.7549700347</v>
      </c>
      <c r="C5375" s="51">
        <v>1.009</v>
      </c>
      <c r="D5375" s="51">
        <v>63.0</v>
      </c>
      <c r="E5375" s="52" t="s">
        <v>25</v>
      </c>
      <c r="F5375" s="52" t="s">
        <v>26</v>
      </c>
      <c r="G5375" s="53"/>
    </row>
    <row r="5376">
      <c r="A5376" s="49">
        <v>44569.64041582176</v>
      </c>
      <c r="B5376" s="50">
        <v>44569.7653915856</v>
      </c>
      <c r="C5376" s="51">
        <v>1.009</v>
      </c>
      <c r="D5376" s="51">
        <v>63.0</v>
      </c>
      <c r="E5376" s="52" t="s">
        <v>25</v>
      </c>
      <c r="F5376" s="52" t="s">
        <v>26</v>
      </c>
      <c r="G5376" s="53"/>
    </row>
    <row r="5377">
      <c r="A5377" s="49">
        <v>44569.6508605787</v>
      </c>
      <c r="B5377" s="50">
        <v>44569.7758350462</v>
      </c>
      <c r="C5377" s="51">
        <v>1.009</v>
      </c>
      <c r="D5377" s="51">
        <v>63.0</v>
      </c>
      <c r="E5377" s="52" t="s">
        <v>25</v>
      </c>
      <c r="F5377" s="52" t="s">
        <v>26</v>
      </c>
      <c r="G5377" s="53"/>
    </row>
    <row r="5378">
      <c r="A5378" s="49">
        <v>44569.66127869213</v>
      </c>
      <c r="B5378" s="50">
        <v>44569.7862556712</v>
      </c>
      <c r="C5378" s="51">
        <v>1.009</v>
      </c>
      <c r="D5378" s="51">
        <v>63.0</v>
      </c>
      <c r="E5378" s="52" t="s">
        <v>25</v>
      </c>
      <c r="F5378" s="52" t="s">
        <v>26</v>
      </c>
      <c r="G5378" s="53"/>
    </row>
    <row r="5379">
      <c r="A5379" s="49">
        <v>44569.671706099536</v>
      </c>
      <c r="B5379" s="50">
        <v>44569.7966872222</v>
      </c>
      <c r="C5379" s="51">
        <v>1.009</v>
      </c>
      <c r="D5379" s="51">
        <v>63.0</v>
      </c>
      <c r="E5379" s="52" t="s">
        <v>25</v>
      </c>
      <c r="F5379" s="52" t="s">
        <v>26</v>
      </c>
      <c r="G5379" s="53"/>
    </row>
    <row r="5380">
      <c r="A5380" s="49">
        <v>44569.68212603009</v>
      </c>
      <c r="B5380" s="50">
        <v>44569.8071072685</v>
      </c>
      <c r="C5380" s="51">
        <v>1.009</v>
      </c>
      <c r="D5380" s="51">
        <v>63.0</v>
      </c>
      <c r="E5380" s="52" t="s">
        <v>25</v>
      </c>
      <c r="F5380" s="52" t="s">
        <v>26</v>
      </c>
      <c r="G5380" s="53"/>
    </row>
    <row r="5381">
      <c r="A5381" s="49">
        <v>44569.692553483794</v>
      </c>
      <c r="B5381" s="50">
        <v>44569.8175296064</v>
      </c>
      <c r="C5381" s="51">
        <v>1.009</v>
      </c>
      <c r="D5381" s="51">
        <v>63.0</v>
      </c>
      <c r="E5381" s="52" t="s">
        <v>25</v>
      </c>
      <c r="F5381" s="52" t="s">
        <v>26</v>
      </c>
      <c r="G5381" s="53"/>
    </row>
    <row r="5382">
      <c r="A5382" s="49">
        <v>44569.7029724537</v>
      </c>
      <c r="B5382" s="50">
        <v>44569.8279508912</v>
      </c>
      <c r="C5382" s="51">
        <v>1.008</v>
      </c>
      <c r="D5382" s="51">
        <v>63.0</v>
      </c>
      <c r="E5382" s="52" t="s">
        <v>25</v>
      </c>
      <c r="F5382" s="52" t="s">
        <v>26</v>
      </c>
      <c r="G5382" s="53"/>
    </row>
    <row r="5383">
      <c r="A5383" s="49">
        <v>44569.71338828704</v>
      </c>
      <c r="B5383" s="50">
        <v>44569.8383701273</v>
      </c>
      <c r="C5383" s="51">
        <v>1.009</v>
      </c>
      <c r="D5383" s="51">
        <v>63.0</v>
      </c>
      <c r="E5383" s="52" t="s">
        <v>25</v>
      </c>
      <c r="F5383" s="52" t="s">
        <v>26</v>
      </c>
      <c r="G5383" s="53"/>
    </row>
    <row r="5384">
      <c r="A5384" s="49">
        <v>44569.723822175925</v>
      </c>
      <c r="B5384" s="50">
        <v>44569.848792824</v>
      </c>
      <c r="C5384" s="51">
        <v>1.009</v>
      </c>
      <c r="D5384" s="51">
        <v>63.0</v>
      </c>
      <c r="E5384" s="52" t="s">
        <v>25</v>
      </c>
      <c r="F5384" s="52" t="s">
        <v>26</v>
      </c>
      <c r="G5384" s="53"/>
    </row>
    <row r="5385">
      <c r="A5385" s="49">
        <v>44569.73423825232</v>
      </c>
      <c r="B5385" s="50">
        <v>44569.8592138425</v>
      </c>
      <c r="C5385" s="51">
        <v>1.008</v>
      </c>
      <c r="D5385" s="51">
        <v>63.0</v>
      </c>
      <c r="E5385" s="52" t="s">
        <v>25</v>
      </c>
      <c r="F5385" s="52" t="s">
        <v>26</v>
      </c>
      <c r="G5385" s="53"/>
    </row>
    <row r="5386">
      <c r="A5386" s="49">
        <v>44569.74468873843</v>
      </c>
      <c r="B5386" s="50">
        <v>44569.8696709027</v>
      </c>
      <c r="C5386" s="51">
        <v>1.009</v>
      </c>
      <c r="D5386" s="51">
        <v>63.0</v>
      </c>
      <c r="E5386" s="52" t="s">
        <v>25</v>
      </c>
      <c r="F5386" s="52" t="s">
        <v>26</v>
      </c>
      <c r="G5386" s="53"/>
    </row>
    <row r="5387">
      <c r="A5387" s="49">
        <v>44569.75511657407</v>
      </c>
      <c r="B5387" s="50">
        <v>44569.8800924421</v>
      </c>
      <c r="C5387" s="51">
        <v>1.009</v>
      </c>
      <c r="D5387" s="51">
        <v>63.0</v>
      </c>
      <c r="E5387" s="52" t="s">
        <v>25</v>
      </c>
      <c r="F5387" s="52" t="s">
        <v>26</v>
      </c>
      <c r="G5387" s="53"/>
    </row>
    <row r="5388">
      <c r="A5388" s="49">
        <v>44569.765535266204</v>
      </c>
      <c r="B5388" s="50">
        <v>44569.8905146296</v>
      </c>
      <c r="C5388" s="51">
        <v>1.009</v>
      </c>
      <c r="D5388" s="51">
        <v>63.0</v>
      </c>
      <c r="E5388" s="52" t="s">
        <v>25</v>
      </c>
      <c r="F5388" s="52" t="s">
        <v>26</v>
      </c>
      <c r="G5388" s="53"/>
    </row>
    <row r="5389">
      <c r="A5389" s="49">
        <v>44569.7759590162</v>
      </c>
      <c r="B5389" s="50">
        <v>44569.9009340625</v>
      </c>
      <c r="C5389" s="51">
        <v>1.009</v>
      </c>
      <c r="D5389" s="51">
        <v>63.0</v>
      </c>
      <c r="E5389" s="52" t="s">
        <v>25</v>
      </c>
      <c r="F5389" s="52" t="s">
        <v>26</v>
      </c>
      <c r="G5389" s="53"/>
    </row>
    <row r="5390">
      <c r="A5390" s="49">
        <v>44569.78639326389</v>
      </c>
      <c r="B5390" s="50">
        <v>44569.9113672569</v>
      </c>
      <c r="C5390" s="51">
        <v>1.009</v>
      </c>
      <c r="D5390" s="51">
        <v>63.0</v>
      </c>
      <c r="E5390" s="52" t="s">
        <v>25</v>
      </c>
      <c r="F5390" s="52" t="s">
        <v>26</v>
      </c>
      <c r="G5390" s="53"/>
    </row>
    <row r="5391">
      <c r="A5391" s="49">
        <v>44569.79680809028</v>
      </c>
      <c r="B5391" s="50">
        <v>44569.9217891203</v>
      </c>
      <c r="C5391" s="51">
        <v>1.009</v>
      </c>
      <c r="D5391" s="51">
        <v>63.0</v>
      </c>
      <c r="E5391" s="52" t="s">
        <v>25</v>
      </c>
      <c r="F5391" s="52" t="s">
        <v>26</v>
      </c>
      <c r="G5391" s="53"/>
    </row>
    <row r="5392">
      <c r="A5392" s="49">
        <v>44569.807250451384</v>
      </c>
      <c r="B5392" s="50">
        <v>44569.9322222685</v>
      </c>
      <c r="C5392" s="51">
        <v>1.008</v>
      </c>
      <c r="D5392" s="51">
        <v>63.0</v>
      </c>
      <c r="E5392" s="52" t="s">
        <v>25</v>
      </c>
      <c r="F5392" s="52" t="s">
        <v>26</v>
      </c>
      <c r="G5392" s="53"/>
    </row>
    <row r="5393">
      <c r="A5393" s="49">
        <v>44569.8176603125</v>
      </c>
      <c r="B5393" s="50">
        <v>44569.9426420486</v>
      </c>
      <c r="C5393" s="51">
        <v>1.009</v>
      </c>
      <c r="D5393" s="51">
        <v>63.0</v>
      </c>
      <c r="E5393" s="52" t="s">
        <v>25</v>
      </c>
      <c r="F5393" s="52" t="s">
        <v>26</v>
      </c>
      <c r="G5393" s="53"/>
    </row>
    <row r="5394">
      <c r="A5394" s="49">
        <v>44569.82808126157</v>
      </c>
      <c r="B5394" s="50">
        <v>44569.9530605092</v>
      </c>
      <c r="C5394" s="51">
        <v>1.009</v>
      </c>
      <c r="D5394" s="51">
        <v>63.0</v>
      </c>
      <c r="E5394" s="52" t="s">
        <v>25</v>
      </c>
      <c r="F5394" s="52" t="s">
        <v>26</v>
      </c>
      <c r="G5394" s="53"/>
    </row>
    <row r="5395">
      <c r="A5395" s="49">
        <v>44569.83851032407</v>
      </c>
      <c r="B5395" s="50">
        <v>44569.9634829861</v>
      </c>
      <c r="C5395" s="51">
        <v>1.009</v>
      </c>
      <c r="D5395" s="51">
        <v>63.0</v>
      </c>
      <c r="E5395" s="52" t="s">
        <v>25</v>
      </c>
      <c r="F5395" s="52" t="s">
        <v>26</v>
      </c>
      <c r="G5395" s="53"/>
    </row>
    <row r="5396">
      <c r="A5396" s="49">
        <v>44569.84893260417</v>
      </c>
      <c r="B5396" s="50">
        <v>44569.9739156018</v>
      </c>
      <c r="C5396" s="51">
        <v>1.009</v>
      </c>
      <c r="D5396" s="51">
        <v>63.0</v>
      </c>
      <c r="E5396" s="52" t="s">
        <v>25</v>
      </c>
      <c r="F5396" s="52" t="s">
        <v>26</v>
      </c>
      <c r="G5396" s="53"/>
    </row>
    <row r="5397">
      <c r="A5397" s="49">
        <v>44569.85936104167</v>
      </c>
      <c r="B5397" s="50">
        <v>44569.9843371527</v>
      </c>
      <c r="C5397" s="51">
        <v>1.009</v>
      </c>
      <c r="D5397" s="51">
        <v>63.0</v>
      </c>
      <c r="E5397" s="52" t="s">
        <v>25</v>
      </c>
      <c r="F5397" s="52" t="s">
        <v>26</v>
      </c>
      <c r="G5397" s="53"/>
    </row>
    <row r="5398">
      <c r="A5398" s="49">
        <v>44569.86978166667</v>
      </c>
      <c r="B5398" s="50">
        <v>44569.9947573958</v>
      </c>
      <c r="C5398" s="51">
        <v>1.009</v>
      </c>
      <c r="D5398" s="51">
        <v>63.0</v>
      </c>
      <c r="E5398" s="52" t="s">
        <v>25</v>
      </c>
      <c r="F5398" s="52" t="s">
        <v>26</v>
      </c>
      <c r="G5398" s="53"/>
    </row>
    <row r="5399">
      <c r="A5399" s="49">
        <v>44569.88019398148</v>
      </c>
      <c r="B5399" s="50">
        <v>44570.0051779861</v>
      </c>
      <c r="C5399" s="51">
        <v>1.009</v>
      </c>
      <c r="D5399" s="51">
        <v>64.0</v>
      </c>
      <c r="E5399" s="52" t="s">
        <v>25</v>
      </c>
      <c r="F5399" s="52" t="s">
        <v>26</v>
      </c>
      <c r="G5399" s="53"/>
    </row>
    <row r="5400">
      <c r="A5400" s="49">
        <v>44569.901074548616</v>
      </c>
      <c r="B5400" s="50">
        <v>44570.0260448611</v>
      </c>
      <c r="C5400" s="51">
        <v>1.009</v>
      </c>
      <c r="D5400" s="51">
        <v>65.0</v>
      </c>
      <c r="E5400" s="52" t="s">
        <v>25</v>
      </c>
      <c r="F5400" s="52" t="s">
        <v>26</v>
      </c>
      <c r="G5400" s="53"/>
    </row>
    <row r="5401">
      <c r="A5401" s="49">
        <v>44569.911494988424</v>
      </c>
      <c r="B5401" s="50">
        <v>44570.036466956</v>
      </c>
      <c r="C5401" s="51">
        <v>1.008</v>
      </c>
      <c r="D5401" s="51">
        <v>65.0</v>
      </c>
      <c r="E5401" s="52" t="s">
        <v>25</v>
      </c>
      <c r="F5401" s="52" t="s">
        <v>26</v>
      </c>
      <c r="G5401" s="53"/>
    </row>
    <row r="5402">
      <c r="A5402" s="49">
        <v>44569.92191447917</v>
      </c>
      <c r="B5402" s="50">
        <v>44570.0468886111</v>
      </c>
      <c r="C5402" s="51">
        <v>1.009</v>
      </c>
      <c r="D5402" s="51">
        <v>66.0</v>
      </c>
      <c r="E5402" s="52" t="s">
        <v>25</v>
      </c>
      <c r="F5402" s="52" t="s">
        <v>26</v>
      </c>
      <c r="G5402" s="53"/>
    </row>
    <row r="5403">
      <c r="A5403" s="49">
        <v>44569.932340300926</v>
      </c>
      <c r="B5403" s="50">
        <v>44570.0573103009</v>
      </c>
      <c r="C5403" s="51">
        <v>1.009</v>
      </c>
      <c r="D5403" s="51">
        <v>66.0</v>
      </c>
      <c r="E5403" s="52" t="s">
        <v>25</v>
      </c>
      <c r="F5403" s="52" t="s">
        <v>26</v>
      </c>
      <c r="G5403" s="53"/>
    </row>
    <row r="5404">
      <c r="A5404" s="49">
        <v>44569.94277273148</v>
      </c>
      <c r="B5404" s="50">
        <v>44570.0677433912</v>
      </c>
      <c r="C5404" s="51">
        <v>1.008</v>
      </c>
      <c r="D5404" s="51">
        <v>66.0</v>
      </c>
      <c r="E5404" s="52" t="s">
        <v>25</v>
      </c>
      <c r="F5404" s="52" t="s">
        <v>26</v>
      </c>
      <c r="G5404" s="53"/>
    </row>
    <row r="5405">
      <c r="A5405" s="49">
        <v>44569.95319488426</v>
      </c>
      <c r="B5405" s="50">
        <v>44570.0781643865</v>
      </c>
      <c r="C5405" s="51">
        <v>1.008</v>
      </c>
      <c r="D5405" s="51">
        <v>67.0</v>
      </c>
      <c r="E5405" s="52" t="s">
        <v>25</v>
      </c>
      <c r="F5405" s="52" t="s">
        <v>26</v>
      </c>
      <c r="G5405" s="53"/>
    </row>
    <row r="5406">
      <c r="A5406" s="49">
        <v>44569.963637650464</v>
      </c>
      <c r="B5406" s="50">
        <v>44570.088607662</v>
      </c>
      <c r="C5406" s="51">
        <v>1.008</v>
      </c>
      <c r="D5406" s="51">
        <v>67.0</v>
      </c>
      <c r="E5406" s="52" t="s">
        <v>25</v>
      </c>
      <c r="F5406" s="52" t="s">
        <v>26</v>
      </c>
      <c r="G5406" s="53"/>
    </row>
    <row r="5407">
      <c r="A5407" s="49">
        <v>44569.97406479166</v>
      </c>
      <c r="B5407" s="50">
        <v>44570.0990389814</v>
      </c>
      <c r="C5407" s="51">
        <v>1.008</v>
      </c>
      <c r="D5407" s="51">
        <v>68.0</v>
      </c>
      <c r="E5407" s="52" t="s">
        <v>25</v>
      </c>
      <c r="F5407" s="52" t="s">
        <v>26</v>
      </c>
      <c r="G5407" s="53"/>
    </row>
    <row r="5408">
      <c r="A5408" s="49">
        <v>44569.98453141203</v>
      </c>
      <c r="B5408" s="50">
        <v>44570.1095064236</v>
      </c>
      <c r="C5408" s="51">
        <v>1.008</v>
      </c>
      <c r="D5408" s="51">
        <v>68.0</v>
      </c>
      <c r="E5408" s="52" t="s">
        <v>25</v>
      </c>
      <c r="F5408" s="52" t="s">
        <v>26</v>
      </c>
      <c r="G5408" s="53"/>
    </row>
    <row r="5409">
      <c r="A5409" s="49">
        <v>44569.99495525463</v>
      </c>
      <c r="B5409" s="50">
        <v>44570.1199273148</v>
      </c>
      <c r="C5409" s="51">
        <v>1.008</v>
      </c>
      <c r="D5409" s="51">
        <v>68.0</v>
      </c>
      <c r="E5409" s="52" t="s">
        <v>25</v>
      </c>
      <c r="F5409" s="52" t="s">
        <v>26</v>
      </c>
      <c r="G5409" s="53"/>
    </row>
    <row r="5410">
      <c r="A5410" s="49">
        <v>44570.00540717592</v>
      </c>
      <c r="B5410" s="50">
        <v>44570.1303826273</v>
      </c>
      <c r="C5410" s="51">
        <v>1.008</v>
      </c>
      <c r="D5410" s="51">
        <v>68.0</v>
      </c>
      <c r="E5410" s="52" t="s">
        <v>25</v>
      </c>
      <c r="F5410" s="52" t="s">
        <v>26</v>
      </c>
      <c r="G5410" s="53"/>
    </row>
    <row r="5411">
      <c r="A5411" s="49">
        <v>44570.01583797454</v>
      </c>
      <c r="B5411" s="50">
        <v>44570.1408053703</v>
      </c>
      <c r="C5411" s="51">
        <v>1.008</v>
      </c>
      <c r="D5411" s="51">
        <v>68.0</v>
      </c>
      <c r="E5411" s="52" t="s">
        <v>25</v>
      </c>
      <c r="F5411" s="52" t="s">
        <v>26</v>
      </c>
      <c r="G5411" s="53"/>
    </row>
    <row r="5412">
      <c r="A5412" s="49">
        <v>44570.02625207176</v>
      </c>
      <c r="B5412" s="50">
        <v>44570.1512254398</v>
      </c>
      <c r="C5412" s="51">
        <v>1.008</v>
      </c>
      <c r="D5412" s="51">
        <v>68.0</v>
      </c>
      <c r="E5412" s="52" t="s">
        <v>25</v>
      </c>
      <c r="F5412" s="52" t="s">
        <v>26</v>
      </c>
      <c r="G5412" s="53"/>
    </row>
    <row r="5413">
      <c r="A5413" s="49">
        <v>44570.03667552084</v>
      </c>
      <c r="B5413" s="50">
        <v>44570.1616460995</v>
      </c>
      <c r="C5413" s="51">
        <v>1.008</v>
      </c>
      <c r="D5413" s="51">
        <v>68.0</v>
      </c>
      <c r="E5413" s="52" t="s">
        <v>25</v>
      </c>
      <c r="F5413" s="52" t="s">
        <v>26</v>
      </c>
      <c r="G5413" s="53"/>
    </row>
    <row r="5414">
      <c r="A5414" s="49">
        <v>44570.047098842595</v>
      </c>
      <c r="B5414" s="50">
        <v>44570.1720666782</v>
      </c>
      <c r="C5414" s="51">
        <v>1.008</v>
      </c>
      <c r="D5414" s="51">
        <v>68.0</v>
      </c>
      <c r="E5414" s="52" t="s">
        <v>25</v>
      </c>
      <c r="F5414" s="52" t="s">
        <v>26</v>
      </c>
      <c r="G5414" s="53"/>
    </row>
    <row r="5415">
      <c r="A5415" s="49">
        <v>44570.057513865744</v>
      </c>
      <c r="B5415" s="50">
        <v>44570.1824869212</v>
      </c>
      <c r="C5415" s="51">
        <v>1.008</v>
      </c>
      <c r="D5415" s="51">
        <v>67.0</v>
      </c>
      <c r="E5415" s="52" t="s">
        <v>25</v>
      </c>
      <c r="F5415" s="52" t="s">
        <v>26</v>
      </c>
      <c r="G5415" s="53"/>
    </row>
    <row r="5416">
      <c r="A5416" s="49">
        <v>44570.0679347338</v>
      </c>
      <c r="B5416" s="50">
        <v>44570.1929085069</v>
      </c>
      <c r="C5416" s="51">
        <v>1.008</v>
      </c>
      <c r="D5416" s="51">
        <v>67.0</v>
      </c>
      <c r="E5416" s="52" t="s">
        <v>25</v>
      </c>
      <c r="F5416" s="52" t="s">
        <v>26</v>
      </c>
      <c r="G5416" s="53"/>
    </row>
    <row r="5417">
      <c r="A5417" s="49">
        <v>44570.0783625926</v>
      </c>
      <c r="B5417" s="50">
        <v>44570.203340081</v>
      </c>
      <c r="C5417" s="51">
        <v>1.008</v>
      </c>
      <c r="D5417" s="51">
        <v>68.0</v>
      </c>
      <c r="E5417" s="52" t="s">
        <v>25</v>
      </c>
      <c r="F5417" s="52" t="s">
        <v>26</v>
      </c>
      <c r="G5417" s="53"/>
    </row>
    <row r="5418">
      <c r="A5418" s="49">
        <v>44570.088789490736</v>
      </c>
      <c r="B5418" s="50">
        <v>44570.2137596759</v>
      </c>
      <c r="C5418" s="51">
        <v>1.008</v>
      </c>
      <c r="D5418" s="51">
        <v>67.0</v>
      </c>
      <c r="E5418" s="52" t="s">
        <v>25</v>
      </c>
      <c r="F5418" s="52" t="s">
        <v>26</v>
      </c>
      <c r="G5418" s="53"/>
    </row>
    <row r="5419">
      <c r="A5419" s="49">
        <v>44570.0992087037</v>
      </c>
      <c r="B5419" s="50">
        <v>44570.2241803819</v>
      </c>
      <c r="C5419" s="51">
        <v>1.008</v>
      </c>
      <c r="D5419" s="51">
        <v>67.0</v>
      </c>
      <c r="E5419" s="52" t="s">
        <v>25</v>
      </c>
      <c r="F5419" s="52" t="s">
        <v>26</v>
      </c>
      <c r="G5419" s="53"/>
    </row>
    <row r="5420">
      <c r="A5420" s="49">
        <v>44570.10962658565</v>
      </c>
      <c r="B5420" s="50">
        <v>44570.2346008101</v>
      </c>
      <c r="C5420" s="51">
        <v>1.008</v>
      </c>
      <c r="D5420" s="51">
        <v>67.0</v>
      </c>
      <c r="E5420" s="52" t="s">
        <v>25</v>
      </c>
      <c r="F5420" s="52" t="s">
        <v>26</v>
      </c>
      <c r="G5420" s="53"/>
    </row>
    <row r="5421">
      <c r="A5421" s="49">
        <v>44570.120040497684</v>
      </c>
      <c r="B5421" s="50">
        <v>44570.2450193287</v>
      </c>
      <c r="C5421" s="51">
        <v>1.008</v>
      </c>
      <c r="D5421" s="51">
        <v>67.0</v>
      </c>
      <c r="E5421" s="52" t="s">
        <v>25</v>
      </c>
      <c r="F5421" s="52" t="s">
        <v>26</v>
      </c>
      <c r="G5421" s="53"/>
    </row>
    <row r="5422">
      <c r="A5422" s="49">
        <v>44570.13047653935</v>
      </c>
      <c r="B5422" s="50">
        <v>44570.2554414351</v>
      </c>
      <c r="C5422" s="51">
        <v>1.008</v>
      </c>
      <c r="D5422" s="51">
        <v>67.0</v>
      </c>
      <c r="E5422" s="52" t="s">
        <v>25</v>
      </c>
      <c r="F5422" s="52" t="s">
        <v>26</v>
      </c>
      <c r="G5422" s="53"/>
    </row>
    <row r="5423">
      <c r="A5423" s="49">
        <v>44570.14088903935</v>
      </c>
      <c r="B5423" s="50">
        <v>44570.2658634722</v>
      </c>
      <c r="C5423" s="51">
        <v>1.008</v>
      </c>
      <c r="D5423" s="51">
        <v>67.0</v>
      </c>
      <c r="E5423" s="52" t="s">
        <v>25</v>
      </c>
      <c r="F5423" s="52" t="s">
        <v>26</v>
      </c>
      <c r="G5423" s="53"/>
    </row>
    <row r="5424">
      <c r="A5424" s="49">
        <v>44570.151308078704</v>
      </c>
      <c r="B5424" s="50">
        <v>44570.2762829976</v>
      </c>
      <c r="C5424" s="51">
        <v>1.008</v>
      </c>
      <c r="D5424" s="51">
        <v>67.0</v>
      </c>
      <c r="E5424" s="52" t="s">
        <v>25</v>
      </c>
      <c r="F5424" s="52" t="s">
        <v>26</v>
      </c>
      <c r="G5424" s="53"/>
    </row>
    <row r="5425">
      <c r="A5425" s="49">
        <v>44570.161722060184</v>
      </c>
      <c r="B5425" s="50">
        <v>44570.2867042708</v>
      </c>
      <c r="C5425" s="51">
        <v>1.008</v>
      </c>
      <c r="D5425" s="51">
        <v>67.0</v>
      </c>
      <c r="E5425" s="52" t="s">
        <v>25</v>
      </c>
      <c r="F5425" s="52" t="s">
        <v>26</v>
      </c>
      <c r="G5425" s="53"/>
    </row>
    <row r="5426">
      <c r="A5426" s="49">
        <v>44570.172158726855</v>
      </c>
      <c r="B5426" s="50">
        <v>44570.2971360185</v>
      </c>
      <c r="C5426" s="51">
        <v>1.008</v>
      </c>
      <c r="D5426" s="51">
        <v>67.0</v>
      </c>
      <c r="E5426" s="52" t="s">
        <v>25</v>
      </c>
      <c r="F5426" s="52" t="s">
        <v>26</v>
      </c>
      <c r="G5426" s="53"/>
    </row>
    <row r="5427">
      <c r="A5427" s="49">
        <v>44570.18257883102</v>
      </c>
      <c r="B5427" s="50">
        <v>44570.3075591782</v>
      </c>
      <c r="C5427" s="51">
        <v>1.008</v>
      </c>
      <c r="D5427" s="51">
        <v>67.0</v>
      </c>
      <c r="E5427" s="52" t="s">
        <v>25</v>
      </c>
      <c r="F5427" s="52" t="s">
        <v>26</v>
      </c>
      <c r="G5427" s="53"/>
    </row>
    <row r="5428">
      <c r="A5428" s="49">
        <v>44570.19306550926</v>
      </c>
      <c r="B5428" s="50">
        <v>44570.3180389004</v>
      </c>
      <c r="C5428" s="51">
        <v>1.008</v>
      </c>
      <c r="D5428" s="51">
        <v>67.0</v>
      </c>
      <c r="E5428" s="52" t="s">
        <v>25</v>
      </c>
      <c r="F5428" s="52" t="s">
        <v>26</v>
      </c>
      <c r="G5428" s="53"/>
    </row>
    <row r="5429">
      <c r="A5429" s="49">
        <v>44570.20353621528</v>
      </c>
      <c r="B5429" s="50">
        <v>44570.3285067592</v>
      </c>
      <c r="C5429" s="51">
        <v>1.008</v>
      </c>
      <c r="D5429" s="51">
        <v>67.0</v>
      </c>
      <c r="E5429" s="52" t="s">
        <v>25</v>
      </c>
      <c r="F5429" s="52" t="s">
        <v>26</v>
      </c>
      <c r="G5429" s="53"/>
    </row>
    <row r="5430">
      <c r="A5430" s="49">
        <v>44570.213954189814</v>
      </c>
      <c r="B5430" s="50">
        <v>44570.3389277546</v>
      </c>
      <c r="C5430" s="51">
        <v>1.008</v>
      </c>
      <c r="D5430" s="51">
        <v>67.0</v>
      </c>
      <c r="E5430" s="52" t="s">
        <v>25</v>
      </c>
      <c r="F5430" s="52" t="s">
        <v>26</v>
      </c>
      <c r="G5430" s="53"/>
    </row>
    <row r="5431">
      <c r="A5431" s="49">
        <v>44570.224380196756</v>
      </c>
      <c r="B5431" s="50">
        <v>44570.3493499884</v>
      </c>
      <c r="C5431" s="51">
        <v>1.008</v>
      </c>
      <c r="D5431" s="51">
        <v>67.0</v>
      </c>
      <c r="E5431" s="52" t="s">
        <v>25</v>
      </c>
      <c r="F5431" s="52" t="s">
        <v>26</v>
      </c>
      <c r="G5431" s="53"/>
    </row>
    <row r="5432">
      <c r="A5432" s="49">
        <v>44570.23480081018</v>
      </c>
      <c r="B5432" s="50">
        <v>44570.3597715509</v>
      </c>
      <c r="C5432" s="51">
        <v>1.008</v>
      </c>
      <c r="D5432" s="51">
        <v>67.0</v>
      </c>
      <c r="E5432" s="52" t="s">
        <v>25</v>
      </c>
      <c r="F5432" s="52" t="s">
        <v>26</v>
      </c>
      <c r="G5432" s="53"/>
    </row>
    <row r="5433">
      <c r="A5433" s="49">
        <v>44570.245228009255</v>
      </c>
      <c r="B5433" s="50">
        <v>44570.3702045023</v>
      </c>
      <c r="C5433" s="51">
        <v>1.008</v>
      </c>
      <c r="D5433" s="51">
        <v>67.0</v>
      </c>
      <c r="E5433" s="52" t="s">
        <v>25</v>
      </c>
      <c r="F5433" s="52" t="s">
        <v>26</v>
      </c>
      <c r="G5433" s="53"/>
    </row>
    <row r="5434">
      <c r="A5434" s="49">
        <v>44570.25567652778</v>
      </c>
      <c r="B5434" s="50">
        <v>44570.3806498842</v>
      </c>
      <c r="C5434" s="51">
        <v>1.008</v>
      </c>
      <c r="D5434" s="51">
        <v>67.0</v>
      </c>
      <c r="E5434" s="52" t="s">
        <v>25</v>
      </c>
      <c r="F5434" s="52" t="s">
        <v>26</v>
      </c>
      <c r="G5434" s="53"/>
    </row>
    <row r="5435">
      <c r="A5435" s="49">
        <v>44570.26612475695</v>
      </c>
      <c r="B5435" s="50">
        <v>44570.3911063194</v>
      </c>
      <c r="C5435" s="51">
        <v>1.008</v>
      </c>
      <c r="D5435" s="51">
        <v>67.0</v>
      </c>
      <c r="E5435" s="52" t="s">
        <v>25</v>
      </c>
      <c r="F5435" s="52" t="s">
        <v>26</v>
      </c>
      <c r="G5435" s="53"/>
    </row>
    <row r="5436">
      <c r="A5436" s="49">
        <v>44570.276554745375</v>
      </c>
      <c r="B5436" s="50">
        <v>44570.4015279745</v>
      </c>
      <c r="C5436" s="51">
        <v>1.008</v>
      </c>
      <c r="D5436" s="51">
        <v>67.0</v>
      </c>
      <c r="E5436" s="52" t="s">
        <v>25</v>
      </c>
      <c r="F5436" s="52" t="s">
        <v>26</v>
      </c>
      <c r="G5436" s="53"/>
    </row>
    <row r="5437">
      <c r="A5437" s="49">
        <v>44570.286970092595</v>
      </c>
      <c r="B5437" s="50">
        <v>44570.4119475115</v>
      </c>
      <c r="C5437" s="51">
        <v>1.008</v>
      </c>
      <c r="D5437" s="51">
        <v>67.0</v>
      </c>
      <c r="E5437" s="52" t="s">
        <v>25</v>
      </c>
      <c r="F5437" s="52" t="s">
        <v>26</v>
      </c>
      <c r="G5437" s="53"/>
    </row>
    <row r="5438">
      <c r="A5438" s="49">
        <v>44570.297391203705</v>
      </c>
      <c r="B5438" s="50">
        <v>44570.4223682986</v>
      </c>
      <c r="C5438" s="51">
        <v>1.008</v>
      </c>
      <c r="D5438" s="51">
        <v>67.0</v>
      </c>
      <c r="E5438" s="52" t="s">
        <v>25</v>
      </c>
      <c r="F5438" s="52" t="s">
        <v>26</v>
      </c>
      <c r="G5438" s="53"/>
    </row>
    <row r="5439">
      <c r="A5439" s="49">
        <v>44570.30781445601</v>
      </c>
      <c r="B5439" s="50">
        <v>44570.4327909374</v>
      </c>
      <c r="C5439" s="51">
        <v>1.008</v>
      </c>
      <c r="D5439" s="51">
        <v>67.0</v>
      </c>
      <c r="E5439" s="52" t="s">
        <v>25</v>
      </c>
      <c r="F5439" s="52" t="s">
        <v>26</v>
      </c>
      <c r="G5439" s="53"/>
    </row>
    <row r="5440">
      <c r="A5440" s="49">
        <v>44570.318238472224</v>
      </c>
      <c r="B5440" s="50">
        <v>44570.4432123495</v>
      </c>
      <c r="C5440" s="51">
        <v>1.008</v>
      </c>
      <c r="D5440" s="51">
        <v>67.0</v>
      </c>
      <c r="E5440" s="52" t="s">
        <v>25</v>
      </c>
      <c r="F5440" s="52" t="s">
        <v>26</v>
      </c>
      <c r="G5440" s="53"/>
    </row>
    <row r="5441">
      <c r="A5441" s="49">
        <v>44570.32866733796</v>
      </c>
      <c r="B5441" s="50">
        <v>44570.4536333912</v>
      </c>
      <c r="C5441" s="51">
        <v>1.008</v>
      </c>
      <c r="D5441" s="51">
        <v>67.0</v>
      </c>
      <c r="E5441" s="52" t="s">
        <v>25</v>
      </c>
      <c r="F5441" s="52" t="s">
        <v>26</v>
      </c>
      <c r="G5441" s="53"/>
    </row>
    <row r="5442">
      <c r="A5442" s="49">
        <v>44570.339070925926</v>
      </c>
      <c r="B5442" s="50">
        <v>44570.4640528472</v>
      </c>
      <c r="C5442" s="51">
        <v>1.008</v>
      </c>
      <c r="D5442" s="51">
        <v>66.0</v>
      </c>
      <c r="E5442" s="52" t="s">
        <v>25</v>
      </c>
      <c r="F5442" s="52" t="s">
        <v>26</v>
      </c>
      <c r="G5442" s="53"/>
    </row>
    <row r="5443">
      <c r="A5443" s="49">
        <v>44570.34950806713</v>
      </c>
      <c r="B5443" s="50">
        <v>44570.4744863657</v>
      </c>
      <c r="C5443" s="51">
        <v>1.008</v>
      </c>
      <c r="D5443" s="51">
        <v>66.0</v>
      </c>
      <c r="E5443" s="52" t="s">
        <v>25</v>
      </c>
      <c r="F5443" s="52" t="s">
        <v>26</v>
      </c>
      <c r="G5443" s="53"/>
    </row>
    <row r="5444">
      <c r="A5444" s="49">
        <v>44570.35996065973</v>
      </c>
      <c r="B5444" s="50">
        <v>44570.4849305671</v>
      </c>
      <c r="C5444" s="51">
        <v>1.008</v>
      </c>
      <c r="D5444" s="51">
        <v>66.0</v>
      </c>
      <c r="E5444" s="52" t="s">
        <v>25</v>
      </c>
      <c r="F5444" s="52" t="s">
        <v>26</v>
      </c>
      <c r="G5444" s="53"/>
    </row>
    <row r="5445">
      <c r="A5445" s="49">
        <v>44570.37038028935</v>
      </c>
      <c r="B5445" s="50">
        <v>44570.4953518171</v>
      </c>
      <c r="C5445" s="51">
        <v>1.008</v>
      </c>
      <c r="D5445" s="51">
        <v>66.0</v>
      </c>
      <c r="E5445" s="52" t="s">
        <v>25</v>
      </c>
      <c r="F5445" s="52" t="s">
        <v>26</v>
      </c>
      <c r="G5445" s="53"/>
    </row>
    <row r="5446">
      <c r="A5446" s="49">
        <v>44570.38079833333</v>
      </c>
      <c r="B5446" s="50">
        <v>44570.505770949</v>
      </c>
      <c r="C5446" s="51">
        <v>1.008</v>
      </c>
      <c r="D5446" s="51">
        <v>66.0</v>
      </c>
      <c r="E5446" s="52" t="s">
        <v>25</v>
      </c>
      <c r="F5446" s="52" t="s">
        <v>26</v>
      </c>
      <c r="G5446" s="53"/>
    </row>
    <row r="5447">
      <c r="A5447" s="49">
        <v>44570.39122659722</v>
      </c>
      <c r="B5447" s="50">
        <v>44570.5162060763</v>
      </c>
      <c r="C5447" s="51">
        <v>1.008</v>
      </c>
      <c r="D5447" s="51">
        <v>66.0</v>
      </c>
      <c r="E5447" s="52" t="s">
        <v>25</v>
      </c>
      <c r="F5447" s="52" t="s">
        <v>26</v>
      </c>
      <c r="G5447" s="53"/>
    </row>
    <row r="5448">
      <c r="A5448" s="49">
        <v>44570.40165570602</v>
      </c>
      <c r="B5448" s="50">
        <v>44570.5266262962</v>
      </c>
      <c r="C5448" s="51">
        <v>1.008</v>
      </c>
      <c r="D5448" s="51">
        <v>66.0</v>
      </c>
      <c r="E5448" s="52" t="s">
        <v>25</v>
      </c>
      <c r="F5448" s="52" t="s">
        <v>26</v>
      </c>
      <c r="G5448" s="53"/>
    </row>
    <row r="5449">
      <c r="A5449" s="49">
        <v>44570.412104918985</v>
      </c>
      <c r="B5449" s="50">
        <v>44570.5370813078</v>
      </c>
      <c r="C5449" s="51">
        <v>1.008</v>
      </c>
      <c r="D5449" s="51">
        <v>66.0</v>
      </c>
      <c r="E5449" s="52" t="s">
        <v>25</v>
      </c>
      <c r="F5449" s="52" t="s">
        <v>26</v>
      </c>
      <c r="G5449" s="53"/>
    </row>
    <row r="5450">
      <c r="A5450" s="49">
        <v>44570.42252957176</v>
      </c>
      <c r="B5450" s="50">
        <v>44570.5475137384</v>
      </c>
      <c r="C5450" s="51">
        <v>1.008</v>
      </c>
      <c r="D5450" s="51">
        <v>66.0</v>
      </c>
      <c r="E5450" s="52" t="s">
        <v>25</v>
      </c>
      <c r="F5450" s="52" t="s">
        <v>26</v>
      </c>
      <c r="G5450" s="53"/>
    </row>
    <row r="5451">
      <c r="A5451" s="49">
        <v>44570.43296369213</v>
      </c>
      <c r="B5451" s="50">
        <v>44570.5579343865</v>
      </c>
      <c r="C5451" s="51">
        <v>1.008</v>
      </c>
      <c r="D5451" s="51">
        <v>66.0</v>
      </c>
      <c r="E5451" s="52" t="s">
        <v>25</v>
      </c>
      <c r="F5451" s="52" t="s">
        <v>26</v>
      </c>
      <c r="G5451" s="53"/>
    </row>
    <row r="5452">
      <c r="A5452" s="49">
        <v>44570.44337407408</v>
      </c>
      <c r="B5452" s="50">
        <v>44570.5683557754</v>
      </c>
      <c r="C5452" s="51">
        <v>1.008</v>
      </c>
      <c r="D5452" s="51">
        <v>66.0</v>
      </c>
      <c r="E5452" s="52" t="s">
        <v>25</v>
      </c>
      <c r="F5452" s="52" t="s">
        <v>26</v>
      </c>
      <c r="G5452" s="53"/>
    </row>
    <row r="5453">
      <c r="A5453" s="49">
        <v>44570.45382027778</v>
      </c>
      <c r="B5453" s="50">
        <v>44570.5788003587</v>
      </c>
      <c r="C5453" s="51">
        <v>1.008</v>
      </c>
      <c r="D5453" s="51">
        <v>66.0</v>
      </c>
      <c r="E5453" s="52" t="s">
        <v>25</v>
      </c>
      <c r="F5453" s="52" t="s">
        <v>26</v>
      </c>
      <c r="G5453" s="53"/>
    </row>
    <row r="5454">
      <c r="A5454" s="49">
        <v>44570.464243344904</v>
      </c>
      <c r="B5454" s="50">
        <v>44570.5892218402</v>
      </c>
      <c r="C5454" s="51">
        <v>1.008</v>
      </c>
      <c r="D5454" s="51">
        <v>66.0</v>
      </c>
      <c r="E5454" s="52" t="s">
        <v>25</v>
      </c>
      <c r="F5454" s="52" t="s">
        <v>26</v>
      </c>
      <c r="G5454" s="53"/>
    </row>
    <row r="5455">
      <c r="A5455" s="49">
        <v>44570.4746795949</v>
      </c>
      <c r="B5455" s="50">
        <v>44570.5996541319</v>
      </c>
      <c r="C5455" s="51">
        <v>1.008</v>
      </c>
      <c r="D5455" s="51">
        <v>66.0</v>
      </c>
      <c r="E5455" s="52" t="s">
        <v>25</v>
      </c>
      <c r="F5455" s="52" t="s">
        <v>26</v>
      </c>
      <c r="G5455" s="53"/>
    </row>
    <row r="5456">
      <c r="A5456" s="49">
        <v>44570.48509996528</v>
      </c>
      <c r="B5456" s="50">
        <v>44570.610076875</v>
      </c>
      <c r="C5456" s="51">
        <v>1.008</v>
      </c>
      <c r="D5456" s="51">
        <v>66.0</v>
      </c>
      <c r="E5456" s="52" t="s">
        <v>25</v>
      </c>
      <c r="F5456" s="52" t="s">
        <v>26</v>
      </c>
      <c r="G5456" s="53"/>
    </row>
    <row r="5457">
      <c r="A5457" s="49">
        <v>44570.49552939815</v>
      </c>
      <c r="B5457" s="50">
        <v>44570.620510324</v>
      </c>
      <c r="C5457" s="51">
        <v>1.008</v>
      </c>
      <c r="D5457" s="51">
        <v>66.0</v>
      </c>
      <c r="E5457" s="52" t="s">
        <v>25</v>
      </c>
      <c r="F5457" s="52" t="s">
        <v>26</v>
      </c>
      <c r="G5457" s="53"/>
    </row>
    <row r="5458">
      <c r="A5458" s="49">
        <v>44570.50595824074</v>
      </c>
      <c r="B5458" s="50">
        <v>44570.6309329976</v>
      </c>
      <c r="C5458" s="51">
        <v>1.009</v>
      </c>
      <c r="D5458" s="51">
        <v>66.0</v>
      </c>
      <c r="E5458" s="52" t="s">
        <v>25</v>
      </c>
      <c r="F5458" s="52" t="s">
        <v>26</v>
      </c>
      <c r="G5458" s="53"/>
    </row>
    <row r="5459">
      <c r="A5459" s="49">
        <v>44570.51637641204</v>
      </c>
      <c r="B5459" s="50">
        <v>44570.6413552546</v>
      </c>
      <c r="C5459" s="51">
        <v>1.008</v>
      </c>
      <c r="D5459" s="51">
        <v>66.0</v>
      </c>
      <c r="E5459" s="52" t="s">
        <v>25</v>
      </c>
      <c r="F5459" s="52" t="s">
        <v>26</v>
      </c>
      <c r="G5459" s="53"/>
    </row>
    <row r="5460">
      <c r="A5460" s="49">
        <v>44570.52679336806</v>
      </c>
      <c r="B5460" s="50">
        <v>44570.6517761226</v>
      </c>
      <c r="C5460" s="51">
        <v>1.008</v>
      </c>
      <c r="D5460" s="51">
        <v>66.0</v>
      </c>
      <c r="E5460" s="52" t="s">
        <v>25</v>
      </c>
      <c r="F5460" s="52" t="s">
        <v>26</v>
      </c>
      <c r="G5460" s="53"/>
    </row>
    <row r="5461">
      <c r="A5461" s="49">
        <v>44570.53721384259</v>
      </c>
      <c r="B5461" s="50">
        <v>44570.6621960069</v>
      </c>
      <c r="C5461" s="51">
        <v>1.008</v>
      </c>
      <c r="D5461" s="51">
        <v>66.0</v>
      </c>
      <c r="E5461" s="52" t="s">
        <v>25</v>
      </c>
      <c r="F5461" s="52" t="s">
        <v>26</v>
      </c>
      <c r="G5461" s="53"/>
    </row>
    <row r="5462">
      <c r="A5462" s="49">
        <v>44570.54766489583</v>
      </c>
      <c r="B5462" s="50">
        <v>44570.6726420254</v>
      </c>
      <c r="C5462" s="51">
        <v>1.009</v>
      </c>
      <c r="D5462" s="51">
        <v>66.0</v>
      </c>
      <c r="E5462" s="52" t="s">
        <v>25</v>
      </c>
      <c r="F5462" s="52" t="s">
        <v>26</v>
      </c>
      <c r="G5462" s="53"/>
    </row>
    <row r="5463">
      <c r="A5463" s="49">
        <v>44570.55808523148</v>
      </c>
      <c r="B5463" s="50">
        <v>44570.6830653472</v>
      </c>
      <c r="C5463" s="51">
        <v>1.008</v>
      </c>
      <c r="D5463" s="51">
        <v>66.0</v>
      </c>
      <c r="E5463" s="52" t="s">
        <v>25</v>
      </c>
      <c r="F5463" s="52" t="s">
        <v>26</v>
      </c>
      <c r="G5463" s="53"/>
    </row>
    <row r="5464">
      <c r="A5464" s="49">
        <v>44570.568504282404</v>
      </c>
      <c r="B5464" s="50">
        <v>44570.6934852314</v>
      </c>
      <c r="C5464" s="51">
        <v>1.008</v>
      </c>
      <c r="D5464" s="51">
        <v>66.0</v>
      </c>
      <c r="E5464" s="52" t="s">
        <v>25</v>
      </c>
      <c r="F5464" s="52" t="s">
        <v>26</v>
      </c>
      <c r="G5464" s="53"/>
    </row>
    <row r="5465">
      <c r="A5465" s="49">
        <v>44570.57892475695</v>
      </c>
      <c r="B5465" s="50">
        <v>44570.7039061921</v>
      </c>
      <c r="C5465" s="51">
        <v>1.008</v>
      </c>
      <c r="D5465" s="51">
        <v>66.0</v>
      </c>
      <c r="E5465" s="52" t="s">
        <v>25</v>
      </c>
      <c r="F5465" s="52" t="s">
        <v>26</v>
      </c>
      <c r="G5465" s="53"/>
    </row>
    <row r="5466">
      <c r="A5466" s="49">
        <v>44570.58934677084</v>
      </c>
      <c r="B5466" s="50">
        <v>44570.7143284837</v>
      </c>
      <c r="C5466" s="51">
        <v>1.008</v>
      </c>
      <c r="D5466" s="51">
        <v>66.0</v>
      </c>
      <c r="E5466" s="52" t="s">
        <v>25</v>
      </c>
      <c r="F5466" s="52" t="s">
        <v>26</v>
      </c>
      <c r="G5466" s="53"/>
    </row>
    <row r="5467">
      <c r="A5467" s="49">
        <v>44570.59977158565</v>
      </c>
      <c r="B5467" s="50">
        <v>44570.7247479976</v>
      </c>
      <c r="C5467" s="51">
        <v>1.008</v>
      </c>
      <c r="D5467" s="51">
        <v>66.0</v>
      </c>
      <c r="E5467" s="52" t="s">
        <v>25</v>
      </c>
      <c r="F5467" s="52" t="s">
        <v>26</v>
      </c>
      <c r="G5467" s="53"/>
    </row>
    <row r="5468">
      <c r="A5468" s="49">
        <v>44570.61019075231</v>
      </c>
      <c r="B5468" s="50">
        <v>44570.7351707523</v>
      </c>
      <c r="C5468" s="51">
        <v>1.008</v>
      </c>
      <c r="D5468" s="51">
        <v>66.0</v>
      </c>
      <c r="E5468" s="52" t="s">
        <v>25</v>
      </c>
      <c r="F5468" s="52" t="s">
        <v>26</v>
      </c>
      <c r="G5468" s="53"/>
    </row>
    <row r="5469">
      <c r="A5469" s="49">
        <v>44570.620628159726</v>
      </c>
      <c r="B5469" s="50">
        <v>44570.7456044907</v>
      </c>
      <c r="C5469" s="51">
        <v>1.008</v>
      </c>
      <c r="D5469" s="51">
        <v>66.0</v>
      </c>
      <c r="E5469" s="52" t="s">
        <v>25</v>
      </c>
      <c r="F5469" s="52" t="s">
        <v>26</v>
      </c>
      <c r="G5469" s="53"/>
    </row>
    <row r="5470">
      <c r="A5470" s="49">
        <v>44570.6310597338</v>
      </c>
      <c r="B5470" s="50">
        <v>44570.7560351736</v>
      </c>
      <c r="C5470" s="51">
        <v>1.008</v>
      </c>
      <c r="D5470" s="51">
        <v>66.0</v>
      </c>
      <c r="E5470" s="52" t="s">
        <v>25</v>
      </c>
      <c r="F5470" s="52" t="s">
        <v>26</v>
      </c>
      <c r="G5470" s="53"/>
    </row>
    <row r="5471">
      <c r="A5471" s="49">
        <v>44570.64149436343</v>
      </c>
      <c r="B5471" s="50">
        <v>44570.7664705671</v>
      </c>
      <c r="C5471" s="51">
        <v>1.008</v>
      </c>
      <c r="D5471" s="51">
        <v>66.0</v>
      </c>
      <c r="E5471" s="52" t="s">
        <v>25</v>
      </c>
      <c r="F5471" s="52" t="s">
        <v>26</v>
      </c>
      <c r="G5471" s="53"/>
    </row>
    <row r="5472">
      <c r="A5472" s="49">
        <v>44570.65191901621</v>
      </c>
      <c r="B5472" s="50">
        <v>44570.7768928009</v>
      </c>
      <c r="C5472" s="51">
        <v>1.008</v>
      </c>
      <c r="D5472" s="51">
        <v>66.0</v>
      </c>
      <c r="E5472" s="52" t="s">
        <v>25</v>
      </c>
      <c r="F5472" s="52" t="s">
        <v>26</v>
      </c>
      <c r="G5472" s="53"/>
    </row>
    <row r="5473">
      <c r="A5473" s="49">
        <v>44570.6623344213</v>
      </c>
      <c r="B5473" s="50">
        <v>44570.787313125</v>
      </c>
      <c r="C5473" s="51">
        <v>1.008</v>
      </c>
      <c r="D5473" s="51">
        <v>66.0</v>
      </c>
      <c r="E5473" s="52" t="s">
        <v>25</v>
      </c>
      <c r="F5473" s="52" t="s">
        <v>26</v>
      </c>
      <c r="G5473" s="53"/>
    </row>
    <row r="5474">
      <c r="A5474" s="49">
        <v>44570.67275025463</v>
      </c>
      <c r="B5474" s="50">
        <v>44570.7977332291</v>
      </c>
      <c r="C5474" s="51">
        <v>1.008</v>
      </c>
      <c r="D5474" s="51">
        <v>66.0</v>
      </c>
      <c r="E5474" s="52" t="s">
        <v>25</v>
      </c>
      <c r="F5474" s="52" t="s">
        <v>26</v>
      </c>
      <c r="G5474" s="53"/>
    </row>
    <row r="5475">
      <c r="A5475" s="49">
        <v>44570.683195543985</v>
      </c>
      <c r="B5475" s="50">
        <v>44570.8081666203</v>
      </c>
      <c r="C5475" s="51">
        <v>1.008</v>
      </c>
      <c r="D5475" s="51">
        <v>65.0</v>
      </c>
      <c r="E5475" s="52" t="s">
        <v>25</v>
      </c>
      <c r="F5475" s="52" t="s">
        <v>26</v>
      </c>
      <c r="G5475" s="53"/>
    </row>
    <row r="5476">
      <c r="A5476" s="49">
        <v>44570.6936115625</v>
      </c>
      <c r="B5476" s="50">
        <v>44570.8185880324</v>
      </c>
      <c r="C5476" s="51">
        <v>1.008</v>
      </c>
      <c r="D5476" s="51">
        <v>65.0</v>
      </c>
      <c r="E5476" s="52" t="s">
        <v>25</v>
      </c>
      <c r="F5476" s="52" t="s">
        <v>26</v>
      </c>
      <c r="G5476" s="53"/>
    </row>
    <row r="5477">
      <c r="A5477" s="49">
        <v>44570.70405649305</v>
      </c>
      <c r="B5477" s="50">
        <v>44570.8290330671</v>
      </c>
      <c r="C5477" s="51">
        <v>1.008</v>
      </c>
      <c r="D5477" s="51">
        <v>65.0</v>
      </c>
      <c r="E5477" s="52" t="s">
        <v>25</v>
      </c>
      <c r="F5477" s="52" t="s">
        <v>26</v>
      </c>
      <c r="G5477" s="53"/>
    </row>
    <row r="5478">
      <c r="A5478" s="49">
        <v>44570.714495532404</v>
      </c>
      <c r="B5478" s="50">
        <v>44570.8394546064</v>
      </c>
      <c r="C5478" s="51">
        <v>1.008</v>
      </c>
      <c r="D5478" s="51">
        <v>65.0</v>
      </c>
      <c r="E5478" s="52" t="s">
        <v>25</v>
      </c>
      <c r="F5478" s="52" t="s">
        <v>26</v>
      </c>
      <c r="G5478" s="53"/>
    </row>
    <row r="5479">
      <c r="A5479" s="49">
        <v>44570.72491106481</v>
      </c>
      <c r="B5479" s="50">
        <v>44570.8498859837</v>
      </c>
      <c r="C5479" s="51">
        <v>1.008</v>
      </c>
      <c r="D5479" s="51">
        <v>65.0</v>
      </c>
      <c r="E5479" s="52" t="s">
        <v>25</v>
      </c>
      <c r="F5479" s="52" t="s">
        <v>26</v>
      </c>
      <c r="G5479" s="53"/>
    </row>
    <row r="5480">
      <c r="A5480" s="49">
        <v>44570.735343148146</v>
      </c>
      <c r="B5480" s="50">
        <v>44570.8603184143</v>
      </c>
      <c r="C5480" s="51">
        <v>1.008</v>
      </c>
      <c r="D5480" s="51">
        <v>65.0</v>
      </c>
      <c r="E5480" s="52" t="s">
        <v>25</v>
      </c>
      <c r="F5480" s="52" t="s">
        <v>26</v>
      </c>
      <c r="G5480" s="53"/>
    </row>
    <row r="5481">
      <c r="A5481" s="49">
        <v>44570.745792534726</v>
      </c>
      <c r="B5481" s="50">
        <v>44570.8707641666</v>
      </c>
      <c r="C5481" s="51">
        <v>1.008</v>
      </c>
      <c r="D5481" s="51">
        <v>65.0</v>
      </c>
      <c r="E5481" s="52" t="s">
        <v>25</v>
      </c>
      <c r="F5481" s="52" t="s">
        <v>26</v>
      </c>
      <c r="G5481" s="53"/>
    </row>
    <row r="5482">
      <c r="A5482" s="49">
        <v>44570.75621424768</v>
      </c>
      <c r="B5482" s="50">
        <v>44570.881187199</v>
      </c>
      <c r="C5482" s="51">
        <v>1.008</v>
      </c>
      <c r="D5482" s="51">
        <v>65.0</v>
      </c>
      <c r="E5482" s="52" t="s">
        <v>25</v>
      </c>
      <c r="F5482" s="52" t="s">
        <v>26</v>
      </c>
      <c r="G5482" s="53"/>
    </row>
    <row r="5483">
      <c r="A5483" s="49">
        <v>44570.76663924768</v>
      </c>
      <c r="B5483" s="50">
        <v>44570.8916203356</v>
      </c>
      <c r="C5483" s="51">
        <v>1.008</v>
      </c>
      <c r="D5483" s="51">
        <v>65.0</v>
      </c>
      <c r="E5483" s="52" t="s">
        <v>25</v>
      </c>
      <c r="F5483" s="52" t="s">
        <v>26</v>
      </c>
      <c r="G5483" s="53"/>
    </row>
    <row r="5484">
      <c r="A5484" s="49">
        <v>44570.77709076389</v>
      </c>
      <c r="B5484" s="50">
        <v>44570.9020656597</v>
      </c>
      <c r="C5484" s="51">
        <v>1.008</v>
      </c>
      <c r="D5484" s="51">
        <v>65.0</v>
      </c>
      <c r="E5484" s="52" t="s">
        <v>25</v>
      </c>
      <c r="F5484" s="52" t="s">
        <v>26</v>
      </c>
      <c r="G5484" s="53"/>
    </row>
    <row r="5485">
      <c r="A5485" s="49">
        <v>44570.78752138889</v>
      </c>
      <c r="B5485" s="50">
        <v>44570.9124988657</v>
      </c>
      <c r="C5485" s="51">
        <v>1.008</v>
      </c>
      <c r="D5485" s="51">
        <v>65.0</v>
      </c>
      <c r="E5485" s="52" t="s">
        <v>25</v>
      </c>
      <c r="F5485" s="52" t="s">
        <v>26</v>
      </c>
      <c r="G5485" s="53"/>
    </row>
    <row r="5486">
      <c r="A5486" s="49">
        <v>44570.797944606486</v>
      </c>
      <c r="B5486" s="50">
        <v>44570.9229191087</v>
      </c>
      <c r="C5486" s="51">
        <v>1.008</v>
      </c>
      <c r="D5486" s="51">
        <v>65.0</v>
      </c>
      <c r="E5486" s="52" t="s">
        <v>25</v>
      </c>
      <c r="F5486" s="52" t="s">
        <v>26</v>
      </c>
      <c r="G5486" s="53"/>
    </row>
    <row r="5487">
      <c r="A5487" s="49">
        <v>44570.808366956015</v>
      </c>
      <c r="B5487" s="50">
        <v>44570.9333409953</v>
      </c>
      <c r="C5487" s="51">
        <v>1.008</v>
      </c>
      <c r="D5487" s="51">
        <v>65.0</v>
      </c>
      <c r="E5487" s="52" t="s">
        <v>25</v>
      </c>
      <c r="F5487" s="52" t="s">
        <v>26</v>
      </c>
      <c r="G5487" s="53"/>
    </row>
    <row r="5488">
      <c r="A5488" s="49">
        <v>44570.81878018519</v>
      </c>
      <c r="B5488" s="50">
        <v>44570.9437637268</v>
      </c>
      <c r="C5488" s="51">
        <v>1.008</v>
      </c>
      <c r="D5488" s="51">
        <v>65.0</v>
      </c>
      <c r="E5488" s="52" t="s">
        <v>25</v>
      </c>
      <c r="F5488" s="52" t="s">
        <v>26</v>
      </c>
      <c r="G5488" s="53"/>
    </row>
    <row r="5489">
      <c r="A5489" s="49">
        <v>44570.82920403936</v>
      </c>
      <c r="B5489" s="50">
        <v>44570.9541846643</v>
      </c>
      <c r="C5489" s="51">
        <v>1.008</v>
      </c>
      <c r="D5489" s="51">
        <v>65.0</v>
      </c>
      <c r="E5489" s="52" t="s">
        <v>25</v>
      </c>
      <c r="F5489" s="52" t="s">
        <v>26</v>
      </c>
      <c r="G5489" s="53"/>
    </row>
    <row r="5490">
      <c r="A5490" s="49">
        <v>44570.839628912036</v>
      </c>
      <c r="B5490" s="50">
        <v>44570.9646056828</v>
      </c>
      <c r="C5490" s="51">
        <v>1.008</v>
      </c>
      <c r="D5490" s="51">
        <v>65.0</v>
      </c>
      <c r="E5490" s="52" t="s">
        <v>25</v>
      </c>
      <c r="F5490" s="52" t="s">
        <v>26</v>
      </c>
      <c r="G5490" s="53"/>
    </row>
    <row r="5491">
      <c r="A5491" s="49">
        <v>44570.85005521991</v>
      </c>
      <c r="B5491" s="50">
        <v>44570.9750262615</v>
      </c>
      <c r="C5491" s="51">
        <v>1.008</v>
      </c>
      <c r="D5491" s="51">
        <v>65.0</v>
      </c>
      <c r="E5491" s="52" t="s">
        <v>25</v>
      </c>
      <c r="F5491" s="52" t="s">
        <v>26</v>
      </c>
      <c r="G5491" s="53"/>
    </row>
    <row r="5492">
      <c r="A5492" s="49">
        <v>44570.86047324074</v>
      </c>
      <c r="B5492" s="50">
        <v>44570.9854453935</v>
      </c>
      <c r="C5492" s="51">
        <v>1.008</v>
      </c>
      <c r="D5492" s="51">
        <v>65.0</v>
      </c>
      <c r="E5492" s="52" t="s">
        <v>25</v>
      </c>
      <c r="F5492" s="52" t="s">
        <v>26</v>
      </c>
      <c r="G5492" s="53"/>
    </row>
    <row r="5493">
      <c r="A5493" s="49">
        <v>44570.870884641205</v>
      </c>
      <c r="B5493" s="50">
        <v>44570.9958676157</v>
      </c>
      <c r="C5493" s="51">
        <v>1.008</v>
      </c>
      <c r="D5493" s="51">
        <v>65.0</v>
      </c>
      <c r="E5493" s="52" t="s">
        <v>25</v>
      </c>
      <c r="F5493" s="52" t="s">
        <v>26</v>
      </c>
      <c r="G5493" s="53"/>
    </row>
    <row r="5494">
      <c r="A5494" s="49">
        <v>44570.881309131946</v>
      </c>
      <c r="B5494" s="50">
        <v>44571.0062903587</v>
      </c>
      <c r="C5494" s="51">
        <v>1.008</v>
      </c>
      <c r="D5494" s="51">
        <v>65.0</v>
      </c>
      <c r="E5494" s="52" t="s">
        <v>25</v>
      </c>
      <c r="F5494" s="52" t="s">
        <v>26</v>
      </c>
      <c r="G5494" s="53"/>
    </row>
    <row r="5495">
      <c r="A5495" s="49">
        <v>44570.89173693287</v>
      </c>
      <c r="B5495" s="50">
        <v>44571.0167128703</v>
      </c>
      <c r="C5495" s="51">
        <v>1.008</v>
      </c>
      <c r="D5495" s="51">
        <v>65.0</v>
      </c>
      <c r="E5495" s="52" t="s">
        <v>25</v>
      </c>
      <c r="F5495" s="52" t="s">
        <v>26</v>
      </c>
      <c r="G5495" s="53"/>
    </row>
    <row r="5496">
      <c r="A5496" s="49">
        <v>44570.902161805556</v>
      </c>
      <c r="B5496" s="50">
        <v>44571.0271339236</v>
      </c>
      <c r="C5496" s="51">
        <v>1.008</v>
      </c>
      <c r="D5496" s="51">
        <v>65.0</v>
      </c>
      <c r="E5496" s="52" t="s">
        <v>25</v>
      </c>
      <c r="F5496" s="52" t="s">
        <v>26</v>
      </c>
      <c r="G5496" s="53"/>
    </row>
    <row r="5497">
      <c r="A5497" s="49">
        <v>44570.91259917824</v>
      </c>
      <c r="B5497" s="50">
        <v>44571.037576493</v>
      </c>
      <c r="C5497" s="51">
        <v>1.008</v>
      </c>
      <c r="D5497" s="51">
        <v>65.0</v>
      </c>
      <c r="E5497" s="52" t="s">
        <v>25</v>
      </c>
      <c r="F5497" s="52" t="s">
        <v>26</v>
      </c>
      <c r="G5497" s="53"/>
    </row>
    <row r="5498">
      <c r="A5498" s="49">
        <v>44570.92302295139</v>
      </c>
      <c r="B5498" s="50">
        <v>44571.0480003819</v>
      </c>
      <c r="C5498" s="51">
        <v>1.008</v>
      </c>
      <c r="D5498" s="51">
        <v>65.0</v>
      </c>
      <c r="E5498" s="52" t="s">
        <v>25</v>
      </c>
      <c r="F5498" s="52" t="s">
        <v>26</v>
      </c>
      <c r="G5498" s="53"/>
    </row>
    <row r="5499">
      <c r="A5499" s="49">
        <v>44570.93343846065</v>
      </c>
      <c r="B5499" s="50">
        <v>44571.0584219097</v>
      </c>
      <c r="C5499" s="51">
        <v>1.008</v>
      </c>
      <c r="D5499" s="51">
        <v>65.0</v>
      </c>
      <c r="E5499" s="52" t="s">
        <v>25</v>
      </c>
      <c r="F5499" s="52" t="s">
        <v>26</v>
      </c>
      <c r="G5499" s="53"/>
    </row>
    <row r="5500">
      <c r="A5500" s="49">
        <v>44570.94386297454</v>
      </c>
      <c r="B5500" s="50">
        <v>44571.0688439236</v>
      </c>
      <c r="C5500" s="51">
        <v>1.008</v>
      </c>
      <c r="D5500" s="51">
        <v>65.0</v>
      </c>
      <c r="E5500" s="52" t="s">
        <v>25</v>
      </c>
      <c r="F5500" s="52" t="s">
        <v>26</v>
      </c>
      <c r="G5500" s="53"/>
    </row>
    <row r="5501">
      <c r="A5501" s="49">
        <v>44570.95428252315</v>
      </c>
      <c r="B5501" s="50">
        <v>44571.0792649189</v>
      </c>
      <c r="C5501" s="51">
        <v>1.008</v>
      </c>
      <c r="D5501" s="51">
        <v>65.0</v>
      </c>
      <c r="E5501" s="52" t="s">
        <v>25</v>
      </c>
      <c r="F5501" s="52" t="s">
        <v>26</v>
      </c>
      <c r="G5501" s="53"/>
    </row>
    <row r="5502">
      <c r="A5502" s="49">
        <v>44570.96471675926</v>
      </c>
      <c r="B5502" s="50">
        <v>44571.0896862731</v>
      </c>
      <c r="C5502" s="51">
        <v>1.008</v>
      </c>
      <c r="D5502" s="51">
        <v>65.0</v>
      </c>
      <c r="E5502" s="52" t="s">
        <v>25</v>
      </c>
      <c r="F5502" s="52" t="s">
        <v>26</v>
      </c>
      <c r="G5502" s="53"/>
    </row>
    <row r="5503">
      <c r="A5503" s="49">
        <v>44570.97513060185</v>
      </c>
      <c r="B5503" s="50">
        <v>44571.1001084838</v>
      </c>
      <c r="C5503" s="51">
        <v>1.008</v>
      </c>
      <c r="D5503" s="51">
        <v>65.0</v>
      </c>
      <c r="E5503" s="52" t="s">
        <v>25</v>
      </c>
      <c r="F5503" s="52" t="s">
        <v>26</v>
      </c>
      <c r="G5503" s="53"/>
    </row>
    <row r="5504">
      <c r="A5504" s="49">
        <v>44570.9855665162</v>
      </c>
      <c r="B5504" s="50">
        <v>44571.1105427662</v>
      </c>
      <c r="C5504" s="51">
        <v>1.008</v>
      </c>
      <c r="D5504" s="51">
        <v>65.0</v>
      </c>
      <c r="E5504" s="52" t="s">
        <v>25</v>
      </c>
      <c r="F5504" s="52" t="s">
        <v>26</v>
      </c>
      <c r="G5504" s="53"/>
    </row>
    <row r="5505">
      <c r="A5505" s="49">
        <v>44570.995998819446</v>
      </c>
      <c r="B5505" s="50">
        <v>44571.12097625</v>
      </c>
      <c r="C5505" s="51">
        <v>1.008</v>
      </c>
      <c r="D5505" s="51">
        <v>65.0</v>
      </c>
      <c r="E5505" s="52" t="s">
        <v>25</v>
      </c>
      <c r="F5505" s="52" t="s">
        <v>26</v>
      </c>
      <c r="G5505" s="53"/>
    </row>
    <row r="5506">
      <c r="A5506" s="49">
        <v>44571.006440937505</v>
      </c>
      <c r="B5506" s="50">
        <v>44571.1314202083</v>
      </c>
      <c r="C5506" s="51">
        <v>1.008</v>
      </c>
      <c r="D5506" s="51">
        <v>65.0</v>
      </c>
      <c r="E5506" s="52" t="s">
        <v>25</v>
      </c>
      <c r="F5506" s="52" t="s">
        <v>26</v>
      </c>
      <c r="G5506" s="53"/>
    </row>
    <row r="5507">
      <c r="A5507" s="49">
        <v>44571.01687233796</v>
      </c>
      <c r="B5507" s="50">
        <v>44571.1418538657</v>
      </c>
      <c r="C5507" s="51">
        <v>1.008</v>
      </c>
      <c r="D5507" s="51">
        <v>65.0</v>
      </c>
      <c r="E5507" s="52" t="s">
        <v>25</v>
      </c>
      <c r="F5507" s="52" t="s">
        <v>26</v>
      </c>
      <c r="G5507" s="53"/>
    </row>
    <row r="5508">
      <c r="A5508" s="49">
        <v>44571.027306435186</v>
      </c>
      <c r="B5508" s="50">
        <v>44571.1522751388</v>
      </c>
      <c r="C5508" s="51">
        <v>1.008</v>
      </c>
      <c r="D5508" s="51">
        <v>65.0</v>
      </c>
      <c r="E5508" s="52" t="s">
        <v>25</v>
      </c>
      <c r="F5508" s="52" t="s">
        <v>26</v>
      </c>
      <c r="G5508" s="53"/>
    </row>
    <row r="5509">
      <c r="A5509" s="49">
        <v>44571.037760879626</v>
      </c>
      <c r="B5509" s="50">
        <v>44571.1627206597</v>
      </c>
      <c r="C5509" s="51">
        <v>1.008</v>
      </c>
      <c r="D5509" s="51">
        <v>65.0</v>
      </c>
      <c r="E5509" s="52" t="s">
        <v>25</v>
      </c>
      <c r="F5509" s="52" t="s">
        <v>26</v>
      </c>
      <c r="G5509" s="53"/>
    </row>
    <row r="5510">
      <c r="A5510" s="49">
        <v>44571.04817255787</v>
      </c>
      <c r="B5510" s="50">
        <v>44571.1731438194</v>
      </c>
      <c r="C5510" s="51">
        <v>1.008</v>
      </c>
      <c r="D5510" s="51">
        <v>65.0</v>
      </c>
      <c r="E5510" s="52" t="s">
        <v>25</v>
      </c>
      <c r="F5510" s="52" t="s">
        <v>26</v>
      </c>
      <c r="G5510" s="53"/>
    </row>
    <row r="5511">
      <c r="A5511" s="49">
        <v>44571.05858989584</v>
      </c>
      <c r="B5511" s="50">
        <v>44571.1835644907</v>
      </c>
      <c r="C5511" s="51">
        <v>1.008</v>
      </c>
      <c r="D5511" s="51">
        <v>64.0</v>
      </c>
      <c r="E5511" s="52" t="s">
        <v>25</v>
      </c>
      <c r="F5511" s="52" t="s">
        <v>26</v>
      </c>
      <c r="G5511" s="53"/>
    </row>
    <row r="5512">
      <c r="A5512" s="49">
        <v>44571.06901175926</v>
      </c>
      <c r="B5512" s="50">
        <v>44571.1939860879</v>
      </c>
      <c r="C5512" s="51">
        <v>1.008</v>
      </c>
      <c r="D5512" s="51">
        <v>64.0</v>
      </c>
      <c r="E5512" s="52" t="s">
        <v>25</v>
      </c>
      <c r="F5512" s="52" t="s">
        <v>26</v>
      </c>
      <c r="G5512" s="53"/>
    </row>
    <row r="5513">
      <c r="A5513" s="49">
        <v>44571.07943537037</v>
      </c>
      <c r="B5513" s="50">
        <v>44571.204408912</v>
      </c>
      <c r="C5513" s="51">
        <v>1.008</v>
      </c>
      <c r="D5513" s="51">
        <v>64.0</v>
      </c>
      <c r="E5513" s="52" t="s">
        <v>25</v>
      </c>
      <c r="F5513" s="52" t="s">
        <v>26</v>
      </c>
      <c r="G5513" s="53"/>
    </row>
    <row r="5514">
      <c r="A5514" s="49">
        <v>44571.08985394676</v>
      </c>
      <c r="B5514" s="50">
        <v>44571.2148281712</v>
      </c>
      <c r="C5514" s="51">
        <v>1.008</v>
      </c>
      <c r="D5514" s="51">
        <v>64.0</v>
      </c>
      <c r="E5514" s="52" t="s">
        <v>25</v>
      </c>
      <c r="F5514" s="52" t="s">
        <v>26</v>
      </c>
      <c r="G5514" s="53"/>
    </row>
    <row r="5515">
      <c r="A5515" s="49">
        <v>44571.10027458333</v>
      </c>
      <c r="B5515" s="50">
        <v>44571.2252487037</v>
      </c>
      <c r="C5515" s="51">
        <v>1.008</v>
      </c>
      <c r="D5515" s="51">
        <v>64.0</v>
      </c>
      <c r="E5515" s="52" t="s">
        <v>25</v>
      </c>
      <c r="F5515" s="52" t="s">
        <v>26</v>
      </c>
      <c r="G5515" s="53"/>
    </row>
    <row r="5516">
      <c r="A5516" s="49">
        <v>44571.11069685185</v>
      </c>
      <c r="B5516" s="50">
        <v>44571.2356706481</v>
      </c>
      <c r="C5516" s="51">
        <v>1.008</v>
      </c>
      <c r="D5516" s="51">
        <v>64.0</v>
      </c>
      <c r="E5516" s="52" t="s">
        <v>25</v>
      </c>
      <c r="F5516" s="52" t="s">
        <v>26</v>
      </c>
      <c r="G5516" s="53"/>
    </row>
    <row r="5517">
      <c r="A5517" s="49">
        <v>44571.12112869213</v>
      </c>
      <c r="B5517" s="50">
        <v>44571.2461022916</v>
      </c>
      <c r="C5517" s="51">
        <v>1.008</v>
      </c>
      <c r="D5517" s="51">
        <v>64.0</v>
      </c>
      <c r="E5517" s="52" t="s">
        <v>25</v>
      </c>
      <c r="F5517" s="52" t="s">
        <v>26</v>
      </c>
      <c r="G5517" s="53"/>
    </row>
    <row r="5518">
      <c r="A5518" s="49">
        <v>44571.13156871528</v>
      </c>
      <c r="B5518" s="50">
        <v>44571.2565343865</v>
      </c>
      <c r="C5518" s="51">
        <v>1.008</v>
      </c>
      <c r="D5518" s="51">
        <v>64.0</v>
      </c>
      <c r="E5518" s="52" t="s">
        <v>25</v>
      </c>
      <c r="F5518" s="52" t="s">
        <v>26</v>
      </c>
      <c r="G5518" s="53"/>
    </row>
    <row r="5519">
      <c r="A5519" s="49">
        <v>44571.14197557871</v>
      </c>
      <c r="B5519" s="50">
        <v>44571.2669540625</v>
      </c>
      <c r="C5519" s="51">
        <v>1.008</v>
      </c>
      <c r="D5519" s="51">
        <v>64.0</v>
      </c>
      <c r="E5519" s="52" t="s">
        <v>25</v>
      </c>
      <c r="F5519" s="52" t="s">
        <v>26</v>
      </c>
      <c r="G5519" s="53"/>
    </row>
    <row r="5520">
      <c r="A5520" s="49">
        <v>44571.15241541667</v>
      </c>
      <c r="B5520" s="50">
        <v>44571.2773863541</v>
      </c>
      <c r="C5520" s="51">
        <v>1.009</v>
      </c>
      <c r="D5520" s="51">
        <v>64.0</v>
      </c>
      <c r="E5520" s="52" t="s">
        <v>25</v>
      </c>
      <c r="F5520" s="52" t="s">
        <v>26</v>
      </c>
      <c r="G5520" s="53"/>
    </row>
    <row r="5521">
      <c r="A5521" s="49">
        <v>44571.162833553244</v>
      </c>
      <c r="B5521" s="50">
        <v>44571.2878078009</v>
      </c>
      <c r="C5521" s="51">
        <v>1.008</v>
      </c>
      <c r="D5521" s="51">
        <v>64.0</v>
      </c>
      <c r="E5521" s="52" t="s">
        <v>25</v>
      </c>
      <c r="F5521" s="52" t="s">
        <v>26</v>
      </c>
      <c r="G5521" s="53"/>
    </row>
    <row r="5522">
      <c r="A5522" s="49">
        <v>44571.173259675925</v>
      </c>
      <c r="B5522" s="50">
        <v>44571.2982293981</v>
      </c>
      <c r="C5522" s="51">
        <v>1.008</v>
      </c>
      <c r="D5522" s="51">
        <v>64.0</v>
      </c>
      <c r="E5522" s="52" t="s">
        <v>25</v>
      </c>
      <c r="F5522" s="52" t="s">
        <v>26</v>
      </c>
      <c r="G5522" s="53"/>
    </row>
    <row r="5523">
      <c r="A5523" s="49">
        <v>44571.18367408565</v>
      </c>
      <c r="B5523" s="50">
        <v>44571.3086512731</v>
      </c>
      <c r="C5523" s="51">
        <v>1.008</v>
      </c>
      <c r="D5523" s="51">
        <v>64.0</v>
      </c>
      <c r="E5523" s="52" t="s">
        <v>25</v>
      </c>
      <c r="F5523" s="52" t="s">
        <v>26</v>
      </c>
      <c r="G5523" s="53"/>
    </row>
    <row r="5524">
      <c r="A5524" s="49">
        <v>44571.194095416664</v>
      </c>
      <c r="B5524" s="50">
        <v>44571.3190725347</v>
      </c>
      <c r="C5524" s="51">
        <v>1.008</v>
      </c>
      <c r="D5524" s="51">
        <v>64.0</v>
      </c>
      <c r="E5524" s="52" t="s">
        <v>25</v>
      </c>
      <c r="F5524" s="52" t="s">
        <v>26</v>
      </c>
      <c r="G5524" s="53"/>
    </row>
    <row r="5525">
      <c r="A5525" s="49">
        <v>44571.20453725694</v>
      </c>
      <c r="B5525" s="50">
        <v>44571.3295164699</v>
      </c>
      <c r="C5525" s="51">
        <v>1.009</v>
      </c>
      <c r="D5525" s="51">
        <v>64.0</v>
      </c>
      <c r="E5525" s="52" t="s">
        <v>25</v>
      </c>
      <c r="F5525" s="52" t="s">
        <v>26</v>
      </c>
      <c r="G5525" s="53"/>
    </row>
    <row r="5526">
      <c r="A5526" s="49">
        <v>44571.214979236116</v>
      </c>
      <c r="B5526" s="50">
        <v>44571.3399504166</v>
      </c>
      <c r="C5526" s="51">
        <v>1.008</v>
      </c>
      <c r="D5526" s="51">
        <v>64.0</v>
      </c>
      <c r="E5526" s="52" t="s">
        <v>25</v>
      </c>
      <c r="F5526" s="52" t="s">
        <v>26</v>
      </c>
      <c r="G5526" s="53"/>
    </row>
    <row r="5527">
      <c r="A5527" s="49">
        <v>44571.225401261574</v>
      </c>
      <c r="B5527" s="50">
        <v>44571.3503722337</v>
      </c>
      <c r="C5527" s="51">
        <v>1.009</v>
      </c>
      <c r="D5527" s="51">
        <v>64.0</v>
      </c>
      <c r="E5527" s="52" t="s">
        <v>25</v>
      </c>
      <c r="F5527" s="52" t="s">
        <v>26</v>
      </c>
      <c r="G5527" s="53"/>
    </row>
    <row r="5528">
      <c r="A5528" s="49">
        <v>44571.23582238426</v>
      </c>
      <c r="B5528" s="50">
        <v>44571.3607930902</v>
      </c>
      <c r="C5528" s="51">
        <v>1.008</v>
      </c>
      <c r="D5528" s="51">
        <v>64.0</v>
      </c>
      <c r="E5528" s="52" t="s">
        <v>25</v>
      </c>
      <c r="F5528" s="52" t="s">
        <v>26</v>
      </c>
      <c r="G5528" s="53"/>
    </row>
    <row r="5529">
      <c r="A5529" s="49">
        <v>44571.24623953704</v>
      </c>
      <c r="B5529" s="50">
        <v>44571.3712135416</v>
      </c>
      <c r="C5529" s="51">
        <v>1.008</v>
      </c>
      <c r="D5529" s="51">
        <v>64.0</v>
      </c>
      <c r="E5529" s="52" t="s">
        <v>25</v>
      </c>
      <c r="F5529" s="52" t="s">
        <v>26</v>
      </c>
      <c r="G5529" s="53"/>
    </row>
    <row r="5530">
      <c r="A5530" s="49">
        <v>44571.25666320602</v>
      </c>
      <c r="B5530" s="50">
        <v>44571.3816345254</v>
      </c>
      <c r="C5530" s="51">
        <v>1.008</v>
      </c>
      <c r="D5530" s="51">
        <v>64.0</v>
      </c>
      <c r="E5530" s="52" t="s">
        <v>25</v>
      </c>
      <c r="F5530" s="52" t="s">
        <v>26</v>
      </c>
      <c r="G5530" s="53"/>
    </row>
    <row r="5531">
      <c r="A5531" s="49">
        <v>44571.26707534722</v>
      </c>
      <c r="B5531" s="50">
        <v>44571.3920527662</v>
      </c>
      <c r="C5531" s="51">
        <v>1.008</v>
      </c>
      <c r="D5531" s="51">
        <v>64.0</v>
      </c>
      <c r="E5531" s="52" t="s">
        <v>25</v>
      </c>
      <c r="F5531" s="52" t="s">
        <v>26</v>
      </c>
      <c r="G5531" s="53"/>
    </row>
    <row r="5532">
      <c r="A5532" s="49">
        <v>44571.277497083334</v>
      </c>
      <c r="B5532" s="50">
        <v>44571.4024734259</v>
      </c>
      <c r="C5532" s="51">
        <v>1.008</v>
      </c>
      <c r="D5532" s="51">
        <v>64.0</v>
      </c>
      <c r="E5532" s="52" t="s">
        <v>25</v>
      </c>
      <c r="F5532" s="52" t="s">
        <v>26</v>
      </c>
      <c r="G5532" s="53"/>
    </row>
    <row r="5533">
      <c r="A5533" s="49">
        <v>44571.287934733795</v>
      </c>
      <c r="B5533" s="50">
        <v>44571.4129058912</v>
      </c>
      <c r="C5533" s="51">
        <v>1.008</v>
      </c>
      <c r="D5533" s="51">
        <v>64.0</v>
      </c>
      <c r="E5533" s="52" t="s">
        <v>25</v>
      </c>
      <c r="F5533" s="52" t="s">
        <v>26</v>
      </c>
      <c r="G5533" s="53"/>
    </row>
    <row r="5534">
      <c r="A5534" s="49">
        <v>44571.29834278935</v>
      </c>
      <c r="B5534" s="50">
        <v>44571.4233272106</v>
      </c>
      <c r="C5534" s="51">
        <v>1.008</v>
      </c>
      <c r="D5534" s="51">
        <v>64.0</v>
      </c>
      <c r="E5534" s="52" t="s">
        <v>25</v>
      </c>
      <c r="F5534" s="52" t="s">
        <v>26</v>
      </c>
      <c r="G5534" s="53"/>
    </row>
    <row r="5535">
      <c r="A5535" s="49">
        <v>44571.30878460648</v>
      </c>
      <c r="B5535" s="50">
        <v>44571.4337489004</v>
      </c>
      <c r="C5535" s="51">
        <v>1.008</v>
      </c>
      <c r="D5535" s="51">
        <v>64.0</v>
      </c>
      <c r="E5535" s="52" t="s">
        <v>25</v>
      </c>
      <c r="F5535" s="52" t="s">
        <v>26</v>
      </c>
      <c r="G5535" s="53"/>
    </row>
    <row r="5536">
      <c r="A5536" s="49">
        <v>44571.319223796294</v>
      </c>
      <c r="B5536" s="50">
        <v>44571.4441815624</v>
      </c>
      <c r="C5536" s="51">
        <v>1.008</v>
      </c>
      <c r="D5536" s="51">
        <v>64.0</v>
      </c>
      <c r="E5536" s="52" t="s">
        <v>25</v>
      </c>
      <c r="F5536" s="52" t="s">
        <v>26</v>
      </c>
      <c r="G5536" s="53"/>
    </row>
    <row r="5537">
      <c r="A5537" s="49">
        <v>44571.329656180555</v>
      </c>
      <c r="B5537" s="50">
        <v>44571.4546018634</v>
      </c>
      <c r="C5537" s="51">
        <v>1.008</v>
      </c>
      <c r="D5537" s="51">
        <v>64.0</v>
      </c>
      <c r="E5537" s="52" t="s">
        <v>25</v>
      </c>
      <c r="F5537" s="52" t="s">
        <v>26</v>
      </c>
      <c r="G5537" s="53"/>
    </row>
    <row r="5538">
      <c r="A5538" s="49">
        <v>44571.3400577662</v>
      </c>
      <c r="B5538" s="50">
        <v>44571.4650359027</v>
      </c>
      <c r="C5538" s="51">
        <v>1.008</v>
      </c>
      <c r="D5538" s="51">
        <v>64.0</v>
      </c>
      <c r="E5538" s="52" t="s">
        <v>25</v>
      </c>
      <c r="F5538" s="52" t="s">
        <v>26</v>
      </c>
      <c r="G5538" s="53"/>
    </row>
    <row r="5539">
      <c r="A5539" s="49">
        <v>44571.3505112037</v>
      </c>
      <c r="B5539" s="50">
        <v>44571.4754697222</v>
      </c>
      <c r="C5539" s="51">
        <v>1.008</v>
      </c>
      <c r="D5539" s="51">
        <v>64.0</v>
      </c>
      <c r="E5539" s="52" t="s">
        <v>25</v>
      </c>
      <c r="F5539" s="52" t="s">
        <v>26</v>
      </c>
      <c r="G5539" s="53"/>
    </row>
    <row r="5540">
      <c r="A5540" s="49">
        <v>44571.36092471065</v>
      </c>
      <c r="B5540" s="50">
        <v>44571.4859019212</v>
      </c>
      <c r="C5540" s="51">
        <v>1.008</v>
      </c>
      <c r="D5540" s="51">
        <v>64.0</v>
      </c>
      <c r="E5540" s="52" t="s">
        <v>25</v>
      </c>
      <c r="F5540" s="52" t="s">
        <v>26</v>
      </c>
      <c r="G5540" s="53"/>
    </row>
    <row r="5541">
      <c r="A5541" s="49">
        <v>44571.37135806713</v>
      </c>
      <c r="B5541" s="50">
        <v>44571.4963229976</v>
      </c>
      <c r="C5541" s="51">
        <v>1.008</v>
      </c>
      <c r="D5541" s="51">
        <v>64.0</v>
      </c>
      <c r="E5541" s="52" t="s">
        <v>25</v>
      </c>
      <c r="F5541" s="52" t="s">
        <v>26</v>
      </c>
      <c r="G5541" s="53"/>
    </row>
    <row r="5542">
      <c r="A5542" s="49">
        <v>44571.38176226852</v>
      </c>
      <c r="B5542" s="50">
        <v>44571.5067448842</v>
      </c>
      <c r="C5542" s="51">
        <v>1.008</v>
      </c>
      <c r="D5542" s="51">
        <v>64.0</v>
      </c>
      <c r="E5542" s="52" t="s">
        <v>25</v>
      </c>
      <c r="F5542" s="52" t="s">
        <v>26</v>
      </c>
      <c r="G5542" s="53"/>
    </row>
    <row r="5543">
      <c r="A5543" s="49">
        <v>44571.3921943287</v>
      </c>
      <c r="B5543" s="50">
        <v>44571.517167581</v>
      </c>
      <c r="C5543" s="51">
        <v>1.008</v>
      </c>
      <c r="D5543" s="51">
        <v>64.0</v>
      </c>
      <c r="E5543" s="52" t="s">
        <v>25</v>
      </c>
      <c r="F5543" s="52" t="s">
        <v>26</v>
      </c>
      <c r="G5543" s="53"/>
    </row>
    <row r="5544">
      <c r="A5544" s="49">
        <v>44571.40261506944</v>
      </c>
      <c r="B5544" s="50">
        <v>44571.5275890856</v>
      </c>
      <c r="C5544" s="51">
        <v>1.008</v>
      </c>
      <c r="D5544" s="51">
        <v>64.0</v>
      </c>
      <c r="E5544" s="52" t="s">
        <v>25</v>
      </c>
      <c r="F5544" s="52" t="s">
        <v>26</v>
      </c>
      <c r="G5544" s="53"/>
    </row>
    <row r="5545">
      <c r="A5545" s="49">
        <v>44571.413033310186</v>
      </c>
      <c r="B5545" s="50">
        <v>44571.538008912</v>
      </c>
      <c r="C5545" s="51">
        <v>1.008</v>
      </c>
      <c r="D5545" s="51">
        <v>64.0</v>
      </c>
      <c r="E5545" s="52" t="s">
        <v>25</v>
      </c>
      <c r="F5545" s="52" t="s">
        <v>26</v>
      </c>
      <c r="G5545" s="53"/>
    </row>
    <row r="5546">
      <c r="A5546" s="49">
        <v>44571.42344894676</v>
      </c>
      <c r="B5546" s="50">
        <v>44571.5484314467</v>
      </c>
      <c r="C5546" s="51">
        <v>1.008</v>
      </c>
      <c r="D5546" s="51">
        <v>64.0</v>
      </c>
      <c r="E5546" s="52" t="s">
        <v>25</v>
      </c>
      <c r="F5546" s="52" t="s">
        <v>26</v>
      </c>
      <c r="G5546" s="53"/>
    </row>
    <row r="5547">
      <c r="A5547" s="49">
        <v>44571.43387234954</v>
      </c>
      <c r="B5547" s="50">
        <v>44571.5588533912</v>
      </c>
      <c r="C5547" s="51">
        <v>1.008</v>
      </c>
      <c r="D5547" s="51">
        <v>64.0</v>
      </c>
      <c r="E5547" s="52" t="s">
        <v>25</v>
      </c>
      <c r="F5547" s="52" t="s">
        <v>26</v>
      </c>
      <c r="G5547" s="53"/>
    </row>
    <row r="5548">
      <c r="A5548" s="49">
        <v>44571.44435200232</v>
      </c>
      <c r="B5548" s="50">
        <v>44571.5692746296</v>
      </c>
      <c r="C5548" s="51">
        <v>1.008</v>
      </c>
      <c r="D5548" s="51">
        <v>64.0</v>
      </c>
      <c r="E5548" s="52" t="s">
        <v>25</v>
      </c>
      <c r="F5548" s="52" t="s">
        <v>26</v>
      </c>
      <c r="G5548" s="53"/>
    </row>
    <row r="5549">
      <c r="A5549" s="49">
        <v>44571.45472596065</v>
      </c>
      <c r="B5549" s="50">
        <v>44571.5796956481</v>
      </c>
      <c r="C5549" s="51">
        <v>1.008</v>
      </c>
      <c r="D5549" s="51">
        <v>64.0</v>
      </c>
      <c r="E5549" s="52" t="s">
        <v>25</v>
      </c>
      <c r="F5549" s="52" t="s">
        <v>26</v>
      </c>
      <c r="G5549" s="53"/>
    </row>
    <row r="5550">
      <c r="A5550" s="49">
        <v>44571.465147615745</v>
      </c>
      <c r="B5550" s="50">
        <v>44571.5901179745</v>
      </c>
      <c r="C5550" s="51">
        <v>1.008</v>
      </c>
      <c r="D5550" s="51">
        <v>64.0</v>
      </c>
      <c r="E5550" s="52" t="s">
        <v>25</v>
      </c>
      <c r="F5550" s="52" t="s">
        <v>26</v>
      </c>
      <c r="G5550" s="53"/>
    </row>
    <row r="5551">
      <c r="A5551" s="49">
        <v>44571.47558096064</v>
      </c>
      <c r="B5551" s="50">
        <v>44571.6005502777</v>
      </c>
      <c r="C5551" s="51">
        <v>1.008</v>
      </c>
      <c r="D5551" s="51">
        <v>64.0</v>
      </c>
      <c r="E5551" s="52" t="s">
        <v>25</v>
      </c>
      <c r="F5551" s="52" t="s">
        <v>26</v>
      </c>
      <c r="G5551" s="53"/>
    </row>
    <row r="5552">
      <c r="A5552" s="49">
        <v>44571.48600659722</v>
      </c>
      <c r="B5552" s="50">
        <v>44571.6109844907</v>
      </c>
      <c r="C5552" s="51">
        <v>1.008</v>
      </c>
      <c r="D5552" s="51">
        <v>63.0</v>
      </c>
      <c r="E5552" s="52" t="s">
        <v>25</v>
      </c>
      <c r="F5552" s="52" t="s">
        <v>26</v>
      </c>
      <c r="G5552" s="53"/>
    </row>
    <row r="5553">
      <c r="A5553" s="49">
        <v>44571.49643925926</v>
      </c>
      <c r="B5553" s="50">
        <v>44571.6214084953</v>
      </c>
      <c r="C5553" s="51">
        <v>1.008</v>
      </c>
      <c r="D5553" s="51">
        <v>64.0</v>
      </c>
      <c r="E5553" s="52" t="s">
        <v>25</v>
      </c>
      <c r="F5553" s="52" t="s">
        <v>26</v>
      </c>
      <c r="G5553" s="53"/>
    </row>
    <row r="5554">
      <c r="A5554" s="49">
        <v>44571.50685543982</v>
      </c>
      <c r="B5554" s="50">
        <v>44571.6318290972</v>
      </c>
      <c r="C5554" s="51">
        <v>1.008</v>
      </c>
      <c r="D5554" s="51">
        <v>63.0</v>
      </c>
      <c r="E5554" s="52" t="s">
        <v>25</v>
      </c>
      <c r="F5554" s="52" t="s">
        <v>26</v>
      </c>
      <c r="G5554" s="53"/>
    </row>
    <row r="5555">
      <c r="A5555" s="49">
        <v>44571.51728270833</v>
      </c>
      <c r="B5555" s="50">
        <v>44571.6422492013</v>
      </c>
      <c r="C5555" s="51">
        <v>1.008</v>
      </c>
      <c r="D5555" s="51">
        <v>63.0</v>
      </c>
      <c r="E5555" s="52" t="s">
        <v>25</v>
      </c>
      <c r="F5555" s="52" t="s">
        <v>26</v>
      </c>
      <c r="G5555" s="53"/>
    </row>
    <row r="5556">
      <c r="A5556" s="49">
        <v>44571.52769199074</v>
      </c>
      <c r="B5556" s="50">
        <v>44571.6526690046</v>
      </c>
      <c r="C5556" s="51">
        <v>1.008</v>
      </c>
      <c r="D5556" s="51">
        <v>64.0</v>
      </c>
      <c r="E5556" s="52" t="s">
        <v>25</v>
      </c>
      <c r="F5556" s="52" t="s">
        <v>26</v>
      </c>
      <c r="G5556" s="53"/>
    </row>
    <row r="5557">
      <c r="A5557" s="49">
        <v>44571.53811700232</v>
      </c>
      <c r="B5557" s="50">
        <v>44571.6630894791</v>
      </c>
      <c r="C5557" s="51">
        <v>1.008</v>
      </c>
      <c r="D5557" s="51">
        <v>63.0</v>
      </c>
      <c r="E5557" s="52" t="s">
        <v>25</v>
      </c>
      <c r="F5557" s="52" t="s">
        <v>26</v>
      </c>
      <c r="G5557" s="53"/>
    </row>
    <row r="5558">
      <c r="A5558" s="49">
        <v>44571.54853194444</v>
      </c>
      <c r="B5558" s="50">
        <v>44571.673511493</v>
      </c>
      <c r="C5558" s="51">
        <v>1.008</v>
      </c>
      <c r="D5558" s="51">
        <v>63.0</v>
      </c>
      <c r="E5558" s="52" t="s">
        <v>25</v>
      </c>
      <c r="F5558" s="52" t="s">
        <v>26</v>
      </c>
      <c r="G5558" s="53"/>
    </row>
    <row r="5559">
      <c r="A5559" s="49">
        <v>44571.5589516551</v>
      </c>
      <c r="B5559" s="50">
        <v>44571.6839305439</v>
      </c>
      <c r="C5559" s="51">
        <v>1.008</v>
      </c>
      <c r="D5559" s="51">
        <v>63.0</v>
      </c>
      <c r="E5559" s="52" t="s">
        <v>25</v>
      </c>
      <c r="F5559" s="52" t="s">
        <v>26</v>
      </c>
      <c r="G5559" s="53"/>
    </row>
    <row r="5560">
      <c r="A5560" s="49">
        <v>44571.56939175926</v>
      </c>
      <c r="B5560" s="50">
        <v>44571.6943640625</v>
      </c>
      <c r="C5560" s="51">
        <v>1.008</v>
      </c>
      <c r="D5560" s="51">
        <v>63.0</v>
      </c>
      <c r="E5560" s="52" t="s">
        <v>25</v>
      </c>
      <c r="F5560" s="52" t="s">
        <v>26</v>
      </c>
      <c r="G5560" s="53"/>
    </row>
    <row r="5561">
      <c r="A5561" s="49">
        <v>44571.57980864584</v>
      </c>
      <c r="B5561" s="50">
        <v>44571.7047861921</v>
      </c>
      <c r="C5561" s="51">
        <v>1.008</v>
      </c>
      <c r="D5561" s="51">
        <v>63.0</v>
      </c>
      <c r="E5561" s="52" t="s">
        <v>25</v>
      </c>
      <c r="F5561" s="52" t="s">
        <v>26</v>
      </c>
      <c r="G5561" s="53"/>
    </row>
    <row r="5562">
      <c r="A5562" s="49">
        <v>44571.5902322801</v>
      </c>
      <c r="B5562" s="50">
        <v>44571.7152078703</v>
      </c>
      <c r="C5562" s="51">
        <v>1.008</v>
      </c>
      <c r="D5562" s="51">
        <v>63.0</v>
      </c>
      <c r="E5562" s="52" t="s">
        <v>25</v>
      </c>
      <c r="F5562" s="52" t="s">
        <v>26</v>
      </c>
      <c r="G5562" s="53"/>
    </row>
    <row r="5563">
      <c r="A5563" s="49">
        <v>44571.6006490162</v>
      </c>
      <c r="B5563" s="50">
        <v>44571.7256285069</v>
      </c>
      <c r="C5563" s="51">
        <v>1.008</v>
      </c>
      <c r="D5563" s="51">
        <v>63.0</v>
      </c>
      <c r="E5563" s="52" t="s">
        <v>25</v>
      </c>
      <c r="F5563" s="52" t="s">
        <v>26</v>
      </c>
      <c r="G5563" s="53"/>
    </row>
    <row r="5564">
      <c r="A5564" s="49">
        <v>44571.6110696875</v>
      </c>
      <c r="B5564" s="50">
        <v>44571.7360465393</v>
      </c>
      <c r="C5564" s="51">
        <v>1.008</v>
      </c>
      <c r="D5564" s="51">
        <v>63.0</v>
      </c>
      <c r="E5564" s="52" t="s">
        <v>25</v>
      </c>
      <c r="F5564" s="52" t="s">
        <v>26</v>
      </c>
      <c r="G5564" s="53"/>
    </row>
    <row r="5565">
      <c r="A5565" s="49">
        <v>44571.62152493055</v>
      </c>
      <c r="B5565" s="50">
        <v>44571.7464682523</v>
      </c>
      <c r="C5565" s="51">
        <v>1.008</v>
      </c>
      <c r="D5565" s="51">
        <v>63.0</v>
      </c>
      <c r="E5565" s="52" t="s">
        <v>25</v>
      </c>
      <c r="F5565" s="52" t="s">
        <v>26</v>
      </c>
      <c r="G5565" s="53"/>
    </row>
    <row r="5566">
      <c r="A5566" s="49">
        <v>44571.63191668982</v>
      </c>
      <c r="B5566" s="50">
        <v>44571.7568891087</v>
      </c>
      <c r="C5566" s="51">
        <v>1.008</v>
      </c>
      <c r="D5566" s="51">
        <v>63.0</v>
      </c>
      <c r="E5566" s="52" t="s">
        <v>25</v>
      </c>
      <c r="F5566" s="52" t="s">
        <v>26</v>
      </c>
      <c r="G5566" s="53"/>
    </row>
    <row r="5567">
      <c r="A5567" s="49">
        <v>44571.64233939815</v>
      </c>
      <c r="B5567" s="50">
        <v>44571.7673088078</v>
      </c>
      <c r="C5567" s="51">
        <v>1.008</v>
      </c>
      <c r="D5567" s="51">
        <v>63.0</v>
      </c>
      <c r="E5567" s="52" t="s">
        <v>25</v>
      </c>
      <c r="F5567" s="52" t="s">
        <v>26</v>
      </c>
      <c r="G5567" s="53"/>
    </row>
    <row r="5568">
      <c r="A5568" s="49">
        <v>44571.652755069445</v>
      </c>
      <c r="B5568" s="50">
        <v>44571.777730081</v>
      </c>
      <c r="C5568" s="51">
        <v>1.008</v>
      </c>
      <c r="D5568" s="51">
        <v>63.0</v>
      </c>
      <c r="E5568" s="52" t="s">
        <v>25</v>
      </c>
      <c r="F5568" s="52" t="s">
        <v>26</v>
      </c>
      <c r="G5568" s="53"/>
    </row>
    <row r="5569">
      <c r="A5569" s="49">
        <v>44571.66319466435</v>
      </c>
      <c r="B5569" s="50">
        <v>44571.7881730208</v>
      </c>
      <c r="C5569" s="51">
        <v>1.008</v>
      </c>
      <c r="D5569" s="51">
        <v>63.0</v>
      </c>
      <c r="E5569" s="52" t="s">
        <v>25</v>
      </c>
      <c r="F5569" s="52" t="s">
        <v>26</v>
      </c>
      <c r="G5569" s="53"/>
    </row>
    <row r="5570">
      <c r="A5570" s="49">
        <v>44571.67362440973</v>
      </c>
      <c r="B5570" s="50">
        <v>44571.7985944791</v>
      </c>
      <c r="C5570" s="51">
        <v>1.008</v>
      </c>
      <c r="D5570" s="51">
        <v>63.0</v>
      </c>
      <c r="E5570" s="52" t="s">
        <v>25</v>
      </c>
      <c r="F5570" s="52" t="s">
        <v>26</v>
      </c>
      <c r="G5570" s="53"/>
    </row>
    <row r="5571">
      <c r="A5571" s="49">
        <v>44571.68403527778</v>
      </c>
      <c r="B5571" s="50">
        <v>44571.8090151388</v>
      </c>
      <c r="C5571" s="51">
        <v>1.008</v>
      </c>
      <c r="D5571" s="51">
        <v>63.0</v>
      </c>
      <c r="E5571" s="52" t="s">
        <v>25</v>
      </c>
      <c r="F5571" s="52" t="s">
        <v>26</v>
      </c>
      <c r="G5571" s="53"/>
    </row>
    <row r="5572">
      <c r="A5572" s="49">
        <v>44571.69445552083</v>
      </c>
      <c r="B5572" s="50">
        <v>44571.8194356134</v>
      </c>
      <c r="C5572" s="51">
        <v>1.008</v>
      </c>
      <c r="D5572" s="51">
        <v>63.0</v>
      </c>
      <c r="E5572" s="52" t="s">
        <v>25</v>
      </c>
      <c r="F5572" s="52" t="s">
        <v>26</v>
      </c>
      <c r="G5572" s="53"/>
    </row>
    <row r="5573">
      <c r="A5573" s="49">
        <v>44571.70488244213</v>
      </c>
      <c r="B5573" s="50">
        <v>44571.8298553935</v>
      </c>
      <c r="C5573" s="51">
        <v>1.008</v>
      </c>
      <c r="D5573" s="51">
        <v>63.0</v>
      </c>
      <c r="E5573" s="52" t="s">
        <v>25</v>
      </c>
      <c r="F5573" s="52" t="s">
        <v>26</v>
      </c>
      <c r="G5573" s="53"/>
    </row>
    <row r="5574">
      <c r="A5574" s="49">
        <v>44571.715299641204</v>
      </c>
      <c r="B5574" s="50">
        <v>44571.8402774999</v>
      </c>
      <c r="C5574" s="51">
        <v>1.008</v>
      </c>
      <c r="D5574" s="51">
        <v>63.0</v>
      </c>
      <c r="E5574" s="52" t="s">
        <v>25</v>
      </c>
      <c r="F5574" s="52" t="s">
        <v>26</v>
      </c>
      <c r="G5574" s="53"/>
    </row>
    <row r="5575">
      <c r="A5575" s="49">
        <v>44571.72572918981</v>
      </c>
      <c r="B5575" s="50">
        <v>44571.8507104513</v>
      </c>
      <c r="C5575" s="51">
        <v>1.008</v>
      </c>
      <c r="D5575" s="51">
        <v>63.0</v>
      </c>
      <c r="E5575" s="52" t="s">
        <v>25</v>
      </c>
      <c r="F5575" s="52" t="s">
        <v>26</v>
      </c>
      <c r="G5575" s="53"/>
    </row>
    <row r="5576">
      <c r="A5576" s="49">
        <v>44571.73615641204</v>
      </c>
      <c r="B5576" s="50">
        <v>44571.8611299768</v>
      </c>
      <c r="C5576" s="51">
        <v>1.008</v>
      </c>
      <c r="D5576" s="51">
        <v>63.0</v>
      </c>
      <c r="E5576" s="52" t="s">
        <v>25</v>
      </c>
      <c r="F5576" s="52" t="s">
        <v>26</v>
      </c>
      <c r="G5576" s="53"/>
    </row>
    <row r="5577">
      <c r="A5577" s="49">
        <v>44571.74657853009</v>
      </c>
      <c r="B5577" s="50">
        <v>44571.8715504629</v>
      </c>
      <c r="C5577" s="51">
        <v>1.008</v>
      </c>
      <c r="D5577" s="51">
        <v>63.0</v>
      </c>
      <c r="E5577" s="52" t="s">
        <v>25</v>
      </c>
      <c r="F5577" s="52" t="s">
        <v>26</v>
      </c>
      <c r="G5577" s="53"/>
    </row>
    <row r="5578">
      <c r="A5578" s="49">
        <v>44571.756987326386</v>
      </c>
      <c r="B5578" s="50">
        <v>44571.8819715624</v>
      </c>
      <c r="C5578" s="51">
        <v>1.008</v>
      </c>
      <c r="D5578" s="51">
        <v>63.0</v>
      </c>
      <c r="E5578" s="52" t="s">
        <v>25</v>
      </c>
      <c r="F5578" s="52" t="s">
        <v>26</v>
      </c>
      <c r="G5578" s="53"/>
    </row>
    <row r="5579">
      <c r="A5579" s="49">
        <v>44571.76741655092</v>
      </c>
      <c r="B5579" s="50">
        <v>44571.892390868</v>
      </c>
      <c r="C5579" s="51">
        <v>1.008</v>
      </c>
      <c r="D5579" s="51">
        <v>63.0</v>
      </c>
      <c r="E5579" s="52" t="s">
        <v>25</v>
      </c>
      <c r="F5579" s="52" t="s">
        <v>26</v>
      </c>
      <c r="G5579" s="53"/>
    </row>
    <row r="5580">
      <c r="A5580" s="49">
        <v>44571.77783555556</v>
      </c>
      <c r="B5580" s="50">
        <v>44571.9028121527</v>
      </c>
      <c r="C5580" s="51">
        <v>1.008</v>
      </c>
      <c r="D5580" s="51">
        <v>63.0</v>
      </c>
      <c r="E5580" s="52" t="s">
        <v>25</v>
      </c>
      <c r="F5580" s="52" t="s">
        <v>26</v>
      </c>
      <c r="G5580" s="53"/>
    </row>
    <row r="5581">
      <c r="A5581" s="49">
        <v>44571.78827554398</v>
      </c>
      <c r="B5581" s="50">
        <v>44571.9132460416</v>
      </c>
      <c r="C5581" s="51">
        <v>1.008</v>
      </c>
      <c r="D5581" s="51">
        <v>63.0</v>
      </c>
      <c r="E5581" s="52" t="s">
        <v>25</v>
      </c>
      <c r="F5581" s="52" t="s">
        <v>26</v>
      </c>
      <c r="G5581" s="53"/>
    </row>
    <row r="5582">
      <c r="A5582" s="49">
        <v>44571.79870219907</v>
      </c>
      <c r="B5582" s="50">
        <v>44571.9236789004</v>
      </c>
      <c r="C5582" s="51">
        <v>1.008</v>
      </c>
      <c r="D5582" s="51">
        <v>63.0</v>
      </c>
      <c r="E5582" s="52" t="s">
        <v>25</v>
      </c>
      <c r="F5582" s="52" t="s">
        <v>26</v>
      </c>
      <c r="G5582" s="53"/>
    </row>
    <row r="5583">
      <c r="A5583" s="49">
        <v>44571.80911644676</v>
      </c>
      <c r="B5583" s="50">
        <v>44571.934100787</v>
      </c>
      <c r="C5583" s="51">
        <v>1.008</v>
      </c>
      <c r="D5583" s="51">
        <v>63.0</v>
      </c>
      <c r="E5583" s="52" t="s">
        <v>25</v>
      </c>
      <c r="F5583" s="52" t="s">
        <v>26</v>
      </c>
      <c r="G5583" s="53"/>
    </row>
    <row r="5584">
      <c r="A5584" s="49">
        <v>44571.819549224536</v>
      </c>
      <c r="B5584" s="50">
        <v>44571.9445218402</v>
      </c>
      <c r="C5584" s="51">
        <v>1.008</v>
      </c>
      <c r="D5584" s="51">
        <v>63.0</v>
      </c>
      <c r="E5584" s="52" t="s">
        <v>25</v>
      </c>
      <c r="F5584" s="52" t="s">
        <v>26</v>
      </c>
      <c r="G5584" s="53"/>
    </row>
    <row r="5585">
      <c r="A5585" s="49">
        <v>44571.829962986114</v>
      </c>
      <c r="B5585" s="50">
        <v>44571.954943206</v>
      </c>
      <c r="C5585" s="51">
        <v>1.008</v>
      </c>
      <c r="D5585" s="51">
        <v>63.0</v>
      </c>
      <c r="E5585" s="52" t="s">
        <v>25</v>
      </c>
      <c r="F5585" s="52" t="s">
        <v>26</v>
      </c>
      <c r="G5585" s="53"/>
    </row>
    <row r="5586">
      <c r="A5586" s="49">
        <v>44571.84041561343</v>
      </c>
      <c r="B5586" s="50">
        <v>44571.9653890162</v>
      </c>
      <c r="C5586" s="51">
        <v>1.008</v>
      </c>
      <c r="D5586" s="51">
        <v>63.0</v>
      </c>
      <c r="E5586" s="52" t="s">
        <v>25</v>
      </c>
      <c r="F5586" s="52" t="s">
        <v>26</v>
      </c>
      <c r="G5586" s="53"/>
    </row>
    <row r="5587">
      <c r="A5587" s="49">
        <v>44571.85084097223</v>
      </c>
      <c r="B5587" s="50">
        <v>44571.9758116319</v>
      </c>
      <c r="C5587" s="51">
        <v>1.008</v>
      </c>
      <c r="D5587" s="51">
        <v>63.0</v>
      </c>
      <c r="E5587" s="52" t="s">
        <v>25</v>
      </c>
      <c r="F5587" s="52" t="s">
        <v>26</v>
      </c>
      <c r="G5587" s="53"/>
    </row>
    <row r="5588">
      <c r="A5588" s="49">
        <v>44571.86125096065</v>
      </c>
      <c r="B5588" s="50">
        <v>44571.9862319212</v>
      </c>
      <c r="C5588" s="51">
        <v>1.008</v>
      </c>
      <c r="D5588" s="51">
        <v>63.0</v>
      </c>
      <c r="E5588" s="52" t="s">
        <v>25</v>
      </c>
      <c r="F5588" s="52" t="s">
        <v>26</v>
      </c>
      <c r="G5588" s="53"/>
    </row>
    <row r="5589">
      <c r="A5589" s="49">
        <v>44571.871685081016</v>
      </c>
      <c r="B5589" s="50">
        <v>44571.9966666666</v>
      </c>
      <c r="C5589" s="51">
        <v>1.008</v>
      </c>
      <c r="D5589" s="51">
        <v>63.0</v>
      </c>
      <c r="E5589" s="52" t="s">
        <v>25</v>
      </c>
      <c r="F5589" s="52" t="s">
        <v>26</v>
      </c>
      <c r="G5589" s="53"/>
    </row>
    <row r="5590">
      <c r="A5590" s="49">
        <v>44571.882114733795</v>
      </c>
      <c r="B5590" s="50">
        <v>44572.0070881365</v>
      </c>
      <c r="C5590" s="51">
        <v>1.008</v>
      </c>
      <c r="D5590" s="51">
        <v>63.0</v>
      </c>
      <c r="E5590" s="52" t="s">
        <v>25</v>
      </c>
      <c r="F5590" s="52" t="s">
        <v>26</v>
      </c>
      <c r="G5590" s="53"/>
    </row>
    <row r="5591">
      <c r="A5591" s="49">
        <v>44571.892539629625</v>
      </c>
      <c r="B5591" s="50">
        <v>44572.0175201851</v>
      </c>
      <c r="C5591" s="51">
        <v>1.008</v>
      </c>
      <c r="D5591" s="51">
        <v>63.0</v>
      </c>
      <c r="E5591" s="52" t="s">
        <v>25</v>
      </c>
      <c r="F5591" s="52" t="s">
        <v>26</v>
      </c>
      <c r="G5591" s="53"/>
    </row>
    <row r="5592">
      <c r="A5592" s="49">
        <v>44571.90296619213</v>
      </c>
      <c r="B5592" s="50">
        <v>44572.0279409837</v>
      </c>
      <c r="C5592" s="51">
        <v>1.008</v>
      </c>
      <c r="D5592" s="51">
        <v>63.0</v>
      </c>
      <c r="E5592" s="52" t="s">
        <v>25</v>
      </c>
      <c r="F5592" s="52" t="s">
        <v>26</v>
      </c>
      <c r="G5592" s="53"/>
    </row>
    <row r="5593">
      <c r="A5593" s="49">
        <v>44571.91339194444</v>
      </c>
      <c r="B5593" s="50">
        <v>44572.0383649421</v>
      </c>
      <c r="C5593" s="51">
        <v>1.008</v>
      </c>
      <c r="D5593" s="51">
        <v>63.0</v>
      </c>
      <c r="E5593" s="52" t="s">
        <v>25</v>
      </c>
      <c r="F5593" s="52" t="s">
        <v>26</v>
      </c>
      <c r="G5593" s="53"/>
    </row>
    <row r="5594">
      <c r="A5594" s="49">
        <v>44571.92380931713</v>
      </c>
      <c r="B5594" s="50">
        <v>44572.0487875578</v>
      </c>
      <c r="C5594" s="51">
        <v>1.008</v>
      </c>
      <c r="D5594" s="51">
        <v>63.0</v>
      </c>
      <c r="E5594" s="52" t="s">
        <v>25</v>
      </c>
      <c r="F5594" s="52" t="s">
        <v>26</v>
      </c>
      <c r="G5594" s="53"/>
    </row>
    <row r="5595">
      <c r="A5595" s="49">
        <v>44571.934235810186</v>
      </c>
      <c r="B5595" s="50">
        <v>44572.0592085648</v>
      </c>
      <c r="C5595" s="51">
        <v>1.008</v>
      </c>
      <c r="D5595" s="51">
        <v>63.0</v>
      </c>
      <c r="E5595" s="52" t="s">
        <v>25</v>
      </c>
      <c r="F5595" s="52" t="s">
        <v>26</v>
      </c>
      <c r="G5595" s="53"/>
    </row>
    <row r="5596">
      <c r="A5596" s="49">
        <v>44571.94466422454</v>
      </c>
      <c r="B5596" s="50">
        <v>44572.0696404745</v>
      </c>
      <c r="C5596" s="51">
        <v>1.008</v>
      </c>
      <c r="D5596" s="51">
        <v>63.0</v>
      </c>
      <c r="E5596" s="52" t="s">
        <v>25</v>
      </c>
      <c r="F5596" s="52" t="s">
        <v>26</v>
      </c>
      <c r="G5596" s="53"/>
    </row>
    <row r="5597">
      <c r="A5597" s="49">
        <v>44571.955112361116</v>
      </c>
      <c r="B5597" s="50">
        <v>44572.0800845254</v>
      </c>
      <c r="C5597" s="51">
        <v>1.008</v>
      </c>
      <c r="D5597" s="51">
        <v>63.0</v>
      </c>
      <c r="E5597" s="52" t="s">
        <v>25</v>
      </c>
      <c r="F5597" s="52" t="s">
        <v>26</v>
      </c>
      <c r="G5597" s="53"/>
    </row>
    <row r="5598">
      <c r="A5598" s="49">
        <v>44571.96554310185</v>
      </c>
      <c r="B5598" s="50">
        <v>44572.0905168981</v>
      </c>
      <c r="C5598" s="51">
        <v>1.008</v>
      </c>
      <c r="D5598" s="51">
        <v>63.0</v>
      </c>
      <c r="E5598" s="52" t="s">
        <v>25</v>
      </c>
      <c r="F5598" s="52" t="s">
        <v>26</v>
      </c>
      <c r="G5598" s="53"/>
    </row>
    <row r="5599">
      <c r="A5599" s="49">
        <v>44571.97596199074</v>
      </c>
      <c r="B5599" s="50">
        <v>44572.1009363773</v>
      </c>
      <c r="C5599" s="51">
        <v>1.008</v>
      </c>
      <c r="D5599" s="51">
        <v>63.0</v>
      </c>
      <c r="E5599" s="52" t="s">
        <v>25</v>
      </c>
      <c r="F5599" s="52" t="s">
        <v>26</v>
      </c>
      <c r="G5599" s="53"/>
    </row>
    <row r="5600">
      <c r="A5600" s="49">
        <v>44571.986447256946</v>
      </c>
      <c r="B5600" s="50">
        <v>44572.1114175347</v>
      </c>
      <c r="C5600" s="51">
        <v>1.008</v>
      </c>
      <c r="D5600" s="51">
        <v>63.0</v>
      </c>
      <c r="E5600" s="52" t="s">
        <v>25</v>
      </c>
      <c r="F5600" s="52" t="s">
        <v>26</v>
      </c>
      <c r="G5600" s="53"/>
    </row>
    <row r="5601">
      <c r="A5601" s="49">
        <v>44571.9968552662</v>
      </c>
      <c r="B5601" s="50">
        <v>44572.1218372453</v>
      </c>
      <c r="C5601" s="51">
        <v>1.008</v>
      </c>
      <c r="D5601" s="51">
        <v>63.0</v>
      </c>
      <c r="E5601" s="52" t="s">
        <v>25</v>
      </c>
      <c r="F5601" s="52" t="s">
        <v>26</v>
      </c>
      <c r="G5601" s="53"/>
    </row>
    <row r="5602">
      <c r="A5602" s="49">
        <v>44572.00729336806</v>
      </c>
      <c r="B5602" s="50">
        <v>44572.1322728587</v>
      </c>
      <c r="C5602" s="51">
        <v>1.008</v>
      </c>
      <c r="D5602" s="51">
        <v>64.0</v>
      </c>
      <c r="E5602" s="52" t="s">
        <v>25</v>
      </c>
      <c r="F5602" s="52" t="s">
        <v>26</v>
      </c>
      <c r="G5602" s="53"/>
    </row>
    <row r="5603">
      <c r="A5603" s="49">
        <v>44572.01771760416</v>
      </c>
      <c r="B5603" s="50">
        <v>44572.1426948379</v>
      </c>
      <c r="C5603" s="51">
        <v>1.008</v>
      </c>
      <c r="D5603" s="51">
        <v>64.0</v>
      </c>
      <c r="E5603" s="52" t="s">
        <v>25</v>
      </c>
      <c r="F5603" s="52" t="s">
        <v>26</v>
      </c>
      <c r="G5603" s="53"/>
    </row>
    <row r="5604">
      <c r="A5604" s="49">
        <v>44572.028134548615</v>
      </c>
      <c r="B5604" s="50">
        <v>44572.1531151273</v>
      </c>
      <c r="C5604" s="51">
        <v>1.008</v>
      </c>
      <c r="D5604" s="51">
        <v>64.0</v>
      </c>
      <c r="E5604" s="52" t="s">
        <v>25</v>
      </c>
      <c r="F5604" s="52" t="s">
        <v>26</v>
      </c>
      <c r="G5604" s="53"/>
    </row>
    <row r="5605">
      <c r="A5605" s="49">
        <v>44572.03855327546</v>
      </c>
      <c r="B5605" s="50">
        <v>44572.163535243</v>
      </c>
      <c r="C5605" s="51">
        <v>1.008</v>
      </c>
      <c r="D5605" s="51">
        <v>65.0</v>
      </c>
      <c r="E5605" s="52" t="s">
        <v>25</v>
      </c>
      <c r="F5605" s="52" t="s">
        <v>26</v>
      </c>
      <c r="G5605" s="53"/>
    </row>
    <row r="5606">
      <c r="A5606" s="49">
        <v>44572.048985636575</v>
      </c>
      <c r="B5606" s="50">
        <v>44572.1739570023</v>
      </c>
      <c r="C5606" s="51">
        <v>1.008</v>
      </c>
      <c r="D5606" s="51">
        <v>65.0</v>
      </c>
      <c r="E5606" s="52" t="s">
        <v>25</v>
      </c>
      <c r="F5606" s="52" t="s">
        <v>26</v>
      </c>
      <c r="G5606" s="53"/>
    </row>
    <row r="5607">
      <c r="A5607" s="49">
        <v>44572.05940571759</v>
      </c>
      <c r="B5607" s="50">
        <v>44572.1843771874</v>
      </c>
      <c r="C5607" s="51">
        <v>1.008</v>
      </c>
      <c r="D5607" s="51">
        <v>66.0</v>
      </c>
      <c r="E5607" s="52" t="s">
        <v>25</v>
      </c>
      <c r="F5607" s="52" t="s">
        <v>26</v>
      </c>
      <c r="G5607" s="53"/>
    </row>
    <row r="5608">
      <c r="A5608" s="49">
        <v>44572.06982495371</v>
      </c>
      <c r="B5608" s="50">
        <v>44572.1947993171</v>
      </c>
      <c r="C5608" s="51">
        <v>1.008</v>
      </c>
      <c r="D5608" s="51">
        <v>66.0</v>
      </c>
      <c r="E5608" s="52" t="s">
        <v>25</v>
      </c>
      <c r="F5608" s="52" t="s">
        <v>26</v>
      </c>
      <c r="G5608" s="53"/>
    </row>
    <row r="5609">
      <c r="A5609" s="49">
        <v>44572.08024841435</v>
      </c>
      <c r="B5609" s="50">
        <v>44572.2052221759</v>
      </c>
      <c r="C5609" s="51">
        <v>1.008</v>
      </c>
      <c r="D5609" s="51">
        <v>66.0</v>
      </c>
      <c r="E5609" s="52" t="s">
        <v>25</v>
      </c>
      <c r="F5609" s="52" t="s">
        <v>26</v>
      </c>
      <c r="G5609" s="53"/>
    </row>
    <row r="5610">
      <c r="A5610" s="49">
        <v>44572.09067336806</v>
      </c>
      <c r="B5610" s="50">
        <v>44572.2156543287</v>
      </c>
      <c r="C5610" s="51">
        <v>1.008</v>
      </c>
      <c r="D5610" s="51">
        <v>67.0</v>
      </c>
      <c r="E5610" s="52" t="s">
        <v>25</v>
      </c>
      <c r="F5610" s="52" t="s">
        <v>26</v>
      </c>
      <c r="G5610" s="53"/>
    </row>
    <row r="5611">
      <c r="A5611" s="49">
        <v>44572.10111199074</v>
      </c>
      <c r="B5611" s="50">
        <v>44572.2260885532</v>
      </c>
      <c r="C5611" s="51">
        <v>1.008</v>
      </c>
      <c r="D5611" s="51">
        <v>67.0</v>
      </c>
      <c r="E5611" s="52" t="s">
        <v>25</v>
      </c>
      <c r="F5611" s="52" t="s">
        <v>26</v>
      </c>
      <c r="G5611" s="53"/>
    </row>
    <row r="5612">
      <c r="A5612" s="49">
        <v>44572.11153230324</v>
      </c>
      <c r="B5612" s="50">
        <v>44572.2365096759</v>
      </c>
      <c r="C5612" s="51">
        <v>1.008</v>
      </c>
      <c r="D5612" s="51">
        <v>68.0</v>
      </c>
      <c r="E5612" s="52" t="s">
        <v>25</v>
      </c>
      <c r="F5612" s="52" t="s">
        <v>26</v>
      </c>
      <c r="G5612" s="53"/>
    </row>
    <row r="5613">
      <c r="A5613" s="49">
        <v>44572.12195246528</v>
      </c>
      <c r="B5613" s="50">
        <v>44572.2469323379</v>
      </c>
      <c r="C5613" s="51">
        <v>1.008</v>
      </c>
      <c r="D5613" s="51">
        <v>68.0</v>
      </c>
      <c r="E5613" s="52" t="s">
        <v>25</v>
      </c>
      <c r="F5613" s="52" t="s">
        <v>26</v>
      </c>
      <c r="G5613" s="53"/>
    </row>
    <row r="5614">
      <c r="A5614" s="49">
        <v>44572.132383668984</v>
      </c>
      <c r="B5614" s="50">
        <v>44572.2573647453</v>
      </c>
      <c r="C5614" s="51">
        <v>1.007</v>
      </c>
      <c r="D5614" s="51">
        <v>68.0</v>
      </c>
      <c r="E5614" s="52" t="s">
        <v>25</v>
      </c>
      <c r="F5614" s="52" t="s">
        <v>26</v>
      </c>
      <c r="G5614" s="53"/>
    </row>
    <row r="5615">
      <c r="A5615" s="49">
        <v>44572.14281121528</v>
      </c>
      <c r="B5615" s="50">
        <v>44572.2677856597</v>
      </c>
      <c r="C5615" s="51">
        <v>1.008</v>
      </c>
      <c r="D5615" s="51">
        <v>68.0</v>
      </c>
      <c r="E5615" s="52" t="s">
        <v>25</v>
      </c>
      <c r="F5615" s="52" t="s">
        <v>26</v>
      </c>
      <c r="G5615" s="53"/>
    </row>
    <row r="5616">
      <c r="A5616" s="49">
        <v>44572.153228344905</v>
      </c>
      <c r="B5616" s="50">
        <v>44572.2782075115</v>
      </c>
      <c r="C5616" s="51">
        <v>1.008</v>
      </c>
      <c r="D5616" s="51">
        <v>68.0</v>
      </c>
      <c r="E5616" s="52" t="s">
        <v>25</v>
      </c>
      <c r="F5616" s="52" t="s">
        <v>26</v>
      </c>
      <c r="G5616" s="53"/>
    </row>
    <row r="5617">
      <c r="A5617" s="49">
        <v>44572.16368773148</v>
      </c>
      <c r="B5617" s="50">
        <v>44572.2886526388</v>
      </c>
      <c r="C5617" s="51">
        <v>1.008</v>
      </c>
      <c r="D5617" s="51">
        <v>68.0</v>
      </c>
      <c r="E5617" s="52" t="s">
        <v>25</v>
      </c>
      <c r="F5617" s="52" t="s">
        <v>26</v>
      </c>
      <c r="G5617" s="53"/>
    </row>
    <row r="5618">
      <c r="A5618" s="49">
        <v>44572.17411487269</v>
      </c>
      <c r="B5618" s="50">
        <v>44572.299086331</v>
      </c>
      <c r="C5618" s="51">
        <v>1.007</v>
      </c>
      <c r="D5618" s="51">
        <v>68.0</v>
      </c>
      <c r="E5618" s="52" t="s">
        <v>25</v>
      </c>
      <c r="F5618" s="52" t="s">
        <v>26</v>
      </c>
      <c r="G5618" s="53"/>
    </row>
    <row r="5619">
      <c r="A5619" s="49">
        <v>44572.18454059028</v>
      </c>
      <c r="B5619" s="50">
        <v>44572.3095200231</v>
      </c>
      <c r="C5619" s="51">
        <v>1.008</v>
      </c>
      <c r="D5619" s="51">
        <v>68.0</v>
      </c>
      <c r="E5619" s="52" t="s">
        <v>25</v>
      </c>
      <c r="F5619" s="52" t="s">
        <v>26</v>
      </c>
      <c r="G5619" s="53"/>
    </row>
    <row r="5620">
      <c r="A5620" s="49">
        <v>44572.19496641203</v>
      </c>
      <c r="B5620" s="50">
        <v>44572.3199414351</v>
      </c>
      <c r="C5620" s="51">
        <v>1.008</v>
      </c>
      <c r="D5620" s="51">
        <v>68.0</v>
      </c>
      <c r="E5620" s="52" t="s">
        <v>25</v>
      </c>
      <c r="F5620" s="52" t="s">
        <v>26</v>
      </c>
      <c r="G5620" s="53"/>
    </row>
    <row r="5621">
      <c r="A5621" s="49">
        <v>44572.20538530093</v>
      </c>
      <c r="B5621" s="50">
        <v>44572.330363831</v>
      </c>
      <c r="C5621" s="51">
        <v>1.008</v>
      </c>
      <c r="D5621" s="51">
        <v>68.0</v>
      </c>
      <c r="E5621" s="52" t="s">
        <v>25</v>
      </c>
      <c r="F5621" s="52" t="s">
        <v>26</v>
      </c>
      <c r="G5621" s="53"/>
    </row>
    <row r="5622">
      <c r="A5622" s="49">
        <v>44572.21580877315</v>
      </c>
      <c r="B5622" s="50">
        <v>44572.340785625</v>
      </c>
      <c r="C5622" s="51">
        <v>1.008</v>
      </c>
      <c r="D5622" s="51">
        <v>68.0</v>
      </c>
      <c r="E5622" s="52" t="s">
        <v>25</v>
      </c>
      <c r="F5622" s="52" t="s">
        <v>26</v>
      </c>
      <c r="G5622" s="53"/>
    </row>
    <row r="5623">
      <c r="A5623" s="49">
        <v>44572.22623417824</v>
      </c>
      <c r="B5623" s="50">
        <v>44572.3512079745</v>
      </c>
      <c r="C5623" s="51">
        <v>1.008</v>
      </c>
      <c r="D5623" s="51">
        <v>68.0</v>
      </c>
      <c r="E5623" s="52" t="s">
        <v>25</v>
      </c>
      <c r="F5623" s="52" t="s">
        <v>26</v>
      </c>
      <c r="G5623" s="53"/>
    </row>
    <row r="5624">
      <c r="A5624" s="49">
        <v>44572.23664716435</v>
      </c>
      <c r="B5624" s="50">
        <v>44572.361631655</v>
      </c>
      <c r="C5624" s="51">
        <v>1.007</v>
      </c>
      <c r="D5624" s="51">
        <v>68.0</v>
      </c>
      <c r="E5624" s="52" t="s">
        <v>25</v>
      </c>
      <c r="F5624" s="52" t="s">
        <v>26</v>
      </c>
      <c r="G5624" s="53"/>
    </row>
    <row r="5625">
      <c r="A5625" s="49">
        <v>44572.24708428241</v>
      </c>
      <c r="B5625" s="50">
        <v>44572.3720533564</v>
      </c>
      <c r="C5625" s="51">
        <v>1.007</v>
      </c>
      <c r="D5625" s="51">
        <v>68.0</v>
      </c>
      <c r="E5625" s="52" t="s">
        <v>25</v>
      </c>
      <c r="F5625" s="52" t="s">
        <v>26</v>
      </c>
      <c r="G5625" s="53"/>
    </row>
    <row r="5626">
      <c r="A5626" s="49">
        <v>44572.25749965278</v>
      </c>
      <c r="B5626" s="50">
        <v>44572.3824742708</v>
      </c>
      <c r="C5626" s="51">
        <v>1.008</v>
      </c>
      <c r="D5626" s="51">
        <v>67.0</v>
      </c>
      <c r="E5626" s="52" t="s">
        <v>25</v>
      </c>
      <c r="F5626" s="52" t="s">
        <v>26</v>
      </c>
      <c r="G5626" s="53"/>
    </row>
    <row r="5627">
      <c r="A5627" s="49">
        <v>44572.267921527775</v>
      </c>
      <c r="B5627" s="50">
        <v>44572.392893912</v>
      </c>
      <c r="C5627" s="51">
        <v>1.007</v>
      </c>
      <c r="D5627" s="51">
        <v>67.0</v>
      </c>
      <c r="E5627" s="52" t="s">
        <v>25</v>
      </c>
      <c r="F5627" s="52" t="s">
        <v>26</v>
      </c>
      <c r="G5627" s="53"/>
    </row>
    <row r="5628">
      <c r="A5628" s="49">
        <v>44572.27839493056</v>
      </c>
      <c r="B5628" s="50">
        <v>44572.4033622106</v>
      </c>
      <c r="C5628" s="51">
        <v>1.008</v>
      </c>
      <c r="D5628" s="51">
        <v>67.0</v>
      </c>
      <c r="E5628" s="52" t="s">
        <v>25</v>
      </c>
      <c r="F5628" s="52" t="s">
        <v>26</v>
      </c>
      <c r="G5628" s="53"/>
    </row>
    <row r="5629">
      <c r="A5629" s="49">
        <v>44572.28880825231</v>
      </c>
      <c r="B5629" s="50">
        <v>44572.4137846412</v>
      </c>
      <c r="C5629" s="51">
        <v>1.008</v>
      </c>
      <c r="D5629" s="51">
        <v>67.0</v>
      </c>
      <c r="E5629" s="52" t="s">
        <v>25</v>
      </c>
      <c r="F5629" s="52" t="s">
        <v>26</v>
      </c>
      <c r="G5629" s="53"/>
    </row>
    <row r="5630">
      <c r="A5630" s="49">
        <v>44572.299246319446</v>
      </c>
      <c r="B5630" s="50">
        <v>44572.4242167476</v>
      </c>
      <c r="C5630" s="51">
        <v>1.008</v>
      </c>
      <c r="D5630" s="51">
        <v>67.0</v>
      </c>
      <c r="E5630" s="52" t="s">
        <v>25</v>
      </c>
      <c r="F5630" s="52" t="s">
        <v>26</v>
      </c>
      <c r="G5630" s="53"/>
    </row>
    <row r="5631">
      <c r="A5631" s="49">
        <v>44572.30966083333</v>
      </c>
      <c r="B5631" s="50">
        <v>44572.4346373726</v>
      </c>
      <c r="C5631" s="51">
        <v>1.008</v>
      </c>
      <c r="D5631" s="51">
        <v>67.0</v>
      </c>
      <c r="E5631" s="52" t="s">
        <v>25</v>
      </c>
      <c r="F5631" s="52" t="s">
        <v>26</v>
      </c>
      <c r="G5631" s="53"/>
    </row>
    <row r="5632">
      <c r="A5632" s="49">
        <v>44572.32009162037</v>
      </c>
      <c r="B5632" s="50">
        <v>44572.445069155</v>
      </c>
      <c r="C5632" s="51">
        <v>1.008</v>
      </c>
      <c r="D5632" s="51">
        <v>67.0</v>
      </c>
      <c r="E5632" s="52" t="s">
        <v>25</v>
      </c>
      <c r="F5632" s="52" t="s">
        <v>26</v>
      </c>
      <c r="G5632" s="53"/>
    </row>
    <row r="5633">
      <c r="A5633" s="49">
        <v>44572.33054321759</v>
      </c>
      <c r="B5633" s="50">
        <v>44572.4555126504</v>
      </c>
      <c r="C5633" s="51">
        <v>1.008</v>
      </c>
      <c r="D5633" s="51">
        <v>67.0</v>
      </c>
      <c r="E5633" s="52" t="s">
        <v>25</v>
      </c>
      <c r="F5633" s="52" t="s">
        <v>26</v>
      </c>
      <c r="G5633" s="53"/>
    </row>
    <row r="5634">
      <c r="A5634" s="49">
        <v>44572.340969502315</v>
      </c>
      <c r="B5634" s="50">
        <v>44572.4659439583</v>
      </c>
      <c r="C5634" s="51">
        <v>1.008</v>
      </c>
      <c r="D5634" s="51">
        <v>67.0</v>
      </c>
      <c r="E5634" s="52" t="s">
        <v>25</v>
      </c>
      <c r="F5634" s="52" t="s">
        <v>26</v>
      </c>
      <c r="G5634" s="53"/>
    </row>
    <row r="5635">
      <c r="A5635" s="49">
        <v>44572.35139215278</v>
      </c>
      <c r="B5635" s="50">
        <v>44572.4763632175</v>
      </c>
      <c r="C5635" s="51">
        <v>1.008</v>
      </c>
      <c r="D5635" s="51">
        <v>67.0</v>
      </c>
      <c r="E5635" s="52" t="s">
        <v>25</v>
      </c>
      <c r="F5635" s="52" t="s">
        <v>26</v>
      </c>
      <c r="G5635" s="53"/>
    </row>
    <row r="5636">
      <c r="A5636" s="49">
        <v>44572.36181141203</v>
      </c>
      <c r="B5636" s="50">
        <v>44572.4867842476</v>
      </c>
      <c r="C5636" s="51">
        <v>1.008</v>
      </c>
      <c r="D5636" s="51">
        <v>67.0</v>
      </c>
      <c r="E5636" s="52" t="s">
        <v>25</v>
      </c>
      <c r="F5636" s="52" t="s">
        <v>26</v>
      </c>
      <c r="G5636" s="53"/>
    </row>
    <row r="5637">
      <c r="A5637" s="49">
        <v>44572.372229456014</v>
      </c>
      <c r="B5637" s="50">
        <v>44572.4972058564</v>
      </c>
      <c r="C5637" s="51">
        <v>1.008</v>
      </c>
      <c r="D5637" s="51">
        <v>67.0</v>
      </c>
      <c r="E5637" s="52" t="s">
        <v>25</v>
      </c>
      <c r="F5637" s="52" t="s">
        <v>26</v>
      </c>
      <c r="G5637" s="53"/>
    </row>
    <row r="5638">
      <c r="A5638" s="49">
        <v>44572.382660312505</v>
      </c>
      <c r="B5638" s="50">
        <v>44572.5076386111</v>
      </c>
      <c r="C5638" s="51">
        <v>1.008</v>
      </c>
      <c r="D5638" s="51">
        <v>67.0</v>
      </c>
      <c r="E5638" s="52" t="s">
        <v>25</v>
      </c>
      <c r="F5638" s="52" t="s">
        <v>26</v>
      </c>
      <c r="G5638" s="53"/>
    </row>
    <row r="5639">
      <c r="A5639" s="49">
        <v>44572.393096851854</v>
      </c>
      <c r="B5639" s="50">
        <v>44572.5180730902</v>
      </c>
      <c r="C5639" s="51">
        <v>1.008</v>
      </c>
      <c r="D5639" s="51">
        <v>67.0</v>
      </c>
      <c r="E5639" s="52" t="s">
        <v>25</v>
      </c>
      <c r="F5639" s="52" t="s">
        <v>26</v>
      </c>
      <c r="G5639" s="53"/>
    </row>
    <row r="5640">
      <c r="A5640" s="49">
        <v>44572.40352099537</v>
      </c>
      <c r="B5640" s="50">
        <v>44572.5284934837</v>
      </c>
      <c r="C5640" s="51">
        <v>1.008</v>
      </c>
      <c r="D5640" s="51">
        <v>67.0</v>
      </c>
      <c r="E5640" s="52" t="s">
        <v>25</v>
      </c>
      <c r="F5640" s="52" t="s">
        <v>26</v>
      </c>
      <c r="G5640" s="53"/>
    </row>
    <row r="5641">
      <c r="A5641" s="49">
        <v>44572.41395239583</v>
      </c>
      <c r="B5641" s="50">
        <v>44572.5389242013</v>
      </c>
      <c r="C5641" s="51">
        <v>1.008</v>
      </c>
      <c r="D5641" s="51">
        <v>67.0</v>
      </c>
      <c r="E5641" s="52" t="s">
        <v>25</v>
      </c>
      <c r="F5641" s="52" t="s">
        <v>26</v>
      </c>
      <c r="G5641" s="53"/>
    </row>
    <row r="5642">
      <c r="A5642" s="49">
        <v>44572.42436575232</v>
      </c>
      <c r="B5642" s="50">
        <v>44572.5493450115</v>
      </c>
      <c r="C5642" s="51">
        <v>1.008</v>
      </c>
      <c r="D5642" s="51">
        <v>67.0</v>
      </c>
      <c r="E5642" s="52" t="s">
        <v>25</v>
      </c>
      <c r="F5642" s="52" t="s">
        <v>26</v>
      </c>
      <c r="G5642" s="53"/>
    </row>
    <row r="5643">
      <c r="A5643" s="49">
        <v>44572.43482200231</v>
      </c>
      <c r="B5643" s="50">
        <v>44572.5597903588</v>
      </c>
      <c r="C5643" s="51">
        <v>1.008</v>
      </c>
      <c r="D5643" s="51">
        <v>67.0</v>
      </c>
      <c r="E5643" s="52" t="s">
        <v>25</v>
      </c>
      <c r="F5643" s="52" t="s">
        <v>26</v>
      </c>
      <c r="G5643" s="53"/>
    </row>
    <row r="5644">
      <c r="A5644" s="49">
        <v>44572.44525914352</v>
      </c>
      <c r="B5644" s="50">
        <v>44572.5702230555</v>
      </c>
      <c r="C5644" s="51">
        <v>1.008</v>
      </c>
      <c r="D5644" s="51">
        <v>67.0</v>
      </c>
      <c r="E5644" s="52" t="s">
        <v>25</v>
      </c>
      <c r="F5644" s="52" t="s">
        <v>26</v>
      </c>
      <c r="G5644" s="53"/>
    </row>
    <row r="5645">
      <c r="A5645" s="49">
        <v>44572.45567369213</v>
      </c>
      <c r="B5645" s="50">
        <v>44572.5806466203</v>
      </c>
      <c r="C5645" s="51">
        <v>1.008</v>
      </c>
      <c r="D5645" s="51">
        <v>67.0</v>
      </c>
      <c r="E5645" s="52" t="s">
        <v>25</v>
      </c>
      <c r="F5645" s="52" t="s">
        <v>26</v>
      </c>
      <c r="G5645" s="53"/>
    </row>
    <row r="5646">
      <c r="A5646" s="49">
        <v>44572.46609773148</v>
      </c>
      <c r="B5646" s="50">
        <v>44572.591068125</v>
      </c>
      <c r="C5646" s="51">
        <v>1.008</v>
      </c>
      <c r="D5646" s="51">
        <v>67.0</v>
      </c>
      <c r="E5646" s="52" t="s">
        <v>25</v>
      </c>
      <c r="F5646" s="52" t="s">
        <v>26</v>
      </c>
      <c r="G5646" s="53"/>
    </row>
    <row r="5647">
      <c r="A5647" s="49">
        <v>44572.47651581018</v>
      </c>
      <c r="B5647" s="50">
        <v>44572.6014897685</v>
      </c>
      <c r="C5647" s="51">
        <v>1.008</v>
      </c>
      <c r="D5647" s="51">
        <v>67.0</v>
      </c>
      <c r="E5647" s="52" t="s">
        <v>25</v>
      </c>
      <c r="F5647" s="52" t="s">
        <v>26</v>
      </c>
      <c r="G5647" s="53"/>
    </row>
    <row r="5648">
      <c r="A5648" s="49">
        <v>44572.486952349536</v>
      </c>
      <c r="B5648" s="50">
        <v>44572.6119233333</v>
      </c>
      <c r="C5648" s="51">
        <v>1.008</v>
      </c>
      <c r="D5648" s="51">
        <v>67.0</v>
      </c>
      <c r="E5648" s="52" t="s">
        <v>25</v>
      </c>
      <c r="F5648" s="52" t="s">
        <v>26</v>
      </c>
      <c r="G5648" s="53"/>
    </row>
    <row r="5649">
      <c r="A5649" s="49">
        <v>44572.49739960648</v>
      </c>
      <c r="B5649" s="50">
        <v>44572.6223694675</v>
      </c>
      <c r="C5649" s="51">
        <v>1.008</v>
      </c>
      <c r="D5649" s="51">
        <v>66.0</v>
      </c>
      <c r="E5649" s="52" t="s">
        <v>25</v>
      </c>
      <c r="F5649" s="52" t="s">
        <v>26</v>
      </c>
      <c r="G5649" s="53"/>
    </row>
    <row r="5650">
      <c r="A5650" s="49">
        <v>44572.50781215278</v>
      </c>
      <c r="B5650" s="50">
        <v>44572.6327901157</v>
      </c>
      <c r="C5650" s="51">
        <v>1.008</v>
      </c>
      <c r="D5650" s="51">
        <v>66.0</v>
      </c>
      <c r="E5650" s="52" t="s">
        <v>25</v>
      </c>
      <c r="F5650" s="52" t="s">
        <v>26</v>
      </c>
      <c r="G5650" s="53"/>
    </row>
    <row r="5651">
      <c r="A5651" s="49">
        <v>44572.518231712966</v>
      </c>
      <c r="B5651" s="50">
        <v>44572.6432112615</v>
      </c>
      <c r="C5651" s="51">
        <v>1.008</v>
      </c>
      <c r="D5651" s="51">
        <v>66.0</v>
      </c>
      <c r="E5651" s="52" t="s">
        <v>25</v>
      </c>
      <c r="F5651" s="52" t="s">
        <v>26</v>
      </c>
      <c r="G5651" s="53"/>
    </row>
    <row r="5652">
      <c r="A5652" s="49">
        <v>44572.528816736114</v>
      </c>
      <c r="B5652" s="50">
        <v>44572.6536439351</v>
      </c>
      <c r="C5652" s="51">
        <v>1.008</v>
      </c>
      <c r="D5652" s="51">
        <v>66.0</v>
      </c>
      <c r="E5652" s="52" t="s">
        <v>25</v>
      </c>
      <c r="F5652" s="52" t="s">
        <v>26</v>
      </c>
      <c r="G5652" s="53"/>
    </row>
    <row r="5653">
      <c r="A5653" s="49">
        <v>44572.53910275463</v>
      </c>
      <c r="B5653" s="50">
        <v>44572.664065706</v>
      </c>
      <c r="C5653" s="51">
        <v>1.008</v>
      </c>
      <c r="D5653" s="51">
        <v>66.0</v>
      </c>
      <c r="E5653" s="52" t="s">
        <v>25</v>
      </c>
      <c r="F5653" s="52" t="s">
        <v>26</v>
      </c>
      <c r="G5653" s="53"/>
    </row>
    <row r="5654">
      <c r="A5654" s="49">
        <v>44572.54951377315</v>
      </c>
      <c r="B5654" s="50">
        <v>44572.6744867476</v>
      </c>
      <c r="C5654" s="51">
        <v>1.008</v>
      </c>
      <c r="D5654" s="51">
        <v>66.0</v>
      </c>
      <c r="E5654" s="52" t="s">
        <v>25</v>
      </c>
      <c r="F5654" s="52" t="s">
        <v>26</v>
      </c>
      <c r="G5654" s="53"/>
    </row>
    <row r="5655">
      <c r="A5655" s="49">
        <v>44572.55993333334</v>
      </c>
      <c r="B5655" s="50">
        <v>44572.6849080324</v>
      </c>
      <c r="C5655" s="51">
        <v>1.008</v>
      </c>
      <c r="D5655" s="51">
        <v>66.0</v>
      </c>
      <c r="E5655" s="52" t="s">
        <v>25</v>
      </c>
      <c r="F5655" s="52" t="s">
        <v>26</v>
      </c>
      <c r="G5655" s="53"/>
    </row>
    <row r="5656">
      <c r="A5656" s="49">
        <v>44572.57035239584</v>
      </c>
      <c r="B5656" s="50">
        <v>44572.6953289583</v>
      </c>
      <c r="C5656" s="51">
        <v>1.008</v>
      </c>
      <c r="D5656" s="51">
        <v>66.0</v>
      </c>
      <c r="E5656" s="52" t="s">
        <v>25</v>
      </c>
      <c r="F5656" s="52" t="s">
        <v>26</v>
      </c>
      <c r="G5656" s="53"/>
    </row>
    <row r="5657">
      <c r="A5657" s="49">
        <v>44572.58078921297</v>
      </c>
      <c r="B5657" s="50">
        <v>44572.7057603819</v>
      </c>
      <c r="C5657" s="51">
        <v>1.008</v>
      </c>
      <c r="D5657" s="51">
        <v>66.0</v>
      </c>
      <c r="E5657" s="52" t="s">
        <v>25</v>
      </c>
      <c r="F5657" s="52" t="s">
        <v>26</v>
      </c>
      <c r="G5657" s="53"/>
    </row>
    <row r="5658">
      <c r="A5658" s="49">
        <v>44572.591219560185</v>
      </c>
      <c r="B5658" s="50">
        <v>44572.7161937962</v>
      </c>
      <c r="C5658" s="51">
        <v>1.008</v>
      </c>
      <c r="D5658" s="51">
        <v>66.0</v>
      </c>
      <c r="E5658" s="52" t="s">
        <v>25</v>
      </c>
      <c r="F5658" s="52" t="s">
        <v>26</v>
      </c>
      <c r="G5658" s="53"/>
    </row>
    <row r="5659">
      <c r="A5659" s="49">
        <v>44572.601641284724</v>
      </c>
      <c r="B5659" s="50">
        <v>44572.7266151504</v>
      </c>
      <c r="C5659" s="51">
        <v>1.008</v>
      </c>
      <c r="D5659" s="51">
        <v>66.0</v>
      </c>
      <c r="E5659" s="52" t="s">
        <v>25</v>
      </c>
      <c r="F5659" s="52" t="s">
        <v>26</v>
      </c>
      <c r="G5659" s="53"/>
    </row>
    <row r="5660">
      <c r="A5660" s="49">
        <v>44572.61205244213</v>
      </c>
      <c r="B5660" s="50">
        <v>44572.7370355439</v>
      </c>
      <c r="C5660" s="51">
        <v>1.008</v>
      </c>
      <c r="D5660" s="51">
        <v>66.0</v>
      </c>
      <c r="E5660" s="52" t="s">
        <v>25</v>
      </c>
      <c r="F5660" s="52" t="s">
        <v>26</v>
      </c>
      <c r="G5660" s="53"/>
    </row>
    <row r="5661">
      <c r="A5661" s="49">
        <v>44572.622501550926</v>
      </c>
      <c r="B5661" s="50">
        <v>44572.747479618</v>
      </c>
      <c r="C5661" s="51">
        <v>1.008</v>
      </c>
      <c r="D5661" s="51">
        <v>66.0</v>
      </c>
      <c r="E5661" s="52" t="s">
        <v>25</v>
      </c>
      <c r="F5661" s="52" t="s">
        <v>26</v>
      </c>
      <c r="G5661" s="53"/>
    </row>
    <row r="5662">
      <c r="A5662" s="49">
        <v>44572.63293148148</v>
      </c>
      <c r="B5662" s="50">
        <v>44572.7579001041</v>
      </c>
      <c r="C5662" s="51">
        <v>1.008</v>
      </c>
      <c r="D5662" s="51">
        <v>66.0</v>
      </c>
      <c r="E5662" s="52" t="s">
        <v>25</v>
      </c>
      <c r="F5662" s="52" t="s">
        <v>26</v>
      </c>
      <c r="G5662" s="53"/>
    </row>
    <row r="5663">
      <c r="A5663" s="49">
        <v>44572.643344571756</v>
      </c>
      <c r="B5663" s="50">
        <v>44572.7683231365</v>
      </c>
      <c r="C5663" s="51">
        <v>1.008</v>
      </c>
      <c r="D5663" s="51">
        <v>66.0</v>
      </c>
      <c r="E5663" s="52" t="s">
        <v>25</v>
      </c>
      <c r="F5663" s="52" t="s">
        <v>26</v>
      </c>
      <c r="G5663" s="53"/>
    </row>
    <row r="5664">
      <c r="A5664" s="49">
        <v>44572.65376907407</v>
      </c>
      <c r="B5664" s="50">
        <v>44572.7787460069</v>
      </c>
      <c r="C5664" s="51">
        <v>1.008</v>
      </c>
      <c r="D5664" s="51">
        <v>66.0</v>
      </c>
      <c r="E5664" s="52" t="s">
        <v>25</v>
      </c>
      <c r="F5664" s="52" t="s">
        <v>26</v>
      </c>
      <c r="G5664" s="53"/>
    </row>
    <row r="5665">
      <c r="A5665" s="49">
        <v>44572.66418604167</v>
      </c>
      <c r="B5665" s="50">
        <v>44572.7891681713</v>
      </c>
      <c r="C5665" s="51">
        <v>1.008</v>
      </c>
      <c r="D5665" s="51">
        <v>66.0</v>
      </c>
      <c r="E5665" s="52" t="s">
        <v>25</v>
      </c>
      <c r="F5665" s="52" t="s">
        <v>26</v>
      </c>
      <c r="G5665" s="53"/>
    </row>
    <row r="5666">
      <c r="A5666" s="49">
        <v>44572.67462611111</v>
      </c>
      <c r="B5666" s="50">
        <v>44572.7996010648</v>
      </c>
      <c r="C5666" s="51">
        <v>1.008</v>
      </c>
      <c r="D5666" s="51">
        <v>66.0</v>
      </c>
      <c r="E5666" s="52" t="s">
        <v>25</v>
      </c>
      <c r="F5666" s="52" t="s">
        <v>26</v>
      </c>
      <c r="G5666" s="53"/>
    </row>
    <row r="5667">
      <c r="A5667" s="49">
        <v>44572.68504347222</v>
      </c>
      <c r="B5667" s="50">
        <v>44572.810021875</v>
      </c>
      <c r="C5667" s="51">
        <v>1.008</v>
      </c>
      <c r="D5667" s="51">
        <v>66.0</v>
      </c>
      <c r="E5667" s="52" t="s">
        <v>25</v>
      </c>
      <c r="F5667" s="52" t="s">
        <v>26</v>
      </c>
      <c r="G5667" s="53"/>
    </row>
    <row r="5668">
      <c r="A5668" s="49">
        <v>44572.69547197917</v>
      </c>
      <c r="B5668" s="50">
        <v>44572.8204427314</v>
      </c>
      <c r="C5668" s="51">
        <v>1.008</v>
      </c>
      <c r="D5668" s="51">
        <v>66.0</v>
      </c>
      <c r="E5668" s="52" t="s">
        <v>25</v>
      </c>
      <c r="F5668" s="52" t="s">
        <v>26</v>
      </c>
      <c r="G5668" s="53"/>
    </row>
    <row r="5669">
      <c r="A5669" s="49">
        <v>44572.70590209491</v>
      </c>
      <c r="B5669" s="50">
        <v>44572.8308756481</v>
      </c>
      <c r="C5669" s="51">
        <v>1.008</v>
      </c>
      <c r="D5669" s="51">
        <v>66.0</v>
      </c>
      <c r="E5669" s="52" t="s">
        <v>25</v>
      </c>
      <c r="F5669" s="52" t="s">
        <v>26</v>
      </c>
      <c r="G5669" s="53"/>
    </row>
    <row r="5670">
      <c r="A5670" s="49">
        <v>44572.716319942134</v>
      </c>
      <c r="B5670" s="50">
        <v>44572.8412961458</v>
      </c>
      <c r="C5670" s="51">
        <v>1.008</v>
      </c>
      <c r="D5670" s="51">
        <v>66.0</v>
      </c>
      <c r="E5670" s="52" t="s">
        <v>25</v>
      </c>
      <c r="F5670" s="52" t="s">
        <v>26</v>
      </c>
      <c r="G5670" s="53"/>
    </row>
    <row r="5671">
      <c r="A5671" s="49">
        <v>44572.72674363426</v>
      </c>
      <c r="B5671" s="50">
        <v>44572.8517184259</v>
      </c>
      <c r="C5671" s="51">
        <v>1.008</v>
      </c>
      <c r="D5671" s="51">
        <v>66.0</v>
      </c>
      <c r="E5671" s="52" t="s">
        <v>25</v>
      </c>
      <c r="F5671" s="52" t="s">
        <v>26</v>
      </c>
      <c r="G5671" s="53"/>
    </row>
    <row r="5672">
      <c r="A5672" s="49">
        <v>44572.73716333334</v>
      </c>
      <c r="B5672" s="50">
        <v>44572.8621401851</v>
      </c>
      <c r="C5672" s="51">
        <v>1.008</v>
      </c>
      <c r="D5672" s="51">
        <v>66.0</v>
      </c>
      <c r="E5672" s="52" t="s">
        <v>25</v>
      </c>
      <c r="F5672" s="52" t="s">
        <v>26</v>
      </c>
      <c r="G5672" s="53"/>
    </row>
    <row r="5673">
      <c r="A5673" s="49">
        <v>44572.74757871528</v>
      </c>
      <c r="B5673" s="50">
        <v>44572.8725606712</v>
      </c>
      <c r="C5673" s="51">
        <v>1.008</v>
      </c>
      <c r="D5673" s="51">
        <v>66.0</v>
      </c>
      <c r="E5673" s="52" t="s">
        <v>25</v>
      </c>
      <c r="F5673" s="52" t="s">
        <v>26</v>
      </c>
      <c r="G5673" s="53"/>
    </row>
    <row r="5674">
      <c r="A5674" s="49">
        <v>44572.75803708333</v>
      </c>
      <c r="B5674" s="50">
        <v>44572.8830060879</v>
      </c>
      <c r="C5674" s="51">
        <v>1.008</v>
      </c>
      <c r="D5674" s="51">
        <v>66.0</v>
      </c>
      <c r="E5674" s="52" t="s">
        <v>25</v>
      </c>
      <c r="F5674" s="52" t="s">
        <v>26</v>
      </c>
      <c r="G5674" s="53"/>
    </row>
    <row r="5675">
      <c r="A5675" s="49">
        <v>44572.768463622684</v>
      </c>
      <c r="B5675" s="50">
        <v>44572.8934404398</v>
      </c>
      <c r="C5675" s="51">
        <v>1.008</v>
      </c>
      <c r="D5675" s="51">
        <v>66.0</v>
      </c>
      <c r="E5675" s="52" t="s">
        <v>25</v>
      </c>
      <c r="F5675" s="52" t="s">
        <v>26</v>
      </c>
      <c r="G5675" s="53"/>
    </row>
    <row r="5676">
      <c r="A5676" s="49">
        <v>44572.77888633102</v>
      </c>
      <c r="B5676" s="50">
        <v>44572.9038613078</v>
      </c>
      <c r="C5676" s="51">
        <v>1.008</v>
      </c>
      <c r="D5676" s="51">
        <v>65.0</v>
      </c>
      <c r="E5676" s="52" t="s">
        <v>25</v>
      </c>
      <c r="F5676" s="52" t="s">
        <v>26</v>
      </c>
      <c r="G5676" s="53"/>
    </row>
    <row r="5677">
      <c r="A5677" s="49">
        <v>44572.78930778935</v>
      </c>
      <c r="B5677" s="50">
        <v>44572.9142824652</v>
      </c>
      <c r="C5677" s="51">
        <v>1.008</v>
      </c>
      <c r="D5677" s="51">
        <v>65.0</v>
      </c>
      <c r="E5677" s="52" t="s">
        <v>25</v>
      </c>
      <c r="F5677" s="52" t="s">
        <v>26</v>
      </c>
      <c r="G5677" s="53"/>
    </row>
    <row r="5678">
      <c r="A5678" s="49">
        <v>44572.799755162036</v>
      </c>
      <c r="B5678" s="50">
        <v>44572.9247273379</v>
      </c>
      <c r="C5678" s="51">
        <v>1.008</v>
      </c>
      <c r="D5678" s="51">
        <v>65.0</v>
      </c>
      <c r="E5678" s="52" t="s">
        <v>25</v>
      </c>
      <c r="F5678" s="52" t="s">
        <v>26</v>
      </c>
      <c r="G5678" s="53"/>
    </row>
    <row r="5679">
      <c r="A5679" s="49">
        <v>44572.81017699074</v>
      </c>
      <c r="B5679" s="50">
        <v>44572.9351489236</v>
      </c>
      <c r="C5679" s="51">
        <v>1.008</v>
      </c>
      <c r="D5679" s="51">
        <v>65.0</v>
      </c>
      <c r="E5679" s="52" t="s">
        <v>25</v>
      </c>
      <c r="F5679" s="52" t="s">
        <v>26</v>
      </c>
      <c r="G5679" s="53"/>
    </row>
    <row r="5680">
      <c r="A5680" s="49">
        <v>44572.82060332176</v>
      </c>
      <c r="B5680" s="50">
        <v>44572.9455820949</v>
      </c>
      <c r="C5680" s="51">
        <v>1.008</v>
      </c>
      <c r="D5680" s="51">
        <v>65.0</v>
      </c>
      <c r="E5680" s="52" t="s">
        <v>25</v>
      </c>
      <c r="F5680" s="52" t="s">
        <v>26</v>
      </c>
      <c r="G5680" s="53"/>
    </row>
    <row r="5681">
      <c r="A5681" s="49">
        <v>44572.831035613424</v>
      </c>
      <c r="B5681" s="50">
        <v>44572.956002743</v>
      </c>
      <c r="C5681" s="51">
        <v>1.008</v>
      </c>
      <c r="D5681" s="51">
        <v>65.0</v>
      </c>
      <c r="E5681" s="52" t="s">
        <v>25</v>
      </c>
      <c r="F5681" s="52" t="s">
        <v>26</v>
      </c>
      <c r="G5681" s="53"/>
    </row>
    <row r="5682">
      <c r="A5682" s="49">
        <v>44572.8414447338</v>
      </c>
      <c r="B5682" s="50">
        <v>44572.9664224305</v>
      </c>
      <c r="C5682" s="51">
        <v>1.008</v>
      </c>
      <c r="D5682" s="51">
        <v>65.0</v>
      </c>
      <c r="E5682" s="52" t="s">
        <v>25</v>
      </c>
      <c r="F5682" s="52" t="s">
        <v>26</v>
      </c>
      <c r="G5682" s="53"/>
    </row>
    <row r="5683">
      <c r="A5683" s="49">
        <v>44572.851866446756</v>
      </c>
      <c r="B5683" s="50">
        <v>44572.9768423611</v>
      </c>
      <c r="C5683" s="51">
        <v>1.008</v>
      </c>
      <c r="D5683" s="51">
        <v>65.0</v>
      </c>
      <c r="E5683" s="52" t="s">
        <v>25</v>
      </c>
      <c r="F5683" s="52" t="s">
        <v>26</v>
      </c>
      <c r="G5683" s="53"/>
    </row>
    <row r="5684">
      <c r="A5684" s="49">
        <v>44572.86228377315</v>
      </c>
      <c r="B5684" s="50">
        <v>44572.9872636226</v>
      </c>
      <c r="C5684" s="51">
        <v>1.008</v>
      </c>
      <c r="D5684" s="51">
        <v>65.0</v>
      </c>
      <c r="E5684" s="52" t="s">
        <v>25</v>
      </c>
      <c r="F5684" s="52" t="s">
        <v>26</v>
      </c>
      <c r="G5684" s="53"/>
    </row>
    <row r="5685">
      <c r="A5685" s="49">
        <v>44572.87270063657</v>
      </c>
      <c r="B5685" s="50">
        <v>44572.9976850115</v>
      </c>
      <c r="C5685" s="51">
        <v>1.008</v>
      </c>
      <c r="D5685" s="51">
        <v>65.0</v>
      </c>
      <c r="E5685" s="52" t="s">
        <v>25</v>
      </c>
      <c r="F5685" s="52" t="s">
        <v>26</v>
      </c>
      <c r="G5685" s="53"/>
    </row>
    <row r="5686">
      <c r="A5686" s="49">
        <v>44572.88312145833</v>
      </c>
      <c r="B5686" s="50">
        <v>44573.0081057523</v>
      </c>
      <c r="C5686" s="51">
        <v>1.008</v>
      </c>
      <c r="D5686" s="51">
        <v>65.0</v>
      </c>
      <c r="E5686" s="52" t="s">
        <v>25</v>
      </c>
      <c r="F5686" s="52" t="s">
        <v>26</v>
      </c>
      <c r="G5686" s="53"/>
    </row>
    <row r="5687">
      <c r="A5687" s="49">
        <v>44572.89354616898</v>
      </c>
      <c r="B5687" s="50">
        <v>44573.0185282291</v>
      </c>
      <c r="C5687" s="51">
        <v>1.008</v>
      </c>
      <c r="D5687" s="51">
        <v>65.0</v>
      </c>
      <c r="E5687" s="52" t="s">
        <v>25</v>
      </c>
      <c r="F5687" s="52" t="s">
        <v>26</v>
      </c>
      <c r="G5687" s="53"/>
    </row>
    <row r="5688">
      <c r="A5688" s="49">
        <v>44572.90397128472</v>
      </c>
      <c r="B5688" s="50">
        <v>44573.0289494444</v>
      </c>
      <c r="C5688" s="51">
        <v>1.008</v>
      </c>
      <c r="D5688" s="51">
        <v>65.0</v>
      </c>
      <c r="E5688" s="52" t="s">
        <v>25</v>
      </c>
      <c r="F5688" s="52" t="s">
        <v>26</v>
      </c>
      <c r="G5688" s="53"/>
    </row>
    <row r="5689">
      <c r="A5689" s="49">
        <v>44572.91439099537</v>
      </c>
      <c r="B5689" s="50">
        <v>44573.0393701736</v>
      </c>
      <c r="C5689" s="51">
        <v>1.008</v>
      </c>
      <c r="D5689" s="51">
        <v>65.0</v>
      </c>
      <c r="E5689" s="52" t="s">
        <v>25</v>
      </c>
      <c r="F5689" s="52" t="s">
        <v>26</v>
      </c>
      <c r="G5689" s="53"/>
    </row>
    <row r="5690">
      <c r="A5690" s="49">
        <v>44572.92481711805</v>
      </c>
      <c r="B5690" s="50">
        <v>44573.0497925578</v>
      </c>
      <c r="C5690" s="51">
        <v>1.008</v>
      </c>
      <c r="D5690" s="51">
        <v>65.0</v>
      </c>
      <c r="E5690" s="52" t="s">
        <v>25</v>
      </c>
      <c r="F5690" s="52" t="s">
        <v>26</v>
      </c>
      <c r="G5690" s="53"/>
    </row>
    <row r="5691">
      <c r="A5691" s="49">
        <v>44572.935241099534</v>
      </c>
      <c r="B5691" s="50">
        <v>44573.0602145254</v>
      </c>
      <c r="C5691" s="51">
        <v>1.008</v>
      </c>
      <c r="D5691" s="51">
        <v>65.0</v>
      </c>
      <c r="E5691" s="52" t="s">
        <v>25</v>
      </c>
      <c r="F5691" s="52" t="s">
        <v>26</v>
      </c>
      <c r="G5691" s="53"/>
    </row>
    <row r="5692">
      <c r="A5692" s="49">
        <v>44572.94565324074</v>
      </c>
      <c r="B5692" s="50">
        <v>44573.0706363425</v>
      </c>
      <c r="C5692" s="51">
        <v>1.008</v>
      </c>
      <c r="D5692" s="51">
        <v>65.0</v>
      </c>
      <c r="E5692" s="52" t="s">
        <v>25</v>
      </c>
      <c r="F5692" s="52" t="s">
        <v>26</v>
      </c>
      <c r="G5692" s="53"/>
    </row>
    <row r="5693">
      <c r="A5693" s="49">
        <v>44572.95609951389</v>
      </c>
      <c r="B5693" s="50">
        <v>44573.0810705208</v>
      </c>
      <c r="C5693" s="51">
        <v>1.008</v>
      </c>
      <c r="D5693" s="51">
        <v>65.0</v>
      </c>
      <c r="E5693" s="52" t="s">
        <v>25</v>
      </c>
      <c r="F5693" s="52" t="s">
        <v>26</v>
      </c>
      <c r="G5693" s="53"/>
    </row>
    <row r="5694">
      <c r="A5694" s="49">
        <v>44572.96651828704</v>
      </c>
      <c r="B5694" s="50">
        <v>44573.0914930208</v>
      </c>
      <c r="C5694" s="51">
        <v>1.008</v>
      </c>
      <c r="D5694" s="51">
        <v>65.0</v>
      </c>
      <c r="E5694" s="52" t="s">
        <v>25</v>
      </c>
      <c r="F5694" s="52" t="s">
        <v>26</v>
      </c>
      <c r="G5694" s="53"/>
    </row>
    <row r="5695">
      <c r="A5695" s="49">
        <v>44572.97693560185</v>
      </c>
      <c r="B5695" s="50">
        <v>44573.1019132175</v>
      </c>
      <c r="C5695" s="51">
        <v>1.008</v>
      </c>
      <c r="D5695" s="51">
        <v>65.0</v>
      </c>
      <c r="E5695" s="52" t="s">
        <v>25</v>
      </c>
      <c r="F5695" s="52" t="s">
        <v>26</v>
      </c>
      <c r="G5695" s="53"/>
    </row>
    <row r="5696">
      <c r="A5696" s="49">
        <v>44572.98736832176</v>
      </c>
      <c r="B5696" s="50">
        <v>44573.1123463194</v>
      </c>
      <c r="C5696" s="51">
        <v>1.008</v>
      </c>
      <c r="D5696" s="51">
        <v>65.0</v>
      </c>
      <c r="E5696" s="52" t="s">
        <v>25</v>
      </c>
      <c r="F5696" s="52" t="s">
        <v>26</v>
      </c>
      <c r="G5696" s="53"/>
    </row>
    <row r="5697">
      <c r="A5697" s="49">
        <v>44572.99779226852</v>
      </c>
      <c r="B5697" s="50">
        <v>44573.1227669097</v>
      </c>
      <c r="C5697" s="51">
        <v>1.008</v>
      </c>
      <c r="D5697" s="51">
        <v>65.0</v>
      </c>
      <c r="E5697" s="52" t="s">
        <v>25</v>
      </c>
      <c r="F5697" s="52" t="s">
        <v>26</v>
      </c>
      <c r="G5697" s="53"/>
    </row>
    <row r="5698">
      <c r="A5698" s="49">
        <v>44573.00820820602</v>
      </c>
      <c r="B5698" s="50">
        <v>44573.1331881828</v>
      </c>
      <c r="C5698" s="51">
        <v>1.008</v>
      </c>
      <c r="D5698" s="51">
        <v>65.0</v>
      </c>
      <c r="E5698" s="52" t="s">
        <v>25</v>
      </c>
      <c r="F5698" s="52" t="s">
        <v>26</v>
      </c>
      <c r="G5698" s="53"/>
    </row>
    <row r="5699">
      <c r="A5699" s="49">
        <v>44573.018632210646</v>
      </c>
      <c r="B5699" s="50">
        <v>44573.1436079513</v>
      </c>
      <c r="C5699" s="51">
        <v>1.008</v>
      </c>
      <c r="D5699" s="51">
        <v>65.0</v>
      </c>
      <c r="E5699" s="52" t="s">
        <v>25</v>
      </c>
      <c r="F5699" s="52" t="s">
        <v>26</v>
      </c>
      <c r="G5699" s="53"/>
    </row>
    <row r="5700">
      <c r="A5700" s="49">
        <v>44573.029064745366</v>
      </c>
      <c r="B5700" s="50">
        <v>44573.1540405208</v>
      </c>
      <c r="C5700" s="51">
        <v>1.008</v>
      </c>
      <c r="D5700" s="51">
        <v>65.0</v>
      </c>
      <c r="E5700" s="52" t="s">
        <v>25</v>
      </c>
      <c r="F5700" s="52" t="s">
        <v>26</v>
      </c>
      <c r="G5700" s="53"/>
    </row>
    <row r="5701">
      <c r="A5701" s="49">
        <v>44573.03948493056</v>
      </c>
      <c r="B5701" s="50">
        <v>44573.1644625925</v>
      </c>
      <c r="C5701" s="51">
        <v>1.008</v>
      </c>
      <c r="D5701" s="51">
        <v>65.0</v>
      </c>
      <c r="E5701" s="52" t="s">
        <v>25</v>
      </c>
      <c r="F5701" s="52" t="s">
        <v>26</v>
      </c>
      <c r="G5701" s="53"/>
    </row>
    <row r="5702">
      <c r="A5702" s="49">
        <v>44573.049920289355</v>
      </c>
      <c r="B5702" s="50">
        <v>44573.1748967592</v>
      </c>
      <c r="C5702" s="51">
        <v>1.008</v>
      </c>
      <c r="D5702" s="51">
        <v>64.0</v>
      </c>
      <c r="E5702" s="52" t="s">
        <v>25</v>
      </c>
      <c r="F5702" s="52" t="s">
        <v>26</v>
      </c>
      <c r="G5702" s="53"/>
    </row>
    <row r="5703">
      <c r="A5703" s="49">
        <v>44573.06034439815</v>
      </c>
      <c r="B5703" s="50">
        <v>44573.1853274999</v>
      </c>
      <c r="C5703" s="51">
        <v>1.008</v>
      </c>
      <c r="D5703" s="51">
        <v>64.0</v>
      </c>
      <c r="E5703" s="52" t="s">
        <v>25</v>
      </c>
      <c r="F5703" s="52" t="s">
        <v>26</v>
      </c>
      <c r="G5703" s="53"/>
    </row>
    <row r="5704">
      <c r="A5704" s="49">
        <v>44573.07076973379</v>
      </c>
      <c r="B5704" s="50">
        <v>44573.1957479629</v>
      </c>
      <c r="C5704" s="51">
        <v>1.008</v>
      </c>
      <c r="D5704" s="51">
        <v>64.0</v>
      </c>
      <c r="E5704" s="52" t="s">
        <v>25</v>
      </c>
      <c r="F5704" s="52" t="s">
        <v>26</v>
      </c>
      <c r="G5704" s="53"/>
    </row>
    <row r="5705">
      <c r="A5705" s="49">
        <v>44573.08118572917</v>
      </c>
      <c r="B5705" s="50">
        <v>44573.2061679861</v>
      </c>
      <c r="C5705" s="51">
        <v>1.008</v>
      </c>
      <c r="D5705" s="51">
        <v>64.0</v>
      </c>
      <c r="E5705" s="52" t="s">
        <v>25</v>
      </c>
      <c r="F5705" s="52" t="s">
        <v>26</v>
      </c>
      <c r="G5705" s="53"/>
    </row>
    <row r="5706">
      <c r="A5706" s="49">
        <v>44573.09163872685</v>
      </c>
      <c r="B5706" s="50">
        <v>44573.2166121643</v>
      </c>
      <c r="C5706" s="51">
        <v>1.008</v>
      </c>
      <c r="D5706" s="51">
        <v>64.0</v>
      </c>
      <c r="E5706" s="52" t="s">
        <v>25</v>
      </c>
      <c r="F5706" s="52" t="s">
        <v>26</v>
      </c>
      <c r="G5706" s="53"/>
    </row>
    <row r="5707">
      <c r="A5707" s="49">
        <v>44573.10206423611</v>
      </c>
      <c r="B5707" s="50">
        <v>44573.2270320601</v>
      </c>
      <c r="C5707" s="51">
        <v>1.008</v>
      </c>
      <c r="D5707" s="51">
        <v>64.0</v>
      </c>
      <c r="E5707" s="52" t="s">
        <v>25</v>
      </c>
      <c r="F5707" s="52" t="s">
        <v>26</v>
      </c>
      <c r="G5707" s="53"/>
    </row>
    <row r="5708">
      <c r="A5708" s="49">
        <v>44573.1124744213</v>
      </c>
      <c r="B5708" s="50">
        <v>44573.2374525</v>
      </c>
      <c r="C5708" s="51">
        <v>1.008</v>
      </c>
      <c r="D5708" s="51">
        <v>64.0</v>
      </c>
      <c r="E5708" s="52" t="s">
        <v>25</v>
      </c>
      <c r="F5708" s="52" t="s">
        <v>26</v>
      </c>
      <c r="G5708" s="53"/>
    </row>
    <row r="5709">
      <c r="A5709" s="49">
        <v>44573.122902523144</v>
      </c>
      <c r="B5709" s="50">
        <v>44573.2478757407</v>
      </c>
      <c r="C5709" s="51">
        <v>1.008</v>
      </c>
      <c r="D5709" s="51">
        <v>64.0</v>
      </c>
      <c r="E5709" s="52" t="s">
        <v>25</v>
      </c>
      <c r="F5709" s="52" t="s">
        <v>26</v>
      </c>
      <c r="G5709" s="53"/>
    </row>
    <row r="5710">
      <c r="A5710" s="49">
        <v>44573.13331711806</v>
      </c>
      <c r="B5710" s="50">
        <v>44573.2582963657</v>
      </c>
      <c r="C5710" s="51">
        <v>1.008</v>
      </c>
      <c r="D5710" s="51">
        <v>64.0</v>
      </c>
      <c r="E5710" s="52" t="s">
        <v>25</v>
      </c>
      <c r="F5710" s="52" t="s">
        <v>26</v>
      </c>
      <c r="G5710" s="53"/>
    </row>
    <row r="5711">
      <c r="A5711" s="49">
        <v>44573.14377023148</v>
      </c>
      <c r="B5711" s="50">
        <v>44573.2687403819</v>
      </c>
      <c r="C5711" s="51">
        <v>1.008</v>
      </c>
      <c r="D5711" s="51">
        <v>64.0</v>
      </c>
      <c r="E5711" s="52" t="s">
        <v>25</v>
      </c>
      <c r="F5711" s="52" t="s">
        <v>26</v>
      </c>
      <c r="G5711" s="53"/>
    </row>
    <row r="5712">
      <c r="A5712" s="49">
        <v>44573.15420953704</v>
      </c>
      <c r="B5712" s="50">
        <v>44573.2791860995</v>
      </c>
      <c r="C5712" s="51">
        <v>1.008</v>
      </c>
      <c r="D5712" s="51">
        <v>64.0</v>
      </c>
      <c r="E5712" s="52" t="s">
        <v>25</v>
      </c>
      <c r="F5712" s="52" t="s">
        <v>26</v>
      </c>
      <c r="G5712" s="53"/>
    </row>
    <row r="5713">
      <c r="A5713" s="49">
        <v>44573.16464804398</v>
      </c>
      <c r="B5713" s="50">
        <v>44573.2896185532</v>
      </c>
      <c r="C5713" s="51">
        <v>1.008</v>
      </c>
      <c r="D5713" s="51">
        <v>64.0</v>
      </c>
      <c r="E5713" s="52" t="s">
        <v>25</v>
      </c>
      <c r="F5713" s="52" t="s">
        <v>26</v>
      </c>
      <c r="G5713" s="53"/>
    </row>
    <row r="5714">
      <c r="A5714" s="49">
        <v>44573.17507939815</v>
      </c>
      <c r="B5714" s="50">
        <v>44573.300051574</v>
      </c>
      <c r="C5714" s="51">
        <v>1.008</v>
      </c>
      <c r="D5714" s="51">
        <v>64.0</v>
      </c>
      <c r="E5714" s="52" t="s">
        <v>25</v>
      </c>
      <c r="F5714" s="52" t="s">
        <v>26</v>
      </c>
      <c r="G5714" s="53"/>
    </row>
    <row r="5715">
      <c r="A5715" s="49">
        <v>44573.18549822917</v>
      </c>
      <c r="B5715" s="50">
        <v>44573.3104722685</v>
      </c>
      <c r="C5715" s="51">
        <v>1.008</v>
      </c>
      <c r="D5715" s="51">
        <v>64.0</v>
      </c>
      <c r="E5715" s="52" t="s">
        <v>25</v>
      </c>
      <c r="F5715" s="52" t="s">
        <v>26</v>
      </c>
      <c r="G5715" s="53"/>
    </row>
    <row r="5716">
      <c r="A5716" s="49">
        <v>44573.19593523148</v>
      </c>
      <c r="B5716" s="50">
        <v>44573.32090625</v>
      </c>
      <c r="C5716" s="51">
        <v>1.008</v>
      </c>
      <c r="D5716" s="51">
        <v>64.0</v>
      </c>
      <c r="E5716" s="52" t="s">
        <v>25</v>
      </c>
      <c r="F5716" s="52" t="s">
        <v>26</v>
      </c>
      <c r="G5716" s="53"/>
    </row>
    <row r="5717">
      <c r="A5717" s="49">
        <v>44573.20636349537</v>
      </c>
      <c r="B5717" s="50">
        <v>44573.3313295601</v>
      </c>
      <c r="C5717" s="51">
        <v>1.008</v>
      </c>
      <c r="D5717" s="51">
        <v>64.0</v>
      </c>
      <c r="E5717" s="52" t="s">
        <v>25</v>
      </c>
      <c r="F5717" s="52" t="s">
        <v>26</v>
      </c>
      <c r="G5717" s="53"/>
    </row>
    <row r="5718">
      <c r="A5718" s="49">
        <v>44573.21678649305</v>
      </c>
      <c r="B5718" s="50">
        <v>44573.3417627662</v>
      </c>
      <c r="C5718" s="51">
        <v>1.008</v>
      </c>
      <c r="D5718" s="51">
        <v>64.0</v>
      </c>
      <c r="E5718" s="52" t="s">
        <v>25</v>
      </c>
      <c r="F5718" s="52" t="s">
        <v>26</v>
      </c>
      <c r="G5718" s="53"/>
    </row>
    <row r="5719">
      <c r="A5719" s="49">
        <v>44573.2272321875</v>
      </c>
      <c r="B5719" s="50">
        <v>44573.3522074768</v>
      </c>
      <c r="C5719" s="51">
        <v>1.008</v>
      </c>
      <c r="D5719" s="51">
        <v>64.0</v>
      </c>
      <c r="E5719" s="52" t="s">
        <v>25</v>
      </c>
      <c r="F5719" s="52" t="s">
        <v>26</v>
      </c>
      <c r="G5719" s="53"/>
    </row>
    <row r="5720">
      <c r="A5720" s="49">
        <v>44573.23764527778</v>
      </c>
      <c r="B5720" s="50">
        <v>44573.3626281828</v>
      </c>
      <c r="C5720" s="51">
        <v>1.008</v>
      </c>
      <c r="D5720" s="51">
        <v>64.0</v>
      </c>
      <c r="E5720" s="52" t="s">
        <v>25</v>
      </c>
      <c r="F5720" s="52" t="s">
        <v>26</v>
      </c>
      <c r="G5720" s="53"/>
    </row>
    <row r="5721">
      <c r="A5721" s="49">
        <v>44573.248072268514</v>
      </c>
      <c r="B5721" s="50">
        <v>44573.3730494212</v>
      </c>
      <c r="C5721" s="51">
        <v>1.008</v>
      </c>
      <c r="D5721" s="51">
        <v>64.0</v>
      </c>
      <c r="E5721" s="52" t="s">
        <v>25</v>
      </c>
      <c r="F5721" s="52" t="s">
        <v>26</v>
      </c>
      <c r="G5721" s="53"/>
    </row>
    <row r="5722">
      <c r="A5722" s="49">
        <v>44573.258488356485</v>
      </c>
      <c r="B5722" s="50">
        <v>44573.3834707638</v>
      </c>
      <c r="C5722" s="51">
        <v>1.008</v>
      </c>
      <c r="D5722" s="51">
        <v>64.0</v>
      </c>
      <c r="E5722" s="52" t="s">
        <v>25</v>
      </c>
      <c r="F5722" s="52" t="s">
        <v>26</v>
      </c>
      <c r="G5722" s="53"/>
    </row>
    <row r="5723">
      <c r="A5723" s="49">
        <v>44573.268913645836</v>
      </c>
      <c r="B5723" s="50">
        <v>44573.3938899189</v>
      </c>
      <c r="C5723" s="51">
        <v>1.008</v>
      </c>
      <c r="D5723" s="51">
        <v>64.0</v>
      </c>
      <c r="E5723" s="52" t="s">
        <v>25</v>
      </c>
      <c r="F5723" s="52" t="s">
        <v>26</v>
      </c>
      <c r="G5723" s="53"/>
    </row>
    <row r="5724">
      <c r="A5724" s="49">
        <v>44573.279336736116</v>
      </c>
      <c r="B5724" s="50">
        <v>44573.4043103819</v>
      </c>
      <c r="C5724" s="51">
        <v>1.008</v>
      </c>
      <c r="D5724" s="51">
        <v>64.0</v>
      </c>
      <c r="E5724" s="52" t="s">
        <v>25</v>
      </c>
      <c r="F5724" s="52" t="s">
        <v>26</v>
      </c>
      <c r="G5724" s="53"/>
    </row>
    <row r="5725">
      <c r="A5725" s="49">
        <v>44573.28976327546</v>
      </c>
      <c r="B5725" s="50">
        <v>44573.4147418981</v>
      </c>
      <c r="C5725" s="51">
        <v>1.008</v>
      </c>
      <c r="D5725" s="51">
        <v>64.0</v>
      </c>
      <c r="E5725" s="52" t="s">
        <v>25</v>
      </c>
      <c r="F5725" s="52" t="s">
        <v>26</v>
      </c>
      <c r="G5725" s="53"/>
    </row>
    <row r="5726">
      <c r="A5726" s="49">
        <v>44573.30022273149</v>
      </c>
      <c r="B5726" s="50">
        <v>44573.4251873263</v>
      </c>
      <c r="C5726" s="51">
        <v>1.008</v>
      </c>
      <c r="D5726" s="51">
        <v>64.0</v>
      </c>
      <c r="E5726" s="52" t="s">
        <v>25</v>
      </c>
      <c r="F5726" s="52" t="s">
        <v>26</v>
      </c>
      <c r="G5726" s="53"/>
    </row>
    <row r="5727">
      <c r="A5727" s="49">
        <v>44573.31063952546</v>
      </c>
      <c r="B5727" s="50">
        <v>44573.4356087847</v>
      </c>
      <c r="C5727" s="51">
        <v>1.008</v>
      </c>
      <c r="D5727" s="51">
        <v>64.0</v>
      </c>
      <c r="E5727" s="52" t="s">
        <v>25</v>
      </c>
      <c r="F5727" s="52" t="s">
        <v>26</v>
      </c>
      <c r="G5727" s="53"/>
    </row>
    <row r="5728">
      <c r="A5728" s="49">
        <v>44573.32105799769</v>
      </c>
      <c r="B5728" s="50">
        <v>44573.4460312152</v>
      </c>
      <c r="C5728" s="51">
        <v>1.008</v>
      </c>
      <c r="D5728" s="51">
        <v>64.0</v>
      </c>
      <c r="E5728" s="52" t="s">
        <v>25</v>
      </c>
      <c r="F5728" s="52" t="s">
        <v>26</v>
      </c>
      <c r="G5728" s="53"/>
    </row>
    <row r="5729">
      <c r="A5729" s="49">
        <v>44573.331472199076</v>
      </c>
      <c r="B5729" s="50">
        <v>44573.4564519791</v>
      </c>
      <c r="C5729" s="51">
        <v>1.008</v>
      </c>
      <c r="D5729" s="51">
        <v>64.0</v>
      </c>
      <c r="E5729" s="52" t="s">
        <v>25</v>
      </c>
      <c r="F5729" s="52" t="s">
        <v>26</v>
      </c>
      <c r="G5729" s="53"/>
    </row>
    <row r="5730">
      <c r="A5730" s="49">
        <v>44573.34189753472</v>
      </c>
      <c r="B5730" s="50">
        <v>44573.4668732291</v>
      </c>
      <c r="C5730" s="51">
        <v>1.008</v>
      </c>
      <c r="D5730" s="51">
        <v>64.0</v>
      </c>
      <c r="E5730" s="52" t="s">
        <v>25</v>
      </c>
      <c r="F5730" s="52" t="s">
        <v>26</v>
      </c>
      <c r="G5730" s="53"/>
    </row>
    <row r="5731">
      <c r="A5731" s="49">
        <v>44573.35231769676</v>
      </c>
      <c r="B5731" s="50">
        <v>44573.4772952546</v>
      </c>
      <c r="C5731" s="51">
        <v>1.008</v>
      </c>
      <c r="D5731" s="51">
        <v>64.0</v>
      </c>
      <c r="E5731" s="52" t="s">
        <v>25</v>
      </c>
      <c r="F5731" s="52" t="s">
        <v>26</v>
      </c>
      <c r="G5731" s="53"/>
    </row>
    <row r="5732">
      <c r="A5732" s="49">
        <v>44573.36274405093</v>
      </c>
      <c r="B5732" s="50">
        <v>44573.4877156481</v>
      </c>
      <c r="C5732" s="51">
        <v>1.008</v>
      </c>
      <c r="D5732" s="51">
        <v>64.0</v>
      </c>
      <c r="E5732" s="52" t="s">
        <v>25</v>
      </c>
      <c r="F5732" s="52" t="s">
        <v>26</v>
      </c>
      <c r="G5732" s="53"/>
    </row>
    <row r="5733">
      <c r="A5733" s="49">
        <v>44573.37316048611</v>
      </c>
      <c r="B5733" s="50">
        <v>44573.4981368634</v>
      </c>
      <c r="C5733" s="51">
        <v>1.008</v>
      </c>
      <c r="D5733" s="51">
        <v>64.0</v>
      </c>
      <c r="E5733" s="52" t="s">
        <v>25</v>
      </c>
      <c r="F5733" s="52" t="s">
        <v>26</v>
      </c>
      <c r="G5733" s="53"/>
    </row>
    <row r="5734">
      <c r="A5734" s="49">
        <v>44573.38357903935</v>
      </c>
      <c r="B5734" s="50">
        <v>44573.5085562499</v>
      </c>
      <c r="C5734" s="51">
        <v>1.008</v>
      </c>
      <c r="D5734" s="51">
        <v>64.0</v>
      </c>
      <c r="E5734" s="52" t="s">
        <v>25</v>
      </c>
      <c r="F5734" s="52" t="s">
        <v>26</v>
      </c>
      <c r="G5734" s="53"/>
    </row>
    <row r="5735">
      <c r="A5735" s="49">
        <v>44573.39399788194</v>
      </c>
      <c r="B5735" s="50">
        <v>44573.5189780555</v>
      </c>
      <c r="C5735" s="51">
        <v>1.008</v>
      </c>
      <c r="D5735" s="51">
        <v>64.0</v>
      </c>
      <c r="E5735" s="52" t="s">
        <v>25</v>
      </c>
      <c r="F5735" s="52" t="s">
        <v>26</v>
      </c>
      <c r="G5735" s="53"/>
    </row>
    <row r="5736">
      <c r="A5736" s="49">
        <v>44573.404423831016</v>
      </c>
      <c r="B5736" s="50">
        <v>44573.5293986689</v>
      </c>
      <c r="C5736" s="51">
        <v>1.008</v>
      </c>
      <c r="D5736" s="51">
        <v>64.0</v>
      </c>
      <c r="E5736" s="52" t="s">
        <v>25</v>
      </c>
      <c r="F5736" s="52" t="s">
        <v>26</v>
      </c>
      <c r="G5736" s="53"/>
    </row>
    <row r="5737">
      <c r="A5737" s="49">
        <v>44573.41486662037</v>
      </c>
      <c r="B5737" s="50">
        <v>44573.5398429861</v>
      </c>
      <c r="C5737" s="51">
        <v>1.008</v>
      </c>
      <c r="D5737" s="51">
        <v>63.0</v>
      </c>
      <c r="E5737" s="52" t="s">
        <v>25</v>
      </c>
      <c r="F5737" s="52" t="s">
        <v>26</v>
      </c>
      <c r="G5737" s="53"/>
    </row>
    <row r="5738">
      <c r="A5738" s="49">
        <v>44573.42530290509</v>
      </c>
      <c r="B5738" s="50">
        <v>44573.5502762384</v>
      </c>
      <c r="C5738" s="51">
        <v>1.008</v>
      </c>
      <c r="D5738" s="51">
        <v>63.0</v>
      </c>
      <c r="E5738" s="52" t="s">
        <v>25</v>
      </c>
      <c r="F5738" s="52" t="s">
        <v>26</v>
      </c>
      <c r="G5738" s="53"/>
    </row>
    <row r="5739">
      <c r="A5739" s="49">
        <v>44573.435720671296</v>
      </c>
      <c r="B5739" s="50">
        <v>44573.5606993055</v>
      </c>
      <c r="C5739" s="51">
        <v>1.008</v>
      </c>
      <c r="D5739" s="51">
        <v>63.0</v>
      </c>
      <c r="E5739" s="52" t="s">
        <v>25</v>
      </c>
      <c r="F5739" s="52" t="s">
        <v>26</v>
      </c>
      <c r="G5739" s="53"/>
    </row>
    <row r="5740">
      <c r="A5740" s="49">
        <v>44573.44615351852</v>
      </c>
      <c r="B5740" s="50">
        <v>44573.571120868</v>
      </c>
      <c r="C5740" s="51">
        <v>1.008</v>
      </c>
      <c r="D5740" s="51">
        <v>63.0</v>
      </c>
      <c r="E5740" s="52" t="s">
        <v>25</v>
      </c>
      <c r="F5740" s="52" t="s">
        <v>26</v>
      </c>
      <c r="G5740" s="53"/>
    </row>
    <row r="5741">
      <c r="A5741" s="49">
        <v>44573.456585555556</v>
      </c>
      <c r="B5741" s="50">
        <v>44573.5815530324</v>
      </c>
      <c r="C5741" s="51">
        <v>1.008</v>
      </c>
      <c r="D5741" s="51">
        <v>63.0</v>
      </c>
      <c r="E5741" s="52" t="s">
        <v>25</v>
      </c>
      <c r="F5741" s="52" t="s">
        <v>26</v>
      </c>
      <c r="G5741" s="53"/>
    </row>
    <row r="5742">
      <c r="A5742" s="49">
        <v>44573.467002164354</v>
      </c>
      <c r="B5742" s="50">
        <v>44573.5919742939</v>
      </c>
      <c r="C5742" s="51">
        <v>1.008</v>
      </c>
      <c r="D5742" s="51">
        <v>63.0</v>
      </c>
      <c r="E5742" s="52" t="s">
        <v>25</v>
      </c>
      <c r="F5742" s="52" t="s">
        <v>26</v>
      </c>
      <c r="G5742" s="53"/>
    </row>
    <row r="5743">
      <c r="A5743" s="49">
        <v>44573.4774375</v>
      </c>
      <c r="B5743" s="50">
        <v>44573.6024072338</v>
      </c>
      <c r="C5743" s="51">
        <v>1.008</v>
      </c>
      <c r="D5743" s="51">
        <v>63.0</v>
      </c>
      <c r="E5743" s="52" t="s">
        <v>25</v>
      </c>
      <c r="F5743" s="52" t="s">
        <v>26</v>
      </c>
      <c r="G5743" s="53"/>
    </row>
    <row r="5744">
      <c r="A5744" s="49">
        <v>44573.487851805556</v>
      </c>
      <c r="B5744" s="50">
        <v>44573.6128277777</v>
      </c>
      <c r="C5744" s="51">
        <v>1.008</v>
      </c>
      <c r="D5744" s="51">
        <v>63.0</v>
      </c>
      <c r="E5744" s="52" t="s">
        <v>25</v>
      </c>
      <c r="F5744" s="52" t="s">
        <v>26</v>
      </c>
      <c r="G5744" s="53"/>
    </row>
    <row r="5745">
      <c r="A5745" s="49">
        <v>44573.49829012732</v>
      </c>
      <c r="B5745" s="50">
        <v>44573.6232601157</v>
      </c>
      <c r="C5745" s="51">
        <v>1.008</v>
      </c>
      <c r="D5745" s="51">
        <v>63.0</v>
      </c>
      <c r="E5745" s="52" t="s">
        <v>25</v>
      </c>
      <c r="F5745" s="52" t="s">
        <v>26</v>
      </c>
      <c r="G5745" s="53"/>
    </row>
    <row r="5746">
      <c r="A5746" s="49">
        <v>44573.50870052083</v>
      </c>
      <c r="B5746" s="50">
        <v>44573.6336803124</v>
      </c>
      <c r="C5746" s="51">
        <v>1.008</v>
      </c>
      <c r="D5746" s="51">
        <v>63.0</v>
      </c>
      <c r="E5746" s="52" t="s">
        <v>25</v>
      </c>
      <c r="F5746" s="52" t="s">
        <v>26</v>
      </c>
      <c r="G5746" s="53"/>
    </row>
    <row r="5747">
      <c r="A5747" s="49">
        <v>44573.51913027778</v>
      </c>
      <c r="B5747" s="50">
        <v>44573.6441006712</v>
      </c>
      <c r="C5747" s="51">
        <v>1.008</v>
      </c>
      <c r="D5747" s="51">
        <v>63.0</v>
      </c>
      <c r="E5747" s="52" t="s">
        <v>25</v>
      </c>
      <c r="F5747" s="52" t="s">
        <v>26</v>
      </c>
      <c r="G5747" s="53"/>
    </row>
    <row r="5748">
      <c r="A5748" s="49">
        <v>44573.52954596065</v>
      </c>
      <c r="B5748" s="50">
        <v>44573.6545222106</v>
      </c>
      <c r="C5748" s="51">
        <v>1.008</v>
      </c>
      <c r="D5748" s="51">
        <v>63.0</v>
      </c>
      <c r="E5748" s="52" t="s">
        <v>25</v>
      </c>
      <c r="F5748" s="52" t="s">
        <v>26</v>
      </c>
      <c r="G5748" s="53"/>
    </row>
    <row r="5749">
      <c r="A5749" s="49">
        <v>44573.53997362268</v>
      </c>
      <c r="B5749" s="50">
        <v>44573.6649427083</v>
      </c>
      <c r="C5749" s="51">
        <v>1.008</v>
      </c>
      <c r="D5749" s="51">
        <v>63.0</v>
      </c>
      <c r="E5749" s="52" t="s">
        <v>25</v>
      </c>
      <c r="F5749" s="52" t="s">
        <v>26</v>
      </c>
      <c r="G5749" s="53"/>
    </row>
    <row r="5750">
      <c r="A5750" s="49">
        <v>44573.550412094904</v>
      </c>
      <c r="B5750" s="50">
        <v>44573.6753882638</v>
      </c>
      <c r="C5750" s="51">
        <v>1.008</v>
      </c>
      <c r="D5750" s="51">
        <v>63.0</v>
      </c>
      <c r="E5750" s="52" t="s">
        <v>25</v>
      </c>
      <c r="F5750" s="52" t="s">
        <v>26</v>
      </c>
      <c r="G5750" s="53"/>
    </row>
    <row r="5751">
      <c r="A5751" s="49">
        <v>44573.56084251158</v>
      </c>
      <c r="B5751" s="50">
        <v>44573.685810625</v>
      </c>
      <c r="C5751" s="51">
        <v>1.008</v>
      </c>
      <c r="D5751" s="51">
        <v>63.0</v>
      </c>
      <c r="E5751" s="52" t="s">
        <v>25</v>
      </c>
      <c r="F5751" s="52" t="s">
        <v>26</v>
      </c>
      <c r="G5751" s="53"/>
    </row>
    <row r="5752">
      <c r="A5752" s="49">
        <v>44573.57125833334</v>
      </c>
      <c r="B5752" s="50">
        <v>44573.6962326388</v>
      </c>
      <c r="C5752" s="51">
        <v>1.008</v>
      </c>
      <c r="D5752" s="51">
        <v>63.0</v>
      </c>
      <c r="E5752" s="52" t="s">
        <v>25</v>
      </c>
      <c r="F5752" s="52" t="s">
        <v>26</v>
      </c>
      <c r="G5752" s="53"/>
    </row>
    <row r="5753">
      <c r="A5753" s="49">
        <v>44573.58172403935</v>
      </c>
      <c r="B5753" s="50">
        <v>44573.7067015625</v>
      </c>
      <c r="C5753" s="51">
        <v>1.008</v>
      </c>
      <c r="D5753" s="51">
        <v>63.0</v>
      </c>
      <c r="E5753" s="52" t="s">
        <v>25</v>
      </c>
      <c r="F5753" s="52" t="s">
        <v>26</v>
      </c>
      <c r="G5753" s="53"/>
    </row>
    <row r="5754">
      <c r="A5754" s="49">
        <v>44573.59214679398</v>
      </c>
      <c r="B5754" s="50">
        <v>44573.7171205208</v>
      </c>
      <c r="C5754" s="51">
        <v>1.008</v>
      </c>
      <c r="D5754" s="51">
        <v>63.0</v>
      </c>
      <c r="E5754" s="52" t="s">
        <v>25</v>
      </c>
      <c r="F5754" s="52" t="s">
        <v>26</v>
      </c>
      <c r="G5754" s="53"/>
    </row>
    <row r="5755">
      <c r="A5755" s="49">
        <v>44573.60258491898</v>
      </c>
      <c r="B5755" s="50">
        <v>44573.7275529745</v>
      </c>
      <c r="C5755" s="51">
        <v>1.008</v>
      </c>
      <c r="D5755" s="51">
        <v>63.0</v>
      </c>
      <c r="E5755" s="52" t="s">
        <v>25</v>
      </c>
      <c r="F5755" s="52" t="s">
        <v>26</v>
      </c>
      <c r="G5755" s="53"/>
    </row>
    <row r="5756">
      <c r="A5756" s="49">
        <v>44573.61299761574</v>
      </c>
      <c r="B5756" s="50">
        <v>44573.7379741087</v>
      </c>
      <c r="C5756" s="51">
        <v>1.008</v>
      </c>
      <c r="D5756" s="51">
        <v>63.0</v>
      </c>
      <c r="E5756" s="52" t="s">
        <v>25</v>
      </c>
      <c r="F5756" s="52" t="s">
        <v>26</v>
      </c>
      <c r="G5756" s="53"/>
    </row>
    <row r="5757">
      <c r="A5757" s="49">
        <v>44573.623436759255</v>
      </c>
      <c r="B5757" s="50">
        <v>44573.7484064351</v>
      </c>
      <c r="C5757" s="51">
        <v>1.008</v>
      </c>
      <c r="D5757" s="51">
        <v>63.0</v>
      </c>
      <c r="E5757" s="52" t="s">
        <v>25</v>
      </c>
      <c r="F5757" s="52" t="s">
        <v>26</v>
      </c>
      <c r="G5757" s="53"/>
    </row>
    <row r="5758">
      <c r="A5758" s="49">
        <v>44573.63385787037</v>
      </c>
      <c r="B5758" s="50">
        <v>44573.7588290162</v>
      </c>
      <c r="C5758" s="51">
        <v>1.008</v>
      </c>
      <c r="D5758" s="51">
        <v>63.0</v>
      </c>
      <c r="E5758" s="52" t="s">
        <v>25</v>
      </c>
      <c r="F5758" s="52" t="s">
        <v>26</v>
      </c>
      <c r="G5758" s="53"/>
    </row>
    <row r="5759">
      <c r="A5759" s="49">
        <v>44573.644281319444</v>
      </c>
      <c r="B5759" s="50">
        <v>44573.7692507291</v>
      </c>
      <c r="C5759" s="51">
        <v>1.008</v>
      </c>
      <c r="D5759" s="51">
        <v>63.0</v>
      </c>
      <c r="E5759" s="52" t="s">
        <v>25</v>
      </c>
      <c r="F5759" s="52" t="s">
        <v>26</v>
      </c>
      <c r="G5759" s="53"/>
    </row>
    <row r="5760">
      <c r="A5760" s="49">
        <v>44573.65469434028</v>
      </c>
      <c r="B5760" s="50">
        <v>44573.7796709837</v>
      </c>
      <c r="C5760" s="51">
        <v>1.008</v>
      </c>
      <c r="D5760" s="51">
        <v>63.0</v>
      </c>
      <c r="E5760" s="52" t="s">
        <v>25</v>
      </c>
      <c r="F5760" s="52" t="s">
        <v>26</v>
      </c>
      <c r="G5760" s="53"/>
    </row>
    <row r="5761">
      <c r="A5761" s="49">
        <v>44573.66513686343</v>
      </c>
      <c r="B5761" s="50">
        <v>44573.7901035763</v>
      </c>
      <c r="C5761" s="51">
        <v>1.008</v>
      </c>
      <c r="D5761" s="51">
        <v>63.0</v>
      </c>
      <c r="E5761" s="52" t="s">
        <v>25</v>
      </c>
      <c r="F5761" s="52" t="s">
        <v>26</v>
      </c>
      <c r="G5761" s="53"/>
    </row>
    <row r="5762">
      <c r="A5762" s="49">
        <v>44573.67555694444</v>
      </c>
      <c r="B5762" s="50">
        <v>44573.8005262962</v>
      </c>
      <c r="C5762" s="51">
        <v>1.008</v>
      </c>
      <c r="D5762" s="51">
        <v>63.0</v>
      </c>
      <c r="E5762" s="52" t="s">
        <v>25</v>
      </c>
      <c r="F5762" s="52" t="s">
        <v>26</v>
      </c>
      <c r="G5762" s="53"/>
    </row>
    <row r="5763">
      <c r="A5763" s="49">
        <v>44573.68598913195</v>
      </c>
      <c r="B5763" s="50">
        <v>44573.8109598032</v>
      </c>
      <c r="C5763" s="51">
        <v>1.008</v>
      </c>
      <c r="D5763" s="51">
        <v>63.0</v>
      </c>
      <c r="E5763" s="52" t="s">
        <v>25</v>
      </c>
      <c r="F5763" s="52" t="s">
        <v>26</v>
      </c>
      <c r="G5763" s="53"/>
    </row>
    <row r="5764">
      <c r="A5764" s="49">
        <v>44573.69641583333</v>
      </c>
      <c r="B5764" s="50">
        <v>44573.8213811689</v>
      </c>
      <c r="C5764" s="51">
        <v>1.008</v>
      </c>
      <c r="D5764" s="51">
        <v>63.0</v>
      </c>
      <c r="E5764" s="52" t="s">
        <v>25</v>
      </c>
      <c r="F5764" s="52" t="s">
        <v>26</v>
      </c>
      <c r="G5764" s="53"/>
    </row>
    <row r="5765">
      <c r="A5765" s="49">
        <v>44573.70685802083</v>
      </c>
      <c r="B5765" s="50">
        <v>44573.8318262847</v>
      </c>
      <c r="C5765" s="51">
        <v>1.007</v>
      </c>
      <c r="D5765" s="51">
        <v>63.0</v>
      </c>
      <c r="E5765" s="52" t="s">
        <v>25</v>
      </c>
      <c r="F5765" s="52" t="s">
        <v>26</v>
      </c>
      <c r="G5765" s="53"/>
    </row>
    <row r="5766">
      <c r="A5766" s="49">
        <v>44573.71726767361</v>
      </c>
      <c r="B5766" s="50">
        <v>44573.8422464699</v>
      </c>
      <c r="C5766" s="51">
        <v>1.008</v>
      </c>
      <c r="D5766" s="51">
        <v>63.0</v>
      </c>
      <c r="E5766" s="52" t="s">
        <v>25</v>
      </c>
      <c r="F5766" s="52" t="s">
        <v>26</v>
      </c>
      <c r="G5766" s="53"/>
    </row>
    <row r="5767">
      <c r="A5767" s="49">
        <v>44573.727685624996</v>
      </c>
      <c r="B5767" s="50">
        <v>44573.8526679745</v>
      </c>
      <c r="C5767" s="51">
        <v>1.008</v>
      </c>
      <c r="D5767" s="51">
        <v>63.0</v>
      </c>
      <c r="E5767" s="52" t="s">
        <v>25</v>
      </c>
      <c r="F5767" s="52" t="s">
        <v>26</v>
      </c>
      <c r="G5767" s="53"/>
    </row>
    <row r="5768">
      <c r="A5768" s="49">
        <v>44573.73811042824</v>
      </c>
      <c r="B5768" s="50">
        <v>44573.8630879745</v>
      </c>
      <c r="C5768" s="51">
        <v>1.008</v>
      </c>
      <c r="D5768" s="51">
        <v>63.0</v>
      </c>
      <c r="E5768" s="52" t="s">
        <v>25</v>
      </c>
      <c r="F5768" s="52" t="s">
        <v>26</v>
      </c>
      <c r="G5768" s="53"/>
    </row>
    <row r="5769">
      <c r="A5769" s="49">
        <v>44573.74853349537</v>
      </c>
      <c r="B5769" s="50">
        <v>44573.8735103935</v>
      </c>
      <c r="C5769" s="51">
        <v>1.008</v>
      </c>
      <c r="D5769" s="51">
        <v>63.0</v>
      </c>
      <c r="E5769" s="52" t="s">
        <v>25</v>
      </c>
      <c r="F5769" s="52" t="s">
        <v>26</v>
      </c>
      <c r="G5769" s="53"/>
    </row>
    <row r="5770">
      <c r="A5770" s="49">
        <v>44573.758966215275</v>
      </c>
      <c r="B5770" s="50">
        <v>44573.8839332638</v>
      </c>
      <c r="C5770" s="51">
        <v>1.008</v>
      </c>
      <c r="D5770" s="51">
        <v>63.0</v>
      </c>
      <c r="E5770" s="52" t="s">
        <v>25</v>
      </c>
      <c r="F5770" s="52" t="s">
        <v>26</v>
      </c>
      <c r="G5770" s="53"/>
    </row>
    <row r="5771">
      <c r="A5771" s="49">
        <v>44573.769386064814</v>
      </c>
      <c r="B5771" s="50">
        <v>44573.8943553472</v>
      </c>
      <c r="C5771" s="51">
        <v>1.008</v>
      </c>
      <c r="D5771" s="51">
        <v>63.0</v>
      </c>
      <c r="E5771" s="52" t="s">
        <v>25</v>
      </c>
      <c r="F5771" s="52" t="s">
        <v>26</v>
      </c>
      <c r="G5771" s="53"/>
    </row>
    <row r="5772">
      <c r="A5772" s="49">
        <v>44573.77981658565</v>
      </c>
      <c r="B5772" s="50">
        <v>44573.9047768634</v>
      </c>
      <c r="C5772" s="51">
        <v>1.008</v>
      </c>
      <c r="D5772" s="51">
        <v>63.0</v>
      </c>
      <c r="E5772" s="52" t="s">
        <v>25</v>
      </c>
      <c r="F5772" s="52" t="s">
        <v>26</v>
      </c>
      <c r="G5772" s="53"/>
    </row>
    <row r="5773">
      <c r="A5773" s="49">
        <v>44573.79025247685</v>
      </c>
      <c r="B5773" s="50">
        <v>44573.915196956</v>
      </c>
      <c r="C5773" s="51">
        <v>1.008</v>
      </c>
      <c r="D5773" s="51">
        <v>63.0</v>
      </c>
      <c r="E5773" s="52" t="s">
        <v>25</v>
      </c>
      <c r="F5773" s="52" t="s">
        <v>26</v>
      </c>
      <c r="G5773" s="53"/>
    </row>
    <row r="5774">
      <c r="A5774" s="49">
        <v>44573.80068246528</v>
      </c>
      <c r="B5774" s="50">
        <v>44573.9256521759</v>
      </c>
      <c r="C5774" s="51">
        <v>1.008</v>
      </c>
      <c r="D5774" s="51">
        <v>63.0</v>
      </c>
      <c r="E5774" s="52" t="s">
        <v>25</v>
      </c>
      <c r="F5774" s="52" t="s">
        <v>26</v>
      </c>
      <c r="G5774" s="53"/>
    </row>
    <row r="5775">
      <c r="A5775" s="49">
        <v>44573.81109537037</v>
      </c>
      <c r="B5775" s="50">
        <v>44573.9360717476</v>
      </c>
      <c r="C5775" s="51">
        <v>1.008</v>
      </c>
      <c r="D5775" s="51">
        <v>63.0</v>
      </c>
      <c r="E5775" s="52" t="s">
        <v>25</v>
      </c>
      <c r="F5775" s="52" t="s">
        <v>26</v>
      </c>
      <c r="G5775" s="53"/>
    </row>
    <row r="5776">
      <c r="A5776" s="49">
        <v>44573.821615347224</v>
      </c>
      <c r="B5776" s="50">
        <v>44573.9465870486</v>
      </c>
      <c r="C5776" s="51">
        <v>1.008</v>
      </c>
      <c r="D5776" s="51">
        <v>63.0</v>
      </c>
      <c r="E5776" s="52" t="s">
        <v>25</v>
      </c>
      <c r="F5776" s="52" t="s">
        <v>26</v>
      </c>
      <c r="G5776" s="53"/>
    </row>
    <row r="5777">
      <c r="A5777" s="49">
        <v>44573.832032129634</v>
      </c>
      <c r="B5777" s="50">
        <v>44573.9570085879</v>
      </c>
      <c r="C5777" s="51">
        <v>1.008</v>
      </c>
      <c r="D5777" s="51">
        <v>63.0</v>
      </c>
      <c r="E5777" s="52" t="s">
        <v>25</v>
      </c>
      <c r="F5777" s="52" t="s">
        <v>26</v>
      </c>
      <c r="G5777" s="53"/>
    </row>
    <row r="5778">
      <c r="A5778" s="49">
        <v>44573.84245813657</v>
      </c>
      <c r="B5778" s="50">
        <v>44573.967426655</v>
      </c>
      <c r="C5778" s="51">
        <v>1.008</v>
      </c>
      <c r="D5778" s="51">
        <v>63.0</v>
      </c>
      <c r="E5778" s="52" t="s">
        <v>25</v>
      </c>
      <c r="F5778" s="52" t="s">
        <v>26</v>
      </c>
      <c r="G5778" s="53"/>
    </row>
    <row r="5779">
      <c r="A5779" s="49">
        <v>44573.85287556713</v>
      </c>
      <c r="B5779" s="50">
        <v>44573.9778475231</v>
      </c>
      <c r="C5779" s="51">
        <v>1.008</v>
      </c>
      <c r="D5779" s="51">
        <v>63.0</v>
      </c>
      <c r="E5779" s="52" t="s">
        <v>25</v>
      </c>
      <c r="F5779" s="52" t="s">
        <v>26</v>
      </c>
      <c r="G5779" s="53"/>
    </row>
    <row r="5780">
      <c r="A5780" s="49">
        <v>44573.86329813657</v>
      </c>
      <c r="B5780" s="50">
        <v>44573.988269074</v>
      </c>
      <c r="C5780" s="51">
        <v>1.008</v>
      </c>
      <c r="D5780" s="51">
        <v>63.0</v>
      </c>
      <c r="E5780" s="52" t="s">
        <v>25</v>
      </c>
      <c r="F5780" s="52" t="s">
        <v>26</v>
      </c>
      <c r="G5780" s="53"/>
    </row>
    <row r="5781">
      <c r="A5781" s="49">
        <v>44573.873715532405</v>
      </c>
      <c r="B5781" s="50">
        <v>44573.9986898958</v>
      </c>
      <c r="C5781" s="51">
        <v>1.008</v>
      </c>
      <c r="D5781" s="51">
        <v>63.0</v>
      </c>
      <c r="E5781" s="52" t="s">
        <v>25</v>
      </c>
      <c r="F5781" s="52" t="s">
        <v>26</v>
      </c>
      <c r="G5781" s="53"/>
    </row>
    <row r="5782">
      <c r="A5782" s="49">
        <v>44573.88413548611</v>
      </c>
      <c r="B5782" s="50">
        <v>44574.0091128125</v>
      </c>
      <c r="C5782" s="51">
        <v>1.008</v>
      </c>
      <c r="D5782" s="51">
        <v>63.0</v>
      </c>
      <c r="E5782" s="52" t="s">
        <v>25</v>
      </c>
      <c r="F5782" s="52" t="s">
        <v>26</v>
      </c>
      <c r="G5782" s="53"/>
    </row>
    <row r="5783">
      <c r="A5783" s="49">
        <v>44573.89457633102</v>
      </c>
      <c r="B5783" s="50">
        <v>44574.0195450462</v>
      </c>
      <c r="C5783" s="51">
        <v>1.008</v>
      </c>
      <c r="D5783" s="51">
        <v>63.0</v>
      </c>
      <c r="E5783" s="52" t="s">
        <v>25</v>
      </c>
      <c r="F5783" s="52" t="s">
        <v>26</v>
      </c>
      <c r="G5783" s="53"/>
    </row>
    <row r="5784">
      <c r="A5784" s="49">
        <v>44573.90499793981</v>
      </c>
      <c r="B5784" s="50">
        <v>44574.0299659143</v>
      </c>
      <c r="C5784" s="51">
        <v>1.007</v>
      </c>
      <c r="D5784" s="51">
        <v>63.0</v>
      </c>
      <c r="E5784" s="52" t="s">
        <v>25</v>
      </c>
      <c r="F5784" s="52" t="s">
        <v>26</v>
      </c>
      <c r="G5784" s="53"/>
    </row>
    <row r="5785">
      <c r="A5785" s="49">
        <v>44573.915424942126</v>
      </c>
      <c r="B5785" s="50">
        <v>44574.0403965162</v>
      </c>
      <c r="C5785" s="51">
        <v>1.007</v>
      </c>
      <c r="D5785" s="51">
        <v>63.0</v>
      </c>
      <c r="E5785" s="52" t="s">
        <v>25</v>
      </c>
      <c r="F5785" s="52" t="s">
        <v>26</v>
      </c>
      <c r="G5785" s="53"/>
    </row>
    <row r="5786">
      <c r="A5786" s="49">
        <v>44573.925846770835</v>
      </c>
      <c r="B5786" s="50">
        <v>44574.0508175231</v>
      </c>
      <c r="C5786" s="51">
        <v>1.007</v>
      </c>
      <c r="D5786" s="51">
        <v>64.0</v>
      </c>
      <c r="E5786" s="52" t="s">
        <v>25</v>
      </c>
      <c r="F5786" s="52" t="s">
        <v>26</v>
      </c>
      <c r="G5786" s="53"/>
    </row>
    <row r="5787">
      <c r="A5787" s="49">
        <v>44573.936260601855</v>
      </c>
      <c r="B5787" s="50">
        <v>44574.0612396875</v>
      </c>
      <c r="C5787" s="51">
        <v>1.007</v>
      </c>
      <c r="D5787" s="51">
        <v>64.0</v>
      </c>
      <c r="E5787" s="52" t="s">
        <v>25</v>
      </c>
      <c r="F5787" s="52" t="s">
        <v>26</v>
      </c>
      <c r="G5787" s="53"/>
    </row>
    <row r="5788">
      <c r="A5788" s="49">
        <v>44573.94669387731</v>
      </c>
      <c r="B5788" s="50">
        <v>44574.0716616898</v>
      </c>
      <c r="C5788" s="51">
        <v>1.007</v>
      </c>
      <c r="D5788" s="51">
        <v>65.0</v>
      </c>
      <c r="E5788" s="52" t="s">
        <v>25</v>
      </c>
      <c r="F5788" s="52" t="s">
        <v>26</v>
      </c>
      <c r="G5788" s="53"/>
    </row>
    <row r="5789">
      <c r="A5789" s="49">
        <v>44573.95712548611</v>
      </c>
      <c r="B5789" s="50">
        <v>44574.0820933564</v>
      </c>
      <c r="C5789" s="51">
        <v>1.007</v>
      </c>
      <c r="D5789" s="51">
        <v>65.0</v>
      </c>
      <c r="E5789" s="52" t="s">
        <v>25</v>
      </c>
      <c r="F5789" s="52" t="s">
        <v>26</v>
      </c>
      <c r="G5789" s="53"/>
    </row>
    <row r="5790">
      <c r="A5790" s="49">
        <v>44573.96753790509</v>
      </c>
      <c r="B5790" s="50">
        <v>44574.0925141319</v>
      </c>
      <c r="C5790" s="51">
        <v>1.007</v>
      </c>
      <c r="D5790" s="51">
        <v>66.0</v>
      </c>
      <c r="E5790" s="52" t="s">
        <v>25</v>
      </c>
      <c r="F5790" s="52" t="s">
        <v>26</v>
      </c>
      <c r="G5790" s="53"/>
    </row>
    <row r="5791">
      <c r="A5791" s="49">
        <v>44573.97796542824</v>
      </c>
      <c r="B5791" s="50">
        <v>44574.1029358564</v>
      </c>
      <c r="C5791" s="51">
        <v>1.007</v>
      </c>
      <c r="D5791" s="51">
        <v>66.0</v>
      </c>
      <c r="E5791" s="52" t="s">
        <v>25</v>
      </c>
      <c r="F5791" s="52" t="s">
        <v>26</v>
      </c>
      <c r="G5791" s="53"/>
    </row>
    <row r="5792">
      <c r="A5792" s="49">
        <v>44573.98838131945</v>
      </c>
      <c r="B5792" s="50">
        <v>44574.1133563425</v>
      </c>
      <c r="C5792" s="51">
        <v>1.007</v>
      </c>
      <c r="D5792" s="51">
        <v>66.0</v>
      </c>
      <c r="E5792" s="52" t="s">
        <v>25</v>
      </c>
      <c r="F5792" s="52" t="s">
        <v>26</v>
      </c>
      <c r="G5792" s="53"/>
    </row>
    <row r="5793">
      <c r="A5793" s="49">
        <v>44573.99881252315</v>
      </c>
      <c r="B5793" s="50">
        <v>44574.123789456</v>
      </c>
      <c r="C5793" s="51">
        <v>1.007</v>
      </c>
      <c r="D5793" s="51">
        <v>67.0</v>
      </c>
      <c r="E5793" s="52" t="s">
        <v>25</v>
      </c>
      <c r="F5793" s="52" t="s">
        <v>26</v>
      </c>
      <c r="G5793" s="53"/>
    </row>
    <row r="5794">
      <c r="A5794" s="49">
        <v>44574.009314270836</v>
      </c>
      <c r="B5794" s="50">
        <v>44574.1342911458</v>
      </c>
      <c r="C5794" s="51">
        <v>1.007</v>
      </c>
      <c r="D5794" s="51">
        <v>67.0</v>
      </c>
      <c r="E5794" s="52" t="s">
        <v>25</v>
      </c>
      <c r="F5794" s="52" t="s">
        <v>26</v>
      </c>
      <c r="G5794" s="53"/>
    </row>
    <row r="5795">
      <c r="A5795" s="49">
        <v>44574.01977241898</v>
      </c>
      <c r="B5795" s="50">
        <v>44574.1447474537</v>
      </c>
      <c r="C5795" s="51">
        <v>1.007</v>
      </c>
      <c r="D5795" s="51">
        <v>68.0</v>
      </c>
      <c r="E5795" s="52" t="s">
        <v>25</v>
      </c>
      <c r="F5795" s="52" t="s">
        <v>26</v>
      </c>
      <c r="G5795" s="53"/>
    </row>
    <row r="5796">
      <c r="A5796" s="49">
        <v>44574.03020732639</v>
      </c>
      <c r="B5796" s="50">
        <v>44574.1551803009</v>
      </c>
      <c r="C5796" s="51">
        <v>1.007</v>
      </c>
      <c r="D5796" s="51">
        <v>68.0</v>
      </c>
      <c r="E5796" s="52" t="s">
        <v>25</v>
      </c>
      <c r="F5796" s="52" t="s">
        <v>26</v>
      </c>
      <c r="G5796" s="53"/>
    </row>
    <row r="5797">
      <c r="A5797" s="49">
        <v>44574.040642708336</v>
      </c>
      <c r="B5797" s="50">
        <v>44574.16561375</v>
      </c>
      <c r="C5797" s="51">
        <v>1.007</v>
      </c>
      <c r="D5797" s="51">
        <v>68.0</v>
      </c>
      <c r="E5797" s="52" t="s">
        <v>25</v>
      </c>
      <c r="F5797" s="52" t="s">
        <v>26</v>
      </c>
      <c r="G5797" s="53"/>
    </row>
    <row r="5798">
      <c r="A5798" s="49">
        <v>44574.05106383102</v>
      </c>
      <c r="B5798" s="50">
        <v>44574.1760353819</v>
      </c>
      <c r="C5798" s="51">
        <v>1.007</v>
      </c>
      <c r="D5798" s="51">
        <v>68.0</v>
      </c>
      <c r="E5798" s="52" t="s">
        <v>25</v>
      </c>
      <c r="F5798" s="52" t="s">
        <v>26</v>
      </c>
      <c r="G5798" s="53"/>
    </row>
    <row r="5799">
      <c r="A5799" s="49">
        <v>44574.06147810185</v>
      </c>
      <c r="B5799" s="50">
        <v>44574.1864547569</v>
      </c>
      <c r="C5799" s="51">
        <v>1.007</v>
      </c>
      <c r="D5799" s="51">
        <v>68.0</v>
      </c>
      <c r="E5799" s="52" t="s">
        <v>25</v>
      </c>
      <c r="F5799" s="52" t="s">
        <v>26</v>
      </c>
      <c r="G5799" s="53"/>
    </row>
    <row r="5800">
      <c r="A5800" s="49">
        <v>44574.071918217596</v>
      </c>
      <c r="B5800" s="50">
        <v>44574.196885405</v>
      </c>
      <c r="C5800" s="51">
        <v>1.007</v>
      </c>
      <c r="D5800" s="51">
        <v>68.0</v>
      </c>
      <c r="E5800" s="52" t="s">
        <v>25</v>
      </c>
      <c r="F5800" s="52" t="s">
        <v>26</v>
      </c>
      <c r="G5800" s="53"/>
    </row>
    <row r="5801">
      <c r="A5801" s="49">
        <v>44574.08233273149</v>
      </c>
      <c r="B5801" s="50">
        <v>44574.2073069791</v>
      </c>
      <c r="C5801" s="51">
        <v>1.007</v>
      </c>
      <c r="D5801" s="51">
        <v>68.0</v>
      </c>
      <c r="E5801" s="52" t="s">
        <v>25</v>
      </c>
      <c r="F5801" s="52" t="s">
        <v>26</v>
      </c>
      <c r="G5801" s="53"/>
    </row>
    <row r="5802">
      <c r="A5802" s="49">
        <v>44574.09275443287</v>
      </c>
      <c r="B5802" s="50">
        <v>44574.2177277546</v>
      </c>
      <c r="C5802" s="51">
        <v>1.007</v>
      </c>
      <c r="D5802" s="51">
        <v>67.0</v>
      </c>
      <c r="E5802" s="52" t="s">
        <v>25</v>
      </c>
      <c r="F5802" s="52" t="s">
        <v>26</v>
      </c>
      <c r="G5802" s="53"/>
    </row>
    <row r="5803">
      <c r="A5803" s="49">
        <v>44574.10320287037</v>
      </c>
      <c r="B5803" s="50">
        <v>44574.2281723611</v>
      </c>
      <c r="C5803" s="51">
        <v>1.007</v>
      </c>
      <c r="D5803" s="51">
        <v>67.0</v>
      </c>
      <c r="E5803" s="52" t="s">
        <v>25</v>
      </c>
      <c r="F5803" s="52" t="s">
        <v>26</v>
      </c>
      <c r="G5803" s="53"/>
    </row>
    <row r="5804">
      <c r="A5804" s="49">
        <v>44574.1136354051</v>
      </c>
      <c r="B5804" s="50">
        <v>44574.2386039467</v>
      </c>
      <c r="C5804" s="51">
        <v>1.007</v>
      </c>
      <c r="D5804" s="51">
        <v>67.0</v>
      </c>
      <c r="E5804" s="52" t="s">
        <v>25</v>
      </c>
      <c r="F5804" s="52" t="s">
        <v>26</v>
      </c>
      <c r="G5804" s="53"/>
    </row>
    <row r="5805">
      <c r="A5805" s="49">
        <v>44574.12405601852</v>
      </c>
      <c r="B5805" s="50">
        <v>44574.2490237268</v>
      </c>
      <c r="C5805" s="51">
        <v>1.007</v>
      </c>
      <c r="D5805" s="51">
        <v>67.0</v>
      </c>
      <c r="E5805" s="52" t="s">
        <v>25</v>
      </c>
      <c r="F5805" s="52" t="s">
        <v>26</v>
      </c>
      <c r="G5805" s="53"/>
    </row>
    <row r="5806">
      <c r="A5806" s="49">
        <v>44574.13448466435</v>
      </c>
      <c r="B5806" s="50">
        <v>44574.2594587731</v>
      </c>
      <c r="C5806" s="51">
        <v>1.007</v>
      </c>
      <c r="D5806" s="51">
        <v>67.0</v>
      </c>
      <c r="E5806" s="52" t="s">
        <v>25</v>
      </c>
      <c r="F5806" s="52" t="s">
        <v>26</v>
      </c>
      <c r="G5806" s="53"/>
    </row>
    <row r="5807">
      <c r="A5807" s="49">
        <v>44574.144906284724</v>
      </c>
      <c r="B5807" s="50">
        <v>44574.2698799884</v>
      </c>
      <c r="C5807" s="51">
        <v>1.007</v>
      </c>
      <c r="D5807" s="51">
        <v>67.0</v>
      </c>
      <c r="E5807" s="52" t="s">
        <v>25</v>
      </c>
      <c r="F5807" s="52" t="s">
        <v>26</v>
      </c>
      <c r="G5807" s="53"/>
    </row>
    <row r="5808">
      <c r="A5808" s="49">
        <v>44574.15533129629</v>
      </c>
      <c r="B5808" s="50">
        <v>44574.2803007754</v>
      </c>
      <c r="C5808" s="51">
        <v>1.007</v>
      </c>
      <c r="D5808" s="51">
        <v>67.0</v>
      </c>
      <c r="E5808" s="52" t="s">
        <v>25</v>
      </c>
      <c r="F5808" s="52" t="s">
        <v>26</v>
      </c>
      <c r="G5808" s="53"/>
    </row>
    <row r="5809">
      <c r="A5809" s="49">
        <v>44574.165754131944</v>
      </c>
      <c r="B5809" s="50">
        <v>44574.290722743</v>
      </c>
      <c r="C5809" s="51">
        <v>1.007</v>
      </c>
      <c r="D5809" s="51">
        <v>67.0</v>
      </c>
      <c r="E5809" s="52" t="s">
        <v>25</v>
      </c>
      <c r="F5809" s="52" t="s">
        <v>26</v>
      </c>
      <c r="G5809" s="53"/>
    </row>
    <row r="5810">
      <c r="A5810" s="49">
        <v>44574.17618958333</v>
      </c>
      <c r="B5810" s="50">
        <v>44574.3011683217</v>
      </c>
      <c r="C5810" s="51">
        <v>1.007</v>
      </c>
      <c r="D5810" s="51">
        <v>67.0</v>
      </c>
      <c r="E5810" s="52" t="s">
        <v>25</v>
      </c>
      <c r="F5810" s="52" t="s">
        <v>26</v>
      </c>
      <c r="G5810" s="53"/>
    </row>
    <row r="5811">
      <c r="A5811" s="49">
        <v>44574.18661337963</v>
      </c>
      <c r="B5811" s="50">
        <v>44574.311590787</v>
      </c>
      <c r="C5811" s="51">
        <v>1.007</v>
      </c>
      <c r="D5811" s="51">
        <v>67.0</v>
      </c>
      <c r="E5811" s="52" t="s">
        <v>25</v>
      </c>
      <c r="F5811" s="52" t="s">
        <v>26</v>
      </c>
      <c r="G5811" s="53"/>
    </row>
    <row r="5812">
      <c r="A5812" s="49">
        <v>44574.19704034722</v>
      </c>
      <c r="B5812" s="50">
        <v>44574.3220119791</v>
      </c>
      <c r="C5812" s="51">
        <v>1.007</v>
      </c>
      <c r="D5812" s="51">
        <v>67.0</v>
      </c>
      <c r="E5812" s="52" t="s">
        <v>25</v>
      </c>
      <c r="F5812" s="52" t="s">
        <v>26</v>
      </c>
      <c r="G5812" s="53"/>
    </row>
    <row r="5813">
      <c r="A5813" s="49">
        <v>44574.20746456018</v>
      </c>
      <c r="B5813" s="50">
        <v>44574.3324450115</v>
      </c>
      <c r="C5813" s="51">
        <v>1.007</v>
      </c>
      <c r="D5813" s="51">
        <v>67.0</v>
      </c>
      <c r="E5813" s="52" t="s">
        <v>25</v>
      </c>
      <c r="F5813" s="52" t="s">
        <v>26</v>
      </c>
      <c r="G5813" s="53"/>
    </row>
    <row r="5814">
      <c r="A5814" s="49">
        <v>44574.21790891203</v>
      </c>
      <c r="B5814" s="50">
        <v>44574.3428763541</v>
      </c>
      <c r="C5814" s="51">
        <v>1.007</v>
      </c>
      <c r="D5814" s="51">
        <v>67.0</v>
      </c>
      <c r="E5814" s="52" t="s">
        <v>25</v>
      </c>
      <c r="F5814" s="52" t="s">
        <v>26</v>
      </c>
      <c r="G5814" s="53"/>
    </row>
    <row r="5815">
      <c r="A5815" s="49">
        <v>44574.22832042824</v>
      </c>
      <c r="B5815" s="50">
        <v>44574.3532981018</v>
      </c>
      <c r="C5815" s="51">
        <v>1.007</v>
      </c>
      <c r="D5815" s="51">
        <v>67.0</v>
      </c>
      <c r="E5815" s="52" t="s">
        <v>25</v>
      </c>
      <c r="F5815" s="52" t="s">
        <v>26</v>
      </c>
      <c r="G5815" s="53"/>
    </row>
    <row r="5816">
      <c r="A5816" s="49">
        <v>44574.23873734954</v>
      </c>
      <c r="B5816" s="50">
        <v>44574.363719074</v>
      </c>
      <c r="C5816" s="51">
        <v>1.008</v>
      </c>
      <c r="D5816" s="51">
        <v>67.0</v>
      </c>
      <c r="E5816" s="52" t="s">
        <v>25</v>
      </c>
      <c r="F5816" s="52" t="s">
        <v>26</v>
      </c>
      <c r="G5816" s="53"/>
    </row>
    <row r="5817">
      <c r="A5817" s="49">
        <v>44574.24918054398</v>
      </c>
      <c r="B5817" s="50">
        <v>44574.374153287</v>
      </c>
      <c r="C5817" s="51">
        <v>1.007</v>
      </c>
      <c r="D5817" s="51">
        <v>67.0</v>
      </c>
      <c r="E5817" s="52" t="s">
        <v>25</v>
      </c>
      <c r="F5817" s="52" t="s">
        <v>26</v>
      </c>
      <c r="G5817" s="53"/>
    </row>
    <row r="5818">
      <c r="A5818" s="49">
        <v>44574.25959793982</v>
      </c>
      <c r="B5818" s="50">
        <v>44574.3845740162</v>
      </c>
      <c r="C5818" s="51">
        <v>1.007</v>
      </c>
      <c r="D5818" s="51">
        <v>67.0</v>
      </c>
      <c r="E5818" s="52" t="s">
        <v>25</v>
      </c>
      <c r="F5818" s="52" t="s">
        <v>26</v>
      </c>
      <c r="G5818" s="53"/>
    </row>
    <row r="5819">
      <c r="A5819" s="49">
        <v>44574.27001605324</v>
      </c>
      <c r="B5819" s="50">
        <v>44574.3949952662</v>
      </c>
      <c r="C5819" s="51">
        <v>1.007</v>
      </c>
      <c r="D5819" s="51">
        <v>67.0</v>
      </c>
      <c r="E5819" s="52" t="s">
        <v>25</v>
      </c>
      <c r="F5819" s="52" t="s">
        <v>26</v>
      </c>
      <c r="G5819" s="53"/>
    </row>
    <row r="5820">
      <c r="A5820" s="49">
        <v>44574.28048109954</v>
      </c>
      <c r="B5820" s="50">
        <v>44574.4054290393</v>
      </c>
      <c r="C5820" s="51">
        <v>1.007</v>
      </c>
      <c r="D5820" s="51">
        <v>67.0</v>
      </c>
      <c r="E5820" s="52" t="s">
        <v>25</v>
      </c>
      <c r="F5820" s="52" t="s">
        <v>26</v>
      </c>
      <c r="G5820" s="53"/>
    </row>
    <row r="5821">
      <c r="A5821" s="49">
        <v>44574.290893391204</v>
      </c>
      <c r="B5821" s="50">
        <v>44574.4158615625</v>
      </c>
      <c r="C5821" s="51">
        <v>1.007</v>
      </c>
      <c r="D5821" s="51">
        <v>67.0</v>
      </c>
      <c r="E5821" s="52" t="s">
        <v>25</v>
      </c>
      <c r="F5821" s="52" t="s">
        <v>26</v>
      </c>
      <c r="G5821" s="53"/>
    </row>
    <row r="5822">
      <c r="A5822" s="49">
        <v>44574.30133938657</v>
      </c>
      <c r="B5822" s="50">
        <v>44574.4262962615</v>
      </c>
      <c r="C5822" s="51">
        <v>1.007</v>
      </c>
      <c r="D5822" s="51">
        <v>67.0</v>
      </c>
      <c r="E5822" s="52" t="s">
        <v>25</v>
      </c>
      <c r="F5822" s="52" t="s">
        <v>26</v>
      </c>
      <c r="G5822" s="53"/>
    </row>
    <row r="5823">
      <c r="A5823" s="49">
        <v>44574.3117561574</v>
      </c>
      <c r="B5823" s="50">
        <v>44574.4367187037</v>
      </c>
      <c r="C5823" s="51">
        <v>1.007</v>
      </c>
      <c r="D5823" s="51">
        <v>67.0</v>
      </c>
      <c r="E5823" s="52" t="s">
        <v>25</v>
      </c>
      <c r="F5823" s="52" t="s">
        <v>26</v>
      </c>
      <c r="G5823" s="53"/>
    </row>
    <row r="5824">
      <c r="A5824" s="49">
        <v>44574.322170659725</v>
      </c>
      <c r="B5824" s="50">
        <v>44574.4471379166</v>
      </c>
      <c r="C5824" s="51">
        <v>1.007</v>
      </c>
      <c r="D5824" s="51">
        <v>67.0</v>
      </c>
      <c r="E5824" s="52" t="s">
        <v>25</v>
      </c>
      <c r="F5824" s="52" t="s">
        <v>26</v>
      </c>
      <c r="G5824" s="53"/>
    </row>
    <row r="5825">
      <c r="A5825" s="49">
        <v>44574.332604675925</v>
      </c>
      <c r="B5825" s="50">
        <v>44574.4575831481</v>
      </c>
      <c r="C5825" s="51">
        <v>1.007</v>
      </c>
      <c r="D5825" s="51">
        <v>67.0</v>
      </c>
      <c r="E5825" s="52" t="s">
        <v>25</v>
      </c>
      <c r="F5825" s="52" t="s">
        <v>26</v>
      </c>
      <c r="G5825" s="53"/>
    </row>
    <row r="5826">
      <c r="A5826" s="49">
        <v>44574.34307018519</v>
      </c>
      <c r="B5826" s="50">
        <v>44574.4680400347</v>
      </c>
      <c r="C5826" s="51">
        <v>1.008</v>
      </c>
      <c r="D5826" s="51">
        <v>67.0</v>
      </c>
      <c r="E5826" s="52" t="s">
        <v>25</v>
      </c>
      <c r="F5826" s="52" t="s">
        <v>26</v>
      </c>
      <c r="G5826" s="53"/>
    </row>
    <row r="5827">
      <c r="A5827" s="49">
        <v>44574.35349017361</v>
      </c>
      <c r="B5827" s="50">
        <v>44574.4784607523</v>
      </c>
      <c r="C5827" s="51">
        <v>1.007</v>
      </c>
      <c r="D5827" s="51">
        <v>66.0</v>
      </c>
      <c r="E5827" s="52" t="s">
        <v>25</v>
      </c>
      <c r="F5827" s="52" t="s">
        <v>26</v>
      </c>
      <c r="G5827" s="53"/>
    </row>
    <row r="5828">
      <c r="A5828" s="49">
        <v>44574.363912824076</v>
      </c>
      <c r="B5828" s="50">
        <v>44574.4888816088</v>
      </c>
      <c r="C5828" s="51">
        <v>1.007</v>
      </c>
      <c r="D5828" s="51">
        <v>66.0</v>
      </c>
      <c r="E5828" s="52" t="s">
        <v>25</v>
      </c>
      <c r="F5828" s="52" t="s">
        <v>26</v>
      </c>
      <c r="G5828" s="53"/>
    </row>
    <row r="5829">
      <c r="A5829" s="49">
        <v>44574.37434810185</v>
      </c>
      <c r="B5829" s="50">
        <v>44574.4993142245</v>
      </c>
      <c r="C5829" s="51">
        <v>1.007</v>
      </c>
      <c r="D5829" s="51">
        <v>66.0</v>
      </c>
      <c r="E5829" s="52" t="s">
        <v>25</v>
      </c>
      <c r="F5829" s="52" t="s">
        <v>26</v>
      </c>
      <c r="G5829" s="53"/>
    </row>
    <row r="5830">
      <c r="A5830" s="49">
        <v>44574.38476533565</v>
      </c>
      <c r="B5830" s="50">
        <v>44574.5097366782</v>
      </c>
      <c r="C5830" s="51">
        <v>1.008</v>
      </c>
      <c r="D5830" s="51">
        <v>66.0</v>
      </c>
      <c r="E5830" s="52" t="s">
        <v>25</v>
      </c>
      <c r="F5830" s="52" t="s">
        <v>26</v>
      </c>
      <c r="G5830" s="53"/>
    </row>
    <row r="5831">
      <c r="A5831" s="49">
        <v>44574.39517744213</v>
      </c>
      <c r="B5831" s="50">
        <v>44574.5201570601</v>
      </c>
      <c r="C5831" s="51">
        <v>1.007</v>
      </c>
      <c r="D5831" s="51">
        <v>66.0</v>
      </c>
      <c r="E5831" s="52" t="s">
        <v>25</v>
      </c>
      <c r="F5831" s="52" t="s">
        <v>26</v>
      </c>
      <c r="G5831" s="53"/>
    </row>
    <row r="5832">
      <c r="A5832" s="49">
        <v>44574.405620324076</v>
      </c>
      <c r="B5832" s="50">
        <v>44574.5305904513</v>
      </c>
      <c r="C5832" s="51">
        <v>1.007</v>
      </c>
      <c r="D5832" s="51">
        <v>66.0</v>
      </c>
      <c r="E5832" s="52" t="s">
        <v>25</v>
      </c>
      <c r="F5832" s="52" t="s">
        <v>26</v>
      </c>
      <c r="G5832" s="53"/>
    </row>
    <row r="5833">
      <c r="A5833" s="49">
        <v>44574.4160383912</v>
      </c>
      <c r="B5833" s="50">
        <v>44574.54101125</v>
      </c>
      <c r="C5833" s="51">
        <v>1.007</v>
      </c>
      <c r="D5833" s="51">
        <v>66.0</v>
      </c>
      <c r="E5833" s="52" t="s">
        <v>25</v>
      </c>
      <c r="F5833" s="52" t="s">
        <v>26</v>
      </c>
      <c r="G5833" s="53"/>
    </row>
    <row r="5834">
      <c r="A5834" s="49">
        <v>44574.426472974534</v>
      </c>
      <c r="B5834" s="50">
        <v>44574.5514427777</v>
      </c>
      <c r="C5834" s="51">
        <v>1.007</v>
      </c>
      <c r="D5834" s="51">
        <v>66.0</v>
      </c>
      <c r="E5834" s="52" t="s">
        <v>25</v>
      </c>
      <c r="F5834" s="52" t="s">
        <v>26</v>
      </c>
      <c r="G5834" s="53"/>
    </row>
    <row r="5835">
      <c r="A5835" s="49">
        <v>44574.436899583336</v>
      </c>
      <c r="B5835" s="50">
        <v>44574.5618739699</v>
      </c>
      <c r="C5835" s="51">
        <v>1.007</v>
      </c>
      <c r="D5835" s="51">
        <v>66.0</v>
      </c>
      <c r="E5835" s="52" t="s">
        <v>25</v>
      </c>
      <c r="F5835" s="52" t="s">
        <v>26</v>
      </c>
      <c r="G5835" s="53"/>
    </row>
    <row r="5836">
      <c r="A5836" s="49">
        <v>44574.44733083333</v>
      </c>
      <c r="B5836" s="50">
        <v>44574.5723085763</v>
      </c>
      <c r="C5836" s="51">
        <v>1.007</v>
      </c>
      <c r="D5836" s="51">
        <v>66.0</v>
      </c>
      <c r="E5836" s="52" t="s">
        <v>25</v>
      </c>
      <c r="F5836" s="52" t="s">
        <v>26</v>
      </c>
      <c r="G5836" s="53"/>
    </row>
    <row r="5837">
      <c r="A5837" s="49">
        <v>44574.45778195602</v>
      </c>
      <c r="B5837" s="50">
        <v>44574.5827534375</v>
      </c>
      <c r="C5837" s="51">
        <v>1.007</v>
      </c>
      <c r="D5837" s="51">
        <v>66.0</v>
      </c>
      <c r="E5837" s="52" t="s">
        <v>25</v>
      </c>
      <c r="F5837" s="52" t="s">
        <v>26</v>
      </c>
      <c r="G5837" s="53"/>
    </row>
    <row r="5838">
      <c r="A5838" s="49">
        <v>44574.46822559027</v>
      </c>
      <c r="B5838" s="50">
        <v>44574.5931986574</v>
      </c>
      <c r="C5838" s="51">
        <v>1.007</v>
      </c>
      <c r="D5838" s="51">
        <v>66.0</v>
      </c>
      <c r="E5838" s="52" t="s">
        <v>25</v>
      </c>
      <c r="F5838" s="52" t="s">
        <v>26</v>
      </c>
      <c r="G5838" s="53"/>
    </row>
    <row r="5839">
      <c r="A5839" s="49">
        <v>44574.47865614583</v>
      </c>
      <c r="B5839" s="50">
        <v>44574.6036310185</v>
      </c>
      <c r="C5839" s="51">
        <v>1.007</v>
      </c>
      <c r="D5839" s="51">
        <v>66.0</v>
      </c>
      <c r="E5839" s="52" t="s">
        <v>25</v>
      </c>
      <c r="F5839" s="52" t="s">
        <v>26</v>
      </c>
      <c r="G5839" s="53"/>
    </row>
    <row r="5840">
      <c r="A5840" s="49">
        <v>44574.48909973379</v>
      </c>
      <c r="B5840" s="50">
        <v>44574.6140755324</v>
      </c>
      <c r="C5840" s="51">
        <v>1.007</v>
      </c>
      <c r="D5840" s="51">
        <v>66.0</v>
      </c>
      <c r="E5840" s="52" t="s">
        <v>25</v>
      </c>
      <c r="F5840" s="52" t="s">
        <v>26</v>
      </c>
      <c r="G5840" s="53"/>
    </row>
    <row r="5841">
      <c r="A5841" s="49">
        <v>44574.49952378472</v>
      </c>
      <c r="B5841" s="50">
        <v>44574.6244973842</v>
      </c>
      <c r="C5841" s="51">
        <v>1.007</v>
      </c>
      <c r="D5841" s="51">
        <v>66.0</v>
      </c>
      <c r="E5841" s="52" t="s">
        <v>25</v>
      </c>
      <c r="F5841" s="52" t="s">
        <v>26</v>
      </c>
      <c r="G5841" s="53"/>
    </row>
    <row r="5842">
      <c r="A5842" s="49">
        <v>44574.50994729166</v>
      </c>
      <c r="B5842" s="50">
        <v>44574.6349184143</v>
      </c>
      <c r="C5842" s="51">
        <v>1.007</v>
      </c>
      <c r="D5842" s="51">
        <v>66.0</v>
      </c>
      <c r="E5842" s="52" t="s">
        <v>25</v>
      </c>
      <c r="F5842" s="52" t="s">
        <v>26</v>
      </c>
      <c r="G5842" s="53"/>
    </row>
    <row r="5843">
      <c r="A5843" s="49">
        <v>44574.52036400463</v>
      </c>
      <c r="B5843" s="50">
        <v>44574.645338993</v>
      </c>
      <c r="C5843" s="51">
        <v>1.007</v>
      </c>
      <c r="D5843" s="51">
        <v>66.0</v>
      </c>
      <c r="E5843" s="52" t="s">
        <v>25</v>
      </c>
      <c r="F5843" s="52" t="s">
        <v>26</v>
      </c>
      <c r="G5843" s="53"/>
    </row>
    <row r="5844">
      <c r="A5844" s="49">
        <v>44574.530783622686</v>
      </c>
      <c r="B5844" s="50">
        <v>44574.6557591898</v>
      </c>
      <c r="C5844" s="51">
        <v>1.007</v>
      </c>
      <c r="D5844" s="51">
        <v>66.0</v>
      </c>
      <c r="E5844" s="52" t="s">
        <v>25</v>
      </c>
      <c r="F5844" s="52" t="s">
        <v>26</v>
      </c>
      <c r="G5844" s="53"/>
    </row>
    <row r="5845">
      <c r="A5845" s="49">
        <v>44574.541205671296</v>
      </c>
      <c r="B5845" s="50">
        <v>44574.6661813078</v>
      </c>
      <c r="C5845" s="51">
        <v>1.007</v>
      </c>
      <c r="D5845" s="51">
        <v>66.0</v>
      </c>
      <c r="E5845" s="52" t="s">
        <v>25</v>
      </c>
      <c r="F5845" s="52" t="s">
        <v>26</v>
      </c>
      <c r="G5845" s="53"/>
    </row>
    <row r="5846">
      <c r="A5846" s="49">
        <v>44574.55165380787</v>
      </c>
      <c r="B5846" s="50">
        <v>44574.6766155324</v>
      </c>
      <c r="C5846" s="51">
        <v>1.007</v>
      </c>
      <c r="D5846" s="51">
        <v>66.0</v>
      </c>
      <c r="E5846" s="52" t="s">
        <v>25</v>
      </c>
      <c r="F5846" s="52" t="s">
        <v>26</v>
      </c>
      <c r="G5846" s="53"/>
    </row>
    <row r="5847">
      <c r="A5847" s="49">
        <v>44574.562061979166</v>
      </c>
      <c r="B5847" s="50">
        <v>44574.6870369212</v>
      </c>
      <c r="C5847" s="51">
        <v>1.007</v>
      </c>
      <c r="D5847" s="51">
        <v>66.0</v>
      </c>
      <c r="E5847" s="52" t="s">
        <v>25</v>
      </c>
      <c r="F5847" s="52" t="s">
        <v>26</v>
      </c>
      <c r="G5847" s="53"/>
    </row>
    <row r="5848">
      <c r="A5848" s="49">
        <v>44574.572481469906</v>
      </c>
      <c r="B5848" s="50">
        <v>44574.6974567824</v>
      </c>
      <c r="C5848" s="51">
        <v>1.008</v>
      </c>
      <c r="D5848" s="51">
        <v>66.0</v>
      </c>
      <c r="E5848" s="52" t="s">
        <v>25</v>
      </c>
      <c r="F5848" s="52" t="s">
        <v>26</v>
      </c>
      <c r="G5848" s="53"/>
    </row>
    <row r="5849">
      <c r="A5849" s="49">
        <v>44574.58292394676</v>
      </c>
      <c r="B5849" s="50">
        <v>44574.7079006365</v>
      </c>
      <c r="C5849" s="51">
        <v>1.007</v>
      </c>
      <c r="D5849" s="51">
        <v>66.0</v>
      </c>
      <c r="E5849" s="52" t="s">
        <v>25</v>
      </c>
      <c r="F5849" s="52" t="s">
        <v>26</v>
      </c>
      <c r="G5849" s="53"/>
    </row>
    <row r="5850">
      <c r="A5850" s="49">
        <v>44574.59337959491</v>
      </c>
      <c r="B5850" s="50">
        <v>44574.7183452083</v>
      </c>
      <c r="C5850" s="51">
        <v>1.007</v>
      </c>
      <c r="D5850" s="51">
        <v>66.0</v>
      </c>
      <c r="E5850" s="52" t="s">
        <v>25</v>
      </c>
      <c r="F5850" s="52" t="s">
        <v>26</v>
      </c>
      <c r="G5850" s="53"/>
    </row>
    <row r="5851">
      <c r="A5851" s="49">
        <v>44574.60380564815</v>
      </c>
      <c r="B5851" s="50">
        <v>44574.7287756018</v>
      </c>
      <c r="C5851" s="51">
        <v>1.007</v>
      </c>
      <c r="D5851" s="51">
        <v>66.0</v>
      </c>
      <c r="E5851" s="52" t="s">
        <v>25</v>
      </c>
      <c r="F5851" s="52" t="s">
        <v>26</v>
      </c>
      <c r="G5851" s="53"/>
    </row>
    <row r="5852">
      <c r="A5852" s="49">
        <v>44574.614223564815</v>
      </c>
      <c r="B5852" s="50">
        <v>44574.7391970254</v>
      </c>
      <c r="C5852" s="51">
        <v>1.008</v>
      </c>
      <c r="D5852" s="51">
        <v>66.0</v>
      </c>
      <c r="E5852" s="52" t="s">
        <v>25</v>
      </c>
      <c r="F5852" s="52" t="s">
        <v>26</v>
      </c>
      <c r="G5852" s="53"/>
    </row>
    <row r="5853">
      <c r="A5853" s="49">
        <v>44574.62464439815</v>
      </c>
      <c r="B5853" s="50">
        <v>44574.7496170138</v>
      </c>
      <c r="C5853" s="51">
        <v>1.007</v>
      </c>
      <c r="D5853" s="51">
        <v>66.0</v>
      </c>
      <c r="E5853" s="52" t="s">
        <v>25</v>
      </c>
      <c r="F5853" s="52" t="s">
        <v>26</v>
      </c>
      <c r="G5853" s="53"/>
    </row>
    <row r="5854">
      <c r="A5854" s="49">
        <v>44574.63506390047</v>
      </c>
      <c r="B5854" s="50">
        <v>44574.7600377083</v>
      </c>
      <c r="C5854" s="51">
        <v>1.007</v>
      </c>
      <c r="D5854" s="51">
        <v>66.0</v>
      </c>
      <c r="E5854" s="52" t="s">
        <v>25</v>
      </c>
      <c r="F5854" s="52" t="s">
        <v>26</v>
      </c>
      <c r="G5854" s="53"/>
    </row>
    <row r="5855">
      <c r="A5855" s="49">
        <v>44574.645489386574</v>
      </c>
      <c r="B5855" s="50">
        <v>44574.7704608796</v>
      </c>
      <c r="C5855" s="51">
        <v>1.007</v>
      </c>
      <c r="D5855" s="51">
        <v>65.0</v>
      </c>
      <c r="E5855" s="52" t="s">
        <v>25</v>
      </c>
      <c r="F5855" s="52" t="s">
        <v>26</v>
      </c>
      <c r="G5855" s="53"/>
    </row>
    <row r="5856">
      <c r="A5856" s="49">
        <v>44574.655905127314</v>
      </c>
      <c r="B5856" s="50">
        <v>44574.7808822916</v>
      </c>
      <c r="C5856" s="51">
        <v>1.007</v>
      </c>
      <c r="D5856" s="51">
        <v>65.0</v>
      </c>
      <c r="E5856" s="52" t="s">
        <v>25</v>
      </c>
      <c r="F5856" s="52" t="s">
        <v>26</v>
      </c>
      <c r="G5856" s="53"/>
    </row>
    <row r="5857">
      <c r="A5857" s="49">
        <v>44574.66634733796</v>
      </c>
      <c r="B5857" s="50">
        <v>44574.7913260879</v>
      </c>
      <c r="C5857" s="51">
        <v>1.007</v>
      </c>
      <c r="D5857" s="51">
        <v>65.0</v>
      </c>
      <c r="E5857" s="52" t="s">
        <v>25</v>
      </c>
      <c r="F5857" s="52" t="s">
        <v>26</v>
      </c>
      <c r="G5857" s="53"/>
    </row>
    <row r="5858">
      <c r="A5858" s="49">
        <v>44574.67676556713</v>
      </c>
      <c r="B5858" s="50">
        <v>44574.8017463773</v>
      </c>
      <c r="C5858" s="51">
        <v>1.007</v>
      </c>
      <c r="D5858" s="51">
        <v>65.0</v>
      </c>
      <c r="E5858" s="52" t="s">
        <v>25</v>
      </c>
      <c r="F5858" s="52" t="s">
        <v>26</v>
      </c>
      <c r="G5858" s="53"/>
    </row>
    <row r="5859">
      <c r="A5859" s="49">
        <v>44574.68722263889</v>
      </c>
      <c r="B5859" s="50">
        <v>44574.8121920949</v>
      </c>
      <c r="C5859" s="51">
        <v>1.007</v>
      </c>
      <c r="D5859" s="51">
        <v>65.0</v>
      </c>
      <c r="E5859" s="52" t="s">
        <v>25</v>
      </c>
      <c r="F5859" s="52" t="s">
        <v>26</v>
      </c>
      <c r="G5859" s="53"/>
    </row>
    <row r="5860">
      <c r="A5860" s="49">
        <v>44574.69763756944</v>
      </c>
      <c r="B5860" s="50">
        <v>44574.8226128703</v>
      </c>
      <c r="C5860" s="51">
        <v>1.007</v>
      </c>
      <c r="D5860" s="51">
        <v>65.0</v>
      </c>
      <c r="E5860" s="52" t="s">
        <v>25</v>
      </c>
      <c r="F5860" s="52" t="s">
        <v>26</v>
      </c>
      <c r="G5860" s="53"/>
    </row>
    <row r="5861">
      <c r="A5861" s="49">
        <v>44574.70805797454</v>
      </c>
      <c r="B5861" s="50">
        <v>44574.8330342013</v>
      </c>
      <c r="C5861" s="51">
        <v>1.007</v>
      </c>
      <c r="D5861" s="51">
        <v>65.0</v>
      </c>
      <c r="E5861" s="52" t="s">
        <v>25</v>
      </c>
      <c r="F5861" s="52" t="s">
        <v>26</v>
      </c>
      <c r="G5861" s="53"/>
    </row>
    <row r="5862">
      <c r="A5862" s="49">
        <v>44574.718476168986</v>
      </c>
      <c r="B5862" s="50">
        <v>44574.8434543287</v>
      </c>
      <c r="C5862" s="51">
        <v>1.007</v>
      </c>
      <c r="D5862" s="51">
        <v>65.0</v>
      </c>
      <c r="E5862" s="52" t="s">
        <v>25</v>
      </c>
      <c r="F5862" s="52" t="s">
        <v>26</v>
      </c>
      <c r="G5862" s="53"/>
    </row>
    <row r="5863">
      <c r="A5863" s="49">
        <v>44574.72890969907</v>
      </c>
      <c r="B5863" s="50">
        <v>44574.8538865509</v>
      </c>
      <c r="C5863" s="51">
        <v>1.007</v>
      </c>
      <c r="D5863" s="51">
        <v>65.0</v>
      </c>
      <c r="E5863" s="52" t="s">
        <v>25</v>
      </c>
      <c r="F5863" s="52" t="s">
        <v>26</v>
      </c>
      <c r="G5863" s="53"/>
    </row>
    <row r="5864">
      <c r="A5864" s="49">
        <v>44574.739335011574</v>
      </c>
      <c r="B5864" s="50">
        <v>44574.8643063541</v>
      </c>
      <c r="C5864" s="51">
        <v>1.007</v>
      </c>
      <c r="D5864" s="51">
        <v>65.0</v>
      </c>
      <c r="E5864" s="52" t="s">
        <v>25</v>
      </c>
      <c r="F5864" s="52" t="s">
        <v>26</v>
      </c>
      <c r="G5864" s="53"/>
    </row>
    <row r="5865">
      <c r="A5865" s="49">
        <v>44574.749759212966</v>
      </c>
      <c r="B5865" s="50">
        <v>44574.8747283101</v>
      </c>
      <c r="C5865" s="51">
        <v>1.007</v>
      </c>
      <c r="D5865" s="51">
        <v>65.0</v>
      </c>
      <c r="E5865" s="52" t="s">
        <v>25</v>
      </c>
      <c r="F5865" s="52" t="s">
        <v>26</v>
      </c>
      <c r="G5865" s="53"/>
    </row>
    <row r="5866">
      <c r="A5866" s="49">
        <v>44574.760179398145</v>
      </c>
      <c r="B5866" s="50">
        <v>44574.8851504282</v>
      </c>
      <c r="C5866" s="51">
        <v>1.007</v>
      </c>
      <c r="D5866" s="51">
        <v>65.0</v>
      </c>
      <c r="E5866" s="52" t="s">
        <v>25</v>
      </c>
      <c r="F5866" s="52" t="s">
        <v>26</v>
      </c>
      <c r="G5866" s="53"/>
    </row>
    <row r="5867">
      <c r="A5867" s="49">
        <v>44574.77061815972</v>
      </c>
      <c r="B5867" s="50">
        <v>44574.8955961689</v>
      </c>
      <c r="C5867" s="51">
        <v>1.007</v>
      </c>
      <c r="D5867" s="51">
        <v>65.0</v>
      </c>
      <c r="E5867" s="52" t="s">
        <v>25</v>
      </c>
      <c r="F5867" s="52" t="s">
        <v>26</v>
      </c>
      <c r="G5867" s="53"/>
    </row>
    <row r="5868">
      <c r="A5868" s="49">
        <v>44574.781038773144</v>
      </c>
      <c r="B5868" s="50">
        <v>44574.9060169328</v>
      </c>
      <c r="C5868" s="51">
        <v>1.007</v>
      </c>
      <c r="D5868" s="51">
        <v>65.0</v>
      </c>
      <c r="E5868" s="52" t="s">
        <v>25</v>
      </c>
      <c r="F5868" s="52" t="s">
        <v>26</v>
      </c>
      <c r="G5868" s="53"/>
    </row>
    <row r="5869">
      <c r="A5869" s="49">
        <v>44574.79146648148</v>
      </c>
      <c r="B5869" s="50">
        <v>44574.9164396064</v>
      </c>
      <c r="C5869" s="51">
        <v>1.008</v>
      </c>
      <c r="D5869" s="51">
        <v>65.0</v>
      </c>
      <c r="E5869" s="52" t="s">
        <v>25</v>
      </c>
      <c r="F5869" s="52" t="s">
        <v>26</v>
      </c>
      <c r="G5869" s="53"/>
    </row>
    <row r="5870">
      <c r="A5870" s="49">
        <v>44574.801884120374</v>
      </c>
      <c r="B5870" s="50">
        <v>44574.9268625</v>
      </c>
      <c r="C5870" s="51">
        <v>1.007</v>
      </c>
      <c r="D5870" s="51">
        <v>65.0</v>
      </c>
      <c r="E5870" s="52" t="s">
        <v>25</v>
      </c>
      <c r="F5870" s="52" t="s">
        <v>26</v>
      </c>
      <c r="G5870" s="53"/>
    </row>
    <row r="5871">
      <c r="A5871" s="49">
        <v>44574.81231451389</v>
      </c>
      <c r="B5871" s="50">
        <v>44574.9372841782</v>
      </c>
      <c r="C5871" s="51">
        <v>1.007</v>
      </c>
      <c r="D5871" s="51">
        <v>65.0</v>
      </c>
      <c r="E5871" s="52" t="s">
        <v>25</v>
      </c>
      <c r="F5871" s="52" t="s">
        <v>26</v>
      </c>
      <c r="G5871" s="53"/>
    </row>
    <row r="5872">
      <c r="A5872" s="49">
        <v>44574.82272791667</v>
      </c>
      <c r="B5872" s="50">
        <v>44574.9477053356</v>
      </c>
      <c r="C5872" s="51">
        <v>1.007</v>
      </c>
      <c r="D5872" s="51">
        <v>65.0</v>
      </c>
      <c r="E5872" s="52" t="s">
        <v>25</v>
      </c>
      <c r="F5872" s="52" t="s">
        <v>26</v>
      </c>
      <c r="G5872" s="53"/>
    </row>
    <row r="5873">
      <c r="A5873" s="49">
        <v>44574.83315626158</v>
      </c>
      <c r="B5873" s="50">
        <v>44574.9581255555</v>
      </c>
      <c r="C5873" s="51">
        <v>1.007</v>
      </c>
      <c r="D5873" s="51">
        <v>65.0</v>
      </c>
      <c r="E5873" s="52" t="s">
        <v>25</v>
      </c>
      <c r="F5873" s="52" t="s">
        <v>26</v>
      </c>
      <c r="G5873" s="53"/>
    </row>
    <row r="5874">
      <c r="A5874" s="49">
        <v>44574.84357363426</v>
      </c>
      <c r="B5874" s="50">
        <v>44574.9685476851</v>
      </c>
      <c r="C5874" s="51">
        <v>1.008</v>
      </c>
      <c r="D5874" s="51">
        <v>65.0</v>
      </c>
      <c r="E5874" s="52" t="s">
        <v>25</v>
      </c>
      <c r="F5874" s="52" t="s">
        <v>26</v>
      </c>
      <c r="G5874" s="53"/>
    </row>
    <row r="5875">
      <c r="A5875" s="49">
        <v>44574.854001597225</v>
      </c>
      <c r="B5875" s="50">
        <v>44574.9789683217</v>
      </c>
      <c r="C5875" s="51">
        <v>1.007</v>
      </c>
      <c r="D5875" s="51">
        <v>65.0</v>
      </c>
      <c r="E5875" s="52" t="s">
        <v>25</v>
      </c>
      <c r="F5875" s="52" t="s">
        <v>26</v>
      </c>
      <c r="G5875" s="53"/>
    </row>
    <row r="5876">
      <c r="A5876" s="49">
        <v>44574.864412870375</v>
      </c>
      <c r="B5876" s="50">
        <v>44574.9893904513</v>
      </c>
      <c r="C5876" s="51">
        <v>1.007</v>
      </c>
      <c r="D5876" s="51">
        <v>65.0</v>
      </c>
      <c r="E5876" s="52" t="s">
        <v>25</v>
      </c>
      <c r="F5876" s="52" t="s">
        <v>26</v>
      </c>
      <c r="G5876" s="53"/>
    </row>
    <row r="5877">
      <c r="A5877" s="49">
        <v>44574.87483940972</v>
      </c>
      <c r="B5877" s="50">
        <v>44574.9998119097</v>
      </c>
      <c r="C5877" s="51">
        <v>1.008</v>
      </c>
      <c r="D5877" s="51">
        <v>65.0</v>
      </c>
      <c r="E5877" s="52" t="s">
        <v>25</v>
      </c>
      <c r="F5877" s="52" t="s">
        <v>26</v>
      </c>
      <c r="G5877" s="53"/>
    </row>
    <row r="5878">
      <c r="A5878" s="49">
        <v>44574.88530155092</v>
      </c>
      <c r="B5878" s="50">
        <v>44575.0102692592</v>
      </c>
      <c r="C5878" s="51">
        <v>1.007</v>
      </c>
      <c r="D5878" s="51">
        <v>65.0</v>
      </c>
      <c r="E5878" s="52" t="s">
        <v>25</v>
      </c>
      <c r="F5878" s="52" t="s">
        <v>26</v>
      </c>
      <c r="G5878" s="53"/>
    </row>
    <row r="5879">
      <c r="A5879" s="49">
        <v>44574.895715</v>
      </c>
      <c r="B5879" s="50">
        <v>44575.0206913425</v>
      </c>
      <c r="C5879" s="51">
        <v>1.007</v>
      </c>
      <c r="D5879" s="51">
        <v>65.0</v>
      </c>
      <c r="E5879" s="52" t="s">
        <v>25</v>
      </c>
      <c r="F5879" s="52" t="s">
        <v>26</v>
      </c>
      <c r="G5879" s="53"/>
    </row>
    <row r="5880">
      <c r="A5880" s="49">
        <v>44574.906142418986</v>
      </c>
      <c r="B5880" s="50">
        <v>44575.0311119791</v>
      </c>
      <c r="C5880" s="51">
        <v>1.007</v>
      </c>
      <c r="D5880" s="51">
        <v>65.0</v>
      </c>
      <c r="E5880" s="52" t="s">
        <v>25</v>
      </c>
      <c r="F5880" s="52" t="s">
        <v>26</v>
      </c>
      <c r="G5880" s="53"/>
    </row>
    <row r="5881">
      <c r="A5881" s="49">
        <v>44574.91659778936</v>
      </c>
      <c r="B5881" s="50">
        <v>44575.0415690509</v>
      </c>
      <c r="C5881" s="51">
        <v>1.007</v>
      </c>
      <c r="D5881" s="51">
        <v>65.0</v>
      </c>
      <c r="E5881" s="52" t="s">
        <v>25</v>
      </c>
      <c r="F5881" s="52" t="s">
        <v>26</v>
      </c>
      <c r="G5881" s="53"/>
    </row>
    <row r="5882">
      <c r="A5882" s="49">
        <v>44574.927028252314</v>
      </c>
      <c r="B5882" s="50">
        <v>44575.0520014699</v>
      </c>
      <c r="C5882" s="51">
        <v>1.007</v>
      </c>
      <c r="D5882" s="51">
        <v>65.0</v>
      </c>
      <c r="E5882" s="52" t="s">
        <v>25</v>
      </c>
      <c r="F5882" s="52" t="s">
        <v>26</v>
      </c>
      <c r="G5882" s="53"/>
    </row>
    <row r="5883">
      <c r="A5883" s="49">
        <v>44574.937452997685</v>
      </c>
      <c r="B5883" s="50">
        <v>44575.0624240625</v>
      </c>
      <c r="C5883" s="51">
        <v>1.007</v>
      </c>
      <c r="D5883" s="51">
        <v>65.0</v>
      </c>
      <c r="E5883" s="52" t="s">
        <v>25</v>
      </c>
      <c r="F5883" s="52" t="s">
        <v>26</v>
      </c>
      <c r="G5883" s="53"/>
    </row>
    <row r="5884">
      <c r="A5884" s="49">
        <v>44574.94788129629</v>
      </c>
      <c r="B5884" s="50">
        <v>44575.0728570138</v>
      </c>
      <c r="C5884" s="51">
        <v>1.007</v>
      </c>
      <c r="D5884" s="51">
        <v>65.0</v>
      </c>
      <c r="E5884" s="52" t="s">
        <v>25</v>
      </c>
      <c r="F5884" s="52" t="s">
        <v>26</v>
      </c>
      <c r="G5884" s="53"/>
    </row>
    <row r="5885">
      <c r="A5885" s="49">
        <v>44574.95830891204</v>
      </c>
      <c r="B5885" s="50">
        <v>44575.0832778703</v>
      </c>
      <c r="C5885" s="51">
        <v>1.007</v>
      </c>
      <c r="D5885" s="51">
        <v>65.0</v>
      </c>
      <c r="E5885" s="52" t="s">
        <v>25</v>
      </c>
      <c r="F5885" s="52" t="s">
        <v>26</v>
      </c>
      <c r="G5885" s="53"/>
    </row>
    <row r="5886">
      <c r="A5886" s="49">
        <v>44574.96877854167</v>
      </c>
      <c r="B5886" s="50">
        <v>44575.0937116319</v>
      </c>
      <c r="C5886" s="51">
        <v>1.007</v>
      </c>
      <c r="D5886" s="51">
        <v>65.0</v>
      </c>
      <c r="E5886" s="52" t="s">
        <v>25</v>
      </c>
      <c r="F5886" s="52" t="s">
        <v>26</v>
      </c>
      <c r="G5886" s="53"/>
    </row>
    <row r="5887">
      <c r="A5887" s="49">
        <v>44574.979161006944</v>
      </c>
      <c r="B5887" s="50">
        <v>44575.1041320023</v>
      </c>
      <c r="C5887" s="51">
        <v>1.007</v>
      </c>
      <c r="D5887" s="51">
        <v>65.0</v>
      </c>
      <c r="E5887" s="52" t="s">
        <v>25</v>
      </c>
      <c r="F5887" s="52" t="s">
        <v>26</v>
      </c>
      <c r="G5887" s="53"/>
    </row>
    <row r="5888">
      <c r="A5888" s="49">
        <v>44574.98958435185</v>
      </c>
      <c r="B5888" s="50">
        <v>44575.1145531018</v>
      </c>
      <c r="C5888" s="51">
        <v>1.008</v>
      </c>
      <c r="D5888" s="51">
        <v>65.0</v>
      </c>
      <c r="E5888" s="52" t="s">
        <v>25</v>
      </c>
      <c r="F5888" s="52" t="s">
        <v>26</v>
      </c>
      <c r="G5888" s="53"/>
    </row>
    <row r="5889">
      <c r="A5889" s="49">
        <v>44574.999998495376</v>
      </c>
      <c r="B5889" s="50">
        <v>44575.1249739004</v>
      </c>
      <c r="C5889" s="51">
        <v>1.007</v>
      </c>
      <c r="D5889" s="51">
        <v>65.0</v>
      </c>
      <c r="E5889" s="52" t="s">
        <v>25</v>
      </c>
      <c r="F5889" s="52" t="s">
        <v>26</v>
      </c>
      <c r="G5889" s="53"/>
    </row>
    <row r="5890">
      <c r="A5890" s="49">
        <v>44575.010436296296</v>
      </c>
      <c r="B5890" s="50">
        <v>44575.1354065625</v>
      </c>
      <c r="C5890" s="51">
        <v>1.007</v>
      </c>
      <c r="D5890" s="51">
        <v>64.0</v>
      </c>
      <c r="E5890" s="52" t="s">
        <v>25</v>
      </c>
      <c r="F5890" s="52" t="s">
        <v>26</v>
      </c>
      <c r="G5890" s="53"/>
    </row>
    <row r="5891">
      <c r="A5891" s="49">
        <v>44575.02094465277</v>
      </c>
      <c r="B5891" s="50">
        <v>44575.1459101273</v>
      </c>
      <c r="C5891" s="51">
        <v>1.008</v>
      </c>
      <c r="D5891" s="51">
        <v>64.0</v>
      </c>
      <c r="E5891" s="52" t="s">
        <v>25</v>
      </c>
      <c r="F5891" s="52" t="s">
        <v>26</v>
      </c>
      <c r="G5891" s="53"/>
    </row>
    <row r="5892">
      <c r="A5892" s="49">
        <v>44575.0313671412</v>
      </c>
      <c r="B5892" s="50">
        <v>44575.1563428935</v>
      </c>
      <c r="C5892" s="51">
        <v>1.008</v>
      </c>
      <c r="D5892" s="51">
        <v>64.0</v>
      </c>
      <c r="E5892" s="52" t="s">
        <v>25</v>
      </c>
      <c r="F5892" s="52" t="s">
        <v>26</v>
      </c>
      <c r="G5892" s="53"/>
    </row>
    <row r="5893">
      <c r="A5893" s="49">
        <v>44575.041804374996</v>
      </c>
      <c r="B5893" s="50">
        <v>44575.1667744791</v>
      </c>
      <c r="C5893" s="51">
        <v>1.007</v>
      </c>
      <c r="D5893" s="51">
        <v>64.0</v>
      </c>
      <c r="E5893" s="52" t="s">
        <v>25</v>
      </c>
      <c r="F5893" s="52" t="s">
        <v>26</v>
      </c>
      <c r="G5893" s="53"/>
    </row>
    <row r="5894">
      <c r="A5894" s="49">
        <v>44575.05223071759</v>
      </c>
      <c r="B5894" s="50">
        <v>44575.177206574</v>
      </c>
      <c r="C5894" s="51">
        <v>1.007</v>
      </c>
      <c r="D5894" s="51">
        <v>64.0</v>
      </c>
      <c r="E5894" s="52" t="s">
        <v>25</v>
      </c>
      <c r="F5894" s="52" t="s">
        <v>26</v>
      </c>
      <c r="G5894" s="53"/>
    </row>
    <row r="5895">
      <c r="A5895" s="49">
        <v>44575.06268888889</v>
      </c>
      <c r="B5895" s="50">
        <v>44575.1876271759</v>
      </c>
      <c r="C5895" s="51">
        <v>1.008</v>
      </c>
      <c r="D5895" s="51">
        <v>64.0</v>
      </c>
      <c r="E5895" s="52" t="s">
        <v>25</v>
      </c>
      <c r="F5895" s="52" t="s">
        <v>26</v>
      </c>
      <c r="G5895" s="53"/>
    </row>
    <row r="5896">
      <c r="A5896" s="49">
        <v>44575.073078009256</v>
      </c>
      <c r="B5896" s="50">
        <v>44575.1980589467</v>
      </c>
      <c r="C5896" s="51">
        <v>1.007</v>
      </c>
      <c r="D5896" s="51">
        <v>64.0</v>
      </c>
      <c r="E5896" s="52" t="s">
        <v>25</v>
      </c>
      <c r="F5896" s="52" t="s">
        <v>26</v>
      </c>
      <c r="G5896" s="53"/>
    </row>
    <row r="5897">
      <c r="A5897" s="49">
        <v>44575.083865231485</v>
      </c>
      <c r="B5897" s="50">
        <v>44575.2084827893</v>
      </c>
      <c r="C5897" s="51">
        <v>1.008</v>
      </c>
      <c r="D5897" s="51">
        <v>64.0</v>
      </c>
      <c r="E5897" s="52" t="s">
        <v>25</v>
      </c>
      <c r="F5897" s="52" t="s">
        <v>26</v>
      </c>
      <c r="G5897" s="53"/>
    </row>
    <row r="5898">
      <c r="A5898" s="49">
        <v>44575.093930104165</v>
      </c>
      <c r="B5898" s="50">
        <v>44575.2189044444</v>
      </c>
      <c r="C5898" s="51">
        <v>1.008</v>
      </c>
      <c r="D5898" s="51">
        <v>64.0</v>
      </c>
      <c r="E5898" s="52" t="s">
        <v>25</v>
      </c>
      <c r="F5898" s="52" t="s">
        <v>26</v>
      </c>
      <c r="G5898" s="53"/>
    </row>
    <row r="5899">
      <c r="A5899" s="49">
        <v>44575.10435898148</v>
      </c>
      <c r="B5899" s="50">
        <v>44575.2293270717</v>
      </c>
      <c r="C5899" s="51">
        <v>1.007</v>
      </c>
      <c r="D5899" s="51">
        <v>64.0</v>
      </c>
      <c r="E5899" s="52" t="s">
        <v>25</v>
      </c>
      <c r="F5899" s="52" t="s">
        <v>26</v>
      </c>
      <c r="G5899" s="53"/>
    </row>
    <row r="5900">
      <c r="A5900" s="49">
        <v>44575.11476861111</v>
      </c>
      <c r="B5900" s="50">
        <v>44575.2397471874</v>
      </c>
      <c r="C5900" s="51">
        <v>1.007</v>
      </c>
      <c r="D5900" s="51">
        <v>64.0</v>
      </c>
      <c r="E5900" s="52" t="s">
        <v>25</v>
      </c>
      <c r="F5900" s="52" t="s">
        <v>26</v>
      </c>
      <c r="G5900" s="53"/>
    </row>
    <row r="5901">
      <c r="A5901" s="49">
        <v>44575.1252039699</v>
      </c>
      <c r="B5901" s="50">
        <v>44575.2501672337</v>
      </c>
      <c r="C5901" s="51">
        <v>1.007</v>
      </c>
      <c r="D5901" s="51">
        <v>64.0</v>
      </c>
      <c r="E5901" s="52" t="s">
        <v>25</v>
      </c>
      <c r="F5901" s="52" t="s">
        <v>26</v>
      </c>
      <c r="G5901" s="53"/>
    </row>
    <row r="5902">
      <c r="A5902" s="49">
        <v>44575.13561696759</v>
      </c>
      <c r="B5902" s="50">
        <v>44575.2605875694</v>
      </c>
      <c r="C5902" s="51">
        <v>1.007</v>
      </c>
      <c r="D5902" s="51">
        <v>64.0</v>
      </c>
      <c r="E5902" s="52" t="s">
        <v>25</v>
      </c>
      <c r="F5902" s="52" t="s">
        <v>26</v>
      </c>
      <c r="G5902" s="53"/>
    </row>
    <row r="5903">
      <c r="A5903" s="49">
        <v>44575.146048622686</v>
      </c>
      <c r="B5903" s="50">
        <v>44575.2710210648</v>
      </c>
      <c r="C5903" s="51">
        <v>1.007</v>
      </c>
      <c r="D5903" s="51">
        <v>64.0</v>
      </c>
      <c r="E5903" s="52" t="s">
        <v>25</v>
      </c>
      <c r="F5903" s="52" t="s">
        <v>26</v>
      </c>
      <c r="G5903" s="53"/>
    </row>
    <row r="5904">
      <c r="A5904" s="49">
        <v>44575.15646244213</v>
      </c>
      <c r="B5904" s="50">
        <v>44575.2814415972</v>
      </c>
      <c r="C5904" s="51">
        <v>1.007</v>
      </c>
      <c r="D5904" s="51">
        <v>64.0</v>
      </c>
      <c r="E5904" s="52" t="s">
        <v>25</v>
      </c>
      <c r="F5904" s="52" t="s">
        <v>26</v>
      </c>
      <c r="G5904" s="53"/>
    </row>
    <row r="5905">
      <c r="A5905" s="49">
        <v>44575.16690534722</v>
      </c>
      <c r="B5905" s="50">
        <v>44575.2918730439</v>
      </c>
      <c r="C5905" s="51">
        <v>1.007</v>
      </c>
      <c r="D5905" s="51">
        <v>64.0</v>
      </c>
      <c r="E5905" s="52" t="s">
        <v>25</v>
      </c>
      <c r="F5905" s="52" t="s">
        <v>26</v>
      </c>
      <c r="G5905" s="53"/>
    </row>
    <row r="5906">
      <c r="A5906" s="49">
        <v>44575.17732928241</v>
      </c>
      <c r="B5906" s="50">
        <v>44575.3023044907</v>
      </c>
      <c r="C5906" s="51">
        <v>1.007</v>
      </c>
      <c r="D5906" s="51">
        <v>64.0</v>
      </c>
      <c r="E5906" s="52" t="s">
        <v>25</v>
      </c>
      <c r="F5906" s="52" t="s">
        <v>26</v>
      </c>
      <c r="G5906" s="53"/>
    </row>
    <row r="5907">
      <c r="A5907" s="49">
        <v>44575.187750324076</v>
      </c>
      <c r="B5907" s="50">
        <v>44575.312724699</v>
      </c>
      <c r="C5907" s="51">
        <v>1.007</v>
      </c>
      <c r="D5907" s="51">
        <v>64.0</v>
      </c>
      <c r="E5907" s="52" t="s">
        <v>25</v>
      </c>
      <c r="F5907" s="52" t="s">
        <v>26</v>
      </c>
      <c r="G5907" s="53"/>
    </row>
    <row r="5908">
      <c r="A5908" s="49">
        <v>44575.19817149306</v>
      </c>
      <c r="B5908" s="50">
        <v>44575.3231471643</v>
      </c>
      <c r="C5908" s="51">
        <v>1.007</v>
      </c>
      <c r="D5908" s="51">
        <v>64.0</v>
      </c>
      <c r="E5908" s="52" t="s">
        <v>25</v>
      </c>
      <c r="F5908" s="52" t="s">
        <v>26</v>
      </c>
      <c r="G5908" s="53"/>
    </row>
    <row r="5909">
      <c r="A5909" s="49">
        <v>44575.20860586806</v>
      </c>
      <c r="B5909" s="50">
        <v>44575.3335792476</v>
      </c>
      <c r="C5909" s="51">
        <v>1.007</v>
      </c>
      <c r="D5909" s="51">
        <v>64.0</v>
      </c>
      <c r="E5909" s="52" t="s">
        <v>25</v>
      </c>
      <c r="F5909" s="52" t="s">
        <v>26</v>
      </c>
      <c r="G5909" s="53"/>
    </row>
    <row r="5910">
      <c r="A5910" s="49">
        <v>44575.219028125</v>
      </c>
      <c r="B5910" s="50">
        <v>44575.34399978</v>
      </c>
      <c r="C5910" s="51">
        <v>1.007</v>
      </c>
      <c r="D5910" s="51">
        <v>64.0</v>
      </c>
      <c r="E5910" s="52" t="s">
        <v>25</v>
      </c>
      <c r="F5910" s="52" t="s">
        <v>26</v>
      </c>
      <c r="G5910" s="53"/>
    </row>
    <row r="5911">
      <c r="A5911" s="49">
        <v>44575.229453437496</v>
      </c>
      <c r="B5911" s="50">
        <v>44575.3544205555</v>
      </c>
      <c r="C5911" s="51">
        <v>1.007</v>
      </c>
      <c r="D5911" s="51">
        <v>64.0</v>
      </c>
      <c r="E5911" s="52" t="s">
        <v>25</v>
      </c>
      <c r="F5911" s="52" t="s">
        <v>26</v>
      </c>
      <c r="G5911" s="53"/>
    </row>
    <row r="5912">
      <c r="A5912" s="49">
        <v>44575.239870833335</v>
      </c>
      <c r="B5912" s="50">
        <v>44575.3648436226</v>
      </c>
      <c r="C5912" s="51">
        <v>1.007</v>
      </c>
      <c r="D5912" s="51">
        <v>64.0</v>
      </c>
      <c r="E5912" s="52" t="s">
        <v>25</v>
      </c>
      <c r="F5912" s="52" t="s">
        <v>26</v>
      </c>
      <c r="G5912" s="53"/>
    </row>
    <row r="5913">
      <c r="A5913" s="49">
        <v>44575.2502903125</v>
      </c>
      <c r="B5913" s="50">
        <v>44575.3752660995</v>
      </c>
      <c r="C5913" s="51">
        <v>1.007</v>
      </c>
      <c r="D5913" s="51">
        <v>64.0</v>
      </c>
      <c r="E5913" s="52" t="s">
        <v>25</v>
      </c>
      <c r="F5913" s="52" t="s">
        <v>26</v>
      </c>
      <c r="G5913" s="53"/>
    </row>
    <row r="5914">
      <c r="A5914" s="49">
        <v>44575.26071379629</v>
      </c>
      <c r="B5914" s="50">
        <v>44575.3856852199</v>
      </c>
      <c r="C5914" s="51">
        <v>1.007</v>
      </c>
      <c r="D5914" s="51">
        <v>64.0</v>
      </c>
      <c r="E5914" s="52" t="s">
        <v>25</v>
      </c>
      <c r="F5914" s="52" t="s">
        <v>26</v>
      </c>
      <c r="G5914" s="53"/>
    </row>
    <row r="5915">
      <c r="A5915" s="49">
        <v>44575.27113332176</v>
      </c>
      <c r="B5915" s="50">
        <v>44575.396105405</v>
      </c>
      <c r="C5915" s="51">
        <v>1.007</v>
      </c>
      <c r="D5915" s="51">
        <v>64.0</v>
      </c>
      <c r="E5915" s="52" t="s">
        <v>25</v>
      </c>
      <c r="F5915" s="52" t="s">
        <v>26</v>
      </c>
      <c r="G5915" s="53"/>
    </row>
    <row r="5916">
      <c r="A5916" s="49">
        <v>44575.28156275463</v>
      </c>
      <c r="B5916" s="50">
        <v>44575.406535162</v>
      </c>
      <c r="C5916" s="51">
        <v>1.007</v>
      </c>
      <c r="D5916" s="51">
        <v>64.0</v>
      </c>
      <c r="E5916" s="52" t="s">
        <v>25</v>
      </c>
      <c r="F5916" s="52" t="s">
        <v>26</v>
      </c>
      <c r="G5916" s="53"/>
    </row>
    <row r="5917">
      <c r="A5917" s="49">
        <v>44575.29197873843</v>
      </c>
      <c r="B5917" s="50">
        <v>44575.4169586574</v>
      </c>
      <c r="C5917" s="51">
        <v>1.007</v>
      </c>
      <c r="D5917" s="51">
        <v>64.0</v>
      </c>
      <c r="E5917" s="52" t="s">
        <v>25</v>
      </c>
      <c r="F5917" s="52" t="s">
        <v>26</v>
      </c>
      <c r="G5917" s="53"/>
    </row>
    <row r="5918">
      <c r="A5918" s="49">
        <v>44575.30241238426</v>
      </c>
      <c r="B5918" s="50">
        <v>44575.4273798726</v>
      </c>
      <c r="C5918" s="51">
        <v>1.007</v>
      </c>
      <c r="D5918" s="51">
        <v>64.0</v>
      </c>
      <c r="E5918" s="52" t="s">
        <v>25</v>
      </c>
      <c r="F5918" s="52" t="s">
        <v>26</v>
      </c>
      <c r="G5918" s="53"/>
    </row>
    <row r="5919">
      <c r="A5919" s="49">
        <v>44575.312828090275</v>
      </c>
      <c r="B5919" s="50">
        <v>44575.4378015162</v>
      </c>
      <c r="C5919" s="51">
        <v>1.007</v>
      </c>
      <c r="D5919" s="51">
        <v>64.0</v>
      </c>
      <c r="E5919" s="52" t="s">
        <v>25</v>
      </c>
      <c r="F5919" s="52" t="s">
        <v>26</v>
      </c>
      <c r="G5919" s="53"/>
    </row>
    <row r="5920">
      <c r="A5920" s="49">
        <v>44575.32324725694</v>
      </c>
      <c r="B5920" s="50">
        <v>44575.4482217476</v>
      </c>
      <c r="C5920" s="51">
        <v>1.007</v>
      </c>
      <c r="D5920" s="51">
        <v>64.0</v>
      </c>
      <c r="E5920" s="52" t="s">
        <v>25</v>
      </c>
      <c r="F5920" s="52" t="s">
        <v>26</v>
      </c>
      <c r="G5920" s="53"/>
    </row>
    <row r="5921">
      <c r="A5921" s="49">
        <v>44575.33366296296</v>
      </c>
      <c r="B5921" s="50">
        <v>44575.4586432638</v>
      </c>
      <c r="C5921" s="51">
        <v>1.007</v>
      </c>
      <c r="D5921" s="51">
        <v>64.0</v>
      </c>
      <c r="E5921" s="52" t="s">
        <v>25</v>
      </c>
      <c r="F5921" s="52" t="s">
        <v>26</v>
      </c>
      <c r="G5921" s="53"/>
    </row>
    <row r="5922">
      <c r="A5922" s="49">
        <v>44575.34413052083</v>
      </c>
      <c r="B5922" s="50">
        <v>44575.4690984606</v>
      </c>
      <c r="C5922" s="51">
        <v>1.007</v>
      </c>
      <c r="D5922" s="51">
        <v>64.0</v>
      </c>
      <c r="E5922" s="52" t="s">
        <v>25</v>
      </c>
      <c r="F5922" s="52" t="s">
        <v>26</v>
      </c>
      <c r="G5922" s="53"/>
    </row>
    <row r="5923">
      <c r="A5923" s="49">
        <v>44575.35454552084</v>
      </c>
      <c r="B5923" s="50">
        <v>44575.4795201967</v>
      </c>
      <c r="C5923" s="51">
        <v>1.007</v>
      </c>
      <c r="D5923" s="51">
        <v>64.0</v>
      </c>
      <c r="E5923" s="52" t="s">
        <v>25</v>
      </c>
      <c r="F5923" s="52" t="s">
        <v>26</v>
      </c>
      <c r="G5923" s="53"/>
    </row>
    <row r="5924">
      <c r="A5924" s="49">
        <v>44575.36496997685</v>
      </c>
      <c r="B5924" s="50">
        <v>44575.4899392476</v>
      </c>
      <c r="C5924" s="51">
        <v>1.007</v>
      </c>
      <c r="D5924" s="51">
        <v>64.0</v>
      </c>
      <c r="E5924" s="52" t="s">
        <v>25</v>
      </c>
      <c r="F5924" s="52" t="s">
        <v>26</v>
      </c>
      <c r="G5924" s="53"/>
    </row>
    <row r="5925">
      <c r="A5925" s="49">
        <v>44575.37541851852</v>
      </c>
      <c r="B5925" s="50">
        <v>44575.500393831</v>
      </c>
      <c r="C5925" s="51">
        <v>1.007</v>
      </c>
      <c r="D5925" s="51">
        <v>64.0</v>
      </c>
      <c r="E5925" s="52" t="s">
        <v>25</v>
      </c>
      <c r="F5925" s="52" t="s">
        <v>26</v>
      </c>
      <c r="G5925" s="53"/>
    </row>
    <row r="5926">
      <c r="A5926" s="49">
        <v>44575.385835486115</v>
      </c>
      <c r="B5926" s="50">
        <v>44575.510815081</v>
      </c>
      <c r="C5926" s="51">
        <v>1.007</v>
      </c>
      <c r="D5926" s="51">
        <v>64.0</v>
      </c>
      <c r="E5926" s="52" t="s">
        <v>25</v>
      </c>
      <c r="F5926" s="52" t="s">
        <v>26</v>
      </c>
      <c r="G5926" s="53"/>
    </row>
    <row r="5927">
      <c r="A5927" s="49">
        <v>44575.396294363425</v>
      </c>
      <c r="B5927" s="50">
        <v>44575.5212599537</v>
      </c>
      <c r="C5927" s="51">
        <v>1.007</v>
      </c>
      <c r="D5927" s="51">
        <v>64.0</v>
      </c>
      <c r="E5927" s="52" t="s">
        <v>25</v>
      </c>
      <c r="F5927" s="52" t="s">
        <v>26</v>
      </c>
      <c r="G5927" s="53"/>
    </row>
    <row r="5928">
      <c r="A5928" s="49">
        <v>44575.40671005787</v>
      </c>
      <c r="B5928" s="50">
        <v>44575.5316810763</v>
      </c>
      <c r="C5928" s="51">
        <v>1.007</v>
      </c>
      <c r="D5928" s="51">
        <v>64.0</v>
      </c>
      <c r="E5928" s="52" t="s">
        <v>25</v>
      </c>
      <c r="F5928" s="52" t="s">
        <v>26</v>
      </c>
      <c r="G5928" s="53"/>
    </row>
    <row r="5929">
      <c r="A5929" s="49">
        <v>44575.41715599537</v>
      </c>
      <c r="B5929" s="50">
        <v>44575.5421257986</v>
      </c>
      <c r="C5929" s="51">
        <v>1.007</v>
      </c>
      <c r="D5929" s="51">
        <v>64.0</v>
      </c>
      <c r="E5929" s="52" t="s">
        <v>25</v>
      </c>
      <c r="F5929" s="52" t="s">
        <v>26</v>
      </c>
      <c r="G5929" s="53"/>
    </row>
    <row r="5930">
      <c r="A5930" s="49">
        <v>44575.427590046296</v>
      </c>
      <c r="B5930" s="50">
        <v>44575.5525576157</v>
      </c>
      <c r="C5930" s="51">
        <v>1.007</v>
      </c>
      <c r="D5930" s="51">
        <v>64.0</v>
      </c>
      <c r="E5930" s="52" t="s">
        <v>25</v>
      </c>
      <c r="F5930" s="52" t="s">
        <v>26</v>
      </c>
      <c r="G5930" s="53"/>
    </row>
    <row r="5931">
      <c r="A5931" s="49">
        <v>44575.438013136576</v>
      </c>
      <c r="B5931" s="50">
        <v>44575.5629789467</v>
      </c>
      <c r="C5931" s="51">
        <v>1.008</v>
      </c>
      <c r="D5931" s="51">
        <v>64.0</v>
      </c>
      <c r="E5931" s="52" t="s">
        <v>25</v>
      </c>
      <c r="F5931" s="52" t="s">
        <v>26</v>
      </c>
      <c r="G5931" s="53"/>
    </row>
    <row r="5932">
      <c r="A5932" s="49">
        <v>44575.4484306713</v>
      </c>
      <c r="B5932" s="50">
        <v>44575.5733984259</v>
      </c>
      <c r="C5932" s="51">
        <v>1.007</v>
      </c>
      <c r="D5932" s="51">
        <v>64.0</v>
      </c>
      <c r="E5932" s="52" t="s">
        <v>25</v>
      </c>
      <c r="F5932" s="52" t="s">
        <v>26</v>
      </c>
      <c r="G5932" s="53"/>
    </row>
    <row r="5933">
      <c r="A5933" s="49">
        <v>44575.458917094904</v>
      </c>
      <c r="B5933" s="50">
        <v>44575.58381978</v>
      </c>
      <c r="C5933" s="51">
        <v>1.007</v>
      </c>
      <c r="D5933" s="51">
        <v>63.0</v>
      </c>
      <c r="E5933" s="52" t="s">
        <v>25</v>
      </c>
      <c r="F5933" s="52" t="s">
        <v>26</v>
      </c>
      <c r="G5933" s="53"/>
    </row>
    <row r="5934">
      <c r="A5934" s="49">
        <v>44575.46926356481</v>
      </c>
      <c r="B5934" s="50">
        <v>44575.5942378819</v>
      </c>
      <c r="C5934" s="51">
        <v>1.007</v>
      </c>
      <c r="D5934" s="51">
        <v>63.0</v>
      </c>
      <c r="E5934" s="52" t="s">
        <v>25</v>
      </c>
      <c r="F5934" s="52" t="s">
        <v>26</v>
      </c>
      <c r="G5934" s="53"/>
    </row>
    <row r="5935">
      <c r="A5935" s="49">
        <v>44575.47972408565</v>
      </c>
      <c r="B5935" s="50">
        <v>44575.6046941319</v>
      </c>
      <c r="C5935" s="51">
        <v>1.007</v>
      </c>
      <c r="D5935" s="51">
        <v>63.0</v>
      </c>
      <c r="E5935" s="52" t="s">
        <v>25</v>
      </c>
      <c r="F5935" s="52" t="s">
        <v>26</v>
      </c>
      <c r="G5935" s="53"/>
    </row>
    <row r="5936">
      <c r="A5936" s="49">
        <v>44575.490181030094</v>
      </c>
      <c r="B5936" s="50">
        <v>44575.6151499884</v>
      </c>
      <c r="C5936" s="51">
        <v>1.007</v>
      </c>
      <c r="D5936" s="51">
        <v>63.0</v>
      </c>
      <c r="E5936" s="52" t="s">
        <v>25</v>
      </c>
      <c r="F5936" s="52" t="s">
        <v>26</v>
      </c>
      <c r="G5936" s="53"/>
    </row>
    <row r="5937">
      <c r="A5937" s="49">
        <v>44575.500600949075</v>
      </c>
      <c r="B5937" s="50">
        <v>44575.6255711111</v>
      </c>
      <c r="C5937" s="51">
        <v>1.007</v>
      </c>
      <c r="D5937" s="51">
        <v>63.0</v>
      </c>
      <c r="E5937" s="52" t="s">
        <v>25</v>
      </c>
      <c r="F5937" s="52" t="s">
        <v>26</v>
      </c>
      <c r="G5937" s="53"/>
    </row>
    <row r="5938">
      <c r="A5938" s="49">
        <v>44575.51103366898</v>
      </c>
      <c r="B5938" s="50">
        <v>44575.6360040509</v>
      </c>
      <c r="C5938" s="51">
        <v>1.007</v>
      </c>
      <c r="D5938" s="51">
        <v>63.0</v>
      </c>
      <c r="E5938" s="52" t="s">
        <v>25</v>
      </c>
      <c r="F5938" s="52" t="s">
        <v>26</v>
      </c>
      <c r="G5938" s="53"/>
    </row>
    <row r="5939">
      <c r="A5939" s="49">
        <v>44575.521448252315</v>
      </c>
      <c r="B5939" s="50">
        <v>44575.6464251504</v>
      </c>
      <c r="C5939" s="51">
        <v>1.007</v>
      </c>
      <c r="D5939" s="51">
        <v>63.0</v>
      </c>
      <c r="E5939" s="52" t="s">
        <v>25</v>
      </c>
      <c r="F5939" s="52" t="s">
        <v>26</v>
      </c>
      <c r="G5939" s="53"/>
    </row>
    <row r="5940">
      <c r="A5940" s="49">
        <v>44575.53187274306</v>
      </c>
      <c r="B5940" s="50">
        <v>44575.6568470601</v>
      </c>
      <c r="C5940" s="51">
        <v>1.007</v>
      </c>
      <c r="D5940" s="51">
        <v>63.0</v>
      </c>
      <c r="E5940" s="52" t="s">
        <v>25</v>
      </c>
      <c r="F5940" s="52" t="s">
        <v>26</v>
      </c>
      <c r="G5940" s="53"/>
    </row>
    <row r="5941">
      <c r="A5941" s="49">
        <v>44575.542304699076</v>
      </c>
      <c r="B5941" s="50">
        <v>44575.6672798032</v>
      </c>
      <c r="C5941" s="51">
        <v>1.007</v>
      </c>
      <c r="D5941" s="51">
        <v>63.0</v>
      </c>
      <c r="E5941" s="52" t="s">
        <v>25</v>
      </c>
      <c r="F5941" s="52" t="s">
        <v>26</v>
      </c>
      <c r="G5941" s="53"/>
    </row>
    <row r="5942">
      <c r="A5942" s="49">
        <v>44575.55273925926</v>
      </c>
      <c r="B5942" s="50">
        <v>44575.6777134374</v>
      </c>
      <c r="C5942" s="51">
        <v>1.007</v>
      </c>
      <c r="D5942" s="51">
        <v>63.0</v>
      </c>
      <c r="E5942" s="52" t="s">
        <v>25</v>
      </c>
      <c r="F5942" s="52" t="s">
        <v>26</v>
      </c>
      <c r="G5942" s="53"/>
    </row>
    <row r="5943">
      <c r="A5943" s="49">
        <v>44575.563157916666</v>
      </c>
      <c r="B5943" s="50">
        <v>44575.6881360879</v>
      </c>
      <c r="C5943" s="51">
        <v>1.007</v>
      </c>
      <c r="D5943" s="51">
        <v>63.0</v>
      </c>
      <c r="E5943" s="52" t="s">
        <v>25</v>
      </c>
      <c r="F5943" s="52" t="s">
        <v>26</v>
      </c>
      <c r="G5943" s="53"/>
    </row>
    <row r="5944">
      <c r="A5944" s="49">
        <v>44575.57358759259</v>
      </c>
      <c r="B5944" s="50">
        <v>44575.69855728</v>
      </c>
      <c r="C5944" s="51">
        <v>1.008</v>
      </c>
      <c r="D5944" s="51">
        <v>63.0</v>
      </c>
      <c r="E5944" s="52" t="s">
        <v>25</v>
      </c>
      <c r="F5944" s="52" t="s">
        <v>26</v>
      </c>
      <c r="G5944" s="53"/>
    </row>
    <row r="5945">
      <c r="A5945" s="49">
        <v>44575.58402127315</v>
      </c>
      <c r="B5945" s="50">
        <v>44575.7089892824</v>
      </c>
      <c r="C5945" s="51">
        <v>1.007</v>
      </c>
      <c r="D5945" s="51">
        <v>63.0</v>
      </c>
      <c r="E5945" s="52" t="s">
        <v>25</v>
      </c>
      <c r="F5945" s="52" t="s">
        <v>26</v>
      </c>
      <c r="G5945" s="53"/>
    </row>
    <row r="5946">
      <c r="A5946" s="49">
        <v>44575.59444638889</v>
      </c>
      <c r="B5946" s="50">
        <v>44575.7194209027</v>
      </c>
      <c r="C5946" s="51">
        <v>1.007</v>
      </c>
      <c r="D5946" s="51">
        <v>63.0</v>
      </c>
      <c r="E5946" s="52" t="s">
        <v>25</v>
      </c>
      <c r="F5946" s="52" t="s">
        <v>26</v>
      </c>
      <c r="G5946" s="53"/>
    </row>
    <row r="5947">
      <c r="A5947" s="49">
        <v>44575.604873715274</v>
      </c>
      <c r="B5947" s="50">
        <v>44575.7298530439</v>
      </c>
      <c r="C5947" s="51">
        <v>1.008</v>
      </c>
      <c r="D5947" s="51">
        <v>63.0</v>
      </c>
      <c r="E5947" s="52" t="s">
        <v>25</v>
      </c>
      <c r="F5947" s="52" t="s">
        <v>26</v>
      </c>
      <c r="G5947" s="53"/>
    </row>
    <row r="5948">
      <c r="A5948" s="49">
        <v>44575.6153174537</v>
      </c>
      <c r="B5948" s="50">
        <v>44575.7402853356</v>
      </c>
      <c r="C5948" s="51">
        <v>1.007</v>
      </c>
      <c r="D5948" s="51">
        <v>63.0</v>
      </c>
      <c r="E5948" s="52" t="s">
        <v>25</v>
      </c>
      <c r="F5948" s="52" t="s">
        <v>26</v>
      </c>
      <c r="G5948" s="53"/>
    </row>
    <row r="5949">
      <c r="A5949" s="49">
        <v>44575.625733657405</v>
      </c>
      <c r="B5949" s="50">
        <v>44575.7507066087</v>
      </c>
      <c r="C5949" s="51">
        <v>1.008</v>
      </c>
      <c r="D5949" s="51">
        <v>63.0</v>
      </c>
      <c r="E5949" s="52" t="s">
        <v>25</v>
      </c>
      <c r="F5949" s="52" t="s">
        <v>26</v>
      </c>
      <c r="G5949" s="53"/>
    </row>
    <row r="5950">
      <c r="A5950" s="49">
        <v>44575.63616699074</v>
      </c>
      <c r="B5950" s="50">
        <v>44575.7611415277</v>
      </c>
      <c r="C5950" s="51">
        <v>1.008</v>
      </c>
      <c r="D5950" s="51">
        <v>63.0</v>
      </c>
      <c r="E5950" s="52" t="s">
        <v>25</v>
      </c>
      <c r="F5950" s="52" t="s">
        <v>26</v>
      </c>
      <c r="G5950" s="53"/>
    </row>
    <row r="5951">
      <c r="A5951" s="49">
        <v>44575.64659304398</v>
      </c>
      <c r="B5951" s="50">
        <v>44575.7715619675</v>
      </c>
      <c r="C5951" s="51">
        <v>1.007</v>
      </c>
      <c r="D5951" s="51">
        <v>63.0</v>
      </c>
      <c r="E5951" s="52" t="s">
        <v>25</v>
      </c>
      <c r="F5951" s="52" t="s">
        <v>26</v>
      </c>
      <c r="G5951" s="53"/>
    </row>
    <row r="5952">
      <c r="A5952" s="49">
        <v>44575.65701552083</v>
      </c>
      <c r="B5952" s="50">
        <v>44575.7819822222</v>
      </c>
      <c r="C5952" s="51">
        <v>1.007</v>
      </c>
      <c r="D5952" s="51">
        <v>63.0</v>
      </c>
      <c r="E5952" s="52" t="s">
        <v>25</v>
      </c>
      <c r="F5952" s="52" t="s">
        <v>26</v>
      </c>
      <c r="G5952" s="53"/>
    </row>
    <row r="5953">
      <c r="A5953" s="49">
        <v>44575.667537824076</v>
      </c>
      <c r="B5953" s="50">
        <v>44575.7925091898</v>
      </c>
      <c r="C5953" s="51">
        <v>1.007</v>
      </c>
      <c r="D5953" s="51">
        <v>63.0</v>
      </c>
      <c r="E5953" s="52" t="s">
        <v>25</v>
      </c>
      <c r="F5953" s="52" t="s">
        <v>26</v>
      </c>
      <c r="G5953" s="53"/>
    </row>
    <row r="5954">
      <c r="A5954" s="49">
        <v>44575.67795621528</v>
      </c>
      <c r="B5954" s="50">
        <v>44575.8029307175</v>
      </c>
      <c r="C5954" s="51">
        <v>1.008</v>
      </c>
      <c r="D5954" s="51">
        <v>63.0</v>
      </c>
      <c r="E5954" s="52" t="s">
        <v>25</v>
      </c>
      <c r="F5954" s="52" t="s">
        <v>26</v>
      </c>
      <c r="G5954" s="53"/>
    </row>
    <row r="5955">
      <c r="A5955" s="49">
        <v>44575.688403125</v>
      </c>
      <c r="B5955" s="50">
        <v>44575.8133736805</v>
      </c>
      <c r="C5955" s="51">
        <v>1.007</v>
      </c>
      <c r="D5955" s="51">
        <v>63.0</v>
      </c>
      <c r="E5955" s="52" t="s">
        <v>25</v>
      </c>
      <c r="F5955" s="52" t="s">
        <v>26</v>
      </c>
      <c r="G5955" s="53"/>
    </row>
    <row r="5956">
      <c r="A5956" s="49">
        <v>44575.698814965275</v>
      </c>
      <c r="B5956" s="50">
        <v>44575.8237951967</v>
      </c>
      <c r="C5956" s="51">
        <v>1.007</v>
      </c>
      <c r="D5956" s="51">
        <v>63.0</v>
      </c>
      <c r="E5956" s="52" t="s">
        <v>25</v>
      </c>
      <c r="F5956" s="52" t="s">
        <v>26</v>
      </c>
      <c r="G5956" s="53"/>
    </row>
    <row r="5957">
      <c r="A5957" s="49">
        <v>44575.70924065972</v>
      </c>
      <c r="B5957" s="50">
        <v>44575.8342166435</v>
      </c>
      <c r="C5957" s="51">
        <v>1.007</v>
      </c>
      <c r="D5957" s="51">
        <v>63.0</v>
      </c>
      <c r="E5957" s="52" t="s">
        <v>25</v>
      </c>
      <c r="F5957" s="52" t="s">
        <v>26</v>
      </c>
      <c r="G5957" s="53"/>
    </row>
    <row r="5958">
      <c r="A5958" s="49">
        <v>44575.719667199075</v>
      </c>
      <c r="B5958" s="50">
        <v>44575.8446402893</v>
      </c>
      <c r="C5958" s="51">
        <v>1.007</v>
      </c>
      <c r="D5958" s="51">
        <v>63.0</v>
      </c>
      <c r="E5958" s="52" t="s">
        <v>25</v>
      </c>
      <c r="F5958" s="52" t="s">
        <v>26</v>
      </c>
      <c r="G5958" s="53"/>
    </row>
    <row r="5959">
      <c r="A5959" s="49">
        <v>44575.73009125</v>
      </c>
      <c r="B5959" s="50">
        <v>44575.8550622916</v>
      </c>
      <c r="C5959" s="51">
        <v>1.007</v>
      </c>
      <c r="D5959" s="51">
        <v>63.0</v>
      </c>
      <c r="E5959" s="52" t="s">
        <v>25</v>
      </c>
      <c r="F5959" s="52" t="s">
        <v>26</v>
      </c>
      <c r="G5959" s="53"/>
    </row>
    <row r="5960">
      <c r="A5960" s="49">
        <v>44575.740523078704</v>
      </c>
      <c r="B5960" s="50">
        <v>44575.8654942361</v>
      </c>
      <c r="C5960" s="51">
        <v>1.007</v>
      </c>
      <c r="D5960" s="51">
        <v>63.0</v>
      </c>
      <c r="E5960" s="52" t="s">
        <v>25</v>
      </c>
      <c r="F5960" s="52" t="s">
        <v>26</v>
      </c>
      <c r="G5960" s="53"/>
    </row>
    <row r="5961">
      <c r="A5961" s="49">
        <v>44575.75093556713</v>
      </c>
      <c r="B5961" s="50">
        <v>44575.8759157407</v>
      </c>
      <c r="C5961" s="51">
        <v>1.007</v>
      </c>
      <c r="D5961" s="51">
        <v>63.0</v>
      </c>
      <c r="E5961" s="52" t="s">
        <v>25</v>
      </c>
      <c r="F5961" s="52" t="s">
        <v>26</v>
      </c>
      <c r="G5961" s="53"/>
    </row>
    <row r="5962">
      <c r="A5962" s="49">
        <v>44575.76137396991</v>
      </c>
      <c r="B5962" s="50">
        <v>44575.8863484374</v>
      </c>
      <c r="C5962" s="51">
        <v>1.007</v>
      </c>
      <c r="D5962" s="51">
        <v>63.0</v>
      </c>
      <c r="E5962" s="52" t="s">
        <v>25</v>
      </c>
      <c r="F5962" s="52" t="s">
        <v>26</v>
      </c>
      <c r="G5962" s="53"/>
    </row>
    <row r="5963">
      <c r="A5963" s="49">
        <v>44575.77179954862</v>
      </c>
      <c r="B5963" s="50">
        <v>44575.8967704861</v>
      </c>
      <c r="C5963" s="51">
        <v>1.008</v>
      </c>
      <c r="D5963" s="51">
        <v>63.0</v>
      </c>
      <c r="E5963" s="52" t="s">
        <v>25</v>
      </c>
      <c r="F5963" s="52" t="s">
        <v>26</v>
      </c>
      <c r="G5963" s="53"/>
    </row>
    <row r="5964">
      <c r="A5964" s="49">
        <v>44575.78222084491</v>
      </c>
      <c r="B5964" s="50">
        <v>44575.9071910069</v>
      </c>
      <c r="C5964" s="51">
        <v>1.007</v>
      </c>
      <c r="D5964" s="51">
        <v>63.0</v>
      </c>
      <c r="E5964" s="52" t="s">
        <v>25</v>
      </c>
      <c r="F5964" s="52" t="s">
        <v>26</v>
      </c>
      <c r="G5964" s="53"/>
    </row>
    <row r="5965">
      <c r="A5965" s="49">
        <v>44575.792639629624</v>
      </c>
      <c r="B5965" s="50">
        <v>44575.9176121411</v>
      </c>
      <c r="C5965" s="51">
        <v>1.007</v>
      </c>
      <c r="D5965" s="51">
        <v>63.0</v>
      </c>
      <c r="E5965" s="52" t="s">
        <v>25</v>
      </c>
      <c r="F5965" s="52" t="s">
        <v>26</v>
      </c>
      <c r="G5965" s="53"/>
    </row>
    <row r="5966">
      <c r="A5966" s="49">
        <v>44575.803055578705</v>
      </c>
      <c r="B5966" s="50">
        <v>44575.9280324305</v>
      </c>
      <c r="C5966" s="51">
        <v>1.008</v>
      </c>
      <c r="D5966" s="51">
        <v>63.0</v>
      </c>
      <c r="E5966" s="52" t="s">
        <v>25</v>
      </c>
      <c r="F5966" s="52" t="s">
        <v>26</v>
      </c>
      <c r="G5966" s="53"/>
    </row>
    <row r="5967">
      <c r="A5967" s="49">
        <v>44575.813485844905</v>
      </c>
      <c r="B5967" s="50">
        <v>44575.9384645833</v>
      </c>
      <c r="C5967" s="51">
        <v>1.007</v>
      </c>
      <c r="D5967" s="51">
        <v>63.0</v>
      </c>
      <c r="E5967" s="52" t="s">
        <v>25</v>
      </c>
      <c r="F5967" s="52" t="s">
        <v>26</v>
      </c>
      <c r="G5967" s="53"/>
    </row>
    <row r="5968">
      <c r="A5968" s="49">
        <v>44575.82394030092</v>
      </c>
      <c r="B5968" s="50">
        <v>44575.9489083333</v>
      </c>
      <c r="C5968" s="51">
        <v>1.007</v>
      </c>
      <c r="D5968" s="51">
        <v>63.0</v>
      </c>
      <c r="E5968" s="52" t="s">
        <v>25</v>
      </c>
      <c r="F5968" s="52" t="s">
        <v>26</v>
      </c>
      <c r="G5968" s="53"/>
    </row>
    <row r="5969">
      <c r="A5969" s="49">
        <v>44575.83435471065</v>
      </c>
      <c r="B5969" s="50">
        <v>44575.9593284722</v>
      </c>
      <c r="C5969" s="51">
        <v>1.008</v>
      </c>
      <c r="D5969" s="51">
        <v>63.0</v>
      </c>
      <c r="E5969" s="52" t="s">
        <v>25</v>
      </c>
      <c r="F5969" s="52" t="s">
        <v>26</v>
      </c>
      <c r="G5969" s="53"/>
    </row>
    <row r="5970">
      <c r="A5970" s="49">
        <v>44575.84478326389</v>
      </c>
      <c r="B5970" s="50">
        <v>44575.9697623495</v>
      </c>
      <c r="C5970" s="51">
        <v>1.008</v>
      </c>
      <c r="D5970" s="51">
        <v>63.0</v>
      </c>
      <c r="E5970" s="52" t="s">
        <v>25</v>
      </c>
      <c r="F5970" s="52" t="s">
        <v>26</v>
      </c>
      <c r="G5970" s="53"/>
    </row>
    <row r="5971">
      <c r="A5971" s="49">
        <v>44575.85520276621</v>
      </c>
      <c r="B5971" s="50">
        <v>44575.9801823726</v>
      </c>
      <c r="C5971" s="51">
        <v>1.007</v>
      </c>
      <c r="D5971" s="51">
        <v>63.0</v>
      </c>
      <c r="E5971" s="52" t="s">
        <v>25</v>
      </c>
      <c r="F5971" s="52" t="s">
        <v>26</v>
      </c>
      <c r="G5971" s="53"/>
    </row>
    <row r="5972">
      <c r="A5972" s="49">
        <v>44575.86565767361</v>
      </c>
      <c r="B5972" s="50">
        <v>44575.9906273263</v>
      </c>
      <c r="C5972" s="51">
        <v>1.007</v>
      </c>
      <c r="D5972" s="51">
        <v>63.0</v>
      </c>
      <c r="E5972" s="52" t="s">
        <v>25</v>
      </c>
      <c r="F5972" s="52" t="s">
        <v>26</v>
      </c>
      <c r="G5972" s="53"/>
    </row>
    <row r="5973">
      <c r="A5973" s="49">
        <v>44575.87607873842</v>
      </c>
      <c r="B5973" s="50">
        <v>44576.0010473495</v>
      </c>
      <c r="C5973" s="51">
        <v>1.007</v>
      </c>
      <c r="D5973" s="51">
        <v>63.0</v>
      </c>
      <c r="E5973" s="52" t="s">
        <v>25</v>
      </c>
      <c r="F5973" s="52" t="s">
        <v>26</v>
      </c>
      <c r="G5973" s="53"/>
    </row>
    <row r="5974">
      <c r="A5974" s="49">
        <v>44575.8864915625</v>
      </c>
      <c r="B5974" s="50">
        <v>44576.0114684722</v>
      </c>
      <c r="C5974" s="51">
        <v>1.007</v>
      </c>
      <c r="D5974" s="51">
        <v>63.0</v>
      </c>
      <c r="E5974" s="52" t="s">
        <v>25</v>
      </c>
      <c r="F5974" s="52" t="s">
        <v>26</v>
      </c>
      <c r="G5974" s="53"/>
    </row>
    <row r="5975">
      <c r="A5975" s="49">
        <v>44575.896949699076</v>
      </c>
      <c r="B5975" s="50">
        <v>44576.0219265509</v>
      </c>
      <c r="C5975" s="51">
        <v>1.007</v>
      </c>
      <c r="D5975" s="51">
        <v>63.0</v>
      </c>
      <c r="E5975" s="52" t="s">
        <v>25</v>
      </c>
      <c r="F5975" s="52" t="s">
        <v>26</v>
      </c>
      <c r="G5975" s="53"/>
    </row>
    <row r="5976">
      <c r="A5976" s="49">
        <v>44575.90738636574</v>
      </c>
      <c r="B5976" s="50">
        <v>44576.0323592476</v>
      </c>
      <c r="C5976" s="51">
        <v>1.008</v>
      </c>
      <c r="D5976" s="51">
        <v>63.0</v>
      </c>
      <c r="E5976" s="52" t="s">
        <v>25</v>
      </c>
      <c r="F5976" s="52" t="s">
        <v>26</v>
      </c>
      <c r="G5976" s="53"/>
    </row>
    <row r="5977">
      <c r="A5977" s="49">
        <v>44575.917879988425</v>
      </c>
      <c r="B5977" s="50">
        <v>44576.0428501504</v>
      </c>
      <c r="C5977" s="51">
        <v>1.008</v>
      </c>
      <c r="D5977" s="51">
        <v>63.0</v>
      </c>
      <c r="E5977" s="52" t="s">
        <v>25</v>
      </c>
      <c r="F5977" s="52" t="s">
        <v>26</v>
      </c>
      <c r="G5977" s="53"/>
    </row>
    <row r="5978">
      <c r="A5978" s="49">
        <v>44575.928295983795</v>
      </c>
      <c r="B5978" s="50">
        <v>44576.0532704629</v>
      </c>
      <c r="C5978" s="51">
        <v>1.007</v>
      </c>
      <c r="D5978" s="51">
        <v>63.0</v>
      </c>
      <c r="E5978" s="52" t="s">
        <v>25</v>
      </c>
      <c r="F5978" s="52" t="s">
        <v>26</v>
      </c>
      <c r="G5978" s="53"/>
    </row>
    <row r="5979">
      <c r="A5979" s="49">
        <v>44575.93875722222</v>
      </c>
      <c r="B5979" s="50">
        <v>44576.0637279282</v>
      </c>
      <c r="C5979" s="51">
        <v>1.007</v>
      </c>
      <c r="D5979" s="51">
        <v>63.0</v>
      </c>
      <c r="E5979" s="52" t="s">
        <v>25</v>
      </c>
      <c r="F5979" s="52" t="s">
        <v>26</v>
      </c>
      <c r="G5979" s="53"/>
    </row>
    <row r="5980">
      <c r="A5980" s="49">
        <v>44575.949187743056</v>
      </c>
      <c r="B5980" s="50">
        <v>44576.0741625578</v>
      </c>
      <c r="C5980" s="51">
        <v>1.007</v>
      </c>
      <c r="D5980" s="51">
        <v>63.0</v>
      </c>
      <c r="E5980" s="52" t="s">
        <v>25</v>
      </c>
      <c r="F5980" s="52" t="s">
        <v>26</v>
      </c>
      <c r="G5980" s="53"/>
    </row>
    <row r="5981">
      <c r="A5981" s="49">
        <v>44575.959610798614</v>
      </c>
      <c r="B5981" s="50">
        <v>44576.0845833796</v>
      </c>
      <c r="C5981" s="51">
        <v>1.007</v>
      </c>
      <c r="D5981" s="51">
        <v>63.0</v>
      </c>
      <c r="E5981" s="52" t="s">
        <v>25</v>
      </c>
      <c r="F5981" s="52" t="s">
        <v>26</v>
      </c>
      <c r="G5981" s="53"/>
    </row>
    <row r="5982">
      <c r="A5982" s="49">
        <v>44575.97005665509</v>
      </c>
      <c r="B5982" s="50">
        <v>44576.0950278935</v>
      </c>
      <c r="C5982" s="51">
        <v>1.007</v>
      </c>
      <c r="D5982" s="51">
        <v>63.0</v>
      </c>
      <c r="E5982" s="52" t="s">
        <v>25</v>
      </c>
      <c r="F5982" s="52" t="s">
        <v>26</v>
      </c>
      <c r="G5982" s="53"/>
    </row>
    <row r="5983">
      <c r="A5983" s="49">
        <v>44575.98048136574</v>
      </c>
      <c r="B5983" s="50">
        <v>44576.1054505439</v>
      </c>
      <c r="C5983" s="51">
        <v>1.007</v>
      </c>
      <c r="D5983" s="51">
        <v>63.0</v>
      </c>
      <c r="E5983" s="52" t="s">
        <v>25</v>
      </c>
      <c r="F5983" s="52" t="s">
        <v>26</v>
      </c>
      <c r="G5983" s="53"/>
    </row>
    <row r="5984">
      <c r="A5984" s="49">
        <v>44575.99090297453</v>
      </c>
      <c r="B5984" s="50">
        <v>44576.1158727777</v>
      </c>
      <c r="C5984" s="51">
        <v>1.007</v>
      </c>
      <c r="D5984" s="51">
        <v>63.0</v>
      </c>
      <c r="E5984" s="52" t="s">
        <v>25</v>
      </c>
      <c r="F5984" s="52" t="s">
        <v>26</v>
      </c>
      <c r="G5984" s="53"/>
    </row>
    <row r="5985">
      <c r="A5985" s="49">
        <v>44576.00132084491</v>
      </c>
      <c r="B5985" s="50">
        <v>44576.1262941435</v>
      </c>
      <c r="C5985" s="51">
        <v>1.007</v>
      </c>
      <c r="D5985" s="51">
        <v>63.0</v>
      </c>
      <c r="E5985" s="52" t="s">
        <v>25</v>
      </c>
      <c r="F5985" s="52" t="s">
        <v>26</v>
      </c>
      <c r="G5985" s="53"/>
    </row>
    <row r="5986">
      <c r="A5986" s="49">
        <v>44576.01175048611</v>
      </c>
      <c r="B5986" s="50">
        <v>44576.1367278935</v>
      </c>
      <c r="C5986" s="51">
        <v>1.007</v>
      </c>
      <c r="D5986" s="51">
        <v>63.0</v>
      </c>
      <c r="E5986" s="52" t="s">
        <v>25</v>
      </c>
      <c r="F5986" s="52" t="s">
        <v>26</v>
      </c>
      <c r="G5986" s="53"/>
    </row>
    <row r="5987">
      <c r="A5987" s="49">
        <v>44576.02218630787</v>
      </c>
      <c r="B5987" s="50">
        <v>44576.1471595717</v>
      </c>
      <c r="C5987" s="51">
        <v>1.007</v>
      </c>
      <c r="D5987" s="51">
        <v>63.0</v>
      </c>
      <c r="E5987" s="52" t="s">
        <v>25</v>
      </c>
      <c r="F5987" s="52" t="s">
        <v>26</v>
      </c>
      <c r="G5987" s="53"/>
    </row>
    <row r="5988">
      <c r="A5988" s="49">
        <v>44576.03260366898</v>
      </c>
      <c r="B5988" s="50">
        <v>44576.1575817939</v>
      </c>
      <c r="C5988" s="51">
        <v>1.007</v>
      </c>
      <c r="D5988" s="51">
        <v>63.0</v>
      </c>
      <c r="E5988" s="52" t="s">
        <v>25</v>
      </c>
      <c r="F5988" s="52" t="s">
        <v>26</v>
      </c>
      <c r="G5988" s="53"/>
    </row>
    <row r="5989">
      <c r="A5989" s="49">
        <v>44576.043024224535</v>
      </c>
      <c r="B5989" s="50">
        <v>44576.1680003472</v>
      </c>
      <c r="C5989" s="51">
        <v>1.007</v>
      </c>
      <c r="D5989" s="51">
        <v>63.0</v>
      </c>
      <c r="E5989" s="52" t="s">
        <v>25</v>
      </c>
      <c r="F5989" s="52" t="s">
        <v>26</v>
      </c>
      <c r="G5989" s="53"/>
    </row>
    <row r="5990">
      <c r="A5990" s="49">
        <v>44576.05344662037</v>
      </c>
      <c r="B5990" s="50">
        <v>44576.1784217245</v>
      </c>
      <c r="C5990" s="51">
        <v>1.007</v>
      </c>
      <c r="D5990" s="51">
        <v>64.0</v>
      </c>
      <c r="E5990" s="52" t="s">
        <v>25</v>
      </c>
      <c r="F5990" s="52" t="s">
        <v>26</v>
      </c>
      <c r="G5990" s="53"/>
    </row>
    <row r="5991">
      <c r="A5991" s="49">
        <v>44576.06386890046</v>
      </c>
      <c r="B5991" s="50">
        <v>44576.1888424189</v>
      </c>
      <c r="C5991" s="51">
        <v>1.007</v>
      </c>
      <c r="D5991" s="51">
        <v>64.0</v>
      </c>
      <c r="E5991" s="52" t="s">
        <v>25</v>
      </c>
      <c r="F5991" s="52" t="s">
        <v>26</v>
      </c>
      <c r="G5991" s="53"/>
    </row>
    <row r="5992">
      <c r="A5992" s="49">
        <v>44576.074355000004</v>
      </c>
      <c r="B5992" s="50">
        <v>44576.1992635416</v>
      </c>
      <c r="C5992" s="51">
        <v>1.007</v>
      </c>
      <c r="D5992" s="51">
        <v>65.0</v>
      </c>
      <c r="E5992" s="52" t="s">
        <v>25</v>
      </c>
      <c r="F5992" s="52" t="s">
        <v>26</v>
      </c>
      <c r="G5992" s="53"/>
    </row>
    <row r="5993">
      <c r="A5993" s="49">
        <v>44576.08471944444</v>
      </c>
      <c r="B5993" s="50">
        <v>44576.2096859027</v>
      </c>
      <c r="C5993" s="51">
        <v>1.007</v>
      </c>
      <c r="D5993" s="51">
        <v>65.0</v>
      </c>
      <c r="E5993" s="52" t="s">
        <v>25</v>
      </c>
      <c r="F5993" s="52" t="s">
        <v>26</v>
      </c>
      <c r="G5993" s="53"/>
    </row>
    <row r="5994">
      <c r="A5994" s="49">
        <v>44576.09513136574</v>
      </c>
      <c r="B5994" s="50">
        <v>44576.2201080787</v>
      </c>
      <c r="C5994" s="51">
        <v>1.007</v>
      </c>
      <c r="D5994" s="51">
        <v>65.0</v>
      </c>
      <c r="E5994" s="52" t="s">
        <v>25</v>
      </c>
      <c r="F5994" s="52" t="s">
        <v>26</v>
      </c>
      <c r="G5994" s="53"/>
    </row>
    <row r="5995">
      <c r="A5995" s="49">
        <v>44576.10558402778</v>
      </c>
      <c r="B5995" s="50">
        <v>44576.2305629976</v>
      </c>
      <c r="C5995" s="51">
        <v>1.007</v>
      </c>
      <c r="D5995" s="51">
        <v>66.0</v>
      </c>
      <c r="E5995" s="52" t="s">
        <v>25</v>
      </c>
      <c r="F5995" s="52" t="s">
        <v>26</v>
      </c>
      <c r="G5995" s="53"/>
    </row>
    <row r="5996">
      <c r="A5996" s="49">
        <v>44576.116033240745</v>
      </c>
      <c r="B5996" s="50">
        <v>44576.2409971643</v>
      </c>
      <c r="C5996" s="51">
        <v>1.007</v>
      </c>
      <c r="D5996" s="51">
        <v>66.0</v>
      </c>
      <c r="E5996" s="52" t="s">
        <v>25</v>
      </c>
      <c r="F5996" s="52" t="s">
        <v>26</v>
      </c>
      <c r="G5996" s="53"/>
    </row>
    <row r="5997">
      <c r="A5997" s="49">
        <v>44576.12644782408</v>
      </c>
      <c r="B5997" s="50">
        <v>44576.2514191087</v>
      </c>
      <c r="C5997" s="51">
        <v>1.007</v>
      </c>
      <c r="D5997" s="51">
        <v>67.0</v>
      </c>
      <c r="E5997" s="52" t="s">
        <v>25</v>
      </c>
      <c r="F5997" s="52" t="s">
        <v>26</v>
      </c>
      <c r="G5997" s="53"/>
    </row>
    <row r="5998">
      <c r="A5998" s="49">
        <v>44576.13685967593</v>
      </c>
      <c r="B5998" s="50">
        <v>44576.2618397453</v>
      </c>
      <c r="C5998" s="51">
        <v>1.007</v>
      </c>
      <c r="D5998" s="51">
        <v>67.0</v>
      </c>
      <c r="E5998" s="52" t="s">
        <v>25</v>
      </c>
      <c r="F5998" s="52" t="s">
        <v>26</v>
      </c>
      <c r="G5998" s="53"/>
    </row>
    <row r="5999">
      <c r="A5999" s="49">
        <v>44576.14729866898</v>
      </c>
      <c r="B5999" s="50">
        <v>44576.2722731134</v>
      </c>
      <c r="C5999" s="51">
        <v>1.007</v>
      </c>
      <c r="D5999" s="51">
        <v>67.0</v>
      </c>
      <c r="E5999" s="52" t="s">
        <v>25</v>
      </c>
      <c r="F5999" s="52" t="s">
        <v>26</v>
      </c>
      <c r="G5999" s="53"/>
    </row>
    <row r="6000">
      <c r="A6000" s="49">
        <v>44576.157729583334</v>
      </c>
      <c r="B6000" s="50">
        <v>44576.2827075694</v>
      </c>
      <c r="C6000" s="51">
        <v>1.006</v>
      </c>
      <c r="D6000" s="51">
        <v>68.0</v>
      </c>
      <c r="E6000" s="52" t="s">
        <v>25</v>
      </c>
      <c r="F6000" s="52" t="s">
        <v>26</v>
      </c>
      <c r="G6000" s="53"/>
    </row>
    <row r="6001">
      <c r="A6001" s="49">
        <v>44576.168150983794</v>
      </c>
      <c r="B6001" s="50">
        <v>44576.2931268055</v>
      </c>
      <c r="C6001" s="51">
        <v>1.007</v>
      </c>
      <c r="D6001" s="51">
        <v>68.0</v>
      </c>
      <c r="E6001" s="52" t="s">
        <v>25</v>
      </c>
      <c r="F6001" s="52" t="s">
        <v>26</v>
      </c>
      <c r="G6001" s="53"/>
    </row>
    <row r="6002">
      <c r="A6002" s="49">
        <v>44576.17867361111</v>
      </c>
      <c r="B6002" s="50">
        <v>44576.3036516435</v>
      </c>
      <c r="C6002" s="51">
        <v>1.006</v>
      </c>
      <c r="D6002" s="51">
        <v>68.0</v>
      </c>
      <c r="E6002" s="52" t="s">
        <v>25</v>
      </c>
      <c r="F6002" s="52" t="s">
        <v>26</v>
      </c>
      <c r="G6002" s="53"/>
    </row>
    <row r="6003">
      <c r="A6003" s="49">
        <v>44576.18910809028</v>
      </c>
      <c r="B6003" s="50">
        <v>44576.3140845138</v>
      </c>
      <c r="C6003" s="51">
        <v>1.006</v>
      </c>
      <c r="D6003" s="51">
        <v>68.0</v>
      </c>
      <c r="E6003" s="52" t="s">
        <v>25</v>
      </c>
      <c r="F6003" s="52" t="s">
        <v>26</v>
      </c>
      <c r="G6003" s="53"/>
    </row>
    <row r="6004">
      <c r="A6004" s="49">
        <v>44576.199544999996</v>
      </c>
      <c r="B6004" s="50">
        <v>44576.3245172453</v>
      </c>
      <c r="C6004" s="51">
        <v>1.006</v>
      </c>
      <c r="D6004" s="51">
        <v>68.0</v>
      </c>
      <c r="E6004" s="52" t="s">
        <v>25</v>
      </c>
      <c r="F6004" s="52" t="s">
        <v>26</v>
      </c>
      <c r="G6004" s="53"/>
    </row>
    <row r="6005">
      <c r="A6005" s="49">
        <v>44576.2100347338</v>
      </c>
      <c r="B6005" s="50">
        <v>44576.3350074189</v>
      </c>
      <c r="C6005" s="51">
        <v>1.007</v>
      </c>
      <c r="D6005" s="51">
        <v>68.0</v>
      </c>
      <c r="E6005" s="52" t="s">
        <v>25</v>
      </c>
      <c r="F6005" s="52" t="s">
        <v>26</v>
      </c>
      <c r="G6005" s="53"/>
    </row>
    <row r="6006">
      <c r="A6006" s="49">
        <v>44576.2204484838</v>
      </c>
      <c r="B6006" s="50">
        <v>44576.3454296874</v>
      </c>
      <c r="C6006" s="51">
        <v>1.006</v>
      </c>
      <c r="D6006" s="51">
        <v>68.0</v>
      </c>
      <c r="E6006" s="52" t="s">
        <v>25</v>
      </c>
      <c r="F6006" s="52" t="s">
        <v>26</v>
      </c>
      <c r="G6006" s="53"/>
    </row>
    <row r="6007">
      <c r="A6007" s="49">
        <v>44576.230879236115</v>
      </c>
      <c r="B6007" s="50">
        <v>44576.3558516435</v>
      </c>
      <c r="C6007" s="51">
        <v>1.007</v>
      </c>
      <c r="D6007" s="51">
        <v>68.0</v>
      </c>
      <c r="E6007" s="52" t="s">
        <v>25</v>
      </c>
      <c r="F6007" s="52" t="s">
        <v>26</v>
      </c>
      <c r="G6007" s="53"/>
    </row>
    <row r="6008">
      <c r="A6008" s="49">
        <v>44576.24130288194</v>
      </c>
      <c r="B6008" s="50">
        <v>44576.3662728009</v>
      </c>
      <c r="C6008" s="51">
        <v>1.006</v>
      </c>
      <c r="D6008" s="51">
        <v>68.0</v>
      </c>
      <c r="E6008" s="52" t="s">
        <v>25</v>
      </c>
      <c r="F6008" s="52" t="s">
        <v>26</v>
      </c>
      <c r="G6008" s="53"/>
    </row>
    <row r="6009">
      <c r="A6009" s="49">
        <v>44576.251726875</v>
      </c>
      <c r="B6009" s="50">
        <v>44576.37670478</v>
      </c>
      <c r="C6009" s="51">
        <v>1.007</v>
      </c>
      <c r="D6009" s="51">
        <v>68.0</v>
      </c>
      <c r="E6009" s="52" t="s">
        <v>25</v>
      </c>
      <c r="F6009" s="52" t="s">
        <v>26</v>
      </c>
      <c r="G6009" s="53"/>
    </row>
    <row r="6010">
      <c r="A6010" s="49">
        <v>44576.262173877316</v>
      </c>
      <c r="B6010" s="50">
        <v>44576.3871471874</v>
      </c>
      <c r="C6010" s="51">
        <v>1.007</v>
      </c>
      <c r="D6010" s="51">
        <v>68.0</v>
      </c>
      <c r="E6010" s="52" t="s">
        <v>25</v>
      </c>
      <c r="F6010" s="52" t="s">
        <v>26</v>
      </c>
      <c r="G6010" s="53"/>
    </row>
    <row r="6011">
      <c r="A6011" s="49">
        <v>44576.272597627314</v>
      </c>
      <c r="B6011" s="50">
        <v>44576.397568368</v>
      </c>
      <c r="C6011" s="51">
        <v>1.007</v>
      </c>
      <c r="D6011" s="51">
        <v>67.0</v>
      </c>
      <c r="E6011" s="52" t="s">
        <v>25</v>
      </c>
      <c r="F6011" s="52" t="s">
        <v>26</v>
      </c>
      <c r="G6011" s="53"/>
    </row>
    <row r="6012">
      <c r="A6012" s="49">
        <v>44576.28301907408</v>
      </c>
      <c r="B6012" s="50">
        <v>44576.4079885648</v>
      </c>
      <c r="C6012" s="51">
        <v>1.007</v>
      </c>
      <c r="D6012" s="51">
        <v>67.0</v>
      </c>
      <c r="E6012" s="52" t="s">
        <v>25</v>
      </c>
      <c r="F6012" s="52" t="s">
        <v>26</v>
      </c>
      <c r="G6012" s="53"/>
    </row>
    <row r="6013">
      <c r="A6013" s="49">
        <v>44576.29344256944</v>
      </c>
      <c r="B6013" s="50">
        <v>44576.4184100231</v>
      </c>
      <c r="C6013" s="51">
        <v>1.007</v>
      </c>
      <c r="D6013" s="51">
        <v>67.0</v>
      </c>
      <c r="E6013" s="52" t="s">
        <v>25</v>
      </c>
      <c r="F6013" s="52" t="s">
        <v>26</v>
      </c>
      <c r="G6013" s="53"/>
    </row>
    <row r="6014">
      <c r="A6014" s="49">
        <v>44576.30386459491</v>
      </c>
      <c r="B6014" s="50">
        <v>44576.4288316319</v>
      </c>
      <c r="C6014" s="51">
        <v>1.007</v>
      </c>
      <c r="D6014" s="51">
        <v>67.0</v>
      </c>
      <c r="E6014" s="52" t="s">
        <v>25</v>
      </c>
      <c r="F6014" s="52" t="s">
        <v>26</v>
      </c>
      <c r="G6014" s="53"/>
    </row>
    <row r="6015">
      <c r="A6015" s="49">
        <v>44576.31427333334</v>
      </c>
      <c r="B6015" s="50">
        <v>44576.4392516203</v>
      </c>
      <c r="C6015" s="51">
        <v>1.007</v>
      </c>
      <c r="D6015" s="51">
        <v>67.0</v>
      </c>
      <c r="E6015" s="52" t="s">
        <v>25</v>
      </c>
      <c r="F6015" s="52" t="s">
        <v>26</v>
      </c>
      <c r="G6015" s="53"/>
    </row>
    <row r="6016">
      <c r="A6016" s="49">
        <v>44576.324701018515</v>
      </c>
      <c r="B6016" s="50">
        <v>44576.4496723842</v>
      </c>
      <c r="C6016" s="51">
        <v>1.007</v>
      </c>
      <c r="D6016" s="51">
        <v>67.0</v>
      </c>
      <c r="E6016" s="52" t="s">
        <v>25</v>
      </c>
      <c r="F6016" s="52" t="s">
        <v>26</v>
      </c>
      <c r="G6016" s="53"/>
    </row>
    <row r="6017">
      <c r="A6017" s="49">
        <v>44576.33512015046</v>
      </c>
      <c r="B6017" s="50">
        <v>44576.4600914814</v>
      </c>
      <c r="C6017" s="51">
        <v>1.007</v>
      </c>
      <c r="D6017" s="51">
        <v>67.0</v>
      </c>
      <c r="E6017" s="52" t="s">
        <v>25</v>
      </c>
      <c r="F6017" s="52" t="s">
        <v>26</v>
      </c>
      <c r="G6017" s="53"/>
    </row>
    <row r="6018">
      <c r="A6018" s="49">
        <v>44576.345603078706</v>
      </c>
      <c r="B6018" s="50">
        <v>44576.4705715624</v>
      </c>
      <c r="C6018" s="51">
        <v>1.007</v>
      </c>
      <c r="D6018" s="51">
        <v>67.0</v>
      </c>
      <c r="E6018" s="52" t="s">
        <v>25</v>
      </c>
      <c r="F6018" s="52" t="s">
        <v>26</v>
      </c>
      <c r="G6018" s="53"/>
    </row>
    <row r="6019">
      <c r="A6019" s="49">
        <v>44576.35602190973</v>
      </c>
      <c r="B6019" s="50">
        <v>44576.4809925231</v>
      </c>
      <c r="C6019" s="51">
        <v>1.007</v>
      </c>
      <c r="D6019" s="51">
        <v>67.0</v>
      </c>
      <c r="E6019" s="52" t="s">
        <v>25</v>
      </c>
      <c r="F6019" s="52" t="s">
        <v>26</v>
      </c>
      <c r="G6019" s="53"/>
    </row>
    <row r="6020">
      <c r="A6020" s="49">
        <v>44576.3664421875</v>
      </c>
      <c r="B6020" s="50">
        <v>44576.4914152546</v>
      </c>
      <c r="C6020" s="51">
        <v>1.007</v>
      </c>
      <c r="D6020" s="51">
        <v>67.0</v>
      </c>
      <c r="E6020" s="52" t="s">
        <v>25</v>
      </c>
      <c r="F6020" s="52" t="s">
        <v>26</v>
      </c>
      <c r="G6020" s="53"/>
    </row>
    <row r="6021">
      <c r="A6021" s="49">
        <v>44576.37685724537</v>
      </c>
      <c r="B6021" s="50">
        <v>44576.5018373379</v>
      </c>
      <c r="C6021" s="51">
        <v>1.007</v>
      </c>
      <c r="D6021" s="51">
        <v>67.0</v>
      </c>
      <c r="E6021" s="52" t="s">
        <v>25</v>
      </c>
      <c r="F6021" s="52" t="s">
        <v>26</v>
      </c>
      <c r="G6021" s="53"/>
    </row>
    <row r="6022">
      <c r="A6022" s="49">
        <v>44576.38737077547</v>
      </c>
      <c r="B6022" s="50">
        <v>44576.5123403124</v>
      </c>
      <c r="C6022" s="51">
        <v>1.007</v>
      </c>
      <c r="D6022" s="51">
        <v>67.0</v>
      </c>
      <c r="E6022" s="52" t="s">
        <v>25</v>
      </c>
      <c r="F6022" s="52" t="s">
        <v>26</v>
      </c>
      <c r="G6022" s="53"/>
    </row>
    <row r="6023">
      <c r="A6023" s="49">
        <v>44576.39778612269</v>
      </c>
      <c r="B6023" s="50">
        <v>44576.5227630787</v>
      </c>
      <c r="C6023" s="51">
        <v>1.007</v>
      </c>
      <c r="D6023" s="51">
        <v>67.0</v>
      </c>
      <c r="E6023" s="52" t="s">
        <v>25</v>
      </c>
      <c r="F6023" s="52" t="s">
        <v>26</v>
      </c>
      <c r="G6023" s="53"/>
    </row>
    <row r="6024">
      <c r="A6024" s="49">
        <v>44576.408202604165</v>
      </c>
      <c r="B6024" s="50">
        <v>44576.5331848842</v>
      </c>
      <c r="C6024" s="51">
        <v>1.007</v>
      </c>
      <c r="D6024" s="51">
        <v>67.0</v>
      </c>
      <c r="E6024" s="52" t="s">
        <v>25</v>
      </c>
      <c r="F6024" s="52" t="s">
        <v>26</v>
      </c>
      <c r="G6024" s="53"/>
    </row>
    <row r="6025">
      <c r="A6025" s="49">
        <v>44576.41863409722</v>
      </c>
      <c r="B6025" s="50">
        <v>44576.5436061111</v>
      </c>
      <c r="C6025" s="51">
        <v>1.007</v>
      </c>
      <c r="D6025" s="51">
        <v>67.0</v>
      </c>
      <c r="E6025" s="52" t="s">
        <v>25</v>
      </c>
      <c r="F6025" s="52" t="s">
        <v>26</v>
      </c>
      <c r="G6025" s="53"/>
    </row>
    <row r="6026">
      <c r="A6026" s="49">
        <v>44576.42905097222</v>
      </c>
      <c r="B6026" s="50">
        <v>44576.5540263657</v>
      </c>
      <c r="C6026" s="51">
        <v>1.007</v>
      </c>
      <c r="D6026" s="51">
        <v>67.0</v>
      </c>
      <c r="E6026" s="52" t="s">
        <v>25</v>
      </c>
      <c r="F6026" s="52" t="s">
        <v>26</v>
      </c>
      <c r="G6026" s="53"/>
    </row>
    <row r="6027">
      <c r="A6027" s="49">
        <v>44576.43947597222</v>
      </c>
      <c r="B6027" s="50">
        <v>44576.5644488773</v>
      </c>
      <c r="C6027" s="51">
        <v>1.007</v>
      </c>
      <c r="D6027" s="51">
        <v>67.0</v>
      </c>
      <c r="E6027" s="52" t="s">
        <v>25</v>
      </c>
      <c r="F6027" s="52" t="s">
        <v>26</v>
      </c>
      <c r="G6027" s="53"/>
    </row>
    <row r="6028">
      <c r="A6028" s="49">
        <v>44576.449886585644</v>
      </c>
      <c r="B6028" s="50">
        <v>44576.5748700925</v>
      </c>
      <c r="C6028" s="51">
        <v>1.007</v>
      </c>
      <c r="D6028" s="51">
        <v>67.0</v>
      </c>
      <c r="E6028" s="52" t="s">
        <v>25</v>
      </c>
      <c r="F6028" s="52" t="s">
        <v>26</v>
      </c>
      <c r="G6028" s="53"/>
    </row>
    <row r="6029">
      <c r="A6029" s="49">
        <v>44576.46031229167</v>
      </c>
      <c r="B6029" s="50">
        <v>44576.5852917361</v>
      </c>
      <c r="C6029" s="51">
        <v>1.007</v>
      </c>
      <c r="D6029" s="51">
        <v>67.0</v>
      </c>
      <c r="E6029" s="52" t="s">
        <v>25</v>
      </c>
      <c r="F6029" s="52" t="s">
        <v>26</v>
      </c>
      <c r="G6029" s="53"/>
    </row>
    <row r="6030">
      <c r="A6030" s="49">
        <v>44576.47072974537</v>
      </c>
      <c r="B6030" s="50">
        <v>44576.5957123495</v>
      </c>
      <c r="C6030" s="51">
        <v>1.007</v>
      </c>
      <c r="D6030" s="51">
        <v>67.0</v>
      </c>
      <c r="E6030" s="52" t="s">
        <v>25</v>
      </c>
      <c r="F6030" s="52" t="s">
        <v>26</v>
      </c>
      <c r="G6030" s="53"/>
    </row>
    <row r="6031">
      <c r="A6031" s="49">
        <v>44576.481150810185</v>
      </c>
      <c r="B6031" s="50">
        <v>44576.6061337268</v>
      </c>
      <c r="C6031" s="51">
        <v>1.007</v>
      </c>
      <c r="D6031" s="51">
        <v>67.0</v>
      </c>
      <c r="E6031" s="52" t="s">
        <v>25</v>
      </c>
      <c r="F6031" s="52" t="s">
        <v>26</v>
      </c>
      <c r="G6031" s="53"/>
    </row>
    <row r="6032">
      <c r="A6032" s="49">
        <v>44576.49157517361</v>
      </c>
      <c r="B6032" s="50">
        <v>44576.6165541435</v>
      </c>
      <c r="C6032" s="51">
        <v>1.007</v>
      </c>
      <c r="D6032" s="51">
        <v>67.0</v>
      </c>
      <c r="E6032" s="52" t="s">
        <v>25</v>
      </c>
      <c r="F6032" s="52" t="s">
        <v>26</v>
      </c>
      <c r="G6032" s="53"/>
    </row>
    <row r="6033">
      <c r="A6033" s="49">
        <v>44576.50200799768</v>
      </c>
      <c r="B6033" s="50">
        <v>44576.6269886689</v>
      </c>
      <c r="C6033" s="51">
        <v>1.007</v>
      </c>
      <c r="D6033" s="51">
        <v>67.0</v>
      </c>
      <c r="E6033" s="52" t="s">
        <v>25</v>
      </c>
      <c r="F6033" s="52" t="s">
        <v>26</v>
      </c>
      <c r="G6033" s="53"/>
    </row>
    <row r="6034">
      <c r="A6034" s="49">
        <v>44576.51243079861</v>
      </c>
      <c r="B6034" s="50">
        <v>44576.6374102546</v>
      </c>
      <c r="C6034" s="51">
        <v>1.007</v>
      </c>
      <c r="D6034" s="51">
        <v>67.0</v>
      </c>
      <c r="E6034" s="52" t="s">
        <v>25</v>
      </c>
      <c r="F6034" s="52" t="s">
        <v>26</v>
      </c>
      <c r="G6034" s="53"/>
    </row>
    <row r="6035">
      <c r="A6035" s="49">
        <v>44576.52285767361</v>
      </c>
      <c r="B6035" s="50">
        <v>44576.6478308912</v>
      </c>
      <c r="C6035" s="51">
        <v>1.007</v>
      </c>
      <c r="D6035" s="51">
        <v>67.0</v>
      </c>
      <c r="E6035" s="52" t="s">
        <v>25</v>
      </c>
      <c r="F6035" s="52" t="s">
        <v>26</v>
      </c>
      <c r="G6035" s="53"/>
    </row>
    <row r="6036">
      <c r="A6036" s="49">
        <v>44576.53328337963</v>
      </c>
      <c r="B6036" s="50">
        <v>44576.6582525462</v>
      </c>
      <c r="C6036" s="51">
        <v>1.007</v>
      </c>
      <c r="D6036" s="51">
        <v>67.0</v>
      </c>
      <c r="E6036" s="52" t="s">
        <v>25</v>
      </c>
      <c r="F6036" s="52" t="s">
        <v>26</v>
      </c>
      <c r="G6036" s="53"/>
    </row>
    <row r="6037">
      <c r="A6037" s="49">
        <v>44576.54369268518</v>
      </c>
      <c r="B6037" s="50">
        <v>44576.6686722222</v>
      </c>
      <c r="C6037" s="51">
        <v>1.007</v>
      </c>
      <c r="D6037" s="51">
        <v>66.0</v>
      </c>
      <c r="E6037" s="52" t="s">
        <v>25</v>
      </c>
      <c r="F6037" s="52" t="s">
        <v>26</v>
      </c>
      <c r="G6037" s="53"/>
    </row>
    <row r="6038">
      <c r="A6038" s="49">
        <v>44576.55415943287</v>
      </c>
      <c r="B6038" s="50">
        <v>44576.6791289004</v>
      </c>
      <c r="C6038" s="51">
        <v>1.007</v>
      </c>
      <c r="D6038" s="51">
        <v>67.0</v>
      </c>
      <c r="E6038" s="52" t="s">
        <v>25</v>
      </c>
      <c r="F6038" s="52" t="s">
        <v>26</v>
      </c>
      <c r="G6038" s="53"/>
    </row>
    <row r="6039">
      <c r="A6039" s="49">
        <v>44576.564589918984</v>
      </c>
      <c r="B6039" s="50">
        <v>44576.6895614699</v>
      </c>
      <c r="C6039" s="51">
        <v>1.007</v>
      </c>
      <c r="D6039" s="51">
        <v>66.0</v>
      </c>
      <c r="E6039" s="52" t="s">
        <v>25</v>
      </c>
      <c r="F6039" s="52" t="s">
        <v>26</v>
      </c>
      <c r="G6039" s="53"/>
    </row>
    <row r="6040">
      <c r="A6040" s="49">
        <v>44576.57500439815</v>
      </c>
      <c r="B6040" s="50">
        <v>44576.6999837615</v>
      </c>
      <c r="C6040" s="51">
        <v>1.007</v>
      </c>
      <c r="D6040" s="51">
        <v>66.0</v>
      </c>
      <c r="E6040" s="52" t="s">
        <v>25</v>
      </c>
      <c r="F6040" s="52" t="s">
        <v>26</v>
      </c>
      <c r="G6040" s="53"/>
    </row>
    <row r="6041">
      <c r="A6041" s="49">
        <v>44576.58542517362</v>
      </c>
      <c r="B6041" s="50">
        <v>44576.7104059375</v>
      </c>
      <c r="C6041" s="51">
        <v>1.007</v>
      </c>
      <c r="D6041" s="51">
        <v>66.0</v>
      </c>
      <c r="E6041" s="52" t="s">
        <v>25</v>
      </c>
      <c r="F6041" s="52" t="s">
        <v>26</v>
      </c>
      <c r="G6041" s="53"/>
    </row>
    <row r="6042">
      <c r="A6042" s="49">
        <v>44576.59586936343</v>
      </c>
      <c r="B6042" s="50">
        <v>44576.7208396064</v>
      </c>
      <c r="C6042" s="51">
        <v>1.007</v>
      </c>
      <c r="D6042" s="51">
        <v>66.0</v>
      </c>
      <c r="E6042" s="52" t="s">
        <v>25</v>
      </c>
      <c r="F6042" s="52" t="s">
        <v>26</v>
      </c>
      <c r="G6042" s="53"/>
    </row>
    <row r="6043">
      <c r="A6043" s="49">
        <v>44576.60629059028</v>
      </c>
      <c r="B6043" s="50">
        <v>44576.731262199</v>
      </c>
      <c r="C6043" s="51">
        <v>1.007</v>
      </c>
      <c r="D6043" s="51">
        <v>66.0</v>
      </c>
      <c r="E6043" s="52" t="s">
        <v>25</v>
      </c>
      <c r="F6043" s="52" t="s">
        <v>26</v>
      </c>
      <c r="G6043" s="53"/>
    </row>
    <row r="6044">
      <c r="A6044" s="49">
        <v>44576.61672653935</v>
      </c>
      <c r="B6044" s="50">
        <v>44576.74169603</v>
      </c>
      <c r="C6044" s="51">
        <v>1.007</v>
      </c>
      <c r="D6044" s="51">
        <v>66.0</v>
      </c>
      <c r="E6044" s="52" t="s">
        <v>25</v>
      </c>
      <c r="F6044" s="52" t="s">
        <v>26</v>
      </c>
      <c r="G6044" s="53"/>
    </row>
    <row r="6045">
      <c r="A6045" s="49">
        <v>44576.62714935185</v>
      </c>
      <c r="B6045" s="50">
        <v>44576.752117824</v>
      </c>
      <c r="C6045" s="51">
        <v>1.007</v>
      </c>
      <c r="D6045" s="51">
        <v>66.0</v>
      </c>
      <c r="E6045" s="52" t="s">
        <v>25</v>
      </c>
      <c r="F6045" s="52" t="s">
        <v>26</v>
      </c>
      <c r="G6045" s="53"/>
    </row>
    <row r="6046">
      <c r="A6046" s="49">
        <v>44576.63758496528</v>
      </c>
      <c r="B6046" s="50">
        <v>44576.7625617013</v>
      </c>
      <c r="C6046" s="51">
        <v>1.007</v>
      </c>
      <c r="D6046" s="51">
        <v>66.0</v>
      </c>
      <c r="E6046" s="52" t="s">
        <v>25</v>
      </c>
      <c r="F6046" s="52" t="s">
        <v>26</v>
      </c>
      <c r="G6046" s="53"/>
    </row>
    <row r="6047">
      <c r="A6047" s="49">
        <v>44576.64801131944</v>
      </c>
      <c r="B6047" s="50">
        <v>44576.7729826388</v>
      </c>
      <c r="C6047" s="51">
        <v>1.007</v>
      </c>
      <c r="D6047" s="51">
        <v>66.0</v>
      </c>
      <c r="E6047" s="52" t="s">
        <v>25</v>
      </c>
      <c r="F6047" s="52" t="s">
        <v>26</v>
      </c>
      <c r="G6047" s="53"/>
    </row>
    <row r="6048">
      <c r="A6048" s="49">
        <v>44576.658425138885</v>
      </c>
      <c r="B6048" s="50">
        <v>44576.7834037152</v>
      </c>
      <c r="C6048" s="51">
        <v>1.007</v>
      </c>
      <c r="D6048" s="51">
        <v>66.0</v>
      </c>
      <c r="E6048" s="52" t="s">
        <v>25</v>
      </c>
      <c r="F6048" s="52" t="s">
        <v>26</v>
      </c>
      <c r="G6048" s="53"/>
    </row>
    <row r="6049">
      <c r="A6049" s="49">
        <v>44576.66886148148</v>
      </c>
      <c r="B6049" s="50">
        <v>44576.7938364351</v>
      </c>
      <c r="C6049" s="51">
        <v>1.007</v>
      </c>
      <c r="D6049" s="51">
        <v>66.0</v>
      </c>
      <c r="E6049" s="52" t="s">
        <v>25</v>
      </c>
      <c r="F6049" s="52" t="s">
        <v>26</v>
      </c>
      <c r="G6049" s="53"/>
    </row>
    <row r="6050">
      <c r="A6050" s="49">
        <v>44576.67928729167</v>
      </c>
      <c r="B6050" s="50">
        <v>44576.8042693055</v>
      </c>
      <c r="C6050" s="51">
        <v>1.007</v>
      </c>
      <c r="D6050" s="51">
        <v>66.0</v>
      </c>
      <c r="E6050" s="52" t="s">
        <v>25</v>
      </c>
      <c r="F6050" s="52" t="s">
        <v>26</v>
      </c>
      <c r="G6050" s="53"/>
    </row>
    <row r="6051">
      <c r="A6051" s="49">
        <v>44576.68975082176</v>
      </c>
      <c r="B6051" s="50">
        <v>44576.8147256134</v>
      </c>
      <c r="C6051" s="51">
        <v>1.007</v>
      </c>
      <c r="D6051" s="51">
        <v>66.0</v>
      </c>
      <c r="E6051" s="52" t="s">
        <v>25</v>
      </c>
      <c r="F6051" s="52" t="s">
        <v>26</v>
      </c>
      <c r="G6051" s="53"/>
    </row>
    <row r="6052">
      <c r="A6052" s="49">
        <v>44576.70018596065</v>
      </c>
      <c r="B6052" s="50">
        <v>44576.8251595717</v>
      </c>
      <c r="C6052" s="51">
        <v>1.007</v>
      </c>
      <c r="D6052" s="51">
        <v>66.0</v>
      </c>
      <c r="E6052" s="52" t="s">
        <v>25</v>
      </c>
      <c r="F6052" s="52" t="s">
        <v>26</v>
      </c>
      <c r="G6052" s="53"/>
    </row>
    <row r="6053">
      <c r="A6053" s="49">
        <v>44576.71061459491</v>
      </c>
      <c r="B6053" s="50">
        <v>44576.8355901388</v>
      </c>
      <c r="C6053" s="51">
        <v>1.007</v>
      </c>
      <c r="D6053" s="51">
        <v>66.0</v>
      </c>
      <c r="E6053" s="52" t="s">
        <v>25</v>
      </c>
      <c r="F6053" s="52" t="s">
        <v>26</v>
      </c>
      <c r="G6053" s="53"/>
    </row>
    <row r="6054">
      <c r="A6054" s="49">
        <v>44576.72106988426</v>
      </c>
      <c r="B6054" s="50">
        <v>44576.8460461458</v>
      </c>
      <c r="C6054" s="51">
        <v>1.007</v>
      </c>
      <c r="D6054" s="51">
        <v>66.0</v>
      </c>
      <c r="E6054" s="52" t="s">
        <v>25</v>
      </c>
      <c r="F6054" s="52" t="s">
        <v>26</v>
      </c>
      <c r="G6054" s="53"/>
    </row>
    <row r="6055">
      <c r="A6055" s="49">
        <v>44576.73149465278</v>
      </c>
      <c r="B6055" s="50">
        <v>44576.856467905</v>
      </c>
      <c r="C6055" s="51">
        <v>1.007</v>
      </c>
      <c r="D6055" s="51">
        <v>66.0</v>
      </c>
      <c r="E6055" s="52" t="s">
        <v>25</v>
      </c>
      <c r="F6055" s="52" t="s">
        <v>26</v>
      </c>
      <c r="G6055" s="53"/>
    </row>
    <row r="6056">
      <c r="A6056" s="49">
        <v>44576.741916747684</v>
      </c>
      <c r="B6056" s="50">
        <v>44576.8668887268</v>
      </c>
      <c r="C6056" s="51">
        <v>1.007</v>
      </c>
      <c r="D6056" s="51">
        <v>66.0</v>
      </c>
      <c r="E6056" s="52" t="s">
        <v>25</v>
      </c>
      <c r="F6056" s="52" t="s">
        <v>26</v>
      </c>
      <c r="G6056" s="53"/>
    </row>
    <row r="6057">
      <c r="A6057" s="49">
        <v>44576.75240653935</v>
      </c>
      <c r="B6057" s="50">
        <v>44576.8773799305</v>
      </c>
      <c r="C6057" s="51">
        <v>1.007</v>
      </c>
      <c r="D6057" s="51">
        <v>66.0</v>
      </c>
      <c r="E6057" s="52" t="s">
        <v>25</v>
      </c>
      <c r="F6057" s="52" t="s">
        <v>26</v>
      </c>
      <c r="G6057" s="53"/>
    </row>
    <row r="6058">
      <c r="A6058" s="49">
        <v>44576.76283466435</v>
      </c>
      <c r="B6058" s="50">
        <v>44576.8878106134</v>
      </c>
      <c r="C6058" s="51">
        <v>1.007</v>
      </c>
      <c r="D6058" s="51">
        <v>66.0</v>
      </c>
      <c r="E6058" s="52" t="s">
        <v>25</v>
      </c>
      <c r="F6058" s="52" t="s">
        <v>26</v>
      </c>
      <c r="G6058" s="53"/>
    </row>
    <row r="6059">
      <c r="A6059" s="49">
        <v>44576.773255266206</v>
      </c>
      <c r="B6059" s="50">
        <v>44576.898232662</v>
      </c>
      <c r="C6059" s="51">
        <v>1.007</v>
      </c>
      <c r="D6059" s="51">
        <v>66.0</v>
      </c>
      <c r="E6059" s="52" t="s">
        <v>25</v>
      </c>
      <c r="F6059" s="52" t="s">
        <v>26</v>
      </c>
      <c r="G6059" s="53"/>
    </row>
    <row r="6060">
      <c r="A6060" s="49">
        <v>44576.78367415509</v>
      </c>
      <c r="B6060" s="50">
        <v>44576.9086554166</v>
      </c>
      <c r="C6060" s="51">
        <v>1.007</v>
      </c>
      <c r="D6060" s="51">
        <v>66.0</v>
      </c>
      <c r="E6060" s="52" t="s">
        <v>25</v>
      </c>
      <c r="F6060" s="52" t="s">
        <v>26</v>
      </c>
      <c r="G6060" s="53"/>
    </row>
    <row r="6061">
      <c r="A6061" s="49">
        <v>44576.79410506945</v>
      </c>
      <c r="B6061" s="50">
        <v>44576.9190878125</v>
      </c>
      <c r="C6061" s="51">
        <v>1.007</v>
      </c>
      <c r="D6061" s="51">
        <v>66.0</v>
      </c>
      <c r="E6061" s="52" t="s">
        <v>25</v>
      </c>
      <c r="F6061" s="52" t="s">
        <v>26</v>
      </c>
      <c r="G6061" s="53"/>
    </row>
    <row r="6062">
      <c r="A6062" s="49">
        <v>44576.80453780093</v>
      </c>
      <c r="B6062" s="50">
        <v>44576.929509456</v>
      </c>
      <c r="C6062" s="51">
        <v>1.007</v>
      </c>
      <c r="D6062" s="51">
        <v>66.0</v>
      </c>
      <c r="E6062" s="52" t="s">
        <v>25</v>
      </c>
      <c r="F6062" s="52" t="s">
        <v>26</v>
      </c>
      <c r="G6062" s="53"/>
    </row>
    <row r="6063">
      <c r="A6063" s="49">
        <v>44576.81497119213</v>
      </c>
      <c r="B6063" s="50">
        <v>44576.9399424305</v>
      </c>
      <c r="C6063" s="51">
        <v>1.007</v>
      </c>
      <c r="D6063" s="51">
        <v>66.0</v>
      </c>
      <c r="E6063" s="52" t="s">
        <v>25</v>
      </c>
      <c r="F6063" s="52" t="s">
        <v>26</v>
      </c>
      <c r="G6063" s="53"/>
    </row>
    <row r="6064">
      <c r="A6064" s="49">
        <v>44576.82538090278</v>
      </c>
      <c r="B6064" s="50">
        <v>44576.9503639351</v>
      </c>
      <c r="C6064" s="51">
        <v>1.007</v>
      </c>
      <c r="D6064" s="51">
        <v>65.0</v>
      </c>
      <c r="E6064" s="52" t="s">
        <v>25</v>
      </c>
      <c r="F6064" s="52" t="s">
        <v>26</v>
      </c>
      <c r="G6064" s="53"/>
    </row>
    <row r="6065">
      <c r="A6065" s="49">
        <v>44576.83583678241</v>
      </c>
      <c r="B6065" s="50">
        <v>44576.9608078009</v>
      </c>
      <c r="C6065" s="51">
        <v>1.007</v>
      </c>
      <c r="D6065" s="51">
        <v>65.0</v>
      </c>
      <c r="E6065" s="52" t="s">
        <v>25</v>
      </c>
      <c r="F6065" s="52" t="s">
        <v>26</v>
      </c>
      <c r="G6065" s="53"/>
    </row>
    <row r="6066">
      <c r="A6066" s="49">
        <v>44576.84625696759</v>
      </c>
      <c r="B6066" s="50">
        <v>44576.9712265972</v>
      </c>
      <c r="C6066" s="51">
        <v>1.007</v>
      </c>
      <c r="D6066" s="51">
        <v>65.0</v>
      </c>
      <c r="E6066" s="52" t="s">
        <v>25</v>
      </c>
      <c r="F6066" s="52" t="s">
        <v>26</v>
      </c>
      <c r="G6066" s="53"/>
    </row>
    <row r="6067">
      <c r="A6067" s="49">
        <v>44576.856699780095</v>
      </c>
      <c r="B6067" s="50">
        <v>44576.9816715972</v>
      </c>
      <c r="C6067" s="51">
        <v>1.007</v>
      </c>
      <c r="D6067" s="51">
        <v>65.0</v>
      </c>
      <c r="E6067" s="52" t="s">
        <v>25</v>
      </c>
      <c r="F6067" s="52" t="s">
        <v>26</v>
      </c>
      <c r="G6067" s="53"/>
    </row>
    <row r="6068">
      <c r="A6068" s="49">
        <v>44576.86711525463</v>
      </c>
      <c r="B6068" s="50">
        <v>44576.9920925231</v>
      </c>
      <c r="C6068" s="51">
        <v>1.007</v>
      </c>
      <c r="D6068" s="51">
        <v>65.0</v>
      </c>
      <c r="E6068" s="52" t="s">
        <v>25</v>
      </c>
      <c r="F6068" s="52" t="s">
        <v>26</v>
      </c>
      <c r="G6068" s="53"/>
    </row>
    <row r="6069">
      <c r="A6069" s="49">
        <v>44576.87753814815</v>
      </c>
      <c r="B6069" s="50">
        <v>44577.002514456</v>
      </c>
      <c r="C6069" s="51">
        <v>1.007</v>
      </c>
      <c r="D6069" s="51">
        <v>65.0</v>
      </c>
      <c r="E6069" s="52" t="s">
        <v>25</v>
      </c>
      <c r="F6069" s="52" t="s">
        <v>26</v>
      </c>
      <c r="G6069" s="53"/>
    </row>
    <row r="6070">
      <c r="A6070" s="49">
        <v>44576.88795472222</v>
      </c>
      <c r="B6070" s="50">
        <v>44577.0129355439</v>
      </c>
      <c r="C6070" s="51">
        <v>1.007</v>
      </c>
      <c r="D6070" s="51">
        <v>65.0</v>
      </c>
      <c r="E6070" s="52" t="s">
        <v>25</v>
      </c>
      <c r="F6070" s="52" t="s">
        <v>26</v>
      </c>
      <c r="G6070" s="53"/>
    </row>
    <row r="6071">
      <c r="A6071" s="49">
        <v>44576.89838362268</v>
      </c>
      <c r="B6071" s="50">
        <v>44577.0233561111</v>
      </c>
      <c r="C6071" s="51">
        <v>1.007</v>
      </c>
      <c r="D6071" s="51">
        <v>65.0</v>
      </c>
      <c r="E6071" s="52" t="s">
        <v>25</v>
      </c>
      <c r="F6071" s="52" t="s">
        <v>26</v>
      </c>
      <c r="G6071" s="53"/>
    </row>
    <row r="6072">
      <c r="A6072" s="49">
        <v>44576.90883920139</v>
      </c>
      <c r="B6072" s="50">
        <v>44577.033812199</v>
      </c>
      <c r="C6072" s="51">
        <v>1.007</v>
      </c>
      <c r="D6072" s="51">
        <v>65.0</v>
      </c>
      <c r="E6072" s="52" t="s">
        <v>25</v>
      </c>
      <c r="F6072" s="52" t="s">
        <v>26</v>
      </c>
      <c r="G6072" s="53"/>
    </row>
    <row r="6073">
      <c r="A6073" s="49">
        <v>44576.919272569445</v>
      </c>
      <c r="B6073" s="50">
        <v>44577.0442335532</v>
      </c>
      <c r="C6073" s="51">
        <v>1.007</v>
      </c>
      <c r="D6073" s="51">
        <v>65.0</v>
      </c>
      <c r="E6073" s="52" t="s">
        <v>25</v>
      </c>
      <c r="F6073" s="52" t="s">
        <v>26</v>
      </c>
      <c r="G6073" s="53"/>
    </row>
    <row r="6074">
      <c r="A6074" s="49">
        <v>44576.92968482639</v>
      </c>
      <c r="B6074" s="50">
        <v>44577.0546543634</v>
      </c>
      <c r="C6074" s="51">
        <v>1.007</v>
      </c>
      <c r="D6074" s="51">
        <v>65.0</v>
      </c>
      <c r="E6074" s="52" t="s">
        <v>25</v>
      </c>
      <c r="F6074" s="52" t="s">
        <v>26</v>
      </c>
      <c r="G6074" s="53"/>
    </row>
    <row r="6075">
      <c r="A6075" s="49">
        <v>44576.940104849535</v>
      </c>
      <c r="B6075" s="50">
        <v>44577.0650763657</v>
      </c>
      <c r="C6075" s="51">
        <v>1.007</v>
      </c>
      <c r="D6075" s="51">
        <v>65.0</v>
      </c>
      <c r="E6075" s="52" t="s">
        <v>25</v>
      </c>
      <c r="F6075" s="52" t="s">
        <v>26</v>
      </c>
      <c r="G6075" s="53"/>
    </row>
    <row r="6076">
      <c r="A6076" s="49">
        <v>44576.95052704861</v>
      </c>
      <c r="B6076" s="50">
        <v>44577.0754967476</v>
      </c>
      <c r="C6076" s="51">
        <v>1.007</v>
      </c>
      <c r="D6076" s="51">
        <v>65.0</v>
      </c>
      <c r="E6076" s="52" t="s">
        <v>25</v>
      </c>
      <c r="F6076" s="52" t="s">
        <v>26</v>
      </c>
      <c r="G6076" s="53"/>
    </row>
    <row r="6077">
      <c r="A6077" s="49">
        <v>44576.96096293982</v>
      </c>
      <c r="B6077" s="50">
        <v>44577.0859304861</v>
      </c>
      <c r="C6077" s="51">
        <v>1.007</v>
      </c>
      <c r="D6077" s="51">
        <v>65.0</v>
      </c>
      <c r="E6077" s="52" t="s">
        <v>25</v>
      </c>
      <c r="F6077" s="52" t="s">
        <v>26</v>
      </c>
      <c r="G6077" s="53"/>
    </row>
    <row r="6078">
      <c r="A6078" s="49">
        <v>44576.9714012037</v>
      </c>
      <c r="B6078" s="50">
        <v>44577.0963754166</v>
      </c>
      <c r="C6078" s="51">
        <v>1.007</v>
      </c>
      <c r="D6078" s="51">
        <v>65.0</v>
      </c>
      <c r="E6078" s="52" t="s">
        <v>25</v>
      </c>
      <c r="F6078" s="52" t="s">
        <v>26</v>
      </c>
      <c r="G6078" s="53"/>
    </row>
    <row r="6079">
      <c r="A6079" s="49">
        <v>44576.981841597226</v>
      </c>
      <c r="B6079" s="50">
        <v>44577.1068208564</v>
      </c>
      <c r="C6079" s="51">
        <v>1.007</v>
      </c>
      <c r="D6079" s="51">
        <v>65.0</v>
      </c>
      <c r="E6079" s="52" t="s">
        <v>25</v>
      </c>
      <c r="F6079" s="52" t="s">
        <v>26</v>
      </c>
      <c r="G6079" s="53"/>
    </row>
    <row r="6080">
      <c r="A6080" s="49">
        <v>44576.99228694444</v>
      </c>
      <c r="B6080" s="50">
        <v>44577.1172653703</v>
      </c>
      <c r="C6080" s="51">
        <v>1.007</v>
      </c>
      <c r="D6080" s="51">
        <v>65.0</v>
      </c>
      <c r="E6080" s="52" t="s">
        <v>25</v>
      </c>
      <c r="F6080" s="52" t="s">
        <v>26</v>
      </c>
      <c r="G6080" s="53"/>
    </row>
    <row r="6081">
      <c r="A6081" s="49">
        <v>44577.00270670139</v>
      </c>
      <c r="B6081" s="50">
        <v>44577.1276863773</v>
      </c>
      <c r="C6081" s="51">
        <v>1.007</v>
      </c>
      <c r="D6081" s="51">
        <v>65.0</v>
      </c>
      <c r="E6081" s="52" t="s">
        <v>25</v>
      </c>
      <c r="F6081" s="52" t="s">
        <v>26</v>
      </c>
      <c r="G6081" s="53"/>
    </row>
    <row r="6082">
      <c r="A6082" s="49">
        <v>44577.01314221065</v>
      </c>
      <c r="B6082" s="50">
        <v>44577.1381200578</v>
      </c>
      <c r="C6082" s="51">
        <v>1.007</v>
      </c>
      <c r="D6082" s="51">
        <v>65.0</v>
      </c>
      <c r="E6082" s="52" t="s">
        <v>25</v>
      </c>
      <c r="F6082" s="52" t="s">
        <v>26</v>
      </c>
      <c r="G6082" s="53"/>
    </row>
    <row r="6083">
      <c r="A6083" s="49">
        <v>44577.02356988426</v>
      </c>
      <c r="B6083" s="50">
        <v>44577.1485406828</v>
      </c>
      <c r="C6083" s="51">
        <v>1.007</v>
      </c>
      <c r="D6083" s="51">
        <v>65.0</v>
      </c>
      <c r="E6083" s="52" t="s">
        <v>25</v>
      </c>
      <c r="F6083" s="52" t="s">
        <v>26</v>
      </c>
      <c r="G6083" s="53"/>
    </row>
    <row r="6084">
      <c r="A6084" s="49">
        <v>44577.03399295139</v>
      </c>
      <c r="B6084" s="50">
        <v>44577.1589637037</v>
      </c>
      <c r="C6084" s="51">
        <v>1.007</v>
      </c>
      <c r="D6084" s="51">
        <v>65.0</v>
      </c>
      <c r="E6084" s="52" t="s">
        <v>25</v>
      </c>
      <c r="F6084" s="52" t="s">
        <v>26</v>
      </c>
      <c r="G6084" s="53"/>
    </row>
    <row r="6085">
      <c r="A6085" s="49">
        <v>44577.04441462963</v>
      </c>
      <c r="B6085" s="50">
        <v>44577.1693962499</v>
      </c>
      <c r="C6085" s="51">
        <v>1.007</v>
      </c>
      <c r="D6085" s="51">
        <v>65.0</v>
      </c>
      <c r="E6085" s="52" t="s">
        <v>25</v>
      </c>
      <c r="F6085" s="52" t="s">
        <v>26</v>
      </c>
      <c r="G6085" s="53"/>
    </row>
    <row r="6086">
      <c r="A6086" s="49">
        <v>44577.05484506945</v>
      </c>
      <c r="B6086" s="50">
        <v>44577.1798181134</v>
      </c>
      <c r="C6086" s="51">
        <v>1.007</v>
      </c>
      <c r="D6086" s="51">
        <v>65.0</v>
      </c>
      <c r="E6086" s="52" t="s">
        <v>25</v>
      </c>
      <c r="F6086" s="52" t="s">
        <v>26</v>
      </c>
      <c r="G6086" s="53"/>
    </row>
    <row r="6087">
      <c r="A6087" s="49">
        <v>44577.06526716435</v>
      </c>
      <c r="B6087" s="50">
        <v>44577.1902398726</v>
      </c>
      <c r="C6087" s="51">
        <v>1.007</v>
      </c>
      <c r="D6087" s="51">
        <v>65.0</v>
      </c>
      <c r="E6087" s="52" t="s">
        <v>25</v>
      </c>
      <c r="F6087" s="52" t="s">
        <v>26</v>
      </c>
      <c r="G6087" s="53"/>
    </row>
    <row r="6088">
      <c r="A6088" s="49">
        <v>44577.07570119213</v>
      </c>
      <c r="B6088" s="50">
        <v>44577.2006714699</v>
      </c>
      <c r="C6088" s="51">
        <v>1.007</v>
      </c>
      <c r="D6088" s="51">
        <v>65.0</v>
      </c>
      <c r="E6088" s="52" t="s">
        <v>25</v>
      </c>
      <c r="F6088" s="52" t="s">
        <v>26</v>
      </c>
      <c r="G6088" s="53"/>
    </row>
    <row r="6089">
      <c r="A6089" s="49">
        <v>44577.08619381944</v>
      </c>
      <c r="B6089" s="50">
        <v>44577.2111735763</v>
      </c>
      <c r="C6089" s="51">
        <v>1.007</v>
      </c>
      <c r="D6089" s="51">
        <v>65.0</v>
      </c>
      <c r="E6089" s="52" t="s">
        <v>25</v>
      </c>
      <c r="F6089" s="52" t="s">
        <v>26</v>
      </c>
      <c r="G6089" s="53"/>
    </row>
    <row r="6090">
      <c r="A6090" s="49">
        <v>44577.09662465278</v>
      </c>
      <c r="B6090" s="50">
        <v>44577.2215945486</v>
      </c>
      <c r="C6090" s="51">
        <v>1.007</v>
      </c>
      <c r="D6090" s="51">
        <v>65.0</v>
      </c>
      <c r="E6090" s="52" t="s">
        <v>25</v>
      </c>
      <c r="F6090" s="52" t="s">
        <v>26</v>
      </c>
      <c r="G6090" s="53"/>
    </row>
    <row r="6091">
      <c r="A6091" s="49">
        <v>44577.10707241898</v>
      </c>
      <c r="B6091" s="50">
        <v>44577.2320501851</v>
      </c>
      <c r="C6091" s="51">
        <v>1.007</v>
      </c>
      <c r="D6091" s="51">
        <v>65.0</v>
      </c>
      <c r="E6091" s="52" t="s">
        <v>25</v>
      </c>
      <c r="F6091" s="52" t="s">
        <v>26</v>
      </c>
      <c r="G6091" s="53"/>
    </row>
    <row r="6092">
      <c r="A6092" s="49">
        <v>44577.11749797454</v>
      </c>
      <c r="B6092" s="50">
        <v>44577.2424716898</v>
      </c>
      <c r="C6092" s="51">
        <v>1.007</v>
      </c>
      <c r="D6092" s="51">
        <v>65.0</v>
      </c>
      <c r="E6092" s="52" t="s">
        <v>25</v>
      </c>
      <c r="F6092" s="52" t="s">
        <v>26</v>
      </c>
      <c r="G6092" s="53"/>
    </row>
    <row r="6093">
      <c r="A6093" s="49">
        <v>44577.12792206019</v>
      </c>
      <c r="B6093" s="50">
        <v>44577.2529035648</v>
      </c>
      <c r="C6093" s="51">
        <v>1.007</v>
      </c>
      <c r="D6093" s="51">
        <v>64.0</v>
      </c>
      <c r="E6093" s="52" t="s">
        <v>25</v>
      </c>
      <c r="F6093" s="52" t="s">
        <v>26</v>
      </c>
      <c r="G6093" s="53"/>
    </row>
    <row r="6094">
      <c r="A6094" s="49">
        <v>44577.1383466088</v>
      </c>
      <c r="B6094" s="50">
        <v>44577.2633236574</v>
      </c>
      <c r="C6094" s="51">
        <v>1.007</v>
      </c>
      <c r="D6094" s="51">
        <v>64.0</v>
      </c>
      <c r="E6094" s="52" t="s">
        <v>25</v>
      </c>
      <c r="F6094" s="52" t="s">
        <v>26</v>
      </c>
      <c r="G6094" s="53"/>
    </row>
    <row r="6095">
      <c r="A6095" s="49">
        <v>44577.148773622685</v>
      </c>
      <c r="B6095" s="50">
        <v>44577.2737446064</v>
      </c>
      <c r="C6095" s="51">
        <v>1.007</v>
      </c>
      <c r="D6095" s="51">
        <v>64.0</v>
      </c>
      <c r="E6095" s="52" t="s">
        <v>25</v>
      </c>
      <c r="F6095" s="52" t="s">
        <v>26</v>
      </c>
      <c r="G6095" s="53"/>
    </row>
    <row r="6096">
      <c r="A6096" s="49">
        <v>44577.15920634259</v>
      </c>
      <c r="B6096" s="50">
        <v>44577.2841773148</v>
      </c>
      <c r="C6096" s="51">
        <v>1.007</v>
      </c>
      <c r="D6096" s="51">
        <v>64.0</v>
      </c>
      <c r="E6096" s="52" t="s">
        <v>25</v>
      </c>
      <c r="F6096" s="52" t="s">
        <v>26</v>
      </c>
      <c r="G6096" s="53"/>
    </row>
    <row r="6097">
      <c r="A6097" s="49">
        <v>44577.16964603009</v>
      </c>
      <c r="B6097" s="50">
        <v>44577.2946202777</v>
      </c>
      <c r="C6097" s="51">
        <v>1.007</v>
      </c>
      <c r="D6097" s="51">
        <v>64.0</v>
      </c>
      <c r="E6097" s="52" t="s">
        <v>25</v>
      </c>
      <c r="F6097" s="52" t="s">
        <v>26</v>
      </c>
      <c r="G6097" s="53"/>
    </row>
    <row r="6098">
      <c r="A6098" s="49">
        <v>44577.18008248843</v>
      </c>
      <c r="B6098" s="50">
        <v>44577.3050524768</v>
      </c>
      <c r="C6098" s="51">
        <v>1.007</v>
      </c>
      <c r="D6098" s="51">
        <v>64.0</v>
      </c>
      <c r="E6098" s="52" t="s">
        <v>25</v>
      </c>
      <c r="F6098" s="52" t="s">
        <v>26</v>
      </c>
      <c r="G6098" s="53"/>
    </row>
    <row r="6099">
      <c r="A6099" s="49">
        <v>44577.190530023145</v>
      </c>
      <c r="B6099" s="50">
        <v>44577.3155088078</v>
      </c>
      <c r="C6099" s="51">
        <v>1.007</v>
      </c>
      <c r="D6099" s="51">
        <v>64.0</v>
      </c>
      <c r="E6099" s="52" t="s">
        <v>25</v>
      </c>
      <c r="F6099" s="52" t="s">
        <v>26</v>
      </c>
      <c r="G6099" s="53"/>
    </row>
    <row r="6100">
      <c r="A6100" s="49">
        <v>44577.200958182875</v>
      </c>
      <c r="B6100" s="50">
        <v>44577.3259303125</v>
      </c>
      <c r="C6100" s="51">
        <v>1.007</v>
      </c>
      <c r="D6100" s="51">
        <v>64.0</v>
      </c>
      <c r="E6100" s="52" t="s">
        <v>25</v>
      </c>
      <c r="F6100" s="52" t="s">
        <v>26</v>
      </c>
      <c r="G6100" s="53"/>
    </row>
    <row r="6101">
      <c r="A6101" s="49">
        <v>44577.21137355324</v>
      </c>
      <c r="B6101" s="50">
        <v>44577.3363505787</v>
      </c>
      <c r="C6101" s="51">
        <v>1.007</v>
      </c>
      <c r="D6101" s="51">
        <v>64.0</v>
      </c>
      <c r="E6101" s="52" t="s">
        <v>25</v>
      </c>
      <c r="F6101" s="52" t="s">
        <v>26</v>
      </c>
      <c r="G6101" s="53"/>
    </row>
    <row r="6102">
      <c r="A6102" s="49">
        <v>44577.22179789352</v>
      </c>
      <c r="B6102" s="50">
        <v>44577.3467695601</v>
      </c>
      <c r="C6102" s="51">
        <v>1.007</v>
      </c>
      <c r="D6102" s="51">
        <v>64.0</v>
      </c>
      <c r="E6102" s="52" t="s">
        <v>25</v>
      </c>
      <c r="F6102" s="52" t="s">
        <v>26</v>
      </c>
      <c r="G6102" s="53"/>
    </row>
    <row r="6103">
      <c r="A6103" s="49">
        <v>44577.232240150464</v>
      </c>
      <c r="B6103" s="50">
        <v>44577.3572159606</v>
      </c>
      <c r="C6103" s="51">
        <v>1.007</v>
      </c>
      <c r="D6103" s="51">
        <v>64.0</v>
      </c>
      <c r="E6103" s="52" t="s">
        <v>25</v>
      </c>
      <c r="F6103" s="52" t="s">
        <v>26</v>
      </c>
      <c r="G6103" s="53"/>
    </row>
    <row r="6104">
      <c r="A6104" s="49">
        <v>44577.24266583333</v>
      </c>
      <c r="B6104" s="50">
        <v>44577.367637824</v>
      </c>
      <c r="C6104" s="51">
        <v>1.007</v>
      </c>
      <c r="D6104" s="51">
        <v>64.0</v>
      </c>
      <c r="E6104" s="52" t="s">
        <v>25</v>
      </c>
      <c r="F6104" s="52" t="s">
        <v>26</v>
      </c>
      <c r="G6104" s="53"/>
    </row>
    <row r="6105">
      <c r="A6105" s="49">
        <v>44577.25309167824</v>
      </c>
      <c r="B6105" s="50">
        <v>44577.3780720717</v>
      </c>
      <c r="C6105" s="51">
        <v>1.007</v>
      </c>
      <c r="D6105" s="51">
        <v>64.0</v>
      </c>
      <c r="E6105" s="52" t="s">
        <v>25</v>
      </c>
      <c r="F6105" s="52" t="s">
        <v>26</v>
      </c>
      <c r="G6105" s="53"/>
    </row>
    <row r="6106">
      <c r="A6106" s="49">
        <v>44577.263529641205</v>
      </c>
      <c r="B6106" s="50">
        <v>44577.3885039583</v>
      </c>
      <c r="C6106" s="51">
        <v>1.007</v>
      </c>
      <c r="D6106" s="51">
        <v>64.0</v>
      </c>
      <c r="E6106" s="52" t="s">
        <v>25</v>
      </c>
      <c r="F6106" s="52" t="s">
        <v>26</v>
      </c>
      <c r="G6106" s="53"/>
    </row>
    <row r="6107">
      <c r="A6107" s="49">
        <v>44577.27397686343</v>
      </c>
      <c r="B6107" s="50">
        <v>44577.3989503588</v>
      </c>
      <c r="C6107" s="51">
        <v>1.007</v>
      </c>
      <c r="D6107" s="51">
        <v>64.0</v>
      </c>
      <c r="E6107" s="52" t="s">
        <v>25</v>
      </c>
      <c r="F6107" s="52" t="s">
        <v>26</v>
      </c>
      <c r="G6107" s="53"/>
    </row>
    <row r="6108">
      <c r="A6108" s="49">
        <v>44577.28439782407</v>
      </c>
      <c r="B6108" s="50">
        <v>44577.4093727199</v>
      </c>
      <c r="C6108" s="51">
        <v>1.007</v>
      </c>
      <c r="D6108" s="51">
        <v>64.0</v>
      </c>
      <c r="E6108" s="52" t="s">
        <v>25</v>
      </c>
      <c r="F6108" s="52" t="s">
        <v>26</v>
      </c>
      <c r="G6108" s="53"/>
    </row>
    <row r="6109">
      <c r="A6109" s="49">
        <v>44577.294842442134</v>
      </c>
      <c r="B6109" s="50">
        <v>44577.4198173379</v>
      </c>
      <c r="C6109" s="51">
        <v>1.007</v>
      </c>
      <c r="D6109" s="51">
        <v>64.0</v>
      </c>
      <c r="E6109" s="52" t="s">
        <v>25</v>
      </c>
      <c r="F6109" s="52" t="s">
        <v>26</v>
      </c>
      <c r="G6109" s="53"/>
    </row>
    <row r="6110">
      <c r="A6110" s="49">
        <v>44577.30526679398</v>
      </c>
      <c r="B6110" s="50">
        <v>44577.4302366087</v>
      </c>
      <c r="C6110" s="51">
        <v>1.007</v>
      </c>
      <c r="D6110" s="51">
        <v>64.0</v>
      </c>
      <c r="E6110" s="52" t="s">
        <v>25</v>
      </c>
      <c r="F6110" s="52" t="s">
        <v>26</v>
      </c>
      <c r="G6110" s="53"/>
    </row>
    <row r="6111">
      <c r="A6111" s="49">
        <v>44577.315684016205</v>
      </c>
      <c r="B6111" s="50">
        <v>44577.4406580902</v>
      </c>
      <c r="C6111" s="51">
        <v>1.007</v>
      </c>
      <c r="D6111" s="51">
        <v>64.0</v>
      </c>
      <c r="E6111" s="52" t="s">
        <v>25</v>
      </c>
      <c r="F6111" s="52" t="s">
        <v>26</v>
      </c>
      <c r="G6111" s="53"/>
    </row>
    <row r="6112">
      <c r="A6112" s="49">
        <v>44577.32612626157</v>
      </c>
      <c r="B6112" s="50">
        <v>44577.4511022337</v>
      </c>
      <c r="C6112" s="51">
        <v>1.007</v>
      </c>
      <c r="D6112" s="51">
        <v>64.0</v>
      </c>
      <c r="E6112" s="52" t="s">
        <v>25</v>
      </c>
      <c r="F6112" s="52" t="s">
        <v>26</v>
      </c>
      <c r="G6112" s="53"/>
    </row>
    <row r="6113">
      <c r="A6113" s="49">
        <v>44577.33654618055</v>
      </c>
      <c r="B6113" s="50">
        <v>44577.4615219212</v>
      </c>
      <c r="C6113" s="51">
        <v>1.007</v>
      </c>
      <c r="D6113" s="51">
        <v>64.0</v>
      </c>
      <c r="E6113" s="52" t="s">
        <v>25</v>
      </c>
      <c r="F6113" s="52" t="s">
        <v>26</v>
      </c>
      <c r="G6113" s="53"/>
    </row>
    <row r="6114">
      <c r="A6114" s="49">
        <v>44577.34696935186</v>
      </c>
      <c r="B6114" s="50">
        <v>44577.4719420949</v>
      </c>
      <c r="C6114" s="51">
        <v>1.007</v>
      </c>
      <c r="D6114" s="51">
        <v>64.0</v>
      </c>
      <c r="E6114" s="52" t="s">
        <v>25</v>
      </c>
      <c r="F6114" s="52" t="s">
        <v>26</v>
      </c>
      <c r="G6114" s="53"/>
    </row>
    <row r="6115">
      <c r="A6115" s="49">
        <v>44577.357420520835</v>
      </c>
      <c r="B6115" s="50">
        <v>44577.4823974652</v>
      </c>
      <c r="C6115" s="51">
        <v>1.007</v>
      </c>
      <c r="D6115" s="51">
        <v>64.0</v>
      </c>
      <c r="E6115" s="52" t="s">
        <v>25</v>
      </c>
      <c r="F6115" s="52" t="s">
        <v>26</v>
      </c>
      <c r="G6115" s="53"/>
    </row>
    <row r="6116">
      <c r="A6116" s="49">
        <v>44577.36785711806</v>
      </c>
      <c r="B6116" s="50">
        <v>44577.4928298611</v>
      </c>
      <c r="C6116" s="51">
        <v>1.007</v>
      </c>
      <c r="D6116" s="51">
        <v>64.0</v>
      </c>
      <c r="E6116" s="52" t="s">
        <v>25</v>
      </c>
      <c r="F6116" s="52" t="s">
        <v>26</v>
      </c>
      <c r="G6116" s="53"/>
    </row>
    <row r="6117">
      <c r="A6117" s="49">
        <v>44577.37829479166</v>
      </c>
      <c r="B6117" s="50">
        <v>44577.5032732175</v>
      </c>
      <c r="C6117" s="51">
        <v>1.007</v>
      </c>
      <c r="D6117" s="51">
        <v>64.0</v>
      </c>
      <c r="E6117" s="52" t="s">
        <v>25</v>
      </c>
      <c r="F6117" s="52" t="s">
        <v>26</v>
      </c>
      <c r="G6117" s="53"/>
    </row>
    <row r="6118">
      <c r="A6118" s="49">
        <v>44577.38871994213</v>
      </c>
      <c r="B6118" s="50">
        <v>44577.5136949999</v>
      </c>
      <c r="C6118" s="51">
        <v>1.007</v>
      </c>
      <c r="D6118" s="51">
        <v>64.0</v>
      </c>
      <c r="E6118" s="52" t="s">
        <v>25</v>
      </c>
      <c r="F6118" s="52" t="s">
        <v>26</v>
      </c>
      <c r="G6118" s="53"/>
    </row>
    <row r="6119">
      <c r="A6119" s="49">
        <v>44577.39914743055</v>
      </c>
      <c r="B6119" s="50">
        <v>44577.5241166087</v>
      </c>
      <c r="C6119" s="51">
        <v>1.007</v>
      </c>
      <c r="D6119" s="51">
        <v>64.0</v>
      </c>
      <c r="E6119" s="52" t="s">
        <v>25</v>
      </c>
      <c r="F6119" s="52" t="s">
        <v>26</v>
      </c>
      <c r="G6119" s="53"/>
    </row>
    <row r="6120">
      <c r="A6120" s="49">
        <v>44577.409578067134</v>
      </c>
      <c r="B6120" s="50">
        <v>44577.5345497453</v>
      </c>
      <c r="C6120" s="51">
        <v>1.007</v>
      </c>
      <c r="D6120" s="51">
        <v>64.0</v>
      </c>
      <c r="E6120" s="52" t="s">
        <v>25</v>
      </c>
      <c r="F6120" s="52" t="s">
        <v>26</v>
      </c>
      <c r="G6120" s="53"/>
    </row>
    <row r="6121">
      <c r="A6121" s="49">
        <v>44577.41999797453</v>
      </c>
      <c r="B6121" s="50">
        <v>44577.5449724189</v>
      </c>
      <c r="C6121" s="51">
        <v>1.007</v>
      </c>
      <c r="D6121" s="51">
        <v>64.0</v>
      </c>
      <c r="E6121" s="52" t="s">
        <v>25</v>
      </c>
      <c r="F6121" s="52" t="s">
        <v>26</v>
      </c>
      <c r="G6121" s="53"/>
    </row>
    <row r="6122">
      <c r="A6122" s="49">
        <v>44577.43043258102</v>
      </c>
      <c r="B6122" s="50">
        <v>44577.5554048148</v>
      </c>
      <c r="C6122" s="51">
        <v>1.007</v>
      </c>
      <c r="D6122" s="51">
        <v>64.0</v>
      </c>
      <c r="E6122" s="52" t="s">
        <v>25</v>
      </c>
      <c r="F6122" s="52" t="s">
        <v>26</v>
      </c>
      <c r="G6122" s="53"/>
    </row>
    <row r="6123">
      <c r="A6123" s="49">
        <v>44577.44086811342</v>
      </c>
      <c r="B6123" s="50">
        <v>44577.5658473495</v>
      </c>
      <c r="C6123" s="51">
        <v>1.006</v>
      </c>
      <c r="D6123" s="51">
        <v>64.0</v>
      </c>
      <c r="E6123" s="52" t="s">
        <v>25</v>
      </c>
      <c r="F6123" s="52" t="s">
        <v>26</v>
      </c>
      <c r="G6123" s="53"/>
    </row>
    <row r="6124">
      <c r="A6124" s="49">
        <v>44577.45129271991</v>
      </c>
      <c r="B6124" s="50">
        <v>44577.5762679629</v>
      </c>
      <c r="C6124" s="51">
        <v>1.007</v>
      </c>
      <c r="D6124" s="51">
        <v>64.0</v>
      </c>
      <c r="E6124" s="52" t="s">
        <v>25</v>
      </c>
      <c r="F6124" s="52" t="s">
        <v>26</v>
      </c>
      <c r="G6124" s="53"/>
    </row>
    <row r="6125">
      <c r="A6125" s="49">
        <v>44577.461775902775</v>
      </c>
      <c r="B6125" s="50">
        <v>44577.5867480208</v>
      </c>
      <c r="C6125" s="51">
        <v>1.007</v>
      </c>
      <c r="D6125" s="51">
        <v>64.0</v>
      </c>
      <c r="E6125" s="52" t="s">
        <v>25</v>
      </c>
      <c r="F6125" s="52" t="s">
        <v>26</v>
      </c>
      <c r="G6125" s="53"/>
    </row>
    <row r="6126">
      <c r="A6126" s="49">
        <v>44577.47221054399</v>
      </c>
      <c r="B6126" s="50">
        <v>44577.5971809375</v>
      </c>
      <c r="C6126" s="51">
        <v>1.007</v>
      </c>
      <c r="D6126" s="51">
        <v>64.0</v>
      </c>
      <c r="E6126" s="52" t="s">
        <v>25</v>
      </c>
      <c r="F6126" s="52" t="s">
        <v>26</v>
      </c>
      <c r="G6126" s="53"/>
    </row>
    <row r="6127">
      <c r="A6127" s="49">
        <v>44577.4826327662</v>
      </c>
      <c r="B6127" s="50">
        <v>44577.6076019791</v>
      </c>
      <c r="C6127" s="51">
        <v>1.007</v>
      </c>
      <c r="D6127" s="51">
        <v>64.0</v>
      </c>
      <c r="E6127" s="52" t="s">
        <v>25</v>
      </c>
      <c r="F6127" s="52" t="s">
        <v>26</v>
      </c>
      <c r="G6127" s="53"/>
    </row>
    <row r="6128">
      <c r="A6128" s="49">
        <v>44577.493062141206</v>
      </c>
      <c r="B6128" s="50">
        <v>44577.6180351388</v>
      </c>
      <c r="C6128" s="51">
        <v>1.007</v>
      </c>
      <c r="D6128" s="51">
        <v>64.0</v>
      </c>
      <c r="E6128" s="52" t="s">
        <v>25</v>
      </c>
      <c r="F6128" s="52" t="s">
        <v>26</v>
      </c>
      <c r="G6128" s="53"/>
    </row>
    <row r="6129">
      <c r="A6129" s="49">
        <v>44577.503480370375</v>
      </c>
      <c r="B6129" s="50">
        <v>44577.6284560879</v>
      </c>
      <c r="C6129" s="51">
        <v>1.007</v>
      </c>
      <c r="D6129" s="51">
        <v>64.0</v>
      </c>
      <c r="E6129" s="52" t="s">
        <v>25</v>
      </c>
      <c r="F6129" s="52" t="s">
        <v>26</v>
      </c>
      <c r="G6129" s="53"/>
    </row>
    <row r="6130">
      <c r="A6130" s="49">
        <v>44577.51391298611</v>
      </c>
      <c r="B6130" s="50">
        <v>44577.6388890162</v>
      </c>
      <c r="C6130" s="51">
        <v>1.007</v>
      </c>
      <c r="D6130" s="51">
        <v>64.0</v>
      </c>
      <c r="E6130" s="52" t="s">
        <v>25</v>
      </c>
      <c r="F6130" s="52" t="s">
        <v>26</v>
      </c>
      <c r="G6130" s="53"/>
    </row>
    <row r="6131">
      <c r="A6131" s="49">
        <v>44577.52434251158</v>
      </c>
      <c r="B6131" s="50">
        <v>44577.6493101504</v>
      </c>
      <c r="C6131" s="51">
        <v>1.007</v>
      </c>
      <c r="D6131" s="51">
        <v>64.0</v>
      </c>
      <c r="E6131" s="52" t="s">
        <v>25</v>
      </c>
      <c r="F6131" s="52" t="s">
        <v>26</v>
      </c>
      <c r="G6131" s="53"/>
    </row>
    <row r="6132">
      <c r="A6132" s="49">
        <v>44577.534754340275</v>
      </c>
      <c r="B6132" s="50">
        <v>44577.6597315277</v>
      </c>
      <c r="C6132" s="51">
        <v>1.007</v>
      </c>
      <c r="D6132" s="51">
        <v>64.0</v>
      </c>
      <c r="E6132" s="52" t="s">
        <v>25</v>
      </c>
      <c r="F6132" s="52" t="s">
        <v>26</v>
      </c>
      <c r="G6132" s="53"/>
    </row>
    <row r="6133">
      <c r="A6133" s="49">
        <v>44577.545184953706</v>
      </c>
      <c r="B6133" s="50">
        <v>44577.6701544675</v>
      </c>
      <c r="C6133" s="51">
        <v>1.007</v>
      </c>
      <c r="D6133" s="51">
        <v>64.0</v>
      </c>
      <c r="E6133" s="52" t="s">
        <v>25</v>
      </c>
      <c r="F6133" s="52" t="s">
        <v>26</v>
      </c>
      <c r="G6133" s="53"/>
    </row>
    <row r="6134">
      <c r="A6134" s="49">
        <v>44577.555616631944</v>
      </c>
      <c r="B6134" s="50">
        <v>44577.6805881828</v>
      </c>
      <c r="C6134" s="51">
        <v>1.007</v>
      </c>
      <c r="D6134" s="51">
        <v>63.0</v>
      </c>
      <c r="E6134" s="52" t="s">
        <v>25</v>
      </c>
      <c r="F6134" s="52" t="s">
        <v>26</v>
      </c>
      <c r="G6134" s="53"/>
    </row>
    <row r="6135">
      <c r="A6135" s="49">
        <v>44577.56603858796</v>
      </c>
      <c r="B6135" s="50">
        <v>44577.6910100347</v>
      </c>
      <c r="C6135" s="51">
        <v>1.007</v>
      </c>
      <c r="D6135" s="51">
        <v>64.0</v>
      </c>
      <c r="E6135" s="52" t="s">
        <v>25</v>
      </c>
      <c r="F6135" s="52" t="s">
        <v>26</v>
      </c>
      <c r="G6135" s="53"/>
    </row>
    <row r="6136">
      <c r="A6136" s="49">
        <v>44577.576492314816</v>
      </c>
      <c r="B6136" s="50">
        <v>44577.7014651736</v>
      </c>
      <c r="C6136" s="51">
        <v>1.007</v>
      </c>
      <c r="D6136" s="51">
        <v>64.0</v>
      </c>
      <c r="E6136" s="52" t="s">
        <v>25</v>
      </c>
      <c r="F6136" s="52" t="s">
        <v>26</v>
      </c>
      <c r="G6136" s="53"/>
    </row>
    <row r="6137">
      <c r="A6137" s="49">
        <v>44577.586940775465</v>
      </c>
      <c r="B6137" s="50">
        <v>44577.711920324</v>
      </c>
      <c r="C6137" s="51">
        <v>1.007</v>
      </c>
      <c r="D6137" s="51">
        <v>63.0</v>
      </c>
      <c r="E6137" s="52" t="s">
        <v>25</v>
      </c>
      <c r="F6137" s="52" t="s">
        <v>26</v>
      </c>
      <c r="G6137" s="53"/>
    </row>
    <row r="6138">
      <c r="A6138" s="49">
        <v>44577.59736112268</v>
      </c>
      <c r="B6138" s="50">
        <v>44577.7223429282</v>
      </c>
      <c r="C6138" s="51">
        <v>1.007</v>
      </c>
      <c r="D6138" s="51">
        <v>63.0</v>
      </c>
      <c r="E6138" s="52" t="s">
        <v>25</v>
      </c>
      <c r="F6138" s="52" t="s">
        <v>26</v>
      </c>
      <c r="G6138" s="53"/>
    </row>
    <row r="6139">
      <c r="A6139" s="49">
        <v>44577.60782818287</v>
      </c>
      <c r="B6139" s="50">
        <v>44577.7327971296</v>
      </c>
      <c r="C6139" s="51">
        <v>1.007</v>
      </c>
      <c r="D6139" s="51">
        <v>63.0</v>
      </c>
      <c r="E6139" s="52" t="s">
        <v>25</v>
      </c>
      <c r="F6139" s="52" t="s">
        <v>26</v>
      </c>
      <c r="G6139" s="53"/>
    </row>
    <row r="6140">
      <c r="A6140" s="49">
        <v>44577.61823663194</v>
      </c>
      <c r="B6140" s="50">
        <v>44577.7432186226</v>
      </c>
      <c r="C6140" s="51">
        <v>1.007</v>
      </c>
      <c r="D6140" s="51">
        <v>63.0</v>
      </c>
      <c r="E6140" s="52" t="s">
        <v>25</v>
      </c>
      <c r="F6140" s="52" t="s">
        <v>26</v>
      </c>
      <c r="G6140" s="53"/>
    </row>
    <row r="6141">
      <c r="A6141" s="49">
        <v>44577.62866618056</v>
      </c>
      <c r="B6141" s="50">
        <v>44577.7536399421</v>
      </c>
      <c r="C6141" s="51">
        <v>1.007</v>
      </c>
      <c r="D6141" s="51">
        <v>63.0</v>
      </c>
      <c r="E6141" s="52" t="s">
        <v>25</v>
      </c>
      <c r="F6141" s="52" t="s">
        <v>26</v>
      </c>
      <c r="G6141" s="53"/>
    </row>
    <row r="6142">
      <c r="A6142" s="49">
        <v>44577.63910056713</v>
      </c>
      <c r="B6142" s="50">
        <v>44577.764073449</v>
      </c>
      <c r="C6142" s="51">
        <v>1.007</v>
      </c>
      <c r="D6142" s="51">
        <v>63.0</v>
      </c>
      <c r="E6142" s="52" t="s">
        <v>25</v>
      </c>
      <c r="F6142" s="52" t="s">
        <v>26</v>
      </c>
      <c r="G6142" s="53"/>
    </row>
    <row r="6143">
      <c r="A6143" s="49">
        <v>44577.64951855324</v>
      </c>
      <c r="B6143" s="50">
        <v>44577.7744926967</v>
      </c>
      <c r="C6143" s="51">
        <v>1.007</v>
      </c>
      <c r="D6143" s="51">
        <v>63.0</v>
      </c>
      <c r="E6143" s="52" t="s">
        <v>25</v>
      </c>
      <c r="F6143" s="52" t="s">
        <v>26</v>
      </c>
      <c r="G6143" s="53"/>
    </row>
    <row r="6144">
      <c r="A6144" s="49">
        <v>44577.65993793981</v>
      </c>
      <c r="B6144" s="50">
        <v>44577.7849129745</v>
      </c>
      <c r="C6144" s="51">
        <v>1.007</v>
      </c>
      <c r="D6144" s="51">
        <v>63.0</v>
      </c>
      <c r="E6144" s="52" t="s">
        <v>25</v>
      </c>
      <c r="F6144" s="52" t="s">
        <v>26</v>
      </c>
      <c r="G6144" s="53"/>
    </row>
    <row r="6145">
      <c r="A6145" s="49">
        <v>44577.67039540509</v>
      </c>
      <c r="B6145" s="50">
        <v>44577.7953689814</v>
      </c>
      <c r="C6145" s="51">
        <v>1.007</v>
      </c>
      <c r="D6145" s="51">
        <v>63.0</v>
      </c>
      <c r="E6145" s="52" t="s">
        <v>25</v>
      </c>
      <c r="F6145" s="52" t="s">
        <v>26</v>
      </c>
      <c r="G6145" s="53"/>
    </row>
    <row r="6146">
      <c r="A6146" s="49">
        <v>44577.68081690972</v>
      </c>
      <c r="B6146" s="50">
        <v>44577.8057897916</v>
      </c>
      <c r="C6146" s="51">
        <v>1.007</v>
      </c>
      <c r="D6146" s="51">
        <v>63.0</v>
      </c>
      <c r="E6146" s="52" t="s">
        <v>25</v>
      </c>
      <c r="F6146" s="52" t="s">
        <v>26</v>
      </c>
      <c r="G6146" s="53"/>
    </row>
    <row r="6147">
      <c r="A6147" s="49">
        <v>44577.69124883102</v>
      </c>
      <c r="B6147" s="50">
        <v>44577.8162224305</v>
      </c>
      <c r="C6147" s="51">
        <v>1.007</v>
      </c>
      <c r="D6147" s="51">
        <v>63.0</v>
      </c>
      <c r="E6147" s="52" t="s">
        <v>25</v>
      </c>
      <c r="F6147" s="52" t="s">
        <v>26</v>
      </c>
      <c r="G6147" s="53"/>
    </row>
    <row r="6148">
      <c r="A6148" s="49">
        <v>44577.701668078706</v>
      </c>
      <c r="B6148" s="50">
        <v>44577.8266427314</v>
      </c>
      <c r="C6148" s="51">
        <v>1.007</v>
      </c>
      <c r="D6148" s="51">
        <v>63.0</v>
      </c>
      <c r="E6148" s="52" t="s">
        <v>25</v>
      </c>
      <c r="F6148" s="52" t="s">
        <v>26</v>
      </c>
      <c r="G6148" s="53"/>
    </row>
    <row r="6149">
      <c r="A6149" s="49">
        <v>44577.71210552083</v>
      </c>
      <c r="B6149" s="50">
        <v>44577.8370754282</v>
      </c>
      <c r="C6149" s="51">
        <v>1.007</v>
      </c>
      <c r="D6149" s="51">
        <v>63.0</v>
      </c>
      <c r="E6149" s="52" t="s">
        <v>25</v>
      </c>
      <c r="F6149" s="52" t="s">
        <v>26</v>
      </c>
      <c r="G6149" s="53"/>
    </row>
    <row r="6150">
      <c r="A6150" s="49">
        <v>44577.72255736111</v>
      </c>
      <c r="B6150" s="50">
        <v>44577.8475289699</v>
      </c>
      <c r="C6150" s="51">
        <v>1.007</v>
      </c>
      <c r="D6150" s="51">
        <v>63.0</v>
      </c>
      <c r="E6150" s="52" t="s">
        <v>25</v>
      </c>
      <c r="F6150" s="52" t="s">
        <v>26</v>
      </c>
      <c r="G6150" s="53"/>
    </row>
    <row r="6151">
      <c r="A6151" s="49">
        <v>44577.732972349535</v>
      </c>
      <c r="B6151" s="50">
        <v>44577.8579493171</v>
      </c>
      <c r="C6151" s="51">
        <v>1.007</v>
      </c>
      <c r="D6151" s="51">
        <v>63.0</v>
      </c>
      <c r="E6151" s="52" t="s">
        <v>25</v>
      </c>
      <c r="F6151" s="52" t="s">
        <v>26</v>
      </c>
      <c r="G6151" s="53"/>
    </row>
    <row r="6152">
      <c r="A6152" s="49">
        <v>44577.74343206019</v>
      </c>
      <c r="B6152" s="50">
        <v>44577.8683803819</v>
      </c>
      <c r="C6152" s="51">
        <v>1.007</v>
      </c>
      <c r="D6152" s="51">
        <v>63.0</v>
      </c>
      <c r="E6152" s="52" t="s">
        <v>25</v>
      </c>
      <c r="F6152" s="52" t="s">
        <v>26</v>
      </c>
      <c r="G6152" s="53"/>
    </row>
    <row r="6153">
      <c r="A6153" s="49">
        <v>44577.75385104166</v>
      </c>
      <c r="B6153" s="50">
        <v>44577.8788133796</v>
      </c>
      <c r="C6153" s="51">
        <v>1.007</v>
      </c>
      <c r="D6153" s="51">
        <v>63.0</v>
      </c>
      <c r="E6153" s="52" t="s">
        <v>25</v>
      </c>
      <c r="F6153" s="52" t="s">
        <v>26</v>
      </c>
      <c r="G6153" s="53"/>
    </row>
    <row r="6154">
      <c r="A6154" s="49">
        <v>44577.76426935185</v>
      </c>
      <c r="B6154" s="50">
        <v>44577.8892336689</v>
      </c>
      <c r="C6154" s="51">
        <v>1.007</v>
      </c>
      <c r="D6154" s="51">
        <v>63.0</v>
      </c>
      <c r="E6154" s="52" t="s">
        <v>25</v>
      </c>
      <c r="F6154" s="52" t="s">
        <v>26</v>
      </c>
      <c r="G6154" s="53"/>
    </row>
    <row r="6155">
      <c r="A6155" s="49">
        <v>44577.774679571754</v>
      </c>
      <c r="B6155" s="50">
        <v>44577.8996542129</v>
      </c>
      <c r="C6155" s="51">
        <v>1.007</v>
      </c>
      <c r="D6155" s="51">
        <v>63.0</v>
      </c>
      <c r="E6155" s="52" t="s">
        <v>25</v>
      </c>
      <c r="F6155" s="52" t="s">
        <v>26</v>
      </c>
      <c r="G6155" s="53"/>
    </row>
    <row r="6156">
      <c r="A6156" s="49">
        <v>44577.785474930555</v>
      </c>
      <c r="B6156" s="50">
        <v>44577.9100885879</v>
      </c>
      <c r="C6156" s="51">
        <v>1.007</v>
      </c>
      <c r="D6156" s="51">
        <v>63.0</v>
      </c>
      <c r="E6156" s="52" t="s">
        <v>25</v>
      </c>
      <c r="F6156" s="52" t="s">
        <v>26</v>
      </c>
      <c r="G6156" s="53"/>
    </row>
    <row r="6157">
      <c r="A6157" s="49">
        <v>44577.79557918981</v>
      </c>
      <c r="B6157" s="50">
        <v>44577.9205215046</v>
      </c>
      <c r="C6157" s="51">
        <v>1.007</v>
      </c>
      <c r="D6157" s="51">
        <v>63.0</v>
      </c>
      <c r="E6157" s="52" t="s">
        <v>25</v>
      </c>
      <c r="F6157" s="52" t="s">
        <v>26</v>
      </c>
      <c r="G6157" s="53"/>
    </row>
    <row r="6158">
      <c r="A6158" s="49">
        <v>44577.80596990741</v>
      </c>
      <c r="B6158" s="50">
        <v>44577.9309421759</v>
      </c>
      <c r="C6158" s="51">
        <v>1.007</v>
      </c>
      <c r="D6158" s="51">
        <v>63.0</v>
      </c>
      <c r="E6158" s="52" t="s">
        <v>25</v>
      </c>
      <c r="F6158" s="52" t="s">
        <v>26</v>
      </c>
      <c r="G6158" s="53"/>
    </row>
    <row r="6159">
      <c r="A6159" s="49">
        <v>44577.816472384264</v>
      </c>
      <c r="B6159" s="50">
        <v>44577.9413640277</v>
      </c>
      <c r="C6159" s="51">
        <v>1.007</v>
      </c>
      <c r="D6159" s="51">
        <v>63.0</v>
      </c>
      <c r="E6159" s="52" t="s">
        <v>25</v>
      </c>
      <c r="F6159" s="52" t="s">
        <v>26</v>
      </c>
      <c r="G6159" s="53"/>
    </row>
    <row r="6160">
      <c r="A6160" s="49">
        <v>44577.826811666666</v>
      </c>
      <c r="B6160" s="50">
        <v>44577.9517854166</v>
      </c>
      <c r="C6160" s="51">
        <v>1.007</v>
      </c>
      <c r="D6160" s="51">
        <v>63.0</v>
      </c>
      <c r="E6160" s="52" t="s">
        <v>25</v>
      </c>
      <c r="F6160" s="52" t="s">
        <v>26</v>
      </c>
      <c r="G6160" s="53"/>
    </row>
    <row r="6161">
      <c r="A6161" s="49">
        <v>44577.83725512731</v>
      </c>
      <c r="B6161" s="50">
        <v>44577.9622178356</v>
      </c>
      <c r="C6161" s="51">
        <v>1.007</v>
      </c>
      <c r="D6161" s="51">
        <v>63.0</v>
      </c>
      <c r="E6161" s="52" t="s">
        <v>25</v>
      </c>
      <c r="F6161" s="52" t="s">
        <v>26</v>
      </c>
      <c r="G6161" s="53"/>
    </row>
    <row r="6162">
      <c r="A6162" s="49">
        <v>44577.847675937504</v>
      </c>
      <c r="B6162" s="50">
        <v>44577.9726393287</v>
      </c>
      <c r="C6162" s="51">
        <v>1.007</v>
      </c>
      <c r="D6162" s="51">
        <v>63.0</v>
      </c>
      <c r="E6162" s="52" t="s">
        <v>25</v>
      </c>
      <c r="F6162" s="52" t="s">
        <v>26</v>
      </c>
      <c r="G6162" s="53"/>
    </row>
    <row r="6163">
      <c r="A6163" s="49">
        <v>44577.85807778935</v>
      </c>
      <c r="B6163" s="50">
        <v>44577.983058912</v>
      </c>
      <c r="C6163" s="51">
        <v>1.007</v>
      </c>
      <c r="D6163" s="51">
        <v>63.0</v>
      </c>
      <c r="E6163" s="52" t="s">
        <v>25</v>
      </c>
      <c r="F6163" s="52" t="s">
        <v>26</v>
      </c>
      <c r="G6163" s="53"/>
    </row>
    <row r="6164">
      <c r="A6164" s="49">
        <v>44577.86851215278</v>
      </c>
      <c r="B6164" s="50">
        <v>44577.9934917824</v>
      </c>
      <c r="C6164" s="51">
        <v>1.006</v>
      </c>
      <c r="D6164" s="51">
        <v>63.0</v>
      </c>
      <c r="E6164" s="52" t="s">
        <v>25</v>
      </c>
      <c r="F6164" s="52" t="s">
        <v>26</v>
      </c>
      <c r="G6164" s="53"/>
    </row>
    <row r="6165">
      <c r="A6165" s="49">
        <v>44577.87896165509</v>
      </c>
      <c r="B6165" s="50">
        <v>44578.0039367476</v>
      </c>
      <c r="C6165" s="51">
        <v>1.007</v>
      </c>
      <c r="D6165" s="51">
        <v>63.0</v>
      </c>
      <c r="E6165" s="52" t="s">
        <v>25</v>
      </c>
      <c r="F6165" s="52" t="s">
        <v>26</v>
      </c>
      <c r="G6165" s="53"/>
    </row>
    <row r="6166">
      <c r="A6166" s="49">
        <v>44577.88943159722</v>
      </c>
      <c r="B6166" s="50">
        <v>44578.0144039814</v>
      </c>
      <c r="C6166" s="51">
        <v>1.007</v>
      </c>
      <c r="D6166" s="51">
        <v>63.0</v>
      </c>
      <c r="E6166" s="52" t="s">
        <v>25</v>
      </c>
      <c r="F6166" s="52" t="s">
        <v>26</v>
      </c>
      <c r="G6166" s="53"/>
    </row>
    <row r="6167">
      <c r="A6167" s="49">
        <v>44577.89987392361</v>
      </c>
      <c r="B6167" s="50">
        <v>44578.0248482175</v>
      </c>
      <c r="C6167" s="51">
        <v>1.007</v>
      </c>
      <c r="D6167" s="51">
        <v>63.0</v>
      </c>
      <c r="E6167" s="52" t="s">
        <v>25</v>
      </c>
      <c r="F6167" s="52" t="s">
        <v>26</v>
      </c>
      <c r="G6167" s="53"/>
    </row>
    <row r="6168">
      <c r="A6168" s="49">
        <v>44577.91029400463</v>
      </c>
      <c r="B6168" s="50">
        <v>44578.035270162</v>
      </c>
      <c r="C6168" s="51">
        <v>1.007</v>
      </c>
      <c r="D6168" s="51">
        <v>63.0</v>
      </c>
      <c r="E6168" s="52" t="s">
        <v>25</v>
      </c>
      <c r="F6168" s="52" t="s">
        <v>26</v>
      </c>
      <c r="G6168" s="53"/>
    </row>
    <row r="6169">
      <c r="A6169" s="49">
        <v>44577.92071142361</v>
      </c>
      <c r="B6169" s="50">
        <v>44578.045690081</v>
      </c>
      <c r="C6169" s="51">
        <v>1.006</v>
      </c>
      <c r="D6169" s="51">
        <v>63.0</v>
      </c>
      <c r="E6169" s="52" t="s">
        <v>25</v>
      </c>
      <c r="F6169" s="52" t="s">
        <v>26</v>
      </c>
      <c r="G6169" s="53"/>
    </row>
    <row r="6170">
      <c r="A6170" s="49">
        <v>44577.93114246528</v>
      </c>
      <c r="B6170" s="50">
        <v>44578.0561237731</v>
      </c>
      <c r="C6170" s="51">
        <v>1.007</v>
      </c>
      <c r="D6170" s="51">
        <v>63.0</v>
      </c>
      <c r="E6170" s="52" t="s">
        <v>25</v>
      </c>
      <c r="F6170" s="52" t="s">
        <v>26</v>
      </c>
      <c r="G6170" s="53"/>
    </row>
    <row r="6171">
      <c r="A6171" s="49">
        <v>44577.94157710648</v>
      </c>
      <c r="B6171" s="50">
        <v>44578.0665457407</v>
      </c>
      <c r="C6171" s="51">
        <v>1.007</v>
      </c>
      <c r="D6171" s="51">
        <v>63.0</v>
      </c>
      <c r="E6171" s="52" t="s">
        <v>25</v>
      </c>
      <c r="F6171" s="52" t="s">
        <v>26</v>
      </c>
      <c r="G6171" s="53"/>
    </row>
    <row r="6172">
      <c r="A6172" s="49">
        <v>44577.95201983796</v>
      </c>
      <c r="B6172" s="50">
        <v>44578.0769909259</v>
      </c>
      <c r="C6172" s="51">
        <v>1.007</v>
      </c>
      <c r="D6172" s="51">
        <v>63.0</v>
      </c>
      <c r="E6172" s="52" t="s">
        <v>25</v>
      </c>
      <c r="F6172" s="52" t="s">
        <v>26</v>
      </c>
      <c r="G6172" s="53"/>
    </row>
    <row r="6173">
      <c r="A6173" s="49">
        <v>44577.96245918982</v>
      </c>
      <c r="B6173" s="50">
        <v>44578.0874344328</v>
      </c>
      <c r="C6173" s="51">
        <v>1.007</v>
      </c>
      <c r="D6173" s="51">
        <v>63.0</v>
      </c>
      <c r="E6173" s="52" t="s">
        <v>25</v>
      </c>
      <c r="F6173" s="52" t="s">
        <v>26</v>
      </c>
      <c r="G6173" s="53"/>
    </row>
    <row r="6174">
      <c r="A6174" s="49">
        <v>44577.9729025</v>
      </c>
      <c r="B6174" s="50">
        <v>44578.0978774884</v>
      </c>
      <c r="C6174" s="51">
        <v>1.007</v>
      </c>
      <c r="D6174" s="51">
        <v>63.0</v>
      </c>
      <c r="E6174" s="52" t="s">
        <v>25</v>
      </c>
      <c r="F6174" s="52" t="s">
        <v>26</v>
      </c>
      <c r="G6174" s="53"/>
    </row>
    <row r="6175">
      <c r="A6175" s="49">
        <v>44577.983333275464</v>
      </c>
      <c r="B6175" s="50">
        <v>44578.1083093402</v>
      </c>
      <c r="C6175" s="51">
        <v>1.007</v>
      </c>
      <c r="D6175" s="51">
        <v>63.0</v>
      </c>
      <c r="E6175" s="52" t="s">
        <v>25</v>
      </c>
      <c r="F6175" s="52" t="s">
        <v>26</v>
      </c>
      <c r="G6175" s="53"/>
    </row>
    <row r="6176">
      <c r="A6176" s="49">
        <v>44577.99376275463</v>
      </c>
      <c r="B6176" s="50">
        <v>44578.1187327662</v>
      </c>
      <c r="C6176" s="51">
        <v>1.007</v>
      </c>
      <c r="D6176" s="51">
        <v>63.0</v>
      </c>
      <c r="E6176" s="52" t="s">
        <v>25</v>
      </c>
      <c r="F6176" s="52" t="s">
        <v>26</v>
      </c>
      <c r="G6176" s="53"/>
    </row>
    <row r="6177">
      <c r="A6177" s="49">
        <v>44578.00419368056</v>
      </c>
      <c r="B6177" s="50">
        <v>44578.1291661574</v>
      </c>
      <c r="C6177" s="51">
        <v>1.007</v>
      </c>
      <c r="D6177" s="51">
        <v>64.0</v>
      </c>
      <c r="E6177" s="52" t="s">
        <v>25</v>
      </c>
      <c r="F6177" s="52" t="s">
        <v>26</v>
      </c>
      <c r="G6177" s="53"/>
    </row>
    <row r="6178">
      <c r="A6178" s="49">
        <v>44578.01462740741</v>
      </c>
      <c r="B6178" s="50">
        <v>44578.1395876967</v>
      </c>
      <c r="C6178" s="51">
        <v>1.007</v>
      </c>
      <c r="D6178" s="51">
        <v>64.0</v>
      </c>
      <c r="E6178" s="52" t="s">
        <v>25</v>
      </c>
      <c r="F6178" s="52" t="s">
        <v>26</v>
      </c>
      <c r="G6178" s="53"/>
    </row>
    <row r="6179">
      <c r="A6179" s="49">
        <v>44578.02504315972</v>
      </c>
      <c r="B6179" s="50">
        <v>44578.1500214004</v>
      </c>
      <c r="C6179" s="51">
        <v>1.007</v>
      </c>
      <c r="D6179" s="51">
        <v>64.0</v>
      </c>
      <c r="E6179" s="52" t="s">
        <v>25</v>
      </c>
      <c r="F6179" s="52" t="s">
        <v>26</v>
      </c>
      <c r="G6179" s="53"/>
    </row>
    <row r="6180">
      <c r="A6180" s="49">
        <v>44578.03556751157</v>
      </c>
      <c r="B6180" s="50">
        <v>44578.1604548842</v>
      </c>
      <c r="C6180" s="51">
        <v>1.007</v>
      </c>
      <c r="D6180" s="51">
        <v>65.0</v>
      </c>
      <c r="E6180" s="52" t="s">
        <v>25</v>
      </c>
      <c r="F6180" s="52" t="s">
        <v>26</v>
      </c>
      <c r="G6180" s="53"/>
    </row>
    <row r="6181">
      <c r="A6181" s="49">
        <v>44578.04590162037</v>
      </c>
      <c r="B6181" s="50">
        <v>44578.1708762962</v>
      </c>
      <c r="C6181" s="51">
        <v>1.006</v>
      </c>
      <c r="D6181" s="51">
        <v>65.0</v>
      </c>
      <c r="E6181" s="52" t="s">
        <v>25</v>
      </c>
      <c r="F6181" s="52" t="s">
        <v>26</v>
      </c>
      <c r="G6181" s="53"/>
    </row>
    <row r="6182">
      <c r="A6182" s="49">
        <v>44578.056329583334</v>
      </c>
      <c r="B6182" s="50">
        <v>44578.1813095254</v>
      </c>
      <c r="C6182" s="51">
        <v>1.007</v>
      </c>
      <c r="D6182" s="51">
        <v>66.0</v>
      </c>
      <c r="E6182" s="52" t="s">
        <v>25</v>
      </c>
      <c r="F6182" s="52" t="s">
        <v>26</v>
      </c>
      <c r="G6182" s="53"/>
    </row>
    <row r="6183">
      <c r="A6183" s="49">
        <v>44578.06676731481</v>
      </c>
      <c r="B6183" s="50">
        <v>44578.1917433796</v>
      </c>
      <c r="C6183" s="51">
        <v>1.007</v>
      </c>
      <c r="D6183" s="51">
        <v>66.0</v>
      </c>
      <c r="E6183" s="52" t="s">
        <v>25</v>
      </c>
      <c r="F6183" s="52" t="s">
        <v>26</v>
      </c>
      <c r="G6183" s="53"/>
    </row>
    <row r="6184">
      <c r="A6184" s="49">
        <v>44578.07719302083</v>
      </c>
      <c r="B6184" s="50">
        <v>44578.202164074</v>
      </c>
      <c r="C6184" s="51">
        <v>1.006</v>
      </c>
      <c r="D6184" s="51">
        <v>67.0</v>
      </c>
      <c r="E6184" s="52" t="s">
        <v>25</v>
      </c>
      <c r="F6184" s="52" t="s">
        <v>26</v>
      </c>
      <c r="G6184" s="53"/>
    </row>
    <row r="6185">
      <c r="A6185" s="49">
        <v>44578.087609282404</v>
      </c>
      <c r="B6185" s="50">
        <v>44578.2125841898</v>
      </c>
      <c r="C6185" s="51">
        <v>1.006</v>
      </c>
      <c r="D6185" s="51">
        <v>67.0</v>
      </c>
      <c r="E6185" s="52" t="s">
        <v>25</v>
      </c>
      <c r="F6185" s="52" t="s">
        <v>26</v>
      </c>
      <c r="G6185" s="53"/>
    </row>
    <row r="6186">
      <c r="A6186" s="49">
        <v>44578.09802643518</v>
      </c>
      <c r="B6186" s="50">
        <v>44578.2230044097</v>
      </c>
      <c r="C6186" s="51">
        <v>1.006</v>
      </c>
      <c r="D6186" s="51">
        <v>68.0</v>
      </c>
      <c r="E6186" s="52" t="s">
        <v>25</v>
      </c>
      <c r="F6186" s="52" t="s">
        <v>26</v>
      </c>
      <c r="G6186" s="53"/>
    </row>
    <row r="6187">
      <c r="A6187" s="49">
        <v>44578.10847293981</v>
      </c>
      <c r="B6187" s="50">
        <v>44578.2334382175</v>
      </c>
      <c r="C6187" s="51">
        <v>1.006</v>
      </c>
      <c r="D6187" s="51">
        <v>68.0</v>
      </c>
      <c r="E6187" s="52" t="s">
        <v>25</v>
      </c>
      <c r="F6187" s="52" t="s">
        <v>26</v>
      </c>
      <c r="G6187" s="53"/>
    </row>
    <row r="6188">
      <c r="A6188" s="49">
        <v>44578.11888126157</v>
      </c>
      <c r="B6188" s="50">
        <v>44578.2438588657</v>
      </c>
      <c r="C6188" s="51">
        <v>1.006</v>
      </c>
      <c r="D6188" s="51">
        <v>68.0</v>
      </c>
      <c r="E6188" s="52" t="s">
        <v>25</v>
      </c>
      <c r="F6188" s="52" t="s">
        <v>26</v>
      </c>
      <c r="G6188" s="53"/>
    </row>
    <row r="6189">
      <c r="A6189" s="49">
        <v>44578.12933260416</v>
      </c>
      <c r="B6189" s="50">
        <v>44578.2542917361</v>
      </c>
      <c r="C6189" s="51">
        <v>1.006</v>
      </c>
      <c r="D6189" s="51">
        <v>68.0</v>
      </c>
      <c r="E6189" s="52" t="s">
        <v>25</v>
      </c>
      <c r="F6189" s="52" t="s">
        <v>26</v>
      </c>
      <c r="G6189" s="53"/>
    </row>
    <row r="6190">
      <c r="A6190" s="49">
        <v>44578.13973653935</v>
      </c>
      <c r="B6190" s="50">
        <v>44578.2647128356</v>
      </c>
      <c r="C6190" s="51">
        <v>1.006</v>
      </c>
      <c r="D6190" s="51">
        <v>68.0</v>
      </c>
      <c r="E6190" s="52" t="s">
        <v>25</v>
      </c>
      <c r="F6190" s="52" t="s">
        <v>26</v>
      </c>
      <c r="G6190" s="53"/>
    </row>
    <row r="6191">
      <c r="A6191" s="49">
        <v>44578.15015634259</v>
      </c>
      <c r="B6191" s="50">
        <v>44578.2751343518</v>
      </c>
      <c r="C6191" s="51">
        <v>1.007</v>
      </c>
      <c r="D6191" s="51">
        <v>68.0</v>
      </c>
      <c r="E6191" s="52" t="s">
        <v>25</v>
      </c>
      <c r="F6191" s="52" t="s">
        <v>26</v>
      </c>
      <c r="G6191" s="53"/>
    </row>
    <row r="6192">
      <c r="A6192" s="49">
        <v>44578.16060553241</v>
      </c>
      <c r="B6192" s="50">
        <v>44578.2855773842</v>
      </c>
      <c r="C6192" s="51">
        <v>1.006</v>
      </c>
      <c r="D6192" s="51">
        <v>68.0</v>
      </c>
      <c r="E6192" s="52" t="s">
        <v>25</v>
      </c>
      <c r="F6192" s="52" t="s">
        <v>26</v>
      </c>
      <c r="G6192" s="53"/>
    </row>
    <row r="6193">
      <c r="A6193" s="49">
        <v>44578.1710480787</v>
      </c>
      <c r="B6193" s="50">
        <v>44578.2960222106</v>
      </c>
      <c r="C6193" s="51">
        <v>1.006</v>
      </c>
      <c r="D6193" s="51">
        <v>68.0</v>
      </c>
      <c r="E6193" s="52" t="s">
        <v>25</v>
      </c>
      <c r="F6193" s="52" t="s">
        <v>26</v>
      </c>
      <c r="G6193" s="53"/>
    </row>
    <row r="6194">
      <c r="A6194" s="49">
        <v>44578.18147600694</v>
      </c>
      <c r="B6194" s="50">
        <v>44578.3064430902</v>
      </c>
      <c r="C6194" s="51">
        <v>1.006</v>
      </c>
      <c r="D6194" s="51">
        <v>68.0</v>
      </c>
      <c r="E6194" s="52" t="s">
        <v>25</v>
      </c>
      <c r="F6194" s="52" t="s">
        <v>26</v>
      </c>
      <c r="G6194" s="53"/>
    </row>
    <row r="6195">
      <c r="A6195" s="49">
        <v>44578.19189609954</v>
      </c>
      <c r="B6195" s="50">
        <v>44578.3168665972</v>
      </c>
      <c r="C6195" s="51">
        <v>1.006</v>
      </c>
      <c r="D6195" s="51">
        <v>67.0</v>
      </c>
      <c r="E6195" s="52" t="s">
        <v>25</v>
      </c>
      <c r="F6195" s="52" t="s">
        <v>26</v>
      </c>
      <c r="G6195" s="53"/>
    </row>
    <row r="6196">
      <c r="A6196" s="49">
        <v>44578.202311747686</v>
      </c>
      <c r="B6196" s="50">
        <v>44578.3272874537</v>
      </c>
      <c r="C6196" s="51">
        <v>1.006</v>
      </c>
      <c r="D6196" s="51">
        <v>67.0</v>
      </c>
      <c r="E6196" s="52" t="s">
        <v>25</v>
      </c>
      <c r="F6196" s="52" t="s">
        <v>26</v>
      </c>
      <c r="G6196" s="53"/>
    </row>
    <row r="6197">
      <c r="A6197" s="49">
        <v>44578.21273924768</v>
      </c>
      <c r="B6197" s="50">
        <v>44578.3377201273</v>
      </c>
      <c r="C6197" s="51">
        <v>1.006</v>
      </c>
      <c r="D6197" s="51">
        <v>67.0</v>
      </c>
      <c r="E6197" s="52" t="s">
        <v>25</v>
      </c>
      <c r="F6197" s="52" t="s">
        <v>26</v>
      </c>
      <c r="G6197" s="53"/>
    </row>
    <row r="6198">
      <c r="A6198" s="49">
        <v>44578.223159120374</v>
      </c>
      <c r="B6198" s="50">
        <v>44578.3481403935</v>
      </c>
      <c r="C6198" s="51">
        <v>1.006</v>
      </c>
      <c r="D6198" s="51">
        <v>67.0</v>
      </c>
      <c r="E6198" s="52" t="s">
        <v>25</v>
      </c>
      <c r="F6198" s="52" t="s">
        <v>26</v>
      </c>
      <c r="G6198" s="53"/>
    </row>
    <row r="6199">
      <c r="A6199" s="49">
        <v>44578.233599328705</v>
      </c>
      <c r="B6199" s="50">
        <v>44578.3585729513</v>
      </c>
      <c r="C6199" s="51">
        <v>1.006</v>
      </c>
      <c r="D6199" s="51">
        <v>67.0</v>
      </c>
      <c r="E6199" s="52" t="s">
        <v>25</v>
      </c>
      <c r="F6199" s="52" t="s">
        <v>26</v>
      </c>
      <c r="G6199" s="53"/>
    </row>
    <row r="6200">
      <c r="A6200" s="49">
        <v>44578.24404369213</v>
      </c>
      <c r="B6200" s="50">
        <v>44578.369018368</v>
      </c>
      <c r="C6200" s="51">
        <v>1.006</v>
      </c>
      <c r="D6200" s="51">
        <v>67.0</v>
      </c>
      <c r="E6200" s="52" t="s">
        <v>25</v>
      </c>
      <c r="F6200" s="52" t="s">
        <v>26</v>
      </c>
      <c r="G6200" s="53"/>
    </row>
    <row r="6201">
      <c r="A6201" s="49">
        <v>44578.25484918982</v>
      </c>
      <c r="B6201" s="50">
        <v>44578.3794406481</v>
      </c>
      <c r="C6201" s="51">
        <v>1.006</v>
      </c>
      <c r="D6201" s="51">
        <v>67.0</v>
      </c>
      <c r="E6201" s="52" t="s">
        <v>25</v>
      </c>
      <c r="F6201" s="52" t="s">
        <v>26</v>
      </c>
      <c r="G6201" s="53"/>
    </row>
    <row r="6202">
      <c r="A6202" s="49">
        <v>44578.26489090278</v>
      </c>
      <c r="B6202" s="50">
        <v>44578.3898608912</v>
      </c>
      <c r="C6202" s="51">
        <v>1.006</v>
      </c>
      <c r="D6202" s="51">
        <v>67.0</v>
      </c>
      <c r="E6202" s="52" t="s">
        <v>25</v>
      </c>
      <c r="F6202" s="52" t="s">
        <v>26</v>
      </c>
      <c r="G6202" s="53"/>
    </row>
    <row r="6203">
      <c r="A6203" s="49">
        <v>44578.27535655093</v>
      </c>
      <c r="B6203" s="50">
        <v>44578.4003293865</v>
      </c>
      <c r="C6203" s="51">
        <v>1.006</v>
      </c>
      <c r="D6203" s="51">
        <v>67.0</v>
      </c>
      <c r="E6203" s="52" t="s">
        <v>25</v>
      </c>
      <c r="F6203" s="52" t="s">
        <v>26</v>
      </c>
      <c r="G6203" s="53"/>
    </row>
    <row r="6204">
      <c r="A6204" s="49">
        <v>44578.28579892361</v>
      </c>
      <c r="B6204" s="50">
        <v>44578.4107728935</v>
      </c>
      <c r="C6204" s="51">
        <v>1.006</v>
      </c>
      <c r="D6204" s="51">
        <v>67.0</v>
      </c>
      <c r="E6204" s="52" t="s">
        <v>25</v>
      </c>
      <c r="F6204" s="52" t="s">
        <v>26</v>
      </c>
      <c r="G6204" s="53"/>
    </row>
    <row r="6205">
      <c r="A6205" s="49">
        <v>44578.29622263889</v>
      </c>
      <c r="B6205" s="50">
        <v>44578.4211946643</v>
      </c>
      <c r="C6205" s="51">
        <v>1.006</v>
      </c>
      <c r="D6205" s="51">
        <v>67.0</v>
      </c>
      <c r="E6205" s="52" t="s">
        <v>25</v>
      </c>
      <c r="F6205" s="52" t="s">
        <v>26</v>
      </c>
      <c r="G6205" s="53"/>
    </row>
    <row r="6206">
      <c r="A6206" s="49">
        <v>44578.306658622685</v>
      </c>
      <c r="B6206" s="50">
        <v>44578.4316265972</v>
      </c>
      <c r="C6206" s="51">
        <v>1.006</v>
      </c>
      <c r="D6206" s="51">
        <v>67.0</v>
      </c>
      <c r="E6206" s="52" t="s">
        <v>25</v>
      </c>
      <c r="F6206" s="52" t="s">
        <v>26</v>
      </c>
      <c r="G6206" s="53"/>
    </row>
    <row r="6207">
      <c r="A6207" s="49">
        <v>44578.31709855324</v>
      </c>
      <c r="B6207" s="50">
        <v>44578.4420691087</v>
      </c>
      <c r="C6207" s="51">
        <v>1.006</v>
      </c>
      <c r="D6207" s="51">
        <v>67.0</v>
      </c>
      <c r="E6207" s="52" t="s">
        <v>25</v>
      </c>
      <c r="F6207" s="52" t="s">
        <v>26</v>
      </c>
      <c r="G6207" s="53"/>
    </row>
    <row r="6208">
      <c r="A6208" s="49">
        <v>44578.32751563657</v>
      </c>
      <c r="B6208" s="50">
        <v>44578.4524911226</v>
      </c>
      <c r="C6208" s="51">
        <v>1.007</v>
      </c>
      <c r="D6208" s="51">
        <v>67.0</v>
      </c>
      <c r="E6208" s="52" t="s">
        <v>25</v>
      </c>
      <c r="F6208" s="52" t="s">
        <v>26</v>
      </c>
      <c r="G6208" s="53"/>
    </row>
    <row r="6209">
      <c r="A6209" s="49">
        <v>44578.33796959491</v>
      </c>
      <c r="B6209" s="50">
        <v>44578.4629226851</v>
      </c>
      <c r="C6209" s="51">
        <v>1.006</v>
      </c>
      <c r="D6209" s="51">
        <v>67.0</v>
      </c>
      <c r="E6209" s="52" t="s">
        <v>25</v>
      </c>
      <c r="F6209" s="52" t="s">
        <v>26</v>
      </c>
      <c r="G6209" s="53"/>
    </row>
    <row r="6210">
      <c r="A6210" s="49">
        <v>44578.34837504629</v>
      </c>
      <c r="B6210" s="50">
        <v>44578.4733443518</v>
      </c>
      <c r="C6210" s="51">
        <v>1.006</v>
      </c>
      <c r="D6210" s="51">
        <v>67.0</v>
      </c>
      <c r="E6210" s="52" t="s">
        <v>25</v>
      </c>
      <c r="F6210" s="52" t="s">
        <v>26</v>
      </c>
      <c r="G6210" s="53"/>
    </row>
    <row r="6211">
      <c r="A6211" s="49">
        <v>44578.35879613426</v>
      </c>
      <c r="B6211" s="50">
        <v>44578.4837659259</v>
      </c>
      <c r="C6211" s="51">
        <v>1.006</v>
      </c>
      <c r="D6211" s="51">
        <v>67.0</v>
      </c>
      <c r="E6211" s="52" t="s">
        <v>25</v>
      </c>
      <c r="F6211" s="52" t="s">
        <v>26</v>
      </c>
      <c r="G6211" s="53"/>
    </row>
    <row r="6212">
      <c r="A6212" s="49">
        <v>44578.36923232639</v>
      </c>
      <c r="B6212" s="50">
        <v>44578.4942112847</v>
      </c>
      <c r="C6212" s="51">
        <v>1.006</v>
      </c>
      <c r="D6212" s="51">
        <v>67.0</v>
      </c>
      <c r="E6212" s="52" t="s">
        <v>25</v>
      </c>
      <c r="F6212" s="52" t="s">
        <v>26</v>
      </c>
      <c r="G6212" s="53"/>
    </row>
    <row r="6213">
      <c r="A6213" s="49">
        <v>44578.37967219907</v>
      </c>
      <c r="B6213" s="50">
        <v>44578.5046548726</v>
      </c>
      <c r="C6213" s="51">
        <v>1.006</v>
      </c>
      <c r="D6213" s="51">
        <v>67.0</v>
      </c>
      <c r="E6213" s="52" t="s">
        <v>25</v>
      </c>
      <c r="F6213" s="52" t="s">
        <v>26</v>
      </c>
      <c r="G6213" s="53"/>
    </row>
    <row r="6214">
      <c r="A6214" s="49">
        <v>44578.39012703704</v>
      </c>
      <c r="B6214" s="50">
        <v>44578.5150879629</v>
      </c>
      <c r="C6214" s="51">
        <v>1.006</v>
      </c>
      <c r="D6214" s="51">
        <v>67.0</v>
      </c>
      <c r="E6214" s="52" t="s">
        <v>25</v>
      </c>
      <c r="F6214" s="52" t="s">
        <v>26</v>
      </c>
      <c r="G6214" s="53"/>
    </row>
    <row r="6215">
      <c r="A6215" s="49">
        <v>44578.400556747685</v>
      </c>
      <c r="B6215" s="50">
        <v>44578.5255328009</v>
      </c>
      <c r="C6215" s="51">
        <v>1.006</v>
      </c>
      <c r="D6215" s="51">
        <v>67.0</v>
      </c>
      <c r="E6215" s="52" t="s">
        <v>25</v>
      </c>
      <c r="F6215" s="52" t="s">
        <v>26</v>
      </c>
      <c r="G6215" s="53"/>
    </row>
    <row r="6216">
      <c r="A6216" s="49">
        <v>44578.4109804051</v>
      </c>
      <c r="B6216" s="50">
        <v>44578.5359551851</v>
      </c>
      <c r="C6216" s="51">
        <v>1.007</v>
      </c>
      <c r="D6216" s="51">
        <v>67.0</v>
      </c>
      <c r="E6216" s="52" t="s">
        <v>25</v>
      </c>
      <c r="F6216" s="52" t="s">
        <v>26</v>
      </c>
      <c r="G6216" s="53"/>
    </row>
    <row r="6217">
      <c r="A6217" s="49">
        <v>44578.421405960646</v>
      </c>
      <c r="B6217" s="50">
        <v>44578.5463785995</v>
      </c>
      <c r="C6217" s="51">
        <v>1.006</v>
      </c>
      <c r="D6217" s="51">
        <v>67.0</v>
      </c>
      <c r="E6217" s="52" t="s">
        <v>25</v>
      </c>
      <c r="F6217" s="52" t="s">
        <v>26</v>
      </c>
      <c r="G6217" s="53"/>
    </row>
    <row r="6218">
      <c r="A6218" s="49">
        <v>44578.43187310185</v>
      </c>
      <c r="B6218" s="50">
        <v>44578.5568467824</v>
      </c>
      <c r="C6218" s="51">
        <v>1.006</v>
      </c>
      <c r="D6218" s="51">
        <v>67.0</v>
      </c>
      <c r="E6218" s="52" t="s">
        <v>25</v>
      </c>
      <c r="F6218" s="52" t="s">
        <v>26</v>
      </c>
      <c r="G6218" s="53"/>
    </row>
    <row r="6219">
      <c r="A6219" s="49">
        <v>44578.44229712963</v>
      </c>
      <c r="B6219" s="50">
        <v>44578.5672682523</v>
      </c>
      <c r="C6219" s="51">
        <v>1.006</v>
      </c>
      <c r="D6219" s="51">
        <v>67.0</v>
      </c>
      <c r="E6219" s="52" t="s">
        <v>25</v>
      </c>
      <c r="F6219" s="52" t="s">
        <v>26</v>
      </c>
      <c r="G6219" s="53"/>
    </row>
    <row r="6220">
      <c r="A6220" s="49">
        <v>44578.452735439816</v>
      </c>
      <c r="B6220" s="50">
        <v>44578.5777116435</v>
      </c>
      <c r="C6220" s="51">
        <v>1.007</v>
      </c>
      <c r="D6220" s="51">
        <v>67.0</v>
      </c>
      <c r="E6220" s="52" t="s">
        <v>25</v>
      </c>
      <c r="F6220" s="52" t="s">
        <v>26</v>
      </c>
      <c r="G6220" s="53"/>
    </row>
    <row r="6221">
      <c r="A6221" s="49">
        <v>44578.463179502316</v>
      </c>
      <c r="B6221" s="50">
        <v>44578.5881557291</v>
      </c>
      <c r="C6221" s="51">
        <v>1.006</v>
      </c>
      <c r="D6221" s="51">
        <v>67.0</v>
      </c>
      <c r="E6221" s="52" t="s">
        <v>25</v>
      </c>
      <c r="F6221" s="52" t="s">
        <v>26</v>
      </c>
      <c r="G6221" s="53"/>
    </row>
    <row r="6222">
      <c r="A6222" s="49">
        <v>44578.47366162037</v>
      </c>
      <c r="B6222" s="50">
        <v>44578.598588993</v>
      </c>
      <c r="C6222" s="51">
        <v>1.007</v>
      </c>
      <c r="D6222" s="51">
        <v>66.0</v>
      </c>
      <c r="E6222" s="52" t="s">
        <v>25</v>
      </c>
      <c r="F6222" s="52" t="s">
        <v>26</v>
      </c>
      <c r="G6222" s="53"/>
    </row>
    <row r="6223">
      <c r="A6223" s="49">
        <v>44578.48407853009</v>
      </c>
      <c r="B6223" s="50">
        <v>44578.6090107291</v>
      </c>
      <c r="C6223" s="51">
        <v>1.006</v>
      </c>
      <c r="D6223" s="51">
        <v>66.0</v>
      </c>
      <c r="E6223" s="52" t="s">
        <v>25</v>
      </c>
      <c r="F6223" s="52" t="s">
        <v>26</v>
      </c>
      <c r="G6223" s="53"/>
    </row>
    <row r="6224">
      <c r="A6224" s="49">
        <v>44578.49450335648</v>
      </c>
      <c r="B6224" s="50">
        <v>44578.6194418518</v>
      </c>
      <c r="C6224" s="51">
        <v>1.007</v>
      </c>
      <c r="D6224" s="51">
        <v>66.0</v>
      </c>
      <c r="E6224" s="52" t="s">
        <v>25</v>
      </c>
      <c r="F6224" s="52" t="s">
        <v>26</v>
      </c>
      <c r="G6224" s="53"/>
    </row>
    <row r="6225">
      <c r="A6225" s="49">
        <v>44578.50488462963</v>
      </c>
      <c r="B6225" s="50">
        <v>44578.6298632175</v>
      </c>
      <c r="C6225" s="51">
        <v>1.006</v>
      </c>
      <c r="D6225" s="51">
        <v>66.0</v>
      </c>
      <c r="E6225" s="52" t="s">
        <v>25</v>
      </c>
      <c r="F6225" s="52" t="s">
        <v>26</v>
      </c>
      <c r="G6225" s="53"/>
    </row>
    <row r="6226">
      <c r="A6226" s="49">
        <v>44578.515305312496</v>
      </c>
      <c r="B6226" s="50">
        <v>44578.6402838078</v>
      </c>
      <c r="C6226" s="51">
        <v>1.006</v>
      </c>
      <c r="D6226" s="51">
        <v>66.0</v>
      </c>
      <c r="E6226" s="52" t="s">
        <v>25</v>
      </c>
      <c r="F6226" s="52" t="s">
        <v>26</v>
      </c>
      <c r="G6226" s="53"/>
    </row>
    <row r="6227">
      <c r="A6227" s="49">
        <v>44578.525736006944</v>
      </c>
      <c r="B6227" s="50">
        <v>44578.6507052083</v>
      </c>
      <c r="C6227" s="51">
        <v>1.006</v>
      </c>
      <c r="D6227" s="51">
        <v>66.0</v>
      </c>
      <c r="E6227" s="52" t="s">
        <v>25</v>
      </c>
      <c r="F6227" s="52" t="s">
        <v>26</v>
      </c>
      <c r="G6227" s="53"/>
    </row>
    <row r="6228">
      <c r="A6228" s="49">
        <v>44578.53615623842</v>
      </c>
      <c r="B6228" s="50">
        <v>44578.6611256828</v>
      </c>
      <c r="C6228" s="51">
        <v>1.006</v>
      </c>
      <c r="D6228" s="51">
        <v>66.0</v>
      </c>
      <c r="E6228" s="52" t="s">
        <v>25</v>
      </c>
      <c r="F6228" s="52" t="s">
        <v>26</v>
      </c>
      <c r="G6228" s="53"/>
    </row>
    <row r="6229">
      <c r="A6229" s="49">
        <v>44578.54657638889</v>
      </c>
      <c r="B6229" s="50">
        <v>44578.6715470254</v>
      </c>
      <c r="C6229" s="51">
        <v>1.006</v>
      </c>
      <c r="D6229" s="51">
        <v>66.0</v>
      </c>
      <c r="E6229" s="52" t="s">
        <v>25</v>
      </c>
      <c r="F6229" s="52" t="s">
        <v>26</v>
      </c>
      <c r="G6229" s="53"/>
    </row>
    <row r="6230">
      <c r="A6230" s="49">
        <v>44578.55699556713</v>
      </c>
      <c r="B6230" s="50">
        <v>44578.6819699652</v>
      </c>
      <c r="C6230" s="51">
        <v>1.007</v>
      </c>
      <c r="D6230" s="51">
        <v>66.0</v>
      </c>
      <c r="E6230" s="52" t="s">
        <v>25</v>
      </c>
      <c r="F6230" s="52" t="s">
        <v>26</v>
      </c>
      <c r="G6230" s="53"/>
    </row>
    <row r="6231">
      <c r="A6231" s="49">
        <v>44578.56741311343</v>
      </c>
      <c r="B6231" s="50">
        <v>44578.6923910995</v>
      </c>
      <c r="C6231" s="51">
        <v>1.006</v>
      </c>
      <c r="D6231" s="51">
        <v>66.0</v>
      </c>
      <c r="E6231" s="52" t="s">
        <v>25</v>
      </c>
      <c r="F6231" s="52" t="s">
        <v>26</v>
      </c>
      <c r="G6231" s="53"/>
    </row>
    <row r="6232">
      <c r="A6232" s="49">
        <v>44578.577832511575</v>
      </c>
      <c r="B6232" s="50">
        <v>44578.7028124652</v>
      </c>
      <c r="C6232" s="51">
        <v>1.007</v>
      </c>
      <c r="D6232" s="51">
        <v>66.0</v>
      </c>
      <c r="E6232" s="52" t="s">
        <v>25</v>
      </c>
      <c r="F6232" s="52" t="s">
        <v>26</v>
      </c>
      <c r="G6232" s="53"/>
    </row>
    <row r="6233">
      <c r="A6233" s="49">
        <v>44578.58827969908</v>
      </c>
      <c r="B6233" s="50">
        <v>44578.7132468634</v>
      </c>
      <c r="C6233" s="51">
        <v>1.006</v>
      </c>
      <c r="D6233" s="51">
        <v>66.0</v>
      </c>
      <c r="E6233" s="52" t="s">
        <v>25</v>
      </c>
      <c r="F6233" s="52" t="s">
        <v>26</v>
      </c>
      <c r="G6233" s="53"/>
    </row>
    <row r="6234">
      <c r="A6234" s="49">
        <v>44578.59869467592</v>
      </c>
      <c r="B6234" s="50">
        <v>44578.7236677546</v>
      </c>
      <c r="C6234" s="51">
        <v>1.007</v>
      </c>
      <c r="D6234" s="51">
        <v>66.0</v>
      </c>
      <c r="E6234" s="52" t="s">
        <v>25</v>
      </c>
      <c r="F6234" s="52" t="s">
        <v>26</v>
      </c>
      <c r="G6234" s="53"/>
    </row>
    <row r="6235">
      <c r="A6235" s="49">
        <v>44578.60912231481</v>
      </c>
      <c r="B6235" s="50">
        <v>44578.7340988888</v>
      </c>
      <c r="C6235" s="51">
        <v>1.006</v>
      </c>
      <c r="D6235" s="51">
        <v>66.0</v>
      </c>
      <c r="E6235" s="52" t="s">
        <v>25</v>
      </c>
      <c r="F6235" s="52" t="s">
        <v>26</v>
      </c>
      <c r="G6235" s="53"/>
    </row>
    <row r="6236">
      <c r="A6236" s="49">
        <v>44578.61956697916</v>
      </c>
      <c r="B6236" s="50">
        <v>44578.7445434143</v>
      </c>
      <c r="C6236" s="51">
        <v>1.007</v>
      </c>
      <c r="D6236" s="51">
        <v>66.0</v>
      </c>
      <c r="E6236" s="52" t="s">
        <v>25</v>
      </c>
      <c r="F6236" s="52" t="s">
        <v>26</v>
      </c>
      <c r="G6236" s="53"/>
    </row>
    <row r="6237">
      <c r="A6237" s="49">
        <v>44578.62999336806</v>
      </c>
      <c r="B6237" s="50">
        <v>44578.7549646643</v>
      </c>
      <c r="C6237" s="51">
        <v>1.006</v>
      </c>
      <c r="D6237" s="51">
        <v>66.0</v>
      </c>
      <c r="E6237" s="52" t="s">
        <v>25</v>
      </c>
      <c r="F6237" s="52" t="s">
        <v>26</v>
      </c>
      <c r="G6237" s="53"/>
    </row>
    <row r="6238">
      <c r="A6238" s="49">
        <v>44578.64041612268</v>
      </c>
      <c r="B6238" s="50">
        <v>44578.7653842245</v>
      </c>
      <c r="C6238" s="51">
        <v>1.007</v>
      </c>
      <c r="D6238" s="51">
        <v>66.0</v>
      </c>
      <c r="E6238" s="52" t="s">
        <v>25</v>
      </c>
      <c r="F6238" s="52" t="s">
        <v>26</v>
      </c>
      <c r="G6238" s="53"/>
    </row>
    <row r="6239">
      <c r="A6239" s="49">
        <v>44578.650824236116</v>
      </c>
      <c r="B6239" s="50">
        <v>44578.7758044444</v>
      </c>
      <c r="C6239" s="51">
        <v>1.006</v>
      </c>
      <c r="D6239" s="51">
        <v>66.0</v>
      </c>
      <c r="E6239" s="52" t="s">
        <v>25</v>
      </c>
      <c r="F6239" s="52" t="s">
        <v>26</v>
      </c>
      <c r="G6239" s="53"/>
    </row>
    <row r="6240">
      <c r="A6240" s="49">
        <v>44578.661262141206</v>
      </c>
      <c r="B6240" s="50">
        <v>44578.7862359027</v>
      </c>
      <c r="C6240" s="51">
        <v>1.007</v>
      </c>
      <c r="D6240" s="51">
        <v>66.0</v>
      </c>
      <c r="E6240" s="52" t="s">
        <v>25</v>
      </c>
      <c r="F6240" s="52" t="s">
        <v>26</v>
      </c>
      <c r="G6240" s="53"/>
    </row>
    <row r="6241">
      <c r="A6241" s="49">
        <v>44578.67168488426</v>
      </c>
      <c r="B6241" s="50">
        <v>44578.7966580671</v>
      </c>
      <c r="C6241" s="51">
        <v>1.007</v>
      </c>
      <c r="D6241" s="51">
        <v>66.0</v>
      </c>
      <c r="E6241" s="52" t="s">
        <v>25</v>
      </c>
      <c r="F6241" s="52" t="s">
        <v>26</v>
      </c>
      <c r="G6241" s="53"/>
    </row>
    <row r="6242">
      <c r="A6242" s="49">
        <v>44578.682127974535</v>
      </c>
      <c r="B6242" s="50">
        <v>44578.8071026851</v>
      </c>
      <c r="C6242" s="51">
        <v>1.006</v>
      </c>
      <c r="D6242" s="51">
        <v>66.0</v>
      </c>
      <c r="E6242" s="52" t="s">
        <v>25</v>
      </c>
      <c r="F6242" s="52" t="s">
        <v>26</v>
      </c>
      <c r="G6242" s="53"/>
    </row>
    <row r="6243">
      <c r="A6243" s="49">
        <v>44578.692548402774</v>
      </c>
      <c r="B6243" s="50">
        <v>44578.817521574</v>
      </c>
      <c r="C6243" s="51">
        <v>1.006</v>
      </c>
      <c r="D6243" s="51">
        <v>66.0</v>
      </c>
      <c r="E6243" s="52" t="s">
        <v>25</v>
      </c>
      <c r="F6243" s="52" t="s">
        <v>26</v>
      </c>
      <c r="G6243" s="53"/>
    </row>
    <row r="6244">
      <c r="A6244" s="49">
        <v>44578.70297143518</v>
      </c>
      <c r="B6244" s="50">
        <v>44578.8279454745</v>
      </c>
      <c r="C6244" s="51">
        <v>1.007</v>
      </c>
      <c r="D6244" s="51">
        <v>66.0</v>
      </c>
      <c r="E6244" s="52" t="s">
        <v>25</v>
      </c>
      <c r="F6244" s="52" t="s">
        <v>26</v>
      </c>
      <c r="G6244" s="53"/>
    </row>
    <row r="6245">
      <c r="A6245" s="49">
        <v>44578.71338836805</v>
      </c>
      <c r="B6245" s="50">
        <v>44578.8383667939</v>
      </c>
      <c r="C6245" s="51">
        <v>1.006</v>
      </c>
      <c r="D6245" s="51">
        <v>66.0</v>
      </c>
      <c r="E6245" s="52" t="s">
        <v>25</v>
      </c>
      <c r="F6245" s="52" t="s">
        <v>26</v>
      </c>
      <c r="G6245" s="53"/>
    </row>
    <row r="6246">
      <c r="A6246" s="49">
        <v>44578.72381707176</v>
      </c>
      <c r="B6246" s="50">
        <v>44578.8487895138</v>
      </c>
      <c r="C6246" s="51">
        <v>1.006</v>
      </c>
      <c r="D6246" s="51">
        <v>66.0</v>
      </c>
      <c r="E6246" s="52" t="s">
        <v>25</v>
      </c>
      <c r="F6246" s="52" t="s">
        <v>26</v>
      </c>
      <c r="G6246" s="53"/>
    </row>
    <row r="6247">
      <c r="A6247" s="49">
        <v>44578.73424842593</v>
      </c>
      <c r="B6247" s="50">
        <v>44578.8592217708</v>
      </c>
      <c r="C6247" s="51">
        <v>1.006</v>
      </c>
      <c r="D6247" s="51">
        <v>66.0</v>
      </c>
      <c r="E6247" s="52" t="s">
        <v>25</v>
      </c>
      <c r="F6247" s="52" t="s">
        <v>26</v>
      </c>
      <c r="G6247" s="53"/>
    </row>
    <row r="6248">
      <c r="A6248" s="49">
        <v>44578.74466880787</v>
      </c>
      <c r="B6248" s="50">
        <v>44578.8696436805</v>
      </c>
      <c r="C6248" s="51">
        <v>1.006</v>
      </c>
      <c r="D6248" s="51">
        <v>65.0</v>
      </c>
      <c r="E6248" s="52" t="s">
        <v>25</v>
      </c>
      <c r="F6248" s="52" t="s">
        <v>26</v>
      </c>
      <c r="G6248" s="53"/>
    </row>
    <row r="6249">
      <c r="A6249" s="49">
        <v>44578.75508851852</v>
      </c>
      <c r="B6249" s="50">
        <v>44578.8800639814</v>
      </c>
      <c r="C6249" s="51">
        <v>1.007</v>
      </c>
      <c r="D6249" s="51">
        <v>65.0</v>
      </c>
      <c r="E6249" s="52" t="s">
        <v>25</v>
      </c>
      <c r="F6249" s="52" t="s">
        <v>26</v>
      </c>
      <c r="G6249" s="53"/>
    </row>
    <row r="6250">
      <c r="A6250" s="49">
        <v>44578.76555956018</v>
      </c>
      <c r="B6250" s="50">
        <v>44578.8905320601</v>
      </c>
      <c r="C6250" s="51">
        <v>1.007</v>
      </c>
      <c r="D6250" s="51">
        <v>65.0</v>
      </c>
      <c r="E6250" s="52" t="s">
        <v>25</v>
      </c>
      <c r="F6250" s="52" t="s">
        <v>26</v>
      </c>
      <c r="G6250" s="53"/>
    </row>
    <row r="6251">
      <c r="A6251" s="49">
        <v>44578.775987974535</v>
      </c>
      <c r="B6251" s="50">
        <v>44578.9009543287</v>
      </c>
      <c r="C6251" s="51">
        <v>1.007</v>
      </c>
      <c r="D6251" s="51">
        <v>65.0</v>
      </c>
      <c r="E6251" s="52" t="s">
        <v>25</v>
      </c>
      <c r="F6251" s="52" t="s">
        <v>26</v>
      </c>
      <c r="G6251" s="53"/>
    </row>
    <row r="6252">
      <c r="A6252" s="49">
        <v>44578.786405983796</v>
      </c>
      <c r="B6252" s="50">
        <v>44578.9113768055</v>
      </c>
      <c r="C6252" s="51">
        <v>1.006</v>
      </c>
      <c r="D6252" s="51">
        <v>65.0</v>
      </c>
      <c r="E6252" s="52" t="s">
        <v>25</v>
      </c>
      <c r="F6252" s="52" t="s">
        <v>26</v>
      </c>
      <c r="G6252" s="53"/>
    </row>
    <row r="6253">
      <c r="A6253" s="49">
        <v>44578.79683748842</v>
      </c>
      <c r="B6253" s="50">
        <v>44578.92181</v>
      </c>
      <c r="C6253" s="51">
        <v>1.006</v>
      </c>
      <c r="D6253" s="51">
        <v>65.0</v>
      </c>
      <c r="E6253" s="52" t="s">
        <v>25</v>
      </c>
      <c r="F6253" s="52" t="s">
        <v>26</v>
      </c>
      <c r="G6253" s="53"/>
    </row>
    <row r="6254">
      <c r="A6254" s="49">
        <v>44578.80733109954</v>
      </c>
      <c r="B6254" s="50">
        <v>44578.9322898032</v>
      </c>
      <c r="C6254" s="51">
        <v>1.006</v>
      </c>
      <c r="D6254" s="51">
        <v>65.0</v>
      </c>
      <c r="E6254" s="52" t="s">
        <v>25</v>
      </c>
      <c r="F6254" s="52" t="s">
        <v>26</v>
      </c>
      <c r="G6254" s="53"/>
    </row>
    <row r="6255">
      <c r="A6255" s="49">
        <v>44578.817757557874</v>
      </c>
      <c r="B6255" s="50">
        <v>44578.94270978</v>
      </c>
      <c r="C6255" s="51">
        <v>1.007</v>
      </c>
      <c r="D6255" s="51">
        <v>65.0</v>
      </c>
      <c r="E6255" s="52" t="s">
        <v>25</v>
      </c>
      <c r="F6255" s="52" t="s">
        <v>26</v>
      </c>
      <c r="G6255" s="53"/>
    </row>
    <row r="6256">
      <c r="A6256" s="49">
        <v>44578.82818174768</v>
      </c>
      <c r="B6256" s="50">
        <v>44578.9531436226</v>
      </c>
      <c r="C6256" s="51">
        <v>1.007</v>
      </c>
      <c r="D6256" s="51">
        <v>65.0</v>
      </c>
      <c r="E6256" s="52" t="s">
        <v>25</v>
      </c>
      <c r="F6256" s="52" t="s">
        <v>26</v>
      </c>
      <c r="G6256" s="53"/>
    </row>
    <row r="6257">
      <c r="A6257" s="49">
        <v>44578.83861827546</v>
      </c>
      <c r="B6257" s="50">
        <v>44578.9635636226</v>
      </c>
      <c r="C6257" s="51">
        <v>1.007</v>
      </c>
      <c r="D6257" s="51">
        <v>65.0</v>
      </c>
      <c r="E6257" s="52" t="s">
        <v>25</v>
      </c>
      <c r="F6257" s="52" t="s">
        <v>26</v>
      </c>
      <c r="G6257" s="53"/>
    </row>
    <row r="6258">
      <c r="A6258" s="49">
        <v>44578.8490491088</v>
      </c>
      <c r="B6258" s="50">
        <v>44578.9739967013</v>
      </c>
      <c r="C6258" s="51">
        <v>1.007</v>
      </c>
      <c r="D6258" s="51">
        <v>65.0</v>
      </c>
      <c r="E6258" s="52" t="s">
        <v>25</v>
      </c>
      <c r="F6258" s="52" t="s">
        <v>26</v>
      </c>
      <c r="G6258" s="53"/>
    </row>
    <row r="6259">
      <c r="A6259" s="49">
        <v>44578.85947134259</v>
      </c>
      <c r="B6259" s="50">
        <v>44578.9844173611</v>
      </c>
      <c r="C6259" s="51">
        <v>1.006</v>
      </c>
      <c r="D6259" s="51">
        <v>65.0</v>
      </c>
      <c r="E6259" s="52" t="s">
        <v>25</v>
      </c>
      <c r="F6259" s="52" t="s">
        <v>26</v>
      </c>
      <c r="G6259" s="53"/>
    </row>
    <row r="6260">
      <c r="A6260" s="49">
        <v>44578.869886053246</v>
      </c>
      <c r="B6260" s="50">
        <v>44578.9948374074</v>
      </c>
      <c r="C6260" s="51">
        <v>1.006</v>
      </c>
      <c r="D6260" s="51">
        <v>65.0</v>
      </c>
      <c r="E6260" s="52" t="s">
        <v>25</v>
      </c>
      <c r="F6260" s="52" t="s">
        <v>26</v>
      </c>
      <c r="G6260" s="53"/>
    </row>
    <row r="6261">
      <c r="A6261" s="49">
        <v>44578.880323391204</v>
      </c>
      <c r="B6261" s="50">
        <v>44579.0052574537</v>
      </c>
      <c r="C6261" s="51">
        <v>1.007</v>
      </c>
      <c r="D6261" s="51">
        <v>65.0</v>
      </c>
      <c r="E6261" s="52" t="s">
        <v>25</v>
      </c>
      <c r="F6261" s="52" t="s">
        <v>26</v>
      </c>
      <c r="G6261" s="53"/>
    </row>
    <row r="6262">
      <c r="A6262" s="49">
        <v>44578.89075651621</v>
      </c>
      <c r="B6262" s="50">
        <v>44579.0157245138</v>
      </c>
      <c r="C6262" s="51">
        <v>1.006</v>
      </c>
      <c r="D6262" s="51">
        <v>65.0</v>
      </c>
      <c r="E6262" s="52" t="s">
        <v>25</v>
      </c>
      <c r="F6262" s="52" t="s">
        <v>26</v>
      </c>
      <c r="G6262" s="53"/>
    </row>
    <row r="6263">
      <c r="A6263" s="49">
        <v>44578.90117793981</v>
      </c>
      <c r="B6263" s="50">
        <v>44579.0261458217</v>
      </c>
      <c r="C6263" s="51">
        <v>1.006</v>
      </c>
      <c r="D6263" s="51">
        <v>65.0</v>
      </c>
      <c r="E6263" s="52" t="s">
        <v>25</v>
      </c>
      <c r="F6263" s="52" t="s">
        <v>26</v>
      </c>
      <c r="G6263" s="53"/>
    </row>
    <row r="6264">
      <c r="A6264" s="49">
        <v>44578.91159554398</v>
      </c>
      <c r="B6264" s="50">
        <v>44579.0365793055</v>
      </c>
      <c r="C6264" s="51">
        <v>1.006</v>
      </c>
      <c r="D6264" s="51">
        <v>65.0</v>
      </c>
      <c r="E6264" s="52" t="s">
        <v>25</v>
      </c>
      <c r="F6264" s="52" t="s">
        <v>26</v>
      </c>
      <c r="G6264" s="53"/>
    </row>
    <row r="6265">
      <c r="A6265" s="49">
        <v>44578.9220403588</v>
      </c>
      <c r="B6265" s="50">
        <v>44579.0470017939</v>
      </c>
      <c r="C6265" s="51">
        <v>1.006</v>
      </c>
      <c r="D6265" s="51">
        <v>65.0</v>
      </c>
      <c r="E6265" s="52" t="s">
        <v>25</v>
      </c>
      <c r="F6265" s="52" t="s">
        <v>26</v>
      </c>
      <c r="G6265" s="53"/>
    </row>
    <row r="6266">
      <c r="A6266" s="49">
        <v>44578.93246252315</v>
      </c>
      <c r="B6266" s="50">
        <v>44579.0574229282</v>
      </c>
      <c r="C6266" s="51">
        <v>1.007</v>
      </c>
      <c r="D6266" s="51">
        <v>65.0</v>
      </c>
      <c r="E6266" s="52" t="s">
        <v>25</v>
      </c>
      <c r="F6266" s="52" t="s">
        <v>26</v>
      </c>
      <c r="G6266" s="53"/>
    </row>
    <row r="6267">
      <c r="A6267" s="49">
        <v>44578.942875567125</v>
      </c>
      <c r="B6267" s="50">
        <v>44579.0678545833</v>
      </c>
      <c r="C6267" s="51">
        <v>1.007</v>
      </c>
      <c r="D6267" s="51">
        <v>65.0</v>
      </c>
      <c r="E6267" s="52" t="s">
        <v>25</v>
      </c>
      <c r="F6267" s="52" t="s">
        <v>26</v>
      </c>
      <c r="G6267" s="53"/>
    </row>
    <row r="6268">
      <c r="A6268" s="49">
        <v>44578.95330851852</v>
      </c>
      <c r="B6268" s="50">
        <v>44579.0782769328</v>
      </c>
      <c r="C6268" s="51">
        <v>1.007</v>
      </c>
      <c r="D6268" s="51">
        <v>65.0</v>
      </c>
      <c r="E6268" s="52" t="s">
        <v>25</v>
      </c>
      <c r="F6268" s="52" t="s">
        <v>26</v>
      </c>
      <c r="G6268" s="53"/>
    </row>
    <row r="6269">
      <c r="A6269" s="49">
        <v>44578.96373872685</v>
      </c>
      <c r="B6269" s="50">
        <v>44579.0886983101</v>
      </c>
      <c r="C6269" s="51">
        <v>1.006</v>
      </c>
      <c r="D6269" s="51">
        <v>65.0</v>
      </c>
      <c r="E6269" s="52" t="s">
        <v>25</v>
      </c>
      <c r="F6269" s="52" t="s">
        <v>26</v>
      </c>
      <c r="G6269" s="53"/>
    </row>
    <row r="6270">
      <c r="A6270" s="49">
        <v>44578.97415756945</v>
      </c>
      <c r="B6270" s="50">
        <v>44579.0991313078</v>
      </c>
      <c r="C6270" s="51">
        <v>1.006</v>
      </c>
      <c r="D6270" s="51">
        <v>65.0</v>
      </c>
      <c r="E6270" s="52" t="s">
        <v>25</v>
      </c>
      <c r="F6270" s="52" t="s">
        <v>26</v>
      </c>
      <c r="G6270" s="53"/>
    </row>
    <row r="6271">
      <c r="A6271" s="49">
        <v>44578.984580335644</v>
      </c>
      <c r="B6271" s="50">
        <v>44579.109552118</v>
      </c>
      <c r="C6271" s="51">
        <v>1.006</v>
      </c>
      <c r="D6271" s="51">
        <v>65.0</v>
      </c>
      <c r="E6271" s="52" t="s">
        <v>25</v>
      </c>
      <c r="F6271" s="52" t="s">
        <v>26</v>
      </c>
      <c r="G6271" s="53"/>
    </row>
    <row r="6272">
      <c r="A6272" s="49">
        <v>44578.995017685185</v>
      </c>
      <c r="B6272" s="50">
        <v>44579.1199965972</v>
      </c>
      <c r="C6272" s="51">
        <v>1.006</v>
      </c>
      <c r="D6272" s="51">
        <v>65.0</v>
      </c>
      <c r="E6272" s="52" t="s">
        <v>25</v>
      </c>
      <c r="F6272" s="52" t="s">
        <v>26</v>
      </c>
      <c r="G6272" s="53"/>
    </row>
    <row r="6273">
      <c r="A6273" s="49">
        <v>44579.00555761574</v>
      </c>
      <c r="B6273" s="50">
        <v>44579.1304189236</v>
      </c>
      <c r="C6273" s="51">
        <v>1.007</v>
      </c>
      <c r="D6273" s="51">
        <v>65.0</v>
      </c>
      <c r="E6273" s="52" t="s">
        <v>25</v>
      </c>
      <c r="F6273" s="52" t="s">
        <v>26</v>
      </c>
      <c r="G6273" s="53"/>
    </row>
    <row r="6274">
      <c r="A6274" s="49">
        <v>44579.01586049769</v>
      </c>
      <c r="B6274" s="50">
        <v>44579.1408399074</v>
      </c>
      <c r="C6274" s="51">
        <v>1.006</v>
      </c>
      <c r="D6274" s="51">
        <v>65.0</v>
      </c>
      <c r="E6274" s="52" t="s">
        <v>25</v>
      </c>
      <c r="F6274" s="52" t="s">
        <v>26</v>
      </c>
      <c r="G6274" s="53"/>
    </row>
    <row r="6275">
      <c r="A6275" s="49">
        <v>44579.02629039352</v>
      </c>
      <c r="B6275" s="50">
        <v>44579.1512618865</v>
      </c>
      <c r="C6275" s="51">
        <v>1.006</v>
      </c>
      <c r="D6275" s="51">
        <v>65.0</v>
      </c>
      <c r="E6275" s="52" t="s">
        <v>25</v>
      </c>
      <c r="F6275" s="52" t="s">
        <v>26</v>
      </c>
      <c r="G6275" s="53"/>
    </row>
    <row r="6276">
      <c r="A6276" s="49">
        <v>44579.03671223379</v>
      </c>
      <c r="B6276" s="50">
        <v>44579.1616830092</v>
      </c>
      <c r="C6276" s="51">
        <v>1.006</v>
      </c>
      <c r="D6276" s="51">
        <v>64.0</v>
      </c>
      <c r="E6276" s="52" t="s">
        <v>25</v>
      </c>
      <c r="F6276" s="52" t="s">
        <v>26</v>
      </c>
      <c r="G6276" s="53"/>
    </row>
    <row r="6277">
      <c r="A6277" s="49">
        <v>44579.047187986114</v>
      </c>
      <c r="B6277" s="50">
        <v>44579.1721605324</v>
      </c>
      <c r="C6277" s="51">
        <v>1.007</v>
      </c>
      <c r="D6277" s="51">
        <v>64.0</v>
      </c>
      <c r="E6277" s="52" t="s">
        <v>25</v>
      </c>
      <c r="F6277" s="52" t="s">
        <v>26</v>
      </c>
      <c r="G6277" s="53"/>
    </row>
    <row r="6278">
      <c r="A6278" s="49">
        <v>44579.05763271991</v>
      </c>
      <c r="B6278" s="50">
        <v>44579.1825937268</v>
      </c>
      <c r="C6278" s="51">
        <v>1.007</v>
      </c>
      <c r="D6278" s="51">
        <v>64.0</v>
      </c>
      <c r="E6278" s="52" t="s">
        <v>25</v>
      </c>
      <c r="F6278" s="52" t="s">
        <v>26</v>
      </c>
      <c r="G6278" s="53"/>
    </row>
    <row r="6279">
      <c r="A6279" s="49">
        <v>44579.06803520833</v>
      </c>
      <c r="B6279" s="50">
        <v>44579.1930159722</v>
      </c>
      <c r="C6279" s="51">
        <v>1.006</v>
      </c>
      <c r="D6279" s="51">
        <v>64.0</v>
      </c>
      <c r="E6279" s="52" t="s">
        <v>25</v>
      </c>
      <c r="F6279" s="52" t="s">
        <v>26</v>
      </c>
      <c r="G6279" s="53"/>
    </row>
    <row r="6280">
      <c r="A6280" s="49">
        <v>44579.07846826389</v>
      </c>
      <c r="B6280" s="50">
        <v>44579.2034370138</v>
      </c>
      <c r="C6280" s="51">
        <v>1.006</v>
      </c>
      <c r="D6280" s="51">
        <v>64.0</v>
      </c>
      <c r="E6280" s="52" t="s">
        <v>25</v>
      </c>
      <c r="F6280" s="52" t="s">
        <v>26</v>
      </c>
      <c r="G6280" s="53"/>
    </row>
    <row r="6281">
      <c r="A6281" s="49">
        <v>44579.08888074074</v>
      </c>
      <c r="B6281" s="50">
        <v>44579.2138583101</v>
      </c>
      <c r="C6281" s="51">
        <v>1.006</v>
      </c>
      <c r="D6281" s="51">
        <v>64.0</v>
      </c>
      <c r="E6281" s="52" t="s">
        <v>25</v>
      </c>
      <c r="F6281" s="52" t="s">
        <v>26</v>
      </c>
      <c r="G6281" s="53"/>
    </row>
    <row r="6282">
      <c r="A6282" s="49">
        <v>44579.099308668985</v>
      </c>
      <c r="B6282" s="50">
        <v>44579.224278831</v>
      </c>
      <c r="C6282" s="51">
        <v>1.007</v>
      </c>
      <c r="D6282" s="51">
        <v>64.0</v>
      </c>
      <c r="E6282" s="52" t="s">
        <v>25</v>
      </c>
      <c r="F6282" s="52" t="s">
        <v>26</v>
      </c>
      <c r="G6282" s="53"/>
    </row>
    <row r="6283">
      <c r="A6283" s="49">
        <v>44579.10973534722</v>
      </c>
      <c r="B6283" s="50">
        <v>44579.2347004513</v>
      </c>
      <c r="C6283" s="51">
        <v>1.006</v>
      </c>
      <c r="D6283" s="51">
        <v>64.0</v>
      </c>
      <c r="E6283" s="52" t="s">
        <v>25</v>
      </c>
      <c r="F6283" s="52" t="s">
        <v>26</v>
      </c>
      <c r="G6283" s="53"/>
    </row>
    <row r="6284">
      <c r="A6284" s="49">
        <v>44579.120153564814</v>
      </c>
      <c r="B6284" s="50">
        <v>44579.2451338078</v>
      </c>
      <c r="C6284" s="51">
        <v>1.007</v>
      </c>
      <c r="D6284" s="51">
        <v>64.0</v>
      </c>
      <c r="E6284" s="52" t="s">
        <v>25</v>
      </c>
      <c r="F6284" s="52" t="s">
        <v>26</v>
      </c>
      <c r="G6284" s="53"/>
    </row>
    <row r="6285">
      <c r="A6285" s="49">
        <v>44579.130605555554</v>
      </c>
      <c r="B6285" s="50">
        <v>44579.2555773148</v>
      </c>
      <c r="C6285" s="51">
        <v>1.007</v>
      </c>
      <c r="D6285" s="51">
        <v>64.0</v>
      </c>
      <c r="E6285" s="52" t="s">
        <v>25</v>
      </c>
      <c r="F6285" s="52" t="s">
        <v>26</v>
      </c>
      <c r="G6285" s="53"/>
    </row>
    <row r="6286">
      <c r="A6286" s="49">
        <v>44579.14102946759</v>
      </c>
      <c r="B6286" s="50">
        <v>44579.2660001736</v>
      </c>
      <c r="C6286" s="51">
        <v>1.007</v>
      </c>
      <c r="D6286" s="51">
        <v>64.0</v>
      </c>
      <c r="E6286" s="52" t="s">
        <v>25</v>
      </c>
      <c r="F6286" s="52" t="s">
        <v>26</v>
      </c>
      <c r="G6286" s="53"/>
    </row>
    <row r="6287">
      <c r="A6287" s="49">
        <v>44579.15144475695</v>
      </c>
      <c r="B6287" s="50">
        <v>44579.2764202546</v>
      </c>
      <c r="C6287" s="51">
        <v>1.006</v>
      </c>
      <c r="D6287" s="51">
        <v>64.0</v>
      </c>
      <c r="E6287" s="52" t="s">
        <v>25</v>
      </c>
      <c r="F6287" s="52" t="s">
        <v>26</v>
      </c>
      <c r="G6287" s="53"/>
    </row>
    <row r="6288">
      <c r="A6288" s="49">
        <v>44579.16186832176</v>
      </c>
      <c r="B6288" s="50">
        <v>44579.2868404166</v>
      </c>
      <c r="C6288" s="51">
        <v>1.006</v>
      </c>
      <c r="D6288" s="51">
        <v>64.0</v>
      </c>
      <c r="E6288" s="52" t="s">
        <v>25</v>
      </c>
      <c r="F6288" s="52" t="s">
        <v>26</v>
      </c>
      <c r="G6288" s="53"/>
    </row>
    <row r="6289">
      <c r="A6289" s="49">
        <v>44579.17229190972</v>
      </c>
      <c r="B6289" s="50">
        <v>44579.2972611574</v>
      </c>
      <c r="C6289" s="51">
        <v>1.007</v>
      </c>
      <c r="D6289" s="51">
        <v>64.0</v>
      </c>
      <c r="E6289" s="52" t="s">
        <v>25</v>
      </c>
      <c r="F6289" s="52" t="s">
        <v>26</v>
      </c>
      <c r="G6289" s="53"/>
    </row>
    <row r="6290">
      <c r="A6290" s="49">
        <v>44579.182746226856</v>
      </c>
      <c r="B6290" s="50">
        <v>44579.3076943402</v>
      </c>
      <c r="C6290" s="51">
        <v>1.006</v>
      </c>
      <c r="D6290" s="51">
        <v>64.0</v>
      </c>
      <c r="E6290" s="52" t="s">
        <v>25</v>
      </c>
      <c r="F6290" s="52" t="s">
        <v>26</v>
      </c>
      <c r="G6290" s="53"/>
    </row>
    <row r="6291">
      <c r="A6291" s="49">
        <v>44579.19318458333</v>
      </c>
      <c r="B6291" s="50">
        <v>44579.3181154513</v>
      </c>
      <c r="C6291" s="51">
        <v>1.007</v>
      </c>
      <c r="D6291" s="51">
        <v>64.0</v>
      </c>
      <c r="E6291" s="52" t="s">
        <v>25</v>
      </c>
      <c r="F6291" s="52" t="s">
        <v>26</v>
      </c>
      <c r="G6291" s="53"/>
    </row>
    <row r="6292">
      <c r="A6292" s="49">
        <v>44579.20360133101</v>
      </c>
      <c r="B6292" s="50">
        <v>44579.3285363773</v>
      </c>
      <c r="C6292" s="51">
        <v>1.007</v>
      </c>
      <c r="D6292" s="51">
        <v>64.0</v>
      </c>
      <c r="E6292" s="52" t="s">
        <v>25</v>
      </c>
      <c r="F6292" s="52" t="s">
        <v>26</v>
      </c>
      <c r="G6292" s="53"/>
    </row>
    <row r="6293">
      <c r="A6293" s="49">
        <v>44579.21402569444</v>
      </c>
      <c r="B6293" s="50">
        <v>44579.3389565972</v>
      </c>
      <c r="C6293" s="51">
        <v>1.007</v>
      </c>
      <c r="D6293" s="51">
        <v>64.0</v>
      </c>
      <c r="E6293" s="52" t="s">
        <v>25</v>
      </c>
      <c r="F6293" s="52" t="s">
        <v>26</v>
      </c>
      <c r="G6293" s="53"/>
    </row>
    <row r="6294">
      <c r="A6294" s="49">
        <v>44579.224434351854</v>
      </c>
      <c r="B6294" s="50">
        <v>44579.3493994791</v>
      </c>
      <c r="C6294" s="51">
        <v>1.007</v>
      </c>
      <c r="D6294" s="51">
        <v>64.0</v>
      </c>
      <c r="E6294" s="52" t="s">
        <v>25</v>
      </c>
      <c r="F6294" s="52" t="s">
        <v>26</v>
      </c>
      <c r="G6294" s="53"/>
    </row>
    <row r="6295">
      <c r="A6295" s="49">
        <v>44579.2348565162</v>
      </c>
      <c r="B6295" s="50">
        <v>44579.3598196875</v>
      </c>
      <c r="C6295" s="51">
        <v>1.007</v>
      </c>
      <c r="D6295" s="51">
        <v>64.0</v>
      </c>
      <c r="E6295" s="52" t="s">
        <v>25</v>
      </c>
      <c r="F6295" s="52" t="s">
        <v>26</v>
      </c>
      <c r="G6295" s="53"/>
    </row>
    <row r="6296">
      <c r="A6296" s="49">
        <v>44579.24528175926</v>
      </c>
      <c r="B6296" s="50">
        <v>44579.370241655</v>
      </c>
      <c r="C6296" s="51">
        <v>1.006</v>
      </c>
      <c r="D6296" s="51">
        <v>64.0</v>
      </c>
      <c r="E6296" s="52" t="s">
        <v>25</v>
      </c>
      <c r="F6296" s="52" t="s">
        <v>26</v>
      </c>
      <c r="G6296" s="53"/>
    </row>
    <row r="6297">
      <c r="A6297" s="49">
        <v>44579.25571633102</v>
      </c>
      <c r="B6297" s="50">
        <v>44579.3806628935</v>
      </c>
      <c r="C6297" s="51">
        <v>1.007</v>
      </c>
      <c r="D6297" s="51">
        <v>64.0</v>
      </c>
      <c r="E6297" s="52" t="s">
        <v>25</v>
      </c>
      <c r="F6297" s="52" t="s">
        <v>26</v>
      </c>
      <c r="G6297" s="53"/>
    </row>
    <row r="6298">
      <c r="A6298" s="49">
        <v>44579.266136666665</v>
      </c>
      <c r="B6298" s="50">
        <v>44579.3910973611</v>
      </c>
      <c r="C6298" s="51">
        <v>1.007</v>
      </c>
      <c r="D6298" s="51">
        <v>64.0</v>
      </c>
      <c r="E6298" s="52" t="s">
        <v>25</v>
      </c>
      <c r="F6298" s="52" t="s">
        <v>26</v>
      </c>
      <c r="G6298" s="53"/>
    </row>
    <row r="6299">
      <c r="A6299" s="49">
        <v>44579.27656655092</v>
      </c>
      <c r="B6299" s="50">
        <v>44579.4015189467</v>
      </c>
      <c r="C6299" s="51">
        <v>1.007</v>
      </c>
      <c r="D6299" s="51">
        <v>64.0</v>
      </c>
      <c r="E6299" s="52" t="s">
        <v>25</v>
      </c>
      <c r="F6299" s="52" t="s">
        <v>26</v>
      </c>
      <c r="G6299" s="53"/>
    </row>
    <row r="6300">
      <c r="A6300" s="49">
        <v>44579.286978460645</v>
      </c>
      <c r="B6300" s="50">
        <v>44579.4119522916</v>
      </c>
      <c r="C6300" s="51">
        <v>1.007</v>
      </c>
      <c r="D6300" s="51">
        <v>64.0</v>
      </c>
      <c r="E6300" s="52" t="s">
        <v>25</v>
      </c>
      <c r="F6300" s="52" t="s">
        <v>26</v>
      </c>
      <c r="G6300" s="53"/>
    </row>
    <row r="6301">
      <c r="A6301" s="49">
        <v>44579.29743172454</v>
      </c>
      <c r="B6301" s="50">
        <v>44579.4223983217</v>
      </c>
      <c r="C6301" s="51">
        <v>1.006</v>
      </c>
      <c r="D6301" s="51">
        <v>64.0</v>
      </c>
      <c r="E6301" s="52" t="s">
        <v>25</v>
      </c>
      <c r="F6301" s="52" t="s">
        <v>26</v>
      </c>
      <c r="G6301" s="53"/>
    </row>
    <row r="6302">
      <c r="A6302" s="49">
        <v>44579.30784969908</v>
      </c>
      <c r="B6302" s="50">
        <v>44579.4328196296</v>
      </c>
      <c r="C6302" s="51">
        <v>1.007</v>
      </c>
      <c r="D6302" s="51">
        <v>64.0</v>
      </c>
      <c r="E6302" s="52" t="s">
        <v>25</v>
      </c>
      <c r="F6302" s="52" t="s">
        <v>26</v>
      </c>
      <c r="G6302" s="53"/>
    </row>
    <row r="6303">
      <c r="A6303" s="49">
        <v>44579.31826436342</v>
      </c>
      <c r="B6303" s="50">
        <v>44579.4432418518</v>
      </c>
      <c r="C6303" s="51">
        <v>1.007</v>
      </c>
      <c r="D6303" s="51">
        <v>64.0</v>
      </c>
      <c r="E6303" s="52" t="s">
        <v>25</v>
      </c>
      <c r="F6303" s="52" t="s">
        <v>26</v>
      </c>
      <c r="G6303" s="53"/>
    </row>
    <row r="6304">
      <c r="A6304" s="49">
        <v>44579.32868521991</v>
      </c>
      <c r="B6304" s="50">
        <v>44579.4536651041</v>
      </c>
      <c r="C6304" s="51">
        <v>1.007</v>
      </c>
      <c r="D6304" s="51">
        <v>64.0</v>
      </c>
      <c r="E6304" s="52" t="s">
        <v>25</v>
      </c>
      <c r="F6304" s="52" t="s">
        <v>26</v>
      </c>
      <c r="G6304" s="53"/>
    </row>
    <row r="6305">
      <c r="A6305" s="49">
        <v>44579.33910380787</v>
      </c>
      <c r="B6305" s="50">
        <v>44579.4640855787</v>
      </c>
      <c r="C6305" s="51">
        <v>1.007</v>
      </c>
      <c r="D6305" s="51">
        <v>64.0</v>
      </c>
      <c r="E6305" s="52" t="s">
        <v>25</v>
      </c>
      <c r="F6305" s="52" t="s">
        <v>26</v>
      </c>
      <c r="G6305" s="53"/>
    </row>
    <row r="6306">
      <c r="A6306" s="49">
        <v>44579.349540462965</v>
      </c>
      <c r="B6306" s="50">
        <v>44579.4745051504</v>
      </c>
      <c r="C6306" s="51">
        <v>1.007</v>
      </c>
      <c r="D6306" s="51">
        <v>64.0</v>
      </c>
      <c r="E6306" s="52" t="s">
        <v>25</v>
      </c>
      <c r="F6306" s="52" t="s">
        <v>26</v>
      </c>
      <c r="G6306" s="53"/>
    </row>
    <row r="6307">
      <c r="A6307" s="49">
        <v>44579.35995450232</v>
      </c>
      <c r="B6307" s="50">
        <v>44579.4849261921</v>
      </c>
      <c r="C6307" s="51">
        <v>1.007</v>
      </c>
      <c r="D6307" s="51">
        <v>64.0</v>
      </c>
      <c r="E6307" s="52" t="s">
        <v>25</v>
      </c>
      <c r="F6307" s="52" t="s">
        <v>26</v>
      </c>
      <c r="G6307" s="53"/>
    </row>
    <row r="6308">
      <c r="A6308" s="49">
        <v>44579.37038586805</v>
      </c>
      <c r="B6308" s="50">
        <v>44579.4953586689</v>
      </c>
      <c r="C6308" s="51">
        <v>1.007</v>
      </c>
      <c r="D6308" s="51">
        <v>64.0</v>
      </c>
      <c r="E6308" s="52" t="s">
        <v>25</v>
      </c>
      <c r="F6308" s="52" t="s">
        <v>26</v>
      </c>
      <c r="G6308" s="53"/>
    </row>
    <row r="6309">
      <c r="A6309" s="49">
        <v>44579.38085144676</v>
      </c>
      <c r="B6309" s="50">
        <v>44579.5058253703</v>
      </c>
      <c r="C6309" s="51">
        <v>1.007</v>
      </c>
      <c r="D6309" s="51">
        <v>64.0</v>
      </c>
      <c r="E6309" s="52" t="s">
        <v>25</v>
      </c>
      <c r="F6309" s="52" t="s">
        <v>26</v>
      </c>
      <c r="G6309" s="53"/>
    </row>
    <row r="6310">
      <c r="A6310" s="49">
        <v>44579.39151194444</v>
      </c>
      <c r="B6310" s="50">
        <v>44579.5162463194</v>
      </c>
      <c r="C6310" s="51">
        <v>1.007</v>
      </c>
      <c r="D6310" s="51">
        <v>63.0</v>
      </c>
      <c r="E6310" s="52" t="s">
        <v>25</v>
      </c>
      <c r="F6310" s="52" t="s">
        <v>26</v>
      </c>
      <c r="G6310" s="53"/>
    </row>
    <row r="6311">
      <c r="A6311" s="49">
        <v>44579.40171424768</v>
      </c>
      <c r="B6311" s="50">
        <v>44579.5266790277</v>
      </c>
      <c r="C6311" s="51">
        <v>1.007</v>
      </c>
      <c r="D6311" s="51">
        <v>63.0</v>
      </c>
      <c r="E6311" s="52" t="s">
        <v>25</v>
      </c>
      <c r="F6311" s="52" t="s">
        <v>26</v>
      </c>
      <c r="G6311" s="53"/>
    </row>
    <row r="6312">
      <c r="A6312" s="49">
        <v>44579.41213888889</v>
      </c>
      <c r="B6312" s="50">
        <v>44579.5370990625</v>
      </c>
      <c r="C6312" s="51">
        <v>1.007</v>
      </c>
      <c r="D6312" s="51">
        <v>63.0</v>
      </c>
      <c r="E6312" s="52" t="s">
        <v>25</v>
      </c>
      <c r="F6312" s="52" t="s">
        <v>26</v>
      </c>
      <c r="G6312" s="53"/>
    </row>
    <row r="6313">
      <c r="A6313" s="49">
        <v>44579.42254600694</v>
      </c>
      <c r="B6313" s="50">
        <v>44579.5475203009</v>
      </c>
      <c r="C6313" s="51">
        <v>1.007</v>
      </c>
      <c r="D6313" s="51">
        <v>63.0</v>
      </c>
      <c r="E6313" s="52" t="s">
        <v>25</v>
      </c>
      <c r="F6313" s="52" t="s">
        <v>26</v>
      </c>
      <c r="G6313" s="53"/>
    </row>
    <row r="6314">
      <c r="A6314" s="49">
        <v>44579.43296851852</v>
      </c>
      <c r="B6314" s="50">
        <v>44579.5579396064</v>
      </c>
      <c r="C6314" s="51">
        <v>1.007</v>
      </c>
      <c r="D6314" s="51">
        <v>63.0</v>
      </c>
      <c r="E6314" s="52" t="s">
        <v>25</v>
      </c>
      <c r="F6314" s="52" t="s">
        <v>26</v>
      </c>
      <c r="G6314" s="53"/>
    </row>
    <row r="6315">
      <c r="A6315" s="49">
        <v>44579.44340885417</v>
      </c>
      <c r="B6315" s="50">
        <v>44579.5683842939</v>
      </c>
      <c r="C6315" s="51">
        <v>1.007</v>
      </c>
      <c r="D6315" s="51">
        <v>63.0</v>
      </c>
      <c r="E6315" s="52" t="s">
        <v>25</v>
      </c>
      <c r="F6315" s="52" t="s">
        <v>26</v>
      </c>
      <c r="G6315" s="53"/>
    </row>
    <row r="6316">
      <c r="A6316" s="49">
        <v>44579.45387304398</v>
      </c>
      <c r="B6316" s="50">
        <v>44579.5788291782</v>
      </c>
      <c r="C6316" s="51">
        <v>1.007</v>
      </c>
      <c r="D6316" s="51">
        <v>63.0</v>
      </c>
      <c r="E6316" s="52" t="s">
        <v>25</v>
      </c>
      <c r="F6316" s="52" t="s">
        <v>26</v>
      </c>
      <c r="G6316" s="53"/>
    </row>
    <row r="6317">
      <c r="A6317" s="49">
        <v>44579.46427525463</v>
      </c>
      <c r="B6317" s="50">
        <v>44579.5892478472</v>
      </c>
      <c r="C6317" s="51">
        <v>1.007</v>
      </c>
      <c r="D6317" s="51">
        <v>63.0</v>
      </c>
      <c r="E6317" s="52" t="s">
        <v>25</v>
      </c>
      <c r="F6317" s="52" t="s">
        <v>26</v>
      </c>
      <c r="G6317" s="53"/>
    </row>
    <row r="6318">
      <c r="A6318" s="49">
        <v>44579.47470179398</v>
      </c>
      <c r="B6318" s="50">
        <v>44579.5996707754</v>
      </c>
      <c r="C6318" s="51">
        <v>1.007</v>
      </c>
      <c r="D6318" s="51">
        <v>63.0</v>
      </c>
      <c r="E6318" s="52" t="s">
        <v>25</v>
      </c>
      <c r="F6318" s="52" t="s">
        <v>26</v>
      </c>
      <c r="G6318" s="53"/>
    </row>
    <row r="6319">
      <c r="A6319" s="49">
        <v>44579.48511519676</v>
      </c>
      <c r="B6319" s="50">
        <v>44579.6100911111</v>
      </c>
      <c r="C6319" s="51">
        <v>1.006</v>
      </c>
      <c r="D6319" s="51">
        <v>63.0</v>
      </c>
      <c r="E6319" s="52" t="s">
        <v>25</v>
      </c>
      <c r="F6319" s="52" t="s">
        <v>26</v>
      </c>
      <c r="G6319" s="53"/>
    </row>
    <row r="6320">
      <c r="A6320" s="49">
        <v>44579.495545937505</v>
      </c>
      <c r="B6320" s="50">
        <v>44579.6205235879</v>
      </c>
      <c r="C6320" s="51">
        <v>1.007</v>
      </c>
      <c r="D6320" s="51">
        <v>63.0</v>
      </c>
      <c r="E6320" s="52" t="s">
        <v>25</v>
      </c>
      <c r="F6320" s="52" t="s">
        <v>26</v>
      </c>
      <c r="G6320" s="53"/>
    </row>
    <row r="6321">
      <c r="A6321" s="49">
        <v>44579.50598569444</v>
      </c>
      <c r="B6321" s="50">
        <v>44579.6309570023</v>
      </c>
      <c r="C6321" s="51">
        <v>1.007</v>
      </c>
      <c r="D6321" s="51">
        <v>63.0</v>
      </c>
      <c r="E6321" s="52" t="s">
        <v>25</v>
      </c>
      <c r="F6321" s="52" t="s">
        <v>26</v>
      </c>
      <c r="G6321" s="53"/>
    </row>
    <row r="6322">
      <c r="A6322" s="49">
        <v>44579.51640451389</v>
      </c>
      <c r="B6322" s="50">
        <v>44579.6413779861</v>
      </c>
      <c r="C6322" s="51">
        <v>1.006</v>
      </c>
      <c r="D6322" s="51">
        <v>63.0</v>
      </c>
      <c r="E6322" s="52" t="s">
        <v>25</v>
      </c>
      <c r="F6322" s="52" t="s">
        <v>26</v>
      </c>
      <c r="G6322" s="53"/>
    </row>
    <row r="6323">
      <c r="A6323" s="49">
        <v>44579.526859351856</v>
      </c>
      <c r="B6323" s="50">
        <v>44579.6518334374</v>
      </c>
      <c r="C6323" s="51">
        <v>1.006</v>
      </c>
      <c r="D6323" s="51">
        <v>63.0</v>
      </c>
      <c r="E6323" s="52" t="s">
        <v>25</v>
      </c>
      <c r="F6323" s="52" t="s">
        <v>26</v>
      </c>
      <c r="G6323" s="53"/>
    </row>
    <row r="6324">
      <c r="A6324" s="49">
        <v>44579.53727597222</v>
      </c>
      <c r="B6324" s="50">
        <v>44579.6622534375</v>
      </c>
      <c r="C6324" s="51">
        <v>1.007</v>
      </c>
      <c r="D6324" s="51">
        <v>63.0</v>
      </c>
      <c r="E6324" s="52" t="s">
        <v>25</v>
      </c>
      <c r="F6324" s="52" t="s">
        <v>26</v>
      </c>
      <c r="G6324" s="53"/>
    </row>
    <row r="6325">
      <c r="A6325" s="49">
        <v>44579.54771064815</v>
      </c>
      <c r="B6325" s="50">
        <v>44579.6726852083</v>
      </c>
      <c r="C6325" s="51">
        <v>1.007</v>
      </c>
      <c r="D6325" s="51">
        <v>63.0</v>
      </c>
      <c r="E6325" s="52" t="s">
        <v>25</v>
      </c>
      <c r="F6325" s="52" t="s">
        <v>26</v>
      </c>
      <c r="G6325" s="53"/>
    </row>
    <row r="6326">
      <c r="A6326" s="49">
        <v>44579.55816962963</v>
      </c>
      <c r="B6326" s="50">
        <v>44579.68314103</v>
      </c>
      <c r="C6326" s="51">
        <v>1.006</v>
      </c>
      <c r="D6326" s="51">
        <v>63.0</v>
      </c>
      <c r="E6326" s="52" t="s">
        <v>25</v>
      </c>
      <c r="F6326" s="52" t="s">
        <v>26</v>
      </c>
      <c r="G6326" s="53"/>
    </row>
    <row r="6327">
      <c r="A6327" s="49">
        <v>44579.568588738424</v>
      </c>
      <c r="B6327" s="50">
        <v>44579.6935623379</v>
      </c>
      <c r="C6327" s="51">
        <v>1.007</v>
      </c>
      <c r="D6327" s="51">
        <v>63.0</v>
      </c>
      <c r="E6327" s="52" t="s">
        <v>25</v>
      </c>
      <c r="F6327" s="52" t="s">
        <v>26</v>
      </c>
      <c r="G6327" s="53"/>
    </row>
    <row r="6328">
      <c r="A6328" s="49">
        <v>44579.57900854167</v>
      </c>
      <c r="B6328" s="50">
        <v>44579.7039820486</v>
      </c>
      <c r="C6328" s="51">
        <v>1.007</v>
      </c>
      <c r="D6328" s="51">
        <v>63.0</v>
      </c>
      <c r="E6328" s="52" t="s">
        <v>25</v>
      </c>
      <c r="F6328" s="52" t="s">
        <v>26</v>
      </c>
      <c r="G6328" s="53"/>
    </row>
    <row r="6329">
      <c r="A6329" s="49">
        <v>44579.58943060185</v>
      </c>
      <c r="B6329" s="50">
        <v>44579.7144035069</v>
      </c>
      <c r="C6329" s="51">
        <v>1.007</v>
      </c>
      <c r="D6329" s="51">
        <v>63.0</v>
      </c>
      <c r="E6329" s="52" t="s">
        <v>25</v>
      </c>
      <c r="F6329" s="52" t="s">
        <v>26</v>
      </c>
      <c r="G6329" s="53"/>
    </row>
    <row r="6330">
      <c r="A6330" s="49">
        <v>44579.59988241898</v>
      </c>
      <c r="B6330" s="50">
        <v>44579.7248483217</v>
      </c>
      <c r="C6330" s="51">
        <v>1.007</v>
      </c>
      <c r="D6330" s="51">
        <v>63.0</v>
      </c>
      <c r="E6330" s="52" t="s">
        <v>25</v>
      </c>
      <c r="F6330" s="52" t="s">
        <v>26</v>
      </c>
      <c r="G6330" s="53"/>
    </row>
    <row r="6331">
      <c r="A6331" s="49">
        <v>44579.61029350694</v>
      </c>
      <c r="B6331" s="50">
        <v>44579.7352673842</v>
      </c>
      <c r="C6331" s="51">
        <v>1.007</v>
      </c>
      <c r="D6331" s="51">
        <v>63.0</v>
      </c>
      <c r="E6331" s="52" t="s">
        <v>25</v>
      </c>
      <c r="F6331" s="52" t="s">
        <v>26</v>
      </c>
      <c r="G6331" s="53"/>
    </row>
    <row r="6332">
      <c r="A6332" s="49">
        <v>44579.62075469908</v>
      </c>
      <c r="B6332" s="50">
        <v>44579.7457236226</v>
      </c>
      <c r="C6332" s="51">
        <v>1.007</v>
      </c>
      <c r="D6332" s="51">
        <v>63.0</v>
      </c>
      <c r="E6332" s="52" t="s">
        <v>25</v>
      </c>
      <c r="F6332" s="52" t="s">
        <v>26</v>
      </c>
      <c r="G6332" s="53"/>
    </row>
    <row r="6333">
      <c r="A6333" s="49">
        <v>44579.63116564815</v>
      </c>
      <c r="B6333" s="50">
        <v>44579.7561458912</v>
      </c>
      <c r="C6333" s="51">
        <v>1.007</v>
      </c>
      <c r="D6333" s="51">
        <v>63.0</v>
      </c>
      <c r="E6333" s="52" t="s">
        <v>25</v>
      </c>
      <c r="F6333" s="52" t="s">
        <v>26</v>
      </c>
      <c r="G6333" s="53"/>
    </row>
    <row r="6334">
      <c r="A6334" s="49">
        <v>44579.641602511576</v>
      </c>
      <c r="B6334" s="50">
        <v>44579.7665784722</v>
      </c>
      <c r="C6334" s="51">
        <v>1.007</v>
      </c>
      <c r="D6334" s="51">
        <v>63.0</v>
      </c>
      <c r="E6334" s="52" t="s">
        <v>25</v>
      </c>
      <c r="F6334" s="52" t="s">
        <v>26</v>
      </c>
      <c r="G6334" s="53"/>
    </row>
    <row r="6335">
      <c r="A6335" s="49">
        <v>44579.652039872686</v>
      </c>
      <c r="B6335" s="50">
        <v>44579.7770108564</v>
      </c>
      <c r="C6335" s="51">
        <v>1.007</v>
      </c>
      <c r="D6335" s="51">
        <v>63.0</v>
      </c>
      <c r="E6335" s="52" t="s">
        <v>25</v>
      </c>
      <c r="F6335" s="52" t="s">
        <v>26</v>
      </c>
      <c r="G6335" s="53"/>
    </row>
    <row r="6336">
      <c r="A6336" s="49">
        <v>44579.66245065972</v>
      </c>
      <c r="B6336" s="50">
        <v>44579.7874310416</v>
      </c>
      <c r="C6336" s="51">
        <v>1.007</v>
      </c>
      <c r="D6336" s="51">
        <v>63.0</v>
      </c>
      <c r="E6336" s="52" t="s">
        <v>25</v>
      </c>
      <c r="F6336" s="52" t="s">
        <v>26</v>
      </c>
      <c r="G6336" s="53"/>
    </row>
    <row r="6337">
      <c r="A6337" s="49">
        <v>44579.67287311342</v>
      </c>
      <c r="B6337" s="50">
        <v>44579.7978525578</v>
      </c>
      <c r="C6337" s="51">
        <v>1.007</v>
      </c>
      <c r="D6337" s="51">
        <v>63.0</v>
      </c>
      <c r="E6337" s="52" t="s">
        <v>25</v>
      </c>
      <c r="F6337" s="52" t="s">
        <v>26</v>
      </c>
      <c r="G6337" s="53"/>
    </row>
    <row r="6338">
      <c r="A6338" s="49">
        <v>44579.683300439814</v>
      </c>
      <c r="B6338" s="50">
        <v>44579.8082745601</v>
      </c>
      <c r="C6338" s="51">
        <v>1.007</v>
      </c>
      <c r="D6338" s="51">
        <v>63.0</v>
      </c>
      <c r="E6338" s="52" t="s">
        <v>25</v>
      </c>
      <c r="F6338" s="52" t="s">
        <v>26</v>
      </c>
      <c r="G6338" s="53"/>
    </row>
    <row r="6339">
      <c r="A6339" s="49">
        <v>44579.69372634259</v>
      </c>
      <c r="B6339" s="50">
        <v>44579.8186966203</v>
      </c>
      <c r="C6339" s="51">
        <v>1.007</v>
      </c>
      <c r="D6339" s="51">
        <v>63.0</v>
      </c>
      <c r="E6339" s="52" t="s">
        <v>25</v>
      </c>
      <c r="F6339" s="52" t="s">
        <v>26</v>
      </c>
      <c r="G6339" s="53"/>
    </row>
    <row r="6340">
      <c r="A6340" s="49">
        <v>44579.70414515046</v>
      </c>
      <c r="B6340" s="50">
        <v>44579.8291183217</v>
      </c>
      <c r="C6340" s="51">
        <v>1.007</v>
      </c>
      <c r="D6340" s="51">
        <v>63.0</v>
      </c>
      <c r="E6340" s="52" t="s">
        <v>25</v>
      </c>
      <c r="F6340" s="52" t="s">
        <v>26</v>
      </c>
      <c r="G6340" s="53"/>
    </row>
    <row r="6341">
      <c r="A6341" s="49">
        <v>44579.714568379626</v>
      </c>
      <c r="B6341" s="50">
        <v>44579.8395393518</v>
      </c>
      <c r="C6341" s="51">
        <v>1.006</v>
      </c>
      <c r="D6341" s="51">
        <v>63.0</v>
      </c>
      <c r="E6341" s="52" t="s">
        <v>25</v>
      </c>
      <c r="F6341" s="52" t="s">
        <v>26</v>
      </c>
      <c r="G6341" s="53"/>
    </row>
    <row r="6342">
      <c r="A6342" s="49">
        <v>44579.724989270835</v>
      </c>
      <c r="B6342" s="50">
        <v>44579.849971331</v>
      </c>
      <c r="C6342" s="51">
        <v>1.007</v>
      </c>
      <c r="D6342" s="51">
        <v>63.0</v>
      </c>
      <c r="E6342" s="52" t="s">
        <v>25</v>
      </c>
      <c r="F6342" s="52" t="s">
        <v>26</v>
      </c>
      <c r="G6342" s="53"/>
    </row>
    <row r="6343">
      <c r="A6343" s="49">
        <v>44579.73543880787</v>
      </c>
      <c r="B6343" s="50">
        <v>44579.8604161111</v>
      </c>
      <c r="C6343" s="51">
        <v>1.007</v>
      </c>
      <c r="D6343" s="51">
        <v>63.0</v>
      </c>
      <c r="E6343" s="52" t="s">
        <v>25</v>
      </c>
      <c r="F6343" s="52" t="s">
        <v>26</v>
      </c>
      <c r="G6343" s="53"/>
    </row>
    <row r="6344">
      <c r="A6344" s="49">
        <v>44579.74586351852</v>
      </c>
      <c r="B6344" s="50">
        <v>44579.8708355208</v>
      </c>
      <c r="C6344" s="51">
        <v>1.006</v>
      </c>
      <c r="D6344" s="51">
        <v>63.0</v>
      </c>
      <c r="E6344" s="52" t="s">
        <v>25</v>
      </c>
      <c r="F6344" s="52" t="s">
        <v>26</v>
      </c>
      <c r="G6344" s="53"/>
    </row>
    <row r="6345">
      <c r="A6345" s="49">
        <v>44579.75628756944</v>
      </c>
      <c r="B6345" s="50">
        <v>44579.8812561689</v>
      </c>
      <c r="C6345" s="51">
        <v>1.006</v>
      </c>
      <c r="D6345" s="51">
        <v>63.0</v>
      </c>
      <c r="E6345" s="52" t="s">
        <v>25</v>
      </c>
      <c r="F6345" s="52" t="s">
        <v>26</v>
      </c>
      <c r="G6345" s="53"/>
    </row>
    <row r="6346">
      <c r="A6346" s="49">
        <v>44579.7666957176</v>
      </c>
      <c r="B6346" s="50">
        <v>44579.8916783564</v>
      </c>
      <c r="C6346" s="51">
        <v>1.006</v>
      </c>
      <c r="D6346" s="51">
        <v>63.0</v>
      </c>
      <c r="E6346" s="52" t="s">
        <v>25</v>
      </c>
      <c r="F6346" s="52" t="s">
        <v>26</v>
      </c>
      <c r="G6346" s="53"/>
    </row>
    <row r="6347">
      <c r="A6347" s="49">
        <v>44579.777122314816</v>
      </c>
      <c r="B6347" s="50">
        <v>44579.9021003356</v>
      </c>
      <c r="C6347" s="51">
        <v>1.006</v>
      </c>
      <c r="D6347" s="51">
        <v>63.0</v>
      </c>
      <c r="E6347" s="52" t="s">
        <v>25</v>
      </c>
      <c r="F6347" s="52" t="s">
        <v>26</v>
      </c>
      <c r="G6347" s="53"/>
    </row>
    <row r="6348">
      <c r="A6348" s="49">
        <v>44579.78757119213</v>
      </c>
      <c r="B6348" s="50">
        <v>44579.912533912</v>
      </c>
      <c r="C6348" s="51">
        <v>1.006</v>
      </c>
      <c r="D6348" s="51">
        <v>63.0</v>
      </c>
      <c r="E6348" s="52" t="s">
        <v>25</v>
      </c>
      <c r="F6348" s="52" t="s">
        <v>26</v>
      </c>
      <c r="G6348" s="53"/>
    </row>
    <row r="6349">
      <c r="A6349" s="49">
        <v>44579.7980080787</v>
      </c>
      <c r="B6349" s="50">
        <v>44579.9229889467</v>
      </c>
      <c r="C6349" s="51">
        <v>1.006</v>
      </c>
      <c r="D6349" s="51">
        <v>63.0</v>
      </c>
      <c r="E6349" s="52" t="s">
        <v>25</v>
      </c>
      <c r="F6349" s="52" t="s">
        <v>26</v>
      </c>
      <c r="G6349" s="53"/>
    </row>
    <row r="6350">
      <c r="A6350" s="49">
        <v>44579.808452881945</v>
      </c>
      <c r="B6350" s="50">
        <v>44579.9334218749</v>
      </c>
      <c r="C6350" s="51">
        <v>1.007</v>
      </c>
      <c r="D6350" s="51">
        <v>63.0</v>
      </c>
      <c r="E6350" s="52" t="s">
        <v>25</v>
      </c>
      <c r="F6350" s="52" t="s">
        <v>26</v>
      </c>
      <c r="G6350" s="53"/>
    </row>
    <row r="6351">
      <c r="A6351" s="49">
        <v>44579.8188925</v>
      </c>
      <c r="B6351" s="50">
        <v>44579.9438783912</v>
      </c>
      <c r="C6351" s="51">
        <v>1.006</v>
      </c>
      <c r="D6351" s="51">
        <v>63.0</v>
      </c>
      <c r="E6351" s="52" t="s">
        <v>25</v>
      </c>
      <c r="F6351" s="52" t="s">
        <v>26</v>
      </c>
      <c r="G6351" s="53"/>
    </row>
    <row r="6352">
      <c r="A6352" s="49">
        <v>44579.82931582176</v>
      </c>
      <c r="B6352" s="50">
        <v>44579.9542985069</v>
      </c>
      <c r="C6352" s="51">
        <v>1.006</v>
      </c>
      <c r="D6352" s="51">
        <v>63.0</v>
      </c>
      <c r="E6352" s="52" t="s">
        <v>25</v>
      </c>
      <c r="F6352" s="52" t="s">
        <v>26</v>
      </c>
      <c r="G6352" s="53"/>
    </row>
    <row r="6353">
      <c r="A6353" s="49">
        <v>44579.839759375</v>
      </c>
      <c r="B6353" s="50">
        <v>44579.9647313425</v>
      </c>
      <c r="C6353" s="51">
        <v>1.006</v>
      </c>
      <c r="D6353" s="51">
        <v>63.0</v>
      </c>
      <c r="E6353" s="52" t="s">
        <v>25</v>
      </c>
      <c r="F6353" s="52" t="s">
        <v>26</v>
      </c>
      <c r="G6353" s="53"/>
    </row>
    <row r="6354">
      <c r="A6354" s="49">
        <v>44579.85018945602</v>
      </c>
      <c r="B6354" s="50">
        <v>44579.9751640277</v>
      </c>
      <c r="C6354" s="51">
        <v>1.006</v>
      </c>
      <c r="D6354" s="51">
        <v>63.0</v>
      </c>
      <c r="E6354" s="52" t="s">
        <v>25</v>
      </c>
      <c r="F6354" s="52" t="s">
        <v>26</v>
      </c>
      <c r="G6354" s="53"/>
    </row>
    <row r="6355">
      <c r="A6355" s="49">
        <v>44579.86060759259</v>
      </c>
      <c r="B6355" s="50">
        <v>44579.9855864699</v>
      </c>
      <c r="C6355" s="51">
        <v>1.006</v>
      </c>
      <c r="D6355" s="51">
        <v>63.0</v>
      </c>
      <c r="E6355" s="52" t="s">
        <v>25</v>
      </c>
      <c r="F6355" s="52" t="s">
        <v>26</v>
      </c>
      <c r="G6355" s="53"/>
    </row>
    <row r="6356">
      <c r="A6356" s="49">
        <v>44579.87103643519</v>
      </c>
      <c r="B6356" s="50">
        <v>44579.9960098263</v>
      </c>
      <c r="C6356" s="51">
        <v>1.006</v>
      </c>
      <c r="D6356" s="51">
        <v>63.0</v>
      </c>
      <c r="E6356" s="52" t="s">
        <v>25</v>
      </c>
      <c r="F6356" s="52" t="s">
        <v>26</v>
      </c>
      <c r="G6356" s="53"/>
    </row>
    <row r="6357">
      <c r="A6357" s="49">
        <v>44579.88148142361</v>
      </c>
      <c r="B6357" s="50">
        <v>44580.0064560995</v>
      </c>
      <c r="C6357" s="51">
        <v>1.006</v>
      </c>
      <c r="D6357" s="51">
        <v>63.0</v>
      </c>
      <c r="E6357" s="52" t="s">
        <v>25</v>
      </c>
      <c r="F6357" s="52" t="s">
        <v>26</v>
      </c>
      <c r="G6357" s="53"/>
    </row>
    <row r="6358">
      <c r="A6358" s="49">
        <v>44579.891914594904</v>
      </c>
      <c r="B6358" s="50">
        <v>44580.0168881597</v>
      </c>
      <c r="C6358" s="51">
        <v>1.006</v>
      </c>
      <c r="D6358" s="51">
        <v>63.0</v>
      </c>
      <c r="E6358" s="52" t="s">
        <v>25</v>
      </c>
      <c r="F6358" s="52" t="s">
        <v>26</v>
      </c>
      <c r="G6358" s="53"/>
    </row>
    <row r="6359">
      <c r="A6359" s="49">
        <v>44579.9023475463</v>
      </c>
      <c r="B6359" s="50">
        <v>44580.0273205439</v>
      </c>
      <c r="C6359" s="51">
        <v>1.006</v>
      </c>
      <c r="D6359" s="51">
        <v>63.0</v>
      </c>
      <c r="E6359" s="52" t="s">
        <v>25</v>
      </c>
      <c r="F6359" s="52" t="s">
        <v>26</v>
      </c>
      <c r="G6359" s="53"/>
    </row>
    <row r="6360">
      <c r="A6360" s="49">
        <v>44579.9127615162</v>
      </c>
      <c r="B6360" s="50">
        <v>44580.037743206</v>
      </c>
      <c r="C6360" s="51">
        <v>1.006</v>
      </c>
      <c r="D6360" s="51">
        <v>63.0</v>
      </c>
      <c r="E6360" s="52" t="s">
        <v>25</v>
      </c>
      <c r="F6360" s="52" t="s">
        <v>26</v>
      </c>
      <c r="G6360" s="53"/>
    </row>
    <row r="6361">
      <c r="A6361" s="49">
        <v>44579.92323505787</v>
      </c>
      <c r="B6361" s="50">
        <v>44580.0482105787</v>
      </c>
      <c r="C6361" s="51">
        <v>1.006</v>
      </c>
      <c r="D6361" s="51">
        <v>63.0</v>
      </c>
      <c r="E6361" s="52" t="s">
        <v>25</v>
      </c>
      <c r="F6361" s="52" t="s">
        <v>26</v>
      </c>
      <c r="G6361" s="53"/>
    </row>
    <row r="6362">
      <c r="A6362" s="49">
        <v>44579.933676064815</v>
      </c>
      <c r="B6362" s="50">
        <v>44580.0586430902</v>
      </c>
      <c r="C6362" s="51">
        <v>1.006</v>
      </c>
      <c r="D6362" s="51">
        <v>63.0</v>
      </c>
      <c r="E6362" s="52" t="s">
        <v>25</v>
      </c>
      <c r="F6362" s="52" t="s">
        <v>26</v>
      </c>
      <c r="G6362" s="53"/>
    </row>
    <row r="6363">
      <c r="A6363" s="49">
        <v>44579.94408914352</v>
      </c>
      <c r="B6363" s="50">
        <v>44580.0690638194</v>
      </c>
      <c r="C6363" s="51">
        <v>1.006</v>
      </c>
      <c r="D6363" s="51">
        <v>64.0</v>
      </c>
      <c r="E6363" s="52" t="s">
        <v>25</v>
      </c>
      <c r="F6363" s="52" t="s">
        <v>26</v>
      </c>
      <c r="G6363" s="53"/>
    </row>
    <row r="6364">
      <c r="A6364" s="49">
        <v>44579.95452712963</v>
      </c>
      <c r="B6364" s="50">
        <v>44580.0794855208</v>
      </c>
      <c r="C6364" s="51">
        <v>1.006</v>
      </c>
      <c r="D6364" s="51">
        <v>64.0</v>
      </c>
      <c r="E6364" s="52" t="s">
        <v>25</v>
      </c>
      <c r="F6364" s="52" t="s">
        <v>26</v>
      </c>
      <c r="G6364" s="53"/>
    </row>
    <row r="6365">
      <c r="A6365" s="49">
        <v>44579.96494096065</v>
      </c>
      <c r="B6365" s="50">
        <v>44580.0899186574</v>
      </c>
      <c r="C6365" s="51">
        <v>1.006</v>
      </c>
      <c r="D6365" s="51">
        <v>65.0</v>
      </c>
      <c r="E6365" s="52" t="s">
        <v>25</v>
      </c>
      <c r="F6365" s="52" t="s">
        <v>26</v>
      </c>
      <c r="G6365" s="53"/>
    </row>
    <row r="6366">
      <c r="A6366" s="49">
        <v>44579.97536327546</v>
      </c>
      <c r="B6366" s="50">
        <v>44580.1003405208</v>
      </c>
      <c r="C6366" s="51">
        <v>1.006</v>
      </c>
      <c r="D6366" s="51">
        <v>65.0</v>
      </c>
      <c r="E6366" s="52" t="s">
        <v>25</v>
      </c>
      <c r="F6366" s="52" t="s">
        <v>26</v>
      </c>
      <c r="G6366" s="53"/>
    </row>
    <row r="6367">
      <c r="A6367" s="49">
        <v>44579.98578837963</v>
      </c>
      <c r="B6367" s="50">
        <v>44580.1107645949</v>
      </c>
      <c r="C6367" s="51">
        <v>1.006</v>
      </c>
      <c r="D6367" s="51">
        <v>66.0</v>
      </c>
      <c r="E6367" s="52" t="s">
        <v>25</v>
      </c>
      <c r="F6367" s="52" t="s">
        <v>26</v>
      </c>
      <c r="G6367" s="53"/>
    </row>
    <row r="6368">
      <c r="A6368" s="49">
        <v>44579.996212048616</v>
      </c>
      <c r="B6368" s="50">
        <v>44580.1211849768</v>
      </c>
      <c r="C6368" s="51">
        <v>1.006</v>
      </c>
      <c r="D6368" s="51">
        <v>66.0</v>
      </c>
      <c r="E6368" s="52" t="s">
        <v>25</v>
      </c>
      <c r="F6368" s="52" t="s">
        <v>26</v>
      </c>
      <c r="G6368" s="53"/>
    </row>
    <row r="6369">
      <c r="A6369" s="49">
        <v>44580.006636446764</v>
      </c>
      <c r="B6369" s="50">
        <v>44580.1316068287</v>
      </c>
      <c r="C6369" s="51">
        <v>1.006</v>
      </c>
      <c r="D6369" s="51">
        <v>66.0</v>
      </c>
      <c r="E6369" s="52" t="s">
        <v>25</v>
      </c>
      <c r="F6369" s="52" t="s">
        <v>26</v>
      </c>
      <c r="G6369" s="53"/>
    </row>
    <row r="6370">
      <c r="A6370" s="49">
        <v>44580.01705603009</v>
      </c>
      <c r="B6370" s="50">
        <v>44580.1420374999</v>
      </c>
      <c r="C6370" s="51">
        <v>1.006</v>
      </c>
      <c r="D6370" s="51">
        <v>67.0</v>
      </c>
      <c r="E6370" s="52" t="s">
        <v>25</v>
      </c>
      <c r="F6370" s="52" t="s">
        <v>26</v>
      </c>
      <c r="G6370" s="53"/>
    </row>
    <row r="6371">
      <c r="A6371" s="49">
        <v>44580.02747865741</v>
      </c>
      <c r="B6371" s="50">
        <v>44580.1524597222</v>
      </c>
      <c r="C6371" s="51">
        <v>1.006</v>
      </c>
      <c r="D6371" s="51">
        <v>67.0</v>
      </c>
      <c r="E6371" s="52" t="s">
        <v>25</v>
      </c>
      <c r="F6371" s="52" t="s">
        <v>26</v>
      </c>
      <c r="G6371" s="53"/>
    </row>
    <row r="6372">
      <c r="A6372" s="49">
        <v>44580.03789626157</v>
      </c>
      <c r="B6372" s="50">
        <v>44580.1628801967</v>
      </c>
      <c r="C6372" s="51">
        <v>1.006</v>
      </c>
      <c r="D6372" s="51">
        <v>68.0</v>
      </c>
      <c r="E6372" s="52" t="s">
        <v>25</v>
      </c>
      <c r="F6372" s="52" t="s">
        <v>26</v>
      </c>
      <c r="G6372" s="53"/>
    </row>
    <row r="6373">
      <c r="A6373" s="49">
        <v>44580.04835232639</v>
      </c>
      <c r="B6373" s="50">
        <v>44580.173323831</v>
      </c>
      <c r="C6373" s="51">
        <v>1.006</v>
      </c>
      <c r="D6373" s="51">
        <v>68.0</v>
      </c>
      <c r="E6373" s="52" t="s">
        <v>25</v>
      </c>
      <c r="F6373" s="52" t="s">
        <v>26</v>
      </c>
      <c r="G6373" s="53"/>
    </row>
    <row r="6374">
      <c r="A6374" s="49">
        <v>44580.058771550925</v>
      </c>
      <c r="B6374" s="50">
        <v>44580.1837442592</v>
      </c>
      <c r="C6374" s="51">
        <v>1.006</v>
      </c>
      <c r="D6374" s="51">
        <v>68.0</v>
      </c>
      <c r="E6374" s="52" t="s">
        <v>25</v>
      </c>
      <c r="F6374" s="52" t="s">
        <v>26</v>
      </c>
      <c r="G6374" s="53"/>
    </row>
    <row r="6375">
      <c r="A6375" s="49">
        <v>44580.069219467594</v>
      </c>
      <c r="B6375" s="50">
        <v>44580.1941985995</v>
      </c>
      <c r="C6375" s="51">
        <v>1.006</v>
      </c>
      <c r="D6375" s="51">
        <v>68.0</v>
      </c>
      <c r="E6375" s="52" t="s">
        <v>25</v>
      </c>
      <c r="F6375" s="52" t="s">
        <v>26</v>
      </c>
      <c r="G6375" s="53"/>
    </row>
    <row r="6376">
      <c r="A6376" s="49">
        <v>44580.07965181713</v>
      </c>
      <c r="B6376" s="50">
        <v>44580.2046302662</v>
      </c>
      <c r="C6376" s="51">
        <v>1.006</v>
      </c>
      <c r="D6376" s="51">
        <v>68.0</v>
      </c>
      <c r="E6376" s="52" t="s">
        <v>25</v>
      </c>
      <c r="F6376" s="52" t="s">
        <v>26</v>
      </c>
      <c r="G6376" s="53"/>
    </row>
    <row r="6377">
      <c r="A6377" s="49">
        <v>44580.09009172454</v>
      </c>
      <c r="B6377" s="50">
        <v>44580.2150642592</v>
      </c>
      <c r="C6377" s="51">
        <v>1.006</v>
      </c>
      <c r="D6377" s="51">
        <v>68.0</v>
      </c>
      <c r="E6377" s="52" t="s">
        <v>25</v>
      </c>
      <c r="F6377" s="52" t="s">
        <v>26</v>
      </c>
      <c r="G6377" s="53"/>
    </row>
    <row r="6378">
      <c r="A6378" s="49">
        <v>44580.10051346065</v>
      </c>
      <c r="B6378" s="50">
        <v>44580.2254854861</v>
      </c>
      <c r="C6378" s="51">
        <v>1.006</v>
      </c>
      <c r="D6378" s="51">
        <v>68.0</v>
      </c>
      <c r="E6378" s="52" t="s">
        <v>25</v>
      </c>
      <c r="F6378" s="52" t="s">
        <v>26</v>
      </c>
      <c r="G6378" s="53"/>
    </row>
    <row r="6379">
      <c r="A6379" s="49">
        <v>44580.110927974536</v>
      </c>
      <c r="B6379" s="50">
        <v>44580.2359055092</v>
      </c>
      <c r="C6379" s="51">
        <v>1.006</v>
      </c>
      <c r="D6379" s="51">
        <v>68.0</v>
      </c>
      <c r="E6379" s="52" t="s">
        <v>25</v>
      </c>
      <c r="F6379" s="52" t="s">
        <v>26</v>
      </c>
      <c r="G6379" s="53"/>
    </row>
    <row r="6380">
      <c r="A6380" s="49">
        <v>44580.121369189816</v>
      </c>
      <c r="B6380" s="50">
        <v>44580.2463510416</v>
      </c>
      <c r="C6380" s="51">
        <v>1.006</v>
      </c>
      <c r="D6380" s="51">
        <v>68.0</v>
      </c>
      <c r="E6380" s="52" t="s">
        <v>25</v>
      </c>
      <c r="F6380" s="52" t="s">
        <v>26</v>
      </c>
      <c r="G6380" s="53"/>
    </row>
    <row r="6381">
      <c r="A6381" s="49">
        <v>44580.13179809028</v>
      </c>
      <c r="B6381" s="50">
        <v>44580.2567726388</v>
      </c>
      <c r="C6381" s="51">
        <v>1.006</v>
      </c>
      <c r="D6381" s="51">
        <v>68.0</v>
      </c>
      <c r="E6381" s="52" t="s">
        <v>25</v>
      </c>
      <c r="F6381" s="52" t="s">
        <v>26</v>
      </c>
      <c r="G6381" s="53"/>
    </row>
    <row r="6382">
      <c r="A6382" s="49">
        <v>44580.14221710648</v>
      </c>
      <c r="B6382" s="50">
        <v>44580.2671949305</v>
      </c>
      <c r="C6382" s="51">
        <v>1.006</v>
      </c>
      <c r="D6382" s="51">
        <v>68.0</v>
      </c>
      <c r="E6382" s="52" t="s">
        <v>25</v>
      </c>
      <c r="F6382" s="52" t="s">
        <v>26</v>
      </c>
      <c r="G6382" s="53"/>
    </row>
    <row r="6383">
      <c r="A6383" s="49">
        <v>44580.15263832176</v>
      </c>
      <c r="B6383" s="50">
        <v>44580.2776177546</v>
      </c>
      <c r="C6383" s="51">
        <v>1.006</v>
      </c>
      <c r="D6383" s="51">
        <v>67.0</v>
      </c>
      <c r="E6383" s="52" t="s">
        <v>25</v>
      </c>
      <c r="F6383" s="52" t="s">
        <v>26</v>
      </c>
      <c r="G6383" s="53"/>
    </row>
    <row r="6384">
      <c r="A6384" s="49">
        <v>44580.16306103009</v>
      </c>
      <c r="B6384" s="50">
        <v>44580.2880373148</v>
      </c>
      <c r="C6384" s="51">
        <v>1.006</v>
      </c>
      <c r="D6384" s="51">
        <v>67.0</v>
      </c>
      <c r="E6384" s="52" t="s">
        <v>25</v>
      </c>
      <c r="F6384" s="52" t="s">
        <v>26</v>
      </c>
      <c r="G6384" s="53"/>
    </row>
    <row r="6385">
      <c r="A6385" s="49">
        <v>44580.17350521991</v>
      </c>
      <c r="B6385" s="50">
        <v>44580.2984808449</v>
      </c>
      <c r="C6385" s="51">
        <v>1.006</v>
      </c>
      <c r="D6385" s="51">
        <v>67.0</v>
      </c>
      <c r="E6385" s="52" t="s">
        <v>25</v>
      </c>
      <c r="F6385" s="52" t="s">
        <v>26</v>
      </c>
      <c r="G6385" s="53"/>
    </row>
    <row r="6386">
      <c r="A6386" s="49">
        <v>44580.18396083333</v>
      </c>
      <c r="B6386" s="50">
        <v>44580.308937199</v>
      </c>
      <c r="C6386" s="51">
        <v>1.006</v>
      </c>
      <c r="D6386" s="51">
        <v>67.0</v>
      </c>
      <c r="E6386" s="52" t="s">
        <v>25</v>
      </c>
      <c r="F6386" s="52" t="s">
        <v>26</v>
      </c>
      <c r="G6386" s="53"/>
    </row>
    <row r="6387">
      <c r="A6387" s="49">
        <v>44580.194389826385</v>
      </c>
      <c r="B6387" s="50">
        <v>44580.3193698842</v>
      </c>
      <c r="C6387" s="51">
        <v>1.006</v>
      </c>
      <c r="D6387" s="51">
        <v>67.0</v>
      </c>
      <c r="E6387" s="52" t="s">
        <v>25</v>
      </c>
      <c r="F6387" s="52" t="s">
        <v>26</v>
      </c>
      <c r="G6387" s="53"/>
    </row>
    <row r="6388">
      <c r="A6388" s="49">
        <v>44580.204819085644</v>
      </c>
      <c r="B6388" s="50">
        <v>44580.329790324</v>
      </c>
      <c r="C6388" s="51">
        <v>1.006</v>
      </c>
      <c r="D6388" s="51">
        <v>67.0</v>
      </c>
      <c r="E6388" s="52" t="s">
        <v>25</v>
      </c>
      <c r="F6388" s="52" t="s">
        <v>26</v>
      </c>
      <c r="G6388" s="53"/>
    </row>
    <row r="6389">
      <c r="A6389" s="49">
        <v>44580.215278414355</v>
      </c>
      <c r="B6389" s="50">
        <v>44580.3402600347</v>
      </c>
      <c r="C6389" s="51">
        <v>1.006</v>
      </c>
      <c r="D6389" s="51">
        <v>67.0</v>
      </c>
      <c r="E6389" s="52" t="s">
        <v>25</v>
      </c>
      <c r="F6389" s="52" t="s">
        <v>26</v>
      </c>
      <c r="G6389" s="53"/>
    </row>
    <row r="6390">
      <c r="A6390" s="49">
        <v>44580.225731631945</v>
      </c>
      <c r="B6390" s="50">
        <v>44580.3507049768</v>
      </c>
      <c r="C6390" s="51">
        <v>1.006</v>
      </c>
      <c r="D6390" s="51">
        <v>67.0</v>
      </c>
      <c r="E6390" s="52" t="s">
        <v>25</v>
      </c>
      <c r="F6390" s="52" t="s">
        <v>26</v>
      </c>
      <c r="G6390" s="53"/>
    </row>
    <row r="6391">
      <c r="A6391" s="49">
        <v>44580.23615380787</v>
      </c>
      <c r="B6391" s="50">
        <v>44580.3611255092</v>
      </c>
      <c r="C6391" s="51">
        <v>1.006</v>
      </c>
      <c r="D6391" s="51">
        <v>67.0</v>
      </c>
      <c r="E6391" s="52" t="s">
        <v>25</v>
      </c>
      <c r="F6391" s="52" t="s">
        <v>26</v>
      </c>
      <c r="G6391" s="53"/>
    </row>
    <row r="6392">
      <c r="A6392" s="49">
        <v>44580.24662510416</v>
      </c>
      <c r="B6392" s="50">
        <v>44580.3716067476</v>
      </c>
      <c r="C6392" s="51">
        <v>1.006</v>
      </c>
      <c r="D6392" s="51">
        <v>67.0</v>
      </c>
      <c r="E6392" s="52" t="s">
        <v>25</v>
      </c>
      <c r="F6392" s="52" t="s">
        <v>26</v>
      </c>
      <c r="G6392" s="53"/>
    </row>
    <row r="6393">
      <c r="A6393" s="49">
        <v>44580.2570709838</v>
      </c>
      <c r="B6393" s="50">
        <v>44580.3820531365</v>
      </c>
      <c r="C6393" s="51">
        <v>1.006</v>
      </c>
      <c r="D6393" s="51">
        <v>67.0</v>
      </c>
      <c r="E6393" s="52" t="s">
        <v>25</v>
      </c>
      <c r="F6393" s="52" t="s">
        <v>26</v>
      </c>
      <c r="G6393" s="53"/>
    </row>
    <row r="6394">
      <c r="A6394" s="49">
        <v>44580.267536018524</v>
      </c>
      <c r="B6394" s="50">
        <v>44580.3925095949</v>
      </c>
      <c r="C6394" s="51">
        <v>1.006</v>
      </c>
      <c r="D6394" s="51">
        <v>67.0</v>
      </c>
      <c r="E6394" s="52" t="s">
        <v>25</v>
      </c>
      <c r="F6394" s="52" t="s">
        <v>26</v>
      </c>
      <c r="G6394" s="53"/>
    </row>
    <row r="6395">
      <c r="A6395" s="49">
        <v>44580.27799311343</v>
      </c>
      <c r="B6395" s="50">
        <v>44580.4029661574</v>
      </c>
      <c r="C6395" s="51">
        <v>1.006</v>
      </c>
      <c r="D6395" s="51">
        <v>67.0</v>
      </c>
      <c r="E6395" s="52" t="s">
        <v>25</v>
      </c>
      <c r="F6395" s="52" t="s">
        <v>26</v>
      </c>
      <c r="G6395" s="53"/>
    </row>
    <row r="6396">
      <c r="A6396" s="49">
        <v>44580.28840934028</v>
      </c>
      <c r="B6396" s="50">
        <v>44580.4133865046</v>
      </c>
      <c r="C6396" s="51">
        <v>1.006</v>
      </c>
      <c r="D6396" s="51">
        <v>67.0</v>
      </c>
      <c r="E6396" s="52" t="s">
        <v>25</v>
      </c>
      <c r="F6396" s="52" t="s">
        <v>26</v>
      </c>
      <c r="G6396" s="53"/>
    </row>
    <row r="6397">
      <c r="A6397" s="49">
        <v>44580.298837905095</v>
      </c>
      <c r="B6397" s="50">
        <v>44580.4238086689</v>
      </c>
      <c r="C6397" s="51">
        <v>1.006</v>
      </c>
      <c r="D6397" s="51">
        <v>67.0</v>
      </c>
      <c r="E6397" s="52" t="s">
        <v>25</v>
      </c>
      <c r="F6397" s="52" t="s">
        <v>26</v>
      </c>
      <c r="G6397" s="53"/>
    </row>
    <row r="6398">
      <c r="A6398" s="49">
        <v>44580.30927481482</v>
      </c>
      <c r="B6398" s="50">
        <v>44580.4342428819</v>
      </c>
      <c r="C6398" s="51">
        <v>1.006</v>
      </c>
      <c r="D6398" s="51">
        <v>67.0</v>
      </c>
      <c r="E6398" s="52" t="s">
        <v>25</v>
      </c>
      <c r="F6398" s="52" t="s">
        <v>26</v>
      </c>
      <c r="G6398" s="53"/>
    </row>
    <row r="6399">
      <c r="A6399" s="49">
        <v>44580.31977125</v>
      </c>
      <c r="B6399" s="50">
        <v>44580.4447336574</v>
      </c>
      <c r="C6399" s="51">
        <v>1.006</v>
      </c>
      <c r="D6399" s="51">
        <v>67.0</v>
      </c>
      <c r="E6399" s="52" t="s">
        <v>25</v>
      </c>
      <c r="F6399" s="52" t="s">
        <v>26</v>
      </c>
      <c r="G6399" s="53"/>
    </row>
    <row r="6400">
      <c r="A6400" s="49">
        <v>44580.33020082176</v>
      </c>
      <c r="B6400" s="50">
        <v>44580.4551766435</v>
      </c>
      <c r="C6400" s="51">
        <v>1.006</v>
      </c>
      <c r="D6400" s="51">
        <v>67.0</v>
      </c>
      <c r="E6400" s="52" t="s">
        <v>25</v>
      </c>
      <c r="F6400" s="52" t="s">
        <v>26</v>
      </c>
      <c r="G6400" s="53"/>
    </row>
    <row r="6401">
      <c r="A6401" s="49">
        <v>44580.34062834491</v>
      </c>
      <c r="B6401" s="50">
        <v>44580.4655983217</v>
      </c>
      <c r="C6401" s="51">
        <v>1.006</v>
      </c>
      <c r="D6401" s="51">
        <v>67.0</v>
      </c>
      <c r="E6401" s="52" t="s">
        <v>25</v>
      </c>
      <c r="F6401" s="52" t="s">
        <v>26</v>
      </c>
      <c r="G6401" s="53"/>
    </row>
    <row r="6402">
      <c r="A6402" s="49">
        <v>44580.351064675924</v>
      </c>
      <c r="B6402" s="50">
        <v>44580.4760424305</v>
      </c>
      <c r="C6402" s="51">
        <v>1.006</v>
      </c>
      <c r="D6402" s="51">
        <v>67.0</v>
      </c>
      <c r="E6402" s="52" t="s">
        <v>25</v>
      </c>
      <c r="F6402" s="52" t="s">
        <v>26</v>
      </c>
      <c r="G6402" s="53"/>
    </row>
    <row r="6403">
      <c r="A6403" s="49">
        <v>44580.36149040509</v>
      </c>
      <c r="B6403" s="50">
        <v>44580.4864627199</v>
      </c>
      <c r="C6403" s="51">
        <v>1.006</v>
      </c>
      <c r="D6403" s="51">
        <v>67.0</v>
      </c>
      <c r="E6403" s="52" t="s">
        <v>25</v>
      </c>
      <c r="F6403" s="52" t="s">
        <v>26</v>
      </c>
      <c r="G6403" s="53"/>
    </row>
    <row r="6404">
      <c r="A6404" s="49">
        <v>44580.37190262732</v>
      </c>
      <c r="B6404" s="50">
        <v>44580.4968826388</v>
      </c>
      <c r="C6404" s="51">
        <v>1.006</v>
      </c>
      <c r="D6404" s="51">
        <v>67.0</v>
      </c>
      <c r="E6404" s="52" t="s">
        <v>25</v>
      </c>
      <c r="F6404" s="52" t="s">
        <v>26</v>
      </c>
      <c r="G6404" s="53"/>
    </row>
    <row r="6405">
      <c r="A6405" s="49">
        <v>44580.38242059028</v>
      </c>
      <c r="B6405" s="50">
        <v>44580.5073842939</v>
      </c>
      <c r="C6405" s="51">
        <v>1.006</v>
      </c>
      <c r="D6405" s="51">
        <v>67.0</v>
      </c>
      <c r="E6405" s="52" t="s">
        <v>25</v>
      </c>
      <c r="F6405" s="52" t="s">
        <v>26</v>
      </c>
      <c r="G6405" s="53"/>
    </row>
    <row r="6406">
      <c r="A6406" s="49">
        <v>44580.392840810186</v>
      </c>
      <c r="B6406" s="50">
        <v>44580.5178170023</v>
      </c>
      <c r="C6406" s="51">
        <v>1.006</v>
      </c>
      <c r="D6406" s="51">
        <v>66.0</v>
      </c>
      <c r="E6406" s="52" t="s">
        <v>25</v>
      </c>
      <c r="F6406" s="52" t="s">
        <v>26</v>
      </c>
      <c r="G6406" s="53"/>
    </row>
    <row r="6407">
      <c r="A6407" s="49">
        <v>44580.40326186342</v>
      </c>
      <c r="B6407" s="50">
        <v>44580.5282378819</v>
      </c>
      <c r="C6407" s="51">
        <v>1.006</v>
      </c>
      <c r="D6407" s="51">
        <v>66.0</v>
      </c>
      <c r="E6407" s="52" t="s">
        <v>25</v>
      </c>
      <c r="F6407" s="52" t="s">
        <v>26</v>
      </c>
      <c r="G6407" s="53"/>
    </row>
    <row r="6408">
      <c r="A6408" s="49">
        <v>44580.413678321755</v>
      </c>
      <c r="B6408" s="50">
        <v>44580.538659155</v>
      </c>
      <c r="C6408" s="51">
        <v>1.006</v>
      </c>
      <c r="D6408" s="51">
        <v>66.0</v>
      </c>
      <c r="E6408" s="52" t="s">
        <v>25</v>
      </c>
      <c r="F6408" s="52" t="s">
        <v>26</v>
      </c>
      <c r="G6408" s="53"/>
    </row>
    <row r="6409">
      <c r="A6409" s="49">
        <v>44580.424110127315</v>
      </c>
      <c r="B6409" s="50">
        <v>44580.5490924074</v>
      </c>
      <c r="C6409" s="51">
        <v>1.006</v>
      </c>
      <c r="D6409" s="51">
        <v>66.0</v>
      </c>
      <c r="E6409" s="52" t="s">
        <v>25</v>
      </c>
      <c r="F6409" s="52" t="s">
        <v>26</v>
      </c>
      <c r="G6409" s="53"/>
    </row>
    <row r="6410">
      <c r="A6410" s="49">
        <v>44580.43454511574</v>
      </c>
      <c r="B6410" s="50">
        <v>44580.5595142129</v>
      </c>
      <c r="C6410" s="51">
        <v>1.006</v>
      </c>
      <c r="D6410" s="51">
        <v>66.0</v>
      </c>
      <c r="E6410" s="52" t="s">
        <v>25</v>
      </c>
      <c r="F6410" s="52" t="s">
        <v>26</v>
      </c>
      <c r="G6410" s="53"/>
    </row>
    <row r="6411">
      <c r="A6411" s="49">
        <v>44580.44498530093</v>
      </c>
      <c r="B6411" s="50">
        <v>44580.5699598611</v>
      </c>
      <c r="C6411" s="51">
        <v>1.006</v>
      </c>
      <c r="D6411" s="51">
        <v>66.0</v>
      </c>
      <c r="E6411" s="52" t="s">
        <v>25</v>
      </c>
      <c r="F6411" s="52" t="s">
        <v>26</v>
      </c>
      <c r="G6411" s="53"/>
    </row>
    <row r="6412">
      <c r="A6412" s="49">
        <v>44580.45540746528</v>
      </c>
      <c r="B6412" s="50">
        <v>44580.5803809259</v>
      </c>
      <c r="C6412" s="51">
        <v>1.006</v>
      </c>
      <c r="D6412" s="51">
        <v>66.0</v>
      </c>
      <c r="E6412" s="52" t="s">
        <v>25</v>
      </c>
      <c r="F6412" s="52" t="s">
        <v>26</v>
      </c>
      <c r="G6412" s="53"/>
    </row>
    <row r="6413">
      <c r="A6413" s="49">
        <v>44580.46583616898</v>
      </c>
      <c r="B6413" s="50">
        <v>44580.5908037037</v>
      </c>
      <c r="C6413" s="51">
        <v>1.006</v>
      </c>
      <c r="D6413" s="51">
        <v>66.0</v>
      </c>
      <c r="E6413" s="52" t="s">
        <v>25</v>
      </c>
      <c r="F6413" s="52" t="s">
        <v>26</v>
      </c>
      <c r="G6413" s="53"/>
    </row>
    <row r="6414">
      <c r="A6414" s="49">
        <v>44580.47624927083</v>
      </c>
      <c r="B6414" s="50">
        <v>44580.6012236689</v>
      </c>
      <c r="C6414" s="51">
        <v>1.006</v>
      </c>
      <c r="D6414" s="51">
        <v>66.0</v>
      </c>
      <c r="E6414" s="52" t="s">
        <v>25</v>
      </c>
      <c r="F6414" s="52" t="s">
        <v>26</v>
      </c>
      <c r="G6414" s="53"/>
    </row>
    <row r="6415">
      <c r="A6415" s="49">
        <v>44580.486670729166</v>
      </c>
      <c r="B6415" s="50">
        <v>44580.6116456944</v>
      </c>
      <c r="C6415" s="51">
        <v>1.006</v>
      </c>
      <c r="D6415" s="51">
        <v>66.0</v>
      </c>
      <c r="E6415" s="52" t="s">
        <v>25</v>
      </c>
      <c r="F6415" s="52" t="s">
        <v>26</v>
      </c>
      <c r="G6415" s="53"/>
    </row>
    <row r="6416">
      <c r="A6416" s="49">
        <v>44580.49710444444</v>
      </c>
      <c r="B6416" s="50">
        <v>44580.6220794328</v>
      </c>
      <c r="C6416" s="51">
        <v>1.006</v>
      </c>
      <c r="D6416" s="51">
        <v>66.0</v>
      </c>
      <c r="E6416" s="52" t="s">
        <v>25</v>
      </c>
      <c r="F6416" s="52" t="s">
        <v>26</v>
      </c>
      <c r="G6416" s="53"/>
    </row>
    <row r="6417">
      <c r="A6417" s="49">
        <v>44580.507534247685</v>
      </c>
      <c r="B6417" s="50">
        <v>44580.6325000462</v>
      </c>
      <c r="C6417" s="51">
        <v>1.006</v>
      </c>
      <c r="D6417" s="51">
        <v>66.0</v>
      </c>
      <c r="E6417" s="52" t="s">
        <v>25</v>
      </c>
      <c r="F6417" s="52" t="s">
        <v>26</v>
      </c>
      <c r="G6417" s="53"/>
    </row>
    <row r="6418">
      <c r="A6418" s="49">
        <v>44580.517957592594</v>
      </c>
      <c r="B6418" s="50">
        <v>44580.6429208796</v>
      </c>
      <c r="C6418" s="51">
        <v>1.006</v>
      </c>
      <c r="D6418" s="51">
        <v>66.0</v>
      </c>
      <c r="E6418" s="52" t="s">
        <v>25</v>
      </c>
      <c r="F6418" s="52" t="s">
        <v>26</v>
      </c>
      <c r="G6418" s="53"/>
    </row>
    <row r="6419">
      <c r="A6419" s="49">
        <v>44580.52836498842</v>
      </c>
      <c r="B6419" s="50">
        <v>44580.6533426851</v>
      </c>
      <c r="C6419" s="51">
        <v>1.006</v>
      </c>
      <c r="D6419" s="51">
        <v>66.0</v>
      </c>
      <c r="E6419" s="52" t="s">
        <v>25</v>
      </c>
      <c r="F6419" s="52" t="s">
        <v>26</v>
      </c>
      <c r="G6419" s="53"/>
    </row>
    <row r="6420">
      <c r="A6420" s="49">
        <v>44580.53880381944</v>
      </c>
      <c r="B6420" s="50">
        <v>44580.6637761342</v>
      </c>
      <c r="C6420" s="51">
        <v>1.006</v>
      </c>
      <c r="D6420" s="51">
        <v>66.0</v>
      </c>
      <c r="E6420" s="52" t="s">
        <v>25</v>
      </c>
      <c r="F6420" s="52" t="s">
        <v>26</v>
      </c>
      <c r="G6420" s="53"/>
    </row>
    <row r="6421">
      <c r="A6421" s="49">
        <v>44580.54925391204</v>
      </c>
      <c r="B6421" s="50">
        <v>44580.6742207754</v>
      </c>
      <c r="C6421" s="51">
        <v>1.006</v>
      </c>
      <c r="D6421" s="51">
        <v>66.0</v>
      </c>
      <c r="E6421" s="52" t="s">
        <v>25</v>
      </c>
      <c r="F6421" s="52" t="s">
        <v>26</v>
      </c>
      <c r="G6421" s="53"/>
    </row>
    <row r="6422">
      <c r="A6422" s="49">
        <v>44580.55970377315</v>
      </c>
      <c r="B6422" s="50">
        <v>44580.6846757291</v>
      </c>
      <c r="C6422" s="51">
        <v>1.006</v>
      </c>
      <c r="D6422" s="51">
        <v>66.0</v>
      </c>
      <c r="E6422" s="52" t="s">
        <v>25</v>
      </c>
      <c r="F6422" s="52" t="s">
        <v>26</v>
      </c>
      <c r="G6422" s="53"/>
    </row>
    <row r="6423">
      <c r="A6423" s="49">
        <v>44580.57011626157</v>
      </c>
      <c r="B6423" s="50">
        <v>44580.6950962731</v>
      </c>
      <c r="C6423" s="51">
        <v>1.006</v>
      </c>
      <c r="D6423" s="51">
        <v>66.0</v>
      </c>
      <c r="E6423" s="52" t="s">
        <v>25</v>
      </c>
      <c r="F6423" s="52" t="s">
        <v>26</v>
      </c>
      <c r="G6423" s="53"/>
    </row>
    <row r="6424">
      <c r="A6424" s="49">
        <v>44580.58056238426</v>
      </c>
      <c r="B6424" s="50">
        <v>44580.7055397222</v>
      </c>
      <c r="C6424" s="51">
        <v>1.006</v>
      </c>
      <c r="D6424" s="51">
        <v>66.0</v>
      </c>
      <c r="E6424" s="52" t="s">
        <v>25</v>
      </c>
      <c r="F6424" s="52" t="s">
        <v>26</v>
      </c>
      <c r="G6424" s="53"/>
    </row>
    <row r="6425">
      <c r="A6425" s="49">
        <v>44580.59098825231</v>
      </c>
      <c r="B6425" s="50">
        <v>44580.7159608796</v>
      </c>
      <c r="C6425" s="51">
        <v>1.006</v>
      </c>
      <c r="D6425" s="51">
        <v>66.0</v>
      </c>
      <c r="E6425" s="52" t="s">
        <v>25</v>
      </c>
      <c r="F6425" s="52" t="s">
        <v>26</v>
      </c>
      <c r="G6425" s="53"/>
    </row>
    <row r="6426">
      <c r="A6426" s="49">
        <v>44580.60141016204</v>
      </c>
      <c r="B6426" s="50">
        <v>44580.7263931365</v>
      </c>
      <c r="C6426" s="51">
        <v>1.006</v>
      </c>
      <c r="D6426" s="51">
        <v>66.0</v>
      </c>
      <c r="E6426" s="52" t="s">
        <v>25</v>
      </c>
      <c r="F6426" s="52" t="s">
        <v>26</v>
      </c>
      <c r="G6426" s="53"/>
    </row>
    <row r="6427">
      <c r="A6427" s="49">
        <v>44580.61184496528</v>
      </c>
      <c r="B6427" s="50">
        <v>44580.7368146064</v>
      </c>
      <c r="C6427" s="51">
        <v>1.006</v>
      </c>
      <c r="D6427" s="51">
        <v>66.0</v>
      </c>
      <c r="E6427" s="52" t="s">
        <v>25</v>
      </c>
      <c r="F6427" s="52" t="s">
        <v>26</v>
      </c>
      <c r="G6427" s="53"/>
    </row>
    <row r="6428">
      <c r="A6428" s="49">
        <v>44580.6222765162</v>
      </c>
      <c r="B6428" s="50">
        <v>44580.7472466782</v>
      </c>
      <c r="C6428" s="51">
        <v>1.006</v>
      </c>
      <c r="D6428" s="51">
        <v>66.0</v>
      </c>
      <c r="E6428" s="52" t="s">
        <v>25</v>
      </c>
      <c r="F6428" s="52" t="s">
        <v>26</v>
      </c>
      <c r="G6428" s="53"/>
    </row>
    <row r="6429">
      <c r="A6429" s="49">
        <v>44580.63271027778</v>
      </c>
      <c r="B6429" s="50">
        <v>44580.7576792013</v>
      </c>
      <c r="C6429" s="51">
        <v>1.006</v>
      </c>
      <c r="D6429" s="51">
        <v>66.0</v>
      </c>
      <c r="E6429" s="52" t="s">
        <v>25</v>
      </c>
      <c r="F6429" s="52" t="s">
        <v>26</v>
      </c>
      <c r="G6429" s="53"/>
    </row>
    <row r="6430">
      <c r="A6430" s="49">
        <v>44580.64313387731</v>
      </c>
      <c r="B6430" s="50">
        <v>44580.76810103</v>
      </c>
      <c r="C6430" s="51">
        <v>1.006</v>
      </c>
      <c r="D6430" s="51">
        <v>66.0</v>
      </c>
      <c r="E6430" s="52" t="s">
        <v>25</v>
      </c>
      <c r="F6430" s="52" t="s">
        <v>26</v>
      </c>
      <c r="G6430" s="53"/>
    </row>
    <row r="6431">
      <c r="A6431" s="49">
        <v>44580.65358863426</v>
      </c>
      <c r="B6431" s="50">
        <v>44580.778567905</v>
      </c>
      <c r="C6431" s="51">
        <v>1.006</v>
      </c>
      <c r="D6431" s="51">
        <v>66.0</v>
      </c>
      <c r="E6431" s="52" t="s">
        <v>25</v>
      </c>
      <c r="F6431" s="52" t="s">
        <v>26</v>
      </c>
      <c r="G6431" s="53"/>
    </row>
    <row r="6432">
      <c r="A6432" s="49">
        <v>44580.66402270833</v>
      </c>
      <c r="B6432" s="50">
        <v>44580.789001412</v>
      </c>
      <c r="C6432" s="51">
        <v>1.006</v>
      </c>
      <c r="D6432" s="51">
        <v>66.0</v>
      </c>
      <c r="E6432" s="52" t="s">
        <v>25</v>
      </c>
      <c r="F6432" s="52" t="s">
        <v>26</v>
      </c>
      <c r="G6432" s="53"/>
    </row>
    <row r="6433">
      <c r="A6433" s="49">
        <v>44580.67445471065</v>
      </c>
      <c r="B6433" s="50">
        <v>44580.7994340856</v>
      </c>
      <c r="C6433" s="51">
        <v>1.006</v>
      </c>
      <c r="D6433" s="51">
        <v>66.0</v>
      </c>
      <c r="E6433" s="52" t="s">
        <v>25</v>
      </c>
      <c r="F6433" s="52" t="s">
        <v>26</v>
      </c>
      <c r="G6433" s="53"/>
    </row>
    <row r="6434">
      <c r="A6434" s="49">
        <v>44580.68487677083</v>
      </c>
      <c r="B6434" s="50">
        <v>44580.809855162</v>
      </c>
      <c r="C6434" s="51">
        <v>1.006</v>
      </c>
      <c r="D6434" s="51">
        <v>66.0</v>
      </c>
      <c r="E6434" s="52" t="s">
        <v>25</v>
      </c>
      <c r="F6434" s="52" t="s">
        <v>26</v>
      </c>
      <c r="G6434" s="53"/>
    </row>
    <row r="6435">
      <c r="A6435" s="49">
        <v>44580.69531538195</v>
      </c>
      <c r="B6435" s="50">
        <v>44580.8202885069</v>
      </c>
      <c r="C6435" s="51">
        <v>1.006</v>
      </c>
      <c r="D6435" s="51">
        <v>65.0</v>
      </c>
      <c r="E6435" s="52" t="s">
        <v>25</v>
      </c>
      <c r="F6435" s="52" t="s">
        <v>26</v>
      </c>
      <c r="G6435" s="53"/>
    </row>
    <row r="6436">
      <c r="A6436" s="49">
        <v>44580.70577409722</v>
      </c>
      <c r="B6436" s="50">
        <v>44580.8307453935</v>
      </c>
      <c r="C6436" s="51">
        <v>1.006</v>
      </c>
      <c r="D6436" s="51">
        <v>66.0</v>
      </c>
      <c r="E6436" s="52" t="s">
        <v>25</v>
      </c>
      <c r="F6436" s="52" t="s">
        <v>26</v>
      </c>
      <c r="G6436" s="53"/>
    </row>
    <row r="6437">
      <c r="A6437" s="49">
        <v>44580.71619278935</v>
      </c>
      <c r="B6437" s="50">
        <v>44580.8411663425</v>
      </c>
      <c r="C6437" s="51">
        <v>1.006</v>
      </c>
      <c r="D6437" s="51">
        <v>65.0</v>
      </c>
      <c r="E6437" s="52" t="s">
        <v>25</v>
      </c>
      <c r="F6437" s="52" t="s">
        <v>26</v>
      </c>
      <c r="G6437" s="53"/>
    </row>
    <row r="6438">
      <c r="A6438" s="49">
        <v>44580.72665009259</v>
      </c>
      <c r="B6438" s="50">
        <v>44580.8516230324</v>
      </c>
      <c r="C6438" s="51">
        <v>1.006</v>
      </c>
      <c r="D6438" s="51">
        <v>65.0</v>
      </c>
      <c r="E6438" s="52" t="s">
        <v>25</v>
      </c>
      <c r="F6438" s="52" t="s">
        <v>26</v>
      </c>
      <c r="G6438" s="53"/>
    </row>
    <row r="6439">
      <c r="A6439" s="49">
        <v>44580.73708527778</v>
      </c>
      <c r="B6439" s="50">
        <v>44580.8620554166</v>
      </c>
      <c r="C6439" s="51">
        <v>1.006</v>
      </c>
      <c r="D6439" s="51">
        <v>65.0</v>
      </c>
      <c r="E6439" s="52" t="s">
        <v>25</v>
      </c>
      <c r="F6439" s="52" t="s">
        <v>26</v>
      </c>
      <c r="G6439" s="53"/>
    </row>
    <row r="6440">
      <c r="A6440" s="49">
        <v>44580.747549884254</v>
      </c>
      <c r="B6440" s="50">
        <v>44580.8725214583</v>
      </c>
      <c r="C6440" s="51">
        <v>1.006</v>
      </c>
      <c r="D6440" s="51">
        <v>65.0</v>
      </c>
      <c r="E6440" s="52" t="s">
        <v>25</v>
      </c>
      <c r="F6440" s="52" t="s">
        <v>26</v>
      </c>
      <c r="G6440" s="53"/>
    </row>
    <row r="6441">
      <c r="A6441" s="49">
        <v>44580.75797042824</v>
      </c>
      <c r="B6441" s="50">
        <v>44580.8829432291</v>
      </c>
      <c r="C6441" s="51">
        <v>1.006</v>
      </c>
      <c r="D6441" s="51">
        <v>65.0</v>
      </c>
      <c r="E6441" s="52" t="s">
        <v>25</v>
      </c>
      <c r="F6441" s="52" t="s">
        <v>26</v>
      </c>
      <c r="G6441" s="53"/>
    </row>
    <row r="6442">
      <c r="A6442" s="49">
        <v>44580.768387627315</v>
      </c>
      <c r="B6442" s="50">
        <v>44580.893364537</v>
      </c>
      <c r="C6442" s="51">
        <v>1.006</v>
      </c>
      <c r="D6442" s="51">
        <v>65.0</v>
      </c>
      <c r="E6442" s="52" t="s">
        <v>25</v>
      </c>
      <c r="F6442" s="52" t="s">
        <v>26</v>
      </c>
      <c r="G6442" s="53"/>
    </row>
    <row r="6443">
      <c r="A6443" s="49">
        <v>44580.77881091435</v>
      </c>
      <c r="B6443" s="50">
        <v>44580.9037849305</v>
      </c>
      <c r="C6443" s="51">
        <v>1.006</v>
      </c>
      <c r="D6443" s="51">
        <v>65.0</v>
      </c>
      <c r="E6443" s="52" t="s">
        <v>25</v>
      </c>
      <c r="F6443" s="52" t="s">
        <v>26</v>
      </c>
      <c r="G6443" s="53"/>
    </row>
    <row r="6444">
      <c r="A6444" s="49">
        <v>44580.789232152776</v>
      </c>
      <c r="B6444" s="50">
        <v>44580.9142057523</v>
      </c>
      <c r="C6444" s="51">
        <v>1.006</v>
      </c>
      <c r="D6444" s="51">
        <v>65.0</v>
      </c>
      <c r="E6444" s="52" t="s">
        <v>25</v>
      </c>
      <c r="F6444" s="52" t="s">
        <v>26</v>
      </c>
      <c r="G6444" s="53"/>
    </row>
    <row r="6445">
      <c r="A6445" s="49">
        <v>44580.7996699537</v>
      </c>
      <c r="B6445" s="50">
        <v>44580.9246412384</v>
      </c>
      <c r="C6445" s="51">
        <v>1.006</v>
      </c>
      <c r="D6445" s="51">
        <v>65.0</v>
      </c>
      <c r="E6445" s="52" t="s">
        <v>25</v>
      </c>
      <c r="F6445" s="52" t="s">
        <v>26</v>
      </c>
      <c r="G6445" s="53"/>
    </row>
    <row r="6446">
      <c r="A6446" s="49">
        <v>44580.81009734954</v>
      </c>
      <c r="B6446" s="50">
        <v>44580.9350608912</v>
      </c>
      <c r="C6446" s="51">
        <v>1.006</v>
      </c>
      <c r="D6446" s="51">
        <v>65.0</v>
      </c>
      <c r="E6446" s="52" t="s">
        <v>25</v>
      </c>
      <c r="F6446" s="52" t="s">
        <v>26</v>
      </c>
      <c r="G6446" s="53"/>
    </row>
    <row r="6447">
      <c r="A6447" s="49">
        <v>44580.82050857639</v>
      </c>
      <c r="B6447" s="50">
        <v>44580.9454806481</v>
      </c>
      <c r="C6447" s="51">
        <v>1.006</v>
      </c>
      <c r="D6447" s="51">
        <v>65.0</v>
      </c>
      <c r="E6447" s="52" t="s">
        <v>25</v>
      </c>
      <c r="F6447" s="52" t="s">
        <v>26</v>
      </c>
      <c r="G6447" s="53"/>
    </row>
    <row r="6448">
      <c r="A6448" s="49">
        <v>44580.83092886574</v>
      </c>
      <c r="B6448" s="50">
        <v>44580.9559030671</v>
      </c>
      <c r="C6448" s="51">
        <v>1.006</v>
      </c>
      <c r="D6448" s="51">
        <v>65.0</v>
      </c>
      <c r="E6448" s="52" t="s">
        <v>25</v>
      </c>
      <c r="F6448" s="52" t="s">
        <v>26</v>
      </c>
      <c r="G6448" s="53"/>
    </row>
    <row r="6449">
      <c r="A6449" s="49">
        <v>44580.841345243054</v>
      </c>
      <c r="B6449" s="50">
        <v>44580.9663244675</v>
      </c>
      <c r="C6449" s="51">
        <v>1.006</v>
      </c>
      <c r="D6449" s="51">
        <v>65.0</v>
      </c>
      <c r="E6449" s="52" t="s">
        <v>25</v>
      </c>
      <c r="F6449" s="52" t="s">
        <v>26</v>
      </c>
      <c r="G6449" s="53"/>
    </row>
    <row r="6450">
      <c r="A6450" s="49">
        <v>44580.85177717592</v>
      </c>
      <c r="B6450" s="50">
        <v>44580.9767585185</v>
      </c>
      <c r="C6450" s="51">
        <v>1.006</v>
      </c>
      <c r="D6450" s="51">
        <v>65.0</v>
      </c>
      <c r="E6450" s="52" t="s">
        <v>25</v>
      </c>
      <c r="F6450" s="52" t="s">
        <v>26</v>
      </c>
      <c r="G6450" s="53"/>
    </row>
    <row r="6451">
      <c r="A6451" s="49">
        <v>44580.862197256945</v>
      </c>
      <c r="B6451" s="50">
        <v>44580.9871789236</v>
      </c>
      <c r="C6451" s="51">
        <v>1.006</v>
      </c>
      <c r="D6451" s="51">
        <v>65.0</v>
      </c>
      <c r="E6451" s="52" t="s">
        <v>25</v>
      </c>
      <c r="F6451" s="52" t="s">
        <v>26</v>
      </c>
      <c r="G6451" s="53"/>
    </row>
    <row r="6452">
      <c r="A6452" s="49">
        <v>44580.8726421875</v>
      </c>
      <c r="B6452" s="50">
        <v>44580.9976136342</v>
      </c>
      <c r="C6452" s="51">
        <v>1.006</v>
      </c>
      <c r="D6452" s="51">
        <v>65.0</v>
      </c>
      <c r="E6452" s="52" t="s">
        <v>25</v>
      </c>
      <c r="F6452" s="52" t="s">
        <v>26</v>
      </c>
      <c r="G6452" s="53"/>
    </row>
    <row r="6453">
      <c r="A6453" s="49">
        <v>44580.88310076389</v>
      </c>
      <c r="B6453" s="50">
        <v>44581.0080721759</v>
      </c>
      <c r="C6453" s="51">
        <v>1.006</v>
      </c>
      <c r="D6453" s="51">
        <v>65.0</v>
      </c>
      <c r="E6453" s="52" t="s">
        <v>25</v>
      </c>
      <c r="F6453" s="52" t="s">
        <v>26</v>
      </c>
      <c r="G6453" s="53"/>
    </row>
    <row r="6454">
      <c r="A6454" s="49">
        <v>44580.89352474537</v>
      </c>
      <c r="B6454" s="50">
        <v>44581.0184935995</v>
      </c>
      <c r="C6454" s="51">
        <v>1.006</v>
      </c>
      <c r="D6454" s="51">
        <v>65.0</v>
      </c>
      <c r="E6454" s="52" t="s">
        <v>25</v>
      </c>
      <c r="F6454" s="52" t="s">
        <v>26</v>
      </c>
      <c r="G6454" s="53"/>
    </row>
    <row r="6455">
      <c r="A6455" s="49">
        <v>44580.90394636574</v>
      </c>
      <c r="B6455" s="50">
        <v>44581.02891625</v>
      </c>
      <c r="C6455" s="51">
        <v>1.006</v>
      </c>
      <c r="D6455" s="51">
        <v>65.0</v>
      </c>
      <c r="E6455" s="52" t="s">
        <v>25</v>
      </c>
      <c r="F6455" s="52" t="s">
        <v>26</v>
      </c>
      <c r="G6455" s="53"/>
    </row>
    <row r="6456">
      <c r="A6456" s="49">
        <v>44580.91437076389</v>
      </c>
      <c r="B6456" s="50">
        <v>44581.0393495486</v>
      </c>
      <c r="C6456" s="51">
        <v>1.006</v>
      </c>
      <c r="D6456" s="51">
        <v>65.0</v>
      </c>
      <c r="E6456" s="52" t="s">
        <v>25</v>
      </c>
      <c r="F6456" s="52" t="s">
        <v>26</v>
      </c>
      <c r="G6456" s="53"/>
    </row>
    <row r="6457">
      <c r="A6457" s="49">
        <v>44580.924796562496</v>
      </c>
      <c r="B6457" s="50">
        <v>44581.0497687384</v>
      </c>
      <c r="C6457" s="51">
        <v>1.006</v>
      </c>
      <c r="D6457" s="51">
        <v>65.0</v>
      </c>
      <c r="E6457" s="52" t="s">
        <v>25</v>
      </c>
      <c r="F6457" s="52" t="s">
        <v>26</v>
      </c>
      <c r="G6457" s="53"/>
    </row>
    <row r="6458">
      <c r="A6458" s="49">
        <v>44580.93522759259</v>
      </c>
      <c r="B6458" s="50">
        <v>44581.06020103</v>
      </c>
      <c r="C6458" s="51">
        <v>1.006</v>
      </c>
      <c r="D6458" s="51">
        <v>65.0</v>
      </c>
      <c r="E6458" s="52" t="s">
        <v>25</v>
      </c>
      <c r="F6458" s="52" t="s">
        <v>26</v>
      </c>
      <c r="G6458" s="53"/>
    </row>
    <row r="6459">
      <c r="A6459" s="49">
        <v>44580.94564689815</v>
      </c>
      <c r="B6459" s="50">
        <v>44581.0706219212</v>
      </c>
      <c r="C6459" s="51">
        <v>1.006</v>
      </c>
      <c r="D6459" s="51">
        <v>65.0</v>
      </c>
      <c r="E6459" s="52" t="s">
        <v>25</v>
      </c>
      <c r="F6459" s="52" t="s">
        <v>26</v>
      </c>
      <c r="G6459" s="53"/>
    </row>
    <row r="6460">
      <c r="A6460" s="49">
        <v>44580.95609417824</v>
      </c>
      <c r="B6460" s="50">
        <v>44581.0810673958</v>
      </c>
      <c r="C6460" s="51">
        <v>1.006</v>
      </c>
      <c r="D6460" s="51">
        <v>65.0</v>
      </c>
      <c r="E6460" s="52" t="s">
        <v>25</v>
      </c>
      <c r="F6460" s="52" t="s">
        <v>26</v>
      </c>
      <c r="G6460" s="53"/>
    </row>
    <row r="6461">
      <c r="A6461" s="49">
        <v>44580.96651745371</v>
      </c>
      <c r="B6461" s="50">
        <v>44581.09148853</v>
      </c>
      <c r="C6461" s="51">
        <v>1.006</v>
      </c>
      <c r="D6461" s="51">
        <v>65.0</v>
      </c>
      <c r="E6461" s="52" t="s">
        <v>25</v>
      </c>
      <c r="F6461" s="52" t="s">
        <v>26</v>
      </c>
      <c r="G6461" s="53"/>
    </row>
    <row r="6462">
      <c r="A6462" s="49">
        <v>44580.97692835648</v>
      </c>
      <c r="B6462" s="50">
        <v>44581.1019090046</v>
      </c>
      <c r="C6462" s="51">
        <v>1.006</v>
      </c>
      <c r="D6462" s="51">
        <v>65.0</v>
      </c>
      <c r="E6462" s="52" t="s">
        <v>25</v>
      </c>
      <c r="F6462" s="52" t="s">
        <v>26</v>
      </c>
      <c r="G6462" s="53"/>
    </row>
    <row r="6463">
      <c r="A6463" s="49">
        <v>44580.987355046294</v>
      </c>
      <c r="B6463" s="50">
        <v>44581.1123311111</v>
      </c>
      <c r="C6463" s="51">
        <v>1.006</v>
      </c>
      <c r="D6463" s="51">
        <v>65.0</v>
      </c>
      <c r="E6463" s="52" t="s">
        <v>25</v>
      </c>
      <c r="F6463" s="52" t="s">
        <v>26</v>
      </c>
      <c r="G6463" s="53"/>
    </row>
    <row r="6464">
      <c r="A6464" s="49">
        <v>44580.997790416666</v>
      </c>
      <c r="B6464" s="50">
        <v>44581.1227619791</v>
      </c>
      <c r="C6464" s="51">
        <v>1.006</v>
      </c>
      <c r="D6464" s="51">
        <v>65.0</v>
      </c>
      <c r="E6464" s="52" t="s">
        <v>25</v>
      </c>
      <c r="F6464" s="52" t="s">
        <v>26</v>
      </c>
      <c r="G6464" s="53"/>
    </row>
    <row r="6465">
      <c r="A6465" s="49">
        <v>44581.00821532407</v>
      </c>
      <c r="B6465" s="50">
        <v>44581.1331840509</v>
      </c>
      <c r="C6465" s="51">
        <v>1.006</v>
      </c>
      <c r="D6465" s="51">
        <v>65.0</v>
      </c>
      <c r="E6465" s="52" t="s">
        <v>25</v>
      </c>
      <c r="F6465" s="52" t="s">
        <v>26</v>
      </c>
      <c r="G6465" s="53"/>
    </row>
    <row r="6466">
      <c r="A6466" s="49">
        <v>44581.018661180555</v>
      </c>
      <c r="B6466" s="50">
        <v>44581.143640405</v>
      </c>
      <c r="C6466" s="51">
        <v>1.006</v>
      </c>
      <c r="D6466" s="51">
        <v>65.0</v>
      </c>
      <c r="E6466" s="52" t="s">
        <v>25</v>
      </c>
      <c r="F6466" s="52" t="s">
        <v>26</v>
      </c>
      <c r="G6466" s="53"/>
    </row>
    <row r="6467">
      <c r="A6467" s="49">
        <v>44581.02913501157</v>
      </c>
      <c r="B6467" s="50">
        <v>44581.1540960995</v>
      </c>
      <c r="C6467" s="51">
        <v>1.006</v>
      </c>
      <c r="D6467" s="51">
        <v>65.0</v>
      </c>
      <c r="E6467" s="52" t="s">
        <v>25</v>
      </c>
      <c r="F6467" s="52" t="s">
        <v>26</v>
      </c>
      <c r="G6467" s="53"/>
    </row>
    <row r="6468">
      <c r="A6468" s="49">
        <v>44581.039549699075</v>
      </c>
      <c r="B6468" s="50">
        <v>44581.1645193402</v>
      </c>
      <c r="C6468" s="51">
        <v>1.006</v>
      </c>
      <c r="D6468" s="51">
        <v>65.0</v>
      </c>
      <c r="E6468" s="52" t="s">
        <v>25</v>
      </c>
      <c r="F6468" s="52" t="s">
        <v>26</v>
      </c>
      <c r="G6468" s="53"/>
    </row>
    <row r="6469">
      <c r="A6469" s="49">
        <v>44581.0499878588</v>
      </c>
      <c r="B6469" s="50">
        <v>44581.1749638773</v>
      </c>
      <c r="C6469" s="51">
        <v>1.006</v>
      </c>
      <c r="D6469" s="51">
        <v>65.0</v>
      </c>
      <c r="E6469" s="52" t="s">
        <v>25</v>
      </c>
      <c r="F6469" s="52" t="s">
        <v>26</v>
      </c>
      <c r="G6469" s="53"/>
    </row>
    <row r="6470">
      <c r="A6470" s="49">
        <v>44581.060403298616</v>
      </c>
      <c r="B6470" s="50">
        <v>44581.1853833564</v>
      </c>
      <c r="C6470" s="51">
        <v>1.006</v>
      </c>
      <c r="D6470" s="51">
        <v>64.0</v>
      </c>
      <c r="E6470" s="52" t="s">
        <v>25</v>
      </c>
      <c r="F6470" s="52" t="s">
        <v>26</v>
      </c>
      <c r="G6470" s="53"/>
    </row>
    <row r="6471">
      <c r="A6471" s="49">
        <v>44581.070829965276</v>
      </c>
      <c r="B6471" s="50">
        <v>44581.1958036226</v>
      </c>
      <c r="C6471" s="51">
        <v>1.006</v>
      </c>
      <c r="D6471" s="51">
        <v>64.0</v>
      </c>
      <c r="E6471" s="52" t="s">
        <v>25</v>
      </c>
      <c r="F6471" s="52" t="s">
        <v>26</v>
      </c>
      <c r="G6471" s="53"/>
    </row>
    <row r="6472">
      <c r="A6472" s="49">
        <v>44581.08124611111</v>
      </c>
      <c r="B6472" s="50">
        <v>44581.2062243518</v>
      </c>
      <c r="C6472" s="51">
        <v>1.006</v>
      </c>
      <c r="D6472" s="51">
        <v>64.0</v>
      </c>
      <c r="E6472" s="52" t="s">
        <v>25</v>
      </c>
      <c r="F6472" s="52" t="s">
        <v>26</v>
      </c>
      <c r="G6472" s="53"/>
    </row>
    <row r="6473">
      <c r="A6473" s="49">
        <v>44581.09175040509</v>
      </c>
      <c r="B6473" s="50">
        <v>44581.2167264236</v>
      </c>
      <c r="C6473" s="51">
        <v>1.006</v>
      </c>
      <c r="D6473" s="51">
        <v>64.0</v>
      </c>
      <c r="E6473" s="52" t="s">
        <v>25</v>
      </c>
      <c r="F6473" s="52" t="s">
        <v>26</v>
      </c>
      <c r="G6473" s="53"/>
    </row>
    <row r="6474">
      <c r="A6474" s="49">
        <v>44581.10217105324</v>
      </c>
      <c r="B6474" s="50">
        <v>44581.22714875</v>
      </c>
      <c r="C6474" s="51">
        <v>1.006</v>
      </c>
      <c r="D6474" s="51">
        <v>64.0</v>
      </c>
      <c r="E6474" s="52" t="s">
        <v>25</v>
      </c>
      <c r="F6474" s="52" t="s">
        <v>26</v>
      </c>
      <c r="G6474" s="53"/>
    </row>
    <row r="6475">
      <c r="A6475" s="49">
        <v>44581.11260309028</v>
      </c>
      <c r="B6475" s="50">
        <v>44581.2375718518</v>
      </c>
      <c r="C6475" s="51">
        <v>1.006</v>
      </c>
      <c r="D6475" s="51">
        <v>64.0</v>
      </c>
      <c r="E6475" s="52" t="s">
        <v>25</v>
      </c>
      <c r="F6475" s="52" t="s">
        <v>26</v>
      </c>
      <c r="G6475" s="53"/>
    </row>
    <row r="6476">
      <c r="A6476" s="49">
        <v>44581.123022430555</v>
      </c>
      <c r="B6476" s="50">
        <v>44581.247993287</v>
      </c>
      <c r="C6476" s="51">
        <v>1.006</v>
      </c>
      <c r="D6476" s="51">
        <v>64.0</v>
      </c>
      <c r="E6476" s="52" t="s">
        <v>25</v>
      </c>
      <c r="F6476" s="52" t="s">
        <v>26</v>
      </c>
      <c r="G6476" s="53"/>
    </row>
    <row r="6477">
      <c r="A6477" s="49">
        <v>44581.13344295139</v>
      </c>
      <c r="B6477" s="50">
        <v>44581.2584156597</v>
      </c>
      <c r="C6477" s="51">
        <v>1.006</v>
      </c>
      <c r="D6477" s="51">
        <v>64.0</v>
      </c>
      <c r="E6477" s="52" t="s">
        <v>25</v>
      </c>
      <c r="F6477" s="52" t="s">
        <v>26</v>
      </c>
      <c r="G6477" s="53"/>
    </row>
    <row r="6478">
      <c r="A6478" s="49">
        <v>44581.14387329861</v>
      </c>
      <c r="B6478" s="50">
        <v>44581.2688470601</v>
      </c>
      <c r="C6478" s="51">
        <v>1.006</v>
      </c>
      <c r="D6478" s="51">
        <v>64.0</v>
      </c>
      <c r="E6478" s="52" t="s">
        <v>25</v>
      </c>
      <c r="F6478" s="52" t="s">
        <v>26</v>
      </c>
      <c r="G6478" s="53"/>
    </row>
    <row r="6479">
      <c r="A6479" s="49">
        <v>44581.15431131945</v>
      </c>
      <c r="B6479" s="50">
        <v>44581.2792807638</v>
      </c>
      <c r="C6479" s="51">
        <v>1.006</v>
      </c>
      <c r="D6479" s="51">
        <v>64.0</v>
      </c>
      <c r="E6479" s="52" t="s">
        <v>25</v>
      </c>
      <c r="F6479" s="52" t="s">
        <v>26</v>
      </c>
      <c r="G6479" s="53"/>
    </row>
    <row r="6480">
      <c r="A6480" s="49">
        <v>44581.16472509259</v>
      </c>
      <c r="B6480" s="50">
        <v>44581.2897024074</v>
      </c>
      <c r="C6480" s="51">
        <v>1.006</v>
      </c>
      <c r="D6480" s="51">
        <v>64.0</v>
      </c>
      <c r="E6480" s="52" t="s">
        <v>25</v>
      </c>
      <c r="F6480" s="52" t="s">
        <v>26</v>
      </c>
      <c r="G6480" s="53"/>
    </row>
    <row r="6481">
      <c r="A6481" s="49">
        <v>44581.17516262732</v>
      </c>
      <c r="B6481" s="50">
        <v>44581.3001361458</v>
      </c>
      <c r="C6481" s="51">
        <v>1.006</v>
      </c>
      <c r="D6481" s="51">
        <v>64.0</v>
      </c>
      <c r="E6481" s="52" t="s">
        <v>25</v>
      </c>
      <c r="F6481" s="52" t="s">
        <v>26</v>
      </c>
      <c r="G6481" s="53"/>
    </row>
    <row r="6482">
      <c r="A6482" s="49">
        <v>44581.185586631946</v>
      </c>
      <c r="B6482" s="50">
        <v>44581.3105677777</v>
      </c>
      <c r="C6482" s="51">
        <v>1.006</v>
      </c>
      <c r="D6482" s="51">
        <v>64.0</v>
      </c>
      <c r="E6482" s="52" t="s">
        <v>25</v>
      </c>
      <c r="F6482" s="52" t="s">
        <v>26</v>
      </c>
      <c r="G6482" s="53"/>
    </row>
    <row r="6483">
      <c r="A6483" s="49">
        <v>44581.19604524305</v>
      </c>
      <c r="B6483" s="50">
        <v>44581.3210251273</v>
      </c>
      <c r="C6483" s="51">
        <v>1.006</v>
      </c>
      <c r="D6483" s="51">
        <v>64.0</v>
      </c>
      <c r="E6483" s="52" t="s">
        <v>25</v>
      </c>
      <c r="F6483" s="52" t="s">
        <v>26</v>
      </c>
      <c r="G6483" s="53"/>
    </row>
    <row r="6484">
      <c r="A6484" s="49">
        <v>44581.20646905093</v>
      </c>
      <c r="B6484" s="50">
        <v>44581.3314463773</v>
      </c>
      <c r="C6484" s="51">
        <v>1.006</v>
      </c>
      <c r="D6484" s="51">
        <v>64.0</v>
      </c>
      <c r="E6484" s="52" t="s">
        <v>25</v>
      </c>
      <c r="F6484" s="52" t="s">
        <v>26</v>
      </c>
      <c r="G6484" s="53"/>
    </row>
    <row r="6485">
      <c r="A6485" s="49">
        <v>44581.216889675925</v>
      </c>
      <c r="B6485" s="50">
        <v>44581.3418670254</v>
      </c>
      <c r="C6485" s="51">
        <v>1.006</v>
      </c>
      <c r="D6485" s="51">
        <v>64.0</v>
      </c>
      <c r="E6485" s="52" t="s">
        <v>25</v>
      </c>
      <c r="F6485" s="52" t="s">
        <v>26</v>
      </c>
      <c r="G6485" s="53"/>
    </row>
    <row r="6486">
      <c r="A6486" s="49">
        <v>44581.227337662036</v>
      </c>
      <c r="B6486" s="50">
        <v>44581.3523102083</v>
      </c>
      <c r="C6486" s="51">
        <v>1.006</v>
      </c>
      <c r="D6486" s="51">
        <v>64.0</v>
      </c>
      <c r="E6486" s="52" t="s">
        <v>25</v>
      </c>
      <c r="F6486" s="52" t="s">
        <v>26</v>
      </c>
      <c r="G6486" s="53"/>
    </row>
    <row r="6487">
      <c r="A6487" s="49">
        <v>44581.23776914352</v>
      </c>
      <c r="B6487" s="50">
        <v>44581.3627438194</v>
      </c>
      <c r="C6487" s="51">
        <v>1.006</v>
      </c>
      <c r="D6487" s="51">
        <v>64.0</v>
      </c>
      <c r="E6487" s="52" t="s">
        <v>25</v>
      </c>
      <c r="F6487" s="52" t="s">
        <v>26</v>
      </c>
      <c r="G6487" s="53"/>
    </row>
    <row r="6488">
      <c r="A6488" s="49">
        <v>44581.24819295139</v>
      </c>
      <c r="B6488" s="50">
        <v>44581.373166574</v>
      </c>
      <c r="C6488" s="51">
        <v>1.006</v>
      </c>
      <c r="D6488" s="51">
        <v>64.0</v>
      </c>
      <c r="E6488" s="52" t="s">
        <v>25</v>
      </c>
      <c r="F6488" s="52" t="s">
        <v>26</v>
      </c>
      <c r="G6488" s="53"/>
    </row>
    <row r="6489">
      <c r="A6489" s="49">
        <v>44581.2586233912</v>
      </c>
      <c r="B6489" s="50">
        <v>44581.3835992361</v>
      </c>
      <c r="C6489" s="51">
        <v>1.006</v>
      </c>
      <c r="D6489" s="51">
        <v>64.0</v>
      </c>
      <c r="E6489" s="52" t="s">
        <v>25</v>
      </c>
      <c r="F6489" s="52" t="s">
        <v>26</v>
      </c>
      <c r="G6489" s="53"/>
    </row>
    <row r="6490">
      <c r="A6490" s="49">
        <v>44581.26903954861</v>
      </c>
      <c r="B6490" s="50">
        <v>44581.3940213194</v>
      </c>
      <c r="C6490" s="51">
        <v>1.006</v>
      </c>
      <c r="D6490" s="51">
        <v>64.0</v>
      </c>
      <c r="E6490" s="52" t="s">
        <v>25</v>
      </c>
      <c r="F6490" s="52" t="s">
        <v>26</v>
      </c>
      <c r="G6490" s="53"/>
    </row>
    <row r="6491">
      <c r="A6491" s="49">
        <v>44581.279478020835</v>
      </c>
      <c r="B6491" s="50">
        <v>44581.4044416435</v>
      </c>
      <c r="C6491" s="51">
        <v>1.006</v>
      </c>
      <c r="D6491" s="51">
        <v>64.0</v>
      </c>
      <c r="E6491" s="52" t="s">
        <v>25</v>
      </c>
      <c r="F6491" s="52" t="s">
        <v>26</v>
      </c>
      <c r="G6491" s="53"/>
    </row>
    <row r="6492">
      <c r="A6492" s="49">
        <v>44581.28988880787</v>
      </c>
      <c r="B6492" s="50">
        <v>44581.4148641203</v>
      </c>
      <c r="C6492" s="51">
        <v>1.006</v>
      </c>
      <c r="D6492" s="51">
        <v>64.0</v>
      </c>
      <c r="E6492" s="52" t="s">
        <v>25</v>
      </c>
      <c r="F6492" s="52" t="s">
        <v>26</v>
      </c>
      <c r="G6492" s="53"/>
    </row>
    <row r="6493">
      <c r="A6493" s="49">
        <v>44581.300307673606</v>
      </c>
      <c r="B6493" s="50">
        <v>44581.4252851273</v>
      </c>
      <c r="C6493" s="51">
        <v>1.006</v>
      </c>
      <c r="D6493" s="51">
        <v>64.0</v>
      </c>
      <c r="E6493" s="52" t="s">
        <v>25</v>
      </c>
      <c r="F6493" s="52" t="s">
        <v>26</v>
      </c>
      <c r="G6493" s="53"/>
    </row>
    <row r="6494">
      <c r="A6494" s="49">
        <v>44581.31072400463</v>
      </c>
      <c r="B6494" s="50">
        <v>44581.4357067013</v>
      </c>
      <c r="C6494" s="51">
        <v>1.006</v>
      </c>
      <c r="D6494" s="51">
        <v>64.0</v>
      </c>
      <c r="E6494" s="52" t="s">
        <v>25</v>
      </c>
      <c r="F6494" s="52" t="s">
        <v>26</v>
      </c>
      <c r="G6494" s="53"/>
    </row>
    <row r="6495">
      <c r="A6495" s="49">
        <v>44581.3211950463</v>
      </c>
      <c r="B6495" s="50">
        <v>44581.4461631018</v>
      </c>
      <c r="C6495" s="51">
        <v>1.006</v>
      </c>
      <c r="D6495" s="51">
        <v>64.0</v>
      </c>
      <c r="E6495" s="52" t="s">
        <v>25</v>
      </c>
      <c r="F6495" s="52" t="s">
        <v>26</v>
      </c>
      <c r="G6495" s="53"/>
    </row>
    <row r="6496">
      <c r="A6496" s="49">
        <v>44581.33163482639</v>
      </c>
      <c r="B6496" s="50">
        <v>44581.4566073726</v>
      </c>
      <c r="C6496" s="51">
        <v>1.006</v>
      </c>
      <c r="D6496" s="51">
        <v>64.0</v>
      </c>
      <c r="E6496" s="52" t="s">
        <v>25</v>
      </c>
      <c r="F6496" s="52" t="s">
        <v>26</v>
      </c>
      <c r="G6496" s="53"/>
    </row>
    <row r="6497">
      <c r="A6497" s="49">
        <v>44581.34206376158</v>
      </c>
      <c r="B6497" s="50">
        <v>44581.4670416898</v>
      </c>
      <c r="C6497" s="51">
        <v>1.006</v>
      </c>
      <c r="D6497" s="51">
        <v>64.0</v>
      </c>
      <c r="E6497" s="52" t="s">
        <v>25</v>
      </c>
      <c r="F6497" s="52" t="s">
        <v>26</v>
      </c>
      <c r="G6497" s="53"/>
    </row>
    <row r="6498">
      <c r="A6498" s="49">
        <v>44581.35248884259</v>
      </c>
      <c r="B6498" s="50">
        <v>44581.4774624768</v>
      </c>
      <c r="C6498" s="51">
        <v>1.006</v>
      </c>
      <c r="D6498" s="51">
        <v>64.0</v>
      </c>
      <c r="E6498" s="52" t="s">
        <v>25</v>
      </c>
      <c r="F6498" s="52" t="s">
        <v>26</v>
      </c>
      <c r="G6498" s="53"/>
    </row>
    <row r="6499">
      <c r="A6499" s="49">
        <v>44581.36291210648</v>
      </c>
      <c r="B6499" s="50">
        <v>44581.4878835763</v>
      </c>
      <c r="C6499" s="51">
        <v>1.006</v>
      </c>
      <c r="D6499" s="51">
        <v>64.0</v>
      </c>
      <c r="E6499" s="52" t="s">
        <v>25</v>
      </c>
      <c r="F6499" s="52" t="s">
        <v>26</v>
      </c>
      <c r="G6499" s="53"/>
    </row>
    <row r="6500">
      <c r="A6500" s="49">
        <v>44581.37336884259</v>
      </c>
      <c r="B6500" s="50">
        <v>44581.4983393287</v>
      </c>
      <c r="C6500" s="51">
        <v>1.006</v>
      </c>
      <c r="D6500" s="51">
        <v>64.0</v>
      </c>
      <c r="E6500" s="52" t="s">
        <v>25</v>
      </c>
      <c r="F6500" s="52" t="s">
        <v>26</v>
      </c>
      <c r="G6500" s="53"/>
    </row>
    <row r="6501">
      <c r="A6501" s="49">
        <v>44581.38378184028</v>
      </c>
      <c r="B6501" s="50">
        <v>44581.5087602662</v>
      </c>
      <c r="C6501" s="51">
        <v>1.006</v>
      </c>
      <c r="D6501" s="51">
        <v>64.0</v>
      </c>
      <c r="E6501" s="52" t="s">
        <v>25</v>
      </c>
      <c r="F6501" s="52" t="s">
        <v>26</v>
      </c>
      <c r="G6501" s="53"/>
    </row>
    <row r="6502">
      <c r="A6502" s="49">
        <v>44581.39420188658</v>
      </c>
      <c r="B6502" s="50">
        <v>44581.5191825578</v>
      </c>
      <c r="C6502" s="51">
        <v>1.006</v>
      </c>
      <c r="D6502" s="51">
        <v>64.0</v>
      </c>
      <c r="E6502" s="52" t="s">
        <v>25</v>
      </c>
      <c r="F6502" s="52" t="s">
        <v>26</v>
      </c>
      <c r="G6502" s="53"/>
    </row>
    <row r="6503">
      <c r="A6503" s="49">
        <v>44581.40462894676</v>
      </c>
      <c r="B6503" s="50">
        <v>44581.5296035763</v>
      </c>
      <c r="C6503" s="51">
        <v>1.006</v>
      </c>
      <c r="D6503" s="51">
        <v>64.0</v>
      </c>
      <c r="E6503" s="52" t="s">
        <v>25</v>
      </c>
      <c r="F6503" s="52" t="s">
        <v>26</v>
      </c>
      <c r="G6503" s="53"/>
    </row>
    <row r="6504">
      <c r="A6504" s="49">
        <v>44581.41508944445</v>
      </c>
      <c r="B6504" s="50">
        <v>44581.5400615625</v>
      </c>
      <c r="C6504" s="51">
        <v>1.006</v>
      </c>
      <c r="D6504" s="51">
        <v>64.0</v>
      </c>
      <c r="E6504" s="52" t="s">
        <v>25</v>
      </c>
      <c r="F6504" s="52" t="s">
        <v>26</v>
      </c>
      <c r="G6504" s="53"/>
    </row>
    <row r="6505">
      <c r="A6505" s="49">
        <v>44581.42554077547</v>
      </c>
      <c r="B6505" s="50">
        <v>44581.5505158217</v>
      </c>
      <c r="C6505" s="51">
        <v>1.006</v>
      </c>
      <c r="D6505" s="51">
        <v>64.0</v>
      </c>
      <c r="E6505" s="52" t="s">
        <v>25</v>
      </c>
      <c r="F6505" s="52" t="s">
        <v>26</v>
      </c>
      <c r="G6505" s="53"/>
    </row>
    <row r="6506">
      <c r="A6506" s="49">
        <v>44581.435974629625</v>
      </c>
      <c r="B6506" s="50">
        <v>44581.56094875</v>
      </c>
      <c r="C6506" s="51">
        <v>1.006</v>
      </c>
      <c r="D6506" s="51">
        <v>64.0</v>
      </c>
      <c r="E6506" s="52" t="s">
        <v>25</v>
      </c>
      <c r="F6506" s="52" t="s">
        <v>26</v>
      </c>
      <c r="G6506" s="53"/>
    </row>
    <row r="6507">
      <c r="A6507" s="49">
        <v>44581.4463966551</v>
      </c>
      <c r="B6507" s="50">
        <v>44581.5713672337</v>
      </c>
      <c r="C6507" s="51">
        <v>1.006</v>
      </c>
      <c r="D6507" s="51">
        <v>64.0</v>
      </c>
      <c r="E6507" s="52" t="s">
        <v>25</v>
      </c>
      <c r="F6507" s="52" t="s">
        <v>26</v>
      </c>
      <c r="G6507" s="53"/>
    </row>
    <row r="6508">
      <c r="A6508" s="49">
        <v>44581.456815833335</v>
      </c>
      <c r="B6508" s="50">
        <v>44581.5817896296</v>
      </c>
      <c r="C6508" s="51">
        <v>1.006</v>
      </c>
      <c r="D6508" s="51">
        <v>64.0</v>
      </c>
      <c r="E6508" s="52" t="s">
        <v>25</v>
      </c>
      <c r="F6508" s="52" t="s">
        <v>26</v>
      </c>
      <c r="G6508" s="53"/>
    </row>
    <row r="6509">
      <c r="A6509" s="49">
        <v>44581.467278842596</v>
      </c>
      <c r="B6509" s="50">
        <v>44581.5922456597</v>
      </c>
      <c r="C6509" s="51">
        <v>1.006</v>
      </c>
      <c r="D6509" s="51">
        <v>64.0</v>
      </c>
      <c r="E6509" s="52" t="s">
        <v>25</v>
      </c>
      <c r="F6509" s="52" t="s">
        <v>26</v>
      </c>
      <c r="G6509" s="53"/>
    </row>
    <row r="6510">
      <c r="A6510" s="49">
        <v>44581.47775844907</v>
      </c>
      <c r="B6510" s="50">
        <v>44581.6027356134</v>
      </c>
      <c r="C6510" s="51">
        <v>1.006</v>
      </c>
      <c r="D6510" s="51">
        <v>64.0</v>
      </c>
      <c r="E6510" s="52" t="s">
        <v>25</v>
      </c>
      <c r="F6510" s="52" t="s">
        <v>26</v>
      </c>
      <c r="G6510" s="53"/>
    </row>
    <row r="6511">
      <c r="A6511" s="49">
        <v>44581.488178796295</v>
      </c>
      <c r="B6511" s="50">
        <v>44581.6131556712</v>
      </c>
      <c r="C6511" s="51">
        <v>1.006</v>
      </c>
      <c r="D6511" s="51">
        <v>64.0</v>
      </c>
      <c r="E6511" s="52" t="s">
        <v>25</v>
      </c>
      <c r="F6511" s="52" t="s">
        <v>26</v>
      </c>
      <c r="G6511" s="53"/>
    </row>
    <row r="6512">
      <c r="A6512" s="49">
        <v>44581.49861744213</v>
      </c>
      <c r="B6512" s="50">
        <v>44581.623600625</v>
      </c>
      <c r="C6512" s="51">
        <v>1.006</v>
      </c>
      <c r="D6512" s="51">
        <v>64.0</v>
      </c>
      <c r="E6512" s="52" t="s">
        <v>25</v>
      </c>
      <c r="F6512" s="52" t="s">
        <v>26</v>
      </c>
      <c r="G6512" s="53"/>
    </row>
    <row r="6513">
      <c r="A6513" s="49">
        <v>44581.50905170139</v>
      </c>
      <c r="B6513" s="50">
        <v>44581.634024456</v>
      </c>
      <c r="C6513" s="51">
        <v>1.006</v>
      </c>
      <c r="D6513" s="51">
        <v>64.0</v>
      </c>
      <c r="E6513" s="52" t="s">
        <v>25</v>
      </c>
      <c r="F6513" s="52" t="s">
        <v>26</v>
      </c>
      <c r="G6513" s="53"/>
    </row>
    <row r="6514">
      <c r="A6514" s="49">
        <v>44581.51946619213</v>
      </c>
      <c r="B6514" s="50">
        <v>44581.6444458912</v>
      </c>
      <c r="C6514" s="51">
        <v>1.006</v>
      </c>
      <c r="D6514" s="51">
        <v>64.0</v>
      </c>
      <c r="E6514" s="52" t="s">
        <v>25</v>
      </c>
      <c r="F6514" s="52" t="s">
        <v>26</v>
      </c>
      <c r="G6514" s="53"/>
    </row>
    <row r="6515">
      <c r="A6515" s="49">
        <v>44581.529896631946</v>
      </c>
      <c r="B6515" s="50">
        <v>44581.6548665046</v>
      </c>
      <c r="C6515" s="51">
        <v>1.006</v>
      </c>
      <c r="D6515" s="51">
        <v>63.0</v>
      </c>
      <c r="E6515" s="52" t="s">
        <v>25</v>
      </c>
      <c r="F6515" s="52" t="s">
        <v>26</v>
      </c>
      <c r="G6515" s="53"/>
    </row>
    <row r="6516">
      <c r="A6516" s="49">
        <v>44581.54030554398</v>
      </c>
      <c r="B6516" s="50">
        <v>44581.6652878356</v>
      </c>
      <c r="C6516" s="51">
        <v>1.006</v>
      </c>
      <c r="D6516" s="51">
        <v>63.0</v>
      </c>
      <c r="E6516" s="52" t="s">
        <v>25</v>
      </c>
      <c r="F6516" s="52" t="s">
        <v>26</v>
      </c>
      <c r="G6516" s="53"/>
    </row>
    <row r="6517">
      <c r="A6517" s="49">
        <v>44581.550730682866</v>
      </c>
      <c r="B6517" s="50">
        <v>44581.6757100578</v>
      </c>
      <c r="C6517" s="51">
        <v>1.006</v>
      </c>
      <c r="D6517" s="51">
        <v>63.0</v>
      </c>
      <c r="E6517" s="52" t="s">
        <v>25</v>
      </c>
      <c r="F6517" s="52" t="s">
        <v>26</v>
      </c>
      <c r="G6517" s="53"/>
    </row>
    <row r="6518">
      <c r="A6518" s="49">
        <v>44581.56115513889</v>
      </c>
      <c r="B6518" s="50">
        <v>44581.6861304282</v>
      </c>
      <c r="C6518" s="51">
        <v>1.006</v>
      </c>
      <c r="D6518" s="51">
        <v>63.0</v>
      </c>
      <c r="E6518" s="52" t="s">
        <v>25</v>
      </c>
      <c r="F6518" s="52" t="s">
        <v>26</v>
      </c>
      <c r="G6518" s="53"/>
    </row>
    <row r="6519">
      <c r="A6519" s="49">
        <v>44581.57157954861</v>
      </c>
      <c r="B6519" s="50">
        <v>44581.6965523263</v>
      </c>
      <c r="C6519" s="51">
        <v>1.006</v>
      </c>
      <c r="D6519" s="51">
        <v>63.0</v>
      </c>
      <c r="E6519" s="52" t="s">
        <v>25</v>
      </c>
      <c r="F6519" s="52" t="s">
        <v>26</v>
      </c>
      <c r="G6519" s="53"/>
    </row>
    <row r="6520">
      <c r="A6520" s="49">
        <v>44581.58204050926</v>
      </c>
      <c r="B6520" s="50">
        <v>44581.7070207754</v>
      </c>
      <c r="C6520" s="51">
        <v>1.006</v>
      </c>
      <c r="D6520" s="51">
        <v>63.0</v>
      </c>
      <c r="E6520" s="52" t="s">
        <v>25</v>
      </c>
      <c r="F6520" s="52" t="s">
        <v>26</v>
      </c>
      <c r="G6520" s="53"/>
    </row>
    <row r="6521">
      <c r="A6521" s="49">
        <v>44581.59247513889</v>
      </c>
      <c r="B6521" s="50">
        <v>44581.7174552199</v>
      </c>
      <c r="C6521" s="51">
        <v>1.006</v>
      </c>
      <c r="D6521" s="51">
        <v>63.0</v>
      </c>
      <c r="E6521" s="52" t="s">
        <v>25</v>
      </c>
      <c r="F6521" s="52" t="s">
        <v>26</v>
      </c>
      <c r="G6521" s="53"/>
    </row>
    <row r="6522">
      <c r="A6522" s="49">
        <v>44581.60293224537</v>
      </c>
      <c r="B6522" s="50">
        <v>44581.7279108912</v>
      </c>
      <c r="C6522" s="51">
        <v>1.006</v>
      </c>
      <c r="D6522" s="51">
        <v>63.0</v>
      </c>
      <c r="E6522" s="52" t="s">
        <v>25</v>
      </c>
      <c r="F6522" s="52" t="s">
        <v>26</v>
      </c>
      <c r="G6522" s="53"/>
    </row>
    <row r="6523">
      <c r="A6523" s="49">
        <v>44581.61335730324</v>
      </c>
      <c r="B6523" s="50">
        <v>44581.7383320254</v>
      </c>
      <c r="C6523" s="51">
        <v>1.006</v>
      </c>
      <c r="D6523" s="51">
        <v>63.0</v>
      </c>
      <c r="E6523" s="52" t="s">
        <v>25</v>
      </c>
      <c r="F6523" s="52" t="s">
        <v>26</v>
      </c>
      <c r="G6523" s="53"/>
    </row>
    <row r="6524">
      <c r="A6524" s="49">
        <v>44581.623814583334</v>
      </c>
      <c r="B6524" s="50">
        <v>44581.7487881828</v>
      </c>
      <c r="C6524" s="51">
        <v>1.006</v>
      </c>
      <c r="D6524" s="51">
        <v>63.0</v>
      </c>
      <c r="E6524" s="52" t="s">
        <v>25</v>
      </c>
      <c r="F6524" s="52" t="s">
        <v>26</v>
      </c>
      <c r="G6524" s="53"/>
    </row>
    <row r="6525">
      <c r="A6525" s="49">
        <v>44581.634242939814</v>
      </c>
      <c r="B6525" s="50">
        <v>44581.7592199884</v>
      </c>
      <c r="C6525" s="51">
        <v>1.006</v>
      </c>
      <c r="D6525" s="51">
        <v>63.0</v>
      </c>
      <c r="E6525" s="52" t="s">
        <v>25</v>
      </c>
      <c r="F6525" s="52" t="s">
        <v>26</v>
      </c>
      <c r="G6525" s="53"/>
    </row>
    <row r="6526">
      <c r="A6526" s="49">
        <v>44581.64467751158</v>
      </c>
      <c r="B6526" s="50">
        <v>44581.769652662</v>
      </c>
      <c r="C6526" s="51">
        <v>1.006</v>
      </c>
      <c r="D6526" s="51">
        <v>63.0</v>
      </c>
      <c r="E6526" s="52" t="s">
        <v>25</v>
      </c>
      <c r="F6526" s="52" t="s">
        <v>26</v>
      </c>
      <c r="G6526" s="53"/>
    </row>
    <row r="6527">
      <c r="A6527" s="49">
        <v>44581.65509813657</v>
      </c>
      <c r="B6527" s="50">
        <v>44581.7800731597</v>
      </c>
      <c r="C6527" s="51">
        <v>1.006</v>
      </c>
      <c r="D6527" s="51">
        <v>63.0</v>
      </c>
      <c r="E6527" s="52" t="s">
        <v>25</v>
      </c>
      <c r="F6527" s="52" t="s">
        <v>26</v>
      </c>
      <c r="G6527" s="53"/>
    </row>
    <row r="6528">
      <c r="A6528" s="49">
        <v>44581.665556921296</v>
      </c>
      <c r="B6528" s="50">
        <v>44581.7905285185</v>
      </c>
      <c r="C6528" s="51">
        <v>1.006</v>
      </c>
      <c r="D6528" s="51">
        <v>63.0</v>
      </c>
      <c r="E6528" s="52" t="s">
        <v>25</v>
      </c>
      <c r="F6528" s="52" t="s">
        <v>26</v>
      </c>
      <c r="G6528" s="53"/>
    </row>
    <row r="6529">
      <c r="A6529" s="49">
        <v>44581.6759996412</v>
      </c>
      <c r="B6529" s="50">
        <v>44581.8009733912</v>
      </c>
      <c r="C6529" s="51">
        <v>1.006</v>
      </c>
      <c r="D6529" s="51">
        <v>63.0</v>
      </c>
      <c r="E6529" s="52" t="s">
        <v>25</v>
      </c>
      <c r="F6529" s="52" t="s">
        <v>26</v>
      </c>
      <c r="G6529" s="53"/>
    </row>
    <row r="6530">
      <c r="A6530" s="49">
        <v>44581.68641829861</v>
      </c>
      <c r="B6530" s="50">
        <v>44581.8113961226</v>
      </c>
      <c r="C6530" s="51">
        <v>1.006</v>
      </c>
      <c r="D6530" s="51">
        <v>63.0</v>
      </c>
      <c r="E6530" s="52" t="s">
        <v>25</v>
      </c>
      <c r="F6530" s="52" t="s">
        <v>26</v>
      </c>
      <c r="G6530" s="53"/>
    </row>
    <row r="6531">
      <c r="A6531" s="49">
        <v>44581.696852395835</v>
      </c>
      <c r="B6531" s="50">
        <v>44581.8218285763</v>
      </c>
      <c r="C6531" s="51">
        <v>1.006</v>
      </c>
      <c r="D6531" s="51">
        <v>63.0</v>
      </c>
      <c r="E6531" s="52" t="s">
        <v>25</v>
      </c>
      <c r="F6531" s="52" t="s">
        <v>26</v>
      </c>
      <c r="G6531" s="53"/>
    </row>
    <row r="6532">
      <c r="A6532" s="49">
        <v>44581.70729601852</v>
      </c>
      <c r="B6532" s="50">
        <v>44581.8322726041</v>
      </c>
      <c r="C6532" s="51">
        <v>1.006</v>
      </c>
      <c r="D6532" s="51">
        <v>63.0</v>
      </c>
      <c r="E6532" s="52" t="s">
        <v>25</v>
      </c>
      <c r="F6532" s="52" t="s">
        <v>26</v>
      </c>
      <c r="G6532" s="53"/>
    </row>
    <row r="6533">
      <c r="A6533" s="49">
        <v>44581.7177227662</v>
      </c>
      <c r="B6533" s="50">
        <v>44581.8426936111</v>
      </c>
      <c r="C6533" s="51">
        <v>1.006</v>
      </c>
      <c r="D6533" s="51">
        <v>63.0</v>
      </c>
      <c r="E6533" s="52" t="s">
        <v>25</v>
      </c>
      <c r="F6533" s="52" t="s">
        <v>26</v>
      </c>
      <c r="G6533" s="53"/>
    </row>
    <row r="6534">
      <c r="A6534" s="49">
        <v>44581.72817408565</v>
      </c>
      <c r="B6534" s="50">
        <v>44581.8531501967</v>
      </c>
      <c r="C6534" s="51">
        <v>1.006</v>
      </c>
      <c r="D6534" s="51">
        <v>63.0</v>
      </c>
      <c r="E6534" s="52" t="s">
        <v>25</v>
      </c>
      <c r="F6534" s="52" t="s">
        <v>26</v>
      </c>
      <c r="G6534" s="53"/>
    </row>
    <row r="6535">
      <c r="A6535" s="49">
        <v>44581.738593842594</v>
      </c>
      <c r="B6535" s="50">
        <v>44581.863572824</v>
      </c>
      <c r="C6535" s="51">
        <v>1.006</v>
      </c>
      <c r="D6535" s="51">
        <v>63.0</v>
      </c>
      <c r="E6535" s="52" t="s">
        <v>25</v>
      </c>
      <c r="F6535" s="52" t="s">
        <v>26</v>
      </c>
      <c r="G6535" s="53"/>
    </row>
    <row r="6536">
      <c r="A6536" s="49">
        <v>44581.74902886574</v>
      </c>
      <c r="B6536" s="50">
        <v>44581.8740043865</v>
      </c>
      <c r="C6536" s="51">
        <v>1.006</v>
      </c>
      <c r="D6536" s="51">
        <v>63.0</v>
      </c>
      <c r="E6536" s="52" t="s">
        <v>25</v>
      </c>
      <c r="F6536" s="52" t="s">
        <v>26</v>
      </c>
      <c r="G6536" s="53"/>
    </row>
    <row r="6537">
      <c r="A6537" s="49">
        <v>44581.75945344908</v>
      </c>
      <c r="B6537" s="50">
        <v>44581.8844372338</v>
      </c>
      <c r="C6537" s="51">
        <v>1.006</v>
      </c>
      <c r="D6537" s="51">
        <v>63.0</v>
      </c>
      <c r="E6537" s="52" t="s">
        <v>25</v>
      </c>
      <c r="F6537" s="52" t="s">
        <v>26</v>
      </c>
      <c r="G6537" s="53"/>
    </row>
    <row r="6538">
      <c r="A6538" s="49">
        <v>44581.769885138885</v>
      </c>
      <c r="B6538" s="50">
        <v>44581.8948575926</v>
      </c>
      <c r="C6538" s="51">
        <v>1.006</v>
      </c>
      <c r="D6538" s="51">
        <v>63.0</v>
      </c>
      <c r="E6538" s="52" t="s">
        <v>25</v>
      </c>
      <c r="F6538" s="52" t="s">
        <v>26</v>
      </c>
      <c r="G6538" s="53"/>
    </row>
    <row r="6539">
      <c r="A6539" s="49">
        <v>44581.78033018518</v>
      </c>
      <c r="B6539" s="50">
        <v>44581.9053034027</v>
      </c>
      <c r="C6539" s="51">
        <v>1.006</v>
      </c>
      <c r="D6539" s="51">
        <v>63.0</v>
      </c>
      <c r="E6539" s="52" t="s">
        <v>25</v>
      </c>
      <c r="F6539" s="52" t="s">
        <v>26</v>
      </c>
      <c r="G6539" s="53"/>
    </row>
    <row r="6540">
      <c r="A6540" s="49">
        <v>44581.79080505787</v>
      </c>
      <c r="B6540" s="50">
        <v>44581.9157824884</v>
      </c>
      <c r="C6540" s="51">
        <v>1.006</v>
      </c>
      <c r="D6540" s="51">
        <v>63.0</v>
      </c>
      <c r="E6540" s="52" t="s">
        <v>25</v>
      </c>
      <c r="F6540" s="52" t="s">
        <v>26</v>
      </c>
      <c r="G6540" s="53"/>
    </row>
    <row r="6541">
      <c r="A6541" s="49">
        <v>44581.80123104167</v>
      </c>
      <c r="B6541" s="50">
        <v>44581.9262042245</v>
      </c>
      <c r="C6541" s="51">
        <v>1.006</v>
      </c>
      <c r="D6541" s="51">
        <v>63.0</v>
      </c>
      <c r="E6541" s="52" t="s">
        <v>25</v>
      </c>
      <c r="F6541" s="52" t="s">
        <v>26</v>
      </c>
      <c r="G6541" s="53"/>
    </row>
    <row r="6542">
      <c r="A6542" s="49">
        <v>44581.81165118056</v>
      </c>
      <c r="B6542" s="50">
        <v>44581.9366261805</v>
      </c>
      <c r="C6542" s="51">
        <v>1.006</v>
      </c>
      <c r="D6542" s="51">
        <v>63.0</v>
      </c>
      <c r="E6542" s="52" t="s">
        <v>25</v>
      </c>
      <c r="F6542" s="52" t="s">
        <v>26</v>
      </c>
      <c r="G6542" s="53"/>
    </row>
    <row r="6543">
      <c r="A6543" s="49">
        <v>44581.82208078704</v>
      </c>
      <c r="B6543" s="50">
        <v>44581.9470603703</v>
      </c>
      <c r="C6543" s="51">
        <v>1.006</v>
      </c>
      <c r="D6543" s="51">
        <v>63.0</v>
      </c>
      <c r="E6543" s="52" t="s">
        <v>25</v>
      </c>
      <c r="F6543" s="52" t="s">
        <v>26</v>
      </c>
      <c r="G6543" s="53"/>
    </row>
    <row r="6544">
      <c r="A6544" s="49">
        <v>44581.83251337963</v>
      </c>
      <c r="B6544" s="50">
        <v>44581.9574916898</v>
      </c>
      <c r="C6544" s="51">
        <v>1.006</v>
      </c>
      <c r="D6544" s="51">
        <v>63.0</v>
      </c>
      <c r="E6544" s="52" t="s">
        <v>25</v>
      </c>
      <c r="F6544" s="52" t="s">
        <v>26</v>
      </c>
      <c r="G6544" s="53"/>
    </row>
    <row r="6545">
      <c r="A6545" s="49">
        <v>44581.84296347223</v>
      </c>
      <c r="B6545" s="50">
        <v>44581.9679470833</v>
      </c>
      <c r="C6545" s="51">
        <v>1.006</v>
      </c>
      <c r="D6545" s="51">
        <v>63.0</v>
      </c>
      <c r="E6545" s="52" t="s">
        <v>25</v>
      </c>
      <c r="F6545" s="52" t="s">
        <v>26</v>
      </c>
      <c r="G6545" s="53"/>
    </row>
    <row r="6546">
      <c r="A6546" s="49">
        <v>44581.85339587963</v>
      </c>
      <c r="B6546" s="50">
        <v>44581.9783693634</v>
      </c>
      <c r="C6546" s="51">
        <v>1.006</v>
      </c>
      <c r="D6546" s="51">
        <v>63.0</v>
      </c>
      <c r="E6546" s="52" t="s">
        <v>25</v>
      </c>
      <c r="F6546" s="52" t="s">
        <v>26</v>
      </c>
      <c r="G6546" s="53"/>
    </row>
    <row r="6547">
      <c r="A6547" s="49">
        <v>44581.86385226852</v>
      </c>
      <c r="B6547" s="50">
        <v>44581.9888257291</v>
      </c>
      <c r="C6547" s="51">
        <v>1.006</v>
      </c>
      <c r="D6547" s="51">
        <v>63.0</v>
      </c>
      <c r="E6547" s="52" t="s">
        <v>25</v>
      </c>
      <c r="F6547" s="52" t="s">
        <v>26</v>
      </c>
      <c r="G6547" s="53"/>
    </row>
    <row r="6548">
      <c r="A6548" s="49">
        <v>44581.87427479167</v>
      </c>
      <c r="B6548" s="50">
        <v>44581.9992467708</v>
      </c>
      <c r="C6548" s="51">
        <v>1.006</v>
      </c>
      <c r="D6548" s="51">
        <v>63.0</v>
      </c>
      <c r="E6548" s="52" t="s">
        <v>25</v>
      </c>
      <c r="F6548" s="52" t="s">
        <v>26</v>
      </c>
      <c r="G6548" s="53"/>
    </row>
    <row r="6549">
      <c r="A6549" s="49">
        <v>44581.884730150465</v>
      </c>
      <c r="B6549" s="50">
        <v>44582.0097037268</v>
      </c>
      <c r="C6549" s="51">
        <v>1.006</v>
      </c>
      <c r="D6549" s="51">
        <v>63.0</v>
      </c>
      <c r="E6549" s="52" t="s">
        <v>25</v>
      </c>
      <c r="F6549" s="52" t="s">
        <v>26</v>
      </c>
      <c r="G6549" s="53"/>
    </row>
    <row r="6550">
      <c r="A6550" s="49">
        <v>44581.895145937495</v>
      </c>
      <c r="B6550" s="50">
        <v>44582.0201233912</v>
      </c>
      <c r="C6550" s="51">
        <v>1.006</v>
      </c>
      <c r="D6550" s="51">
        <v>63.0</v>
      </c>
      <c r="E6550" s="52" t="s">
        <v>25</v>
      </c>
      <c r="F6550" s="52" t="s">
        <v>26</v>
      </c>
      <c r="G6550" s="53"/>
    </row>
    <row r="6551">
      <c r="A6551" s="49">
        <v>44581.90563706019</v>
      </c>
      <c r="B6551" s="50">
        <v>44582.0306145717</v>
      </c>
      <c r="C6551" s="51">
        <v>1.006</v>
      </c>
      <c r="D6551" s="51">
        <v>63.0</v>
      </c>
      <c r="E6551" s="52" t="s">
        <v>25</v>
      </c>
      <c r="F6551" s="52" t="s">
        <v>26</v>
      </c>
      <c r="G6551" s="53"/>
    </row>
    <row r="6552">
      <c r="A6552" s="49">
        <v>44581.916076319445</v>
      </c>
      <c r="B6552" s="50">
        <v>44582.0410577546</v>
      </c>
      <c r="C6552" s="51">
        <v>1.006</v>
      </c>
      <c r="D6552" s="51">
        <v>63.0</v>
      </c>
      <c r="E6552" s="52" t="s">
        <v>25</v>
      </c>
      <c r="F6552" s="52" t="s">
        <v>26</v>
      </c>
      <c r="G6552" s="53"/>
    </row>
    <row r="6553">
      <c r="A6553" s="49">
        <v>44581.9264956713</v>
      </c>
      <c r="B6553" s="50">
        <v>44582.0514784837</v>
      </c>
      <c r="C6553" s="51">
        <v>1.006</v>
      </c>
      <c r="D6553" s="51">
        <v>63.0</v>
      </c>
      <c r="E6553" s="52" t="s">
        <v>25</v>
      </c>
      <c r="F6553" s="52" t="s">
        <v>26</v>
      </c>
      <c r="G6553" s="53"/>
    </row>
    <row r="6554">
      <c r="A6554" s="49">
        <v>44581.93692826389</v>
      </c>
      <c r="B6554" s="50">
        <v>44582.0619006134</v>
      </c>
      <c r="C6554" s="51">
        <v>1.006</v>
      </c>
      <c r="D6554" s="51">
        <v>63.0</v>
      </c>
      <c r="E6554" s="52" t="s">
        <v>25</v>
      </c>
      <c r="F6554" s="52" t="s">
        <v>26</v>
      </c>
      <c r="G6554" s="53"/>
    </row>
    <row r="6555">
      <c r="A6555" s="49">
        <v>44581.947358425925</v>
      </c>
      <c r="B6555" s="50">
        <v>44582.0723333449</v>
      </c>
      <c r="C6555" s="51">
        <v>1.006</v>
      </c>
      <c r="D6555" s="51">
        <v>63.0</v>
      </c>
      <c r="E6555" s="52" t="s">
        <v>25</v>
      </c>
      <c r="F6555" s="52" t="s">
        <v>26</v>
      </c>
      <c r="G6555" s="53"/>
    </row>
    <row r="6556">
      <c r="A6556" s="49">
        <v>44581.95778363426</v>
      </c>
      <c r="B6556" s="50">
        <v>44582.0827537268</v>
      </c>
      <c r="C6556" s="51">
        <v>1.006</v>
      </c>
      <c r="D6556" s="51">
        <v>63.0</v>
      </c>
      <c r="E6556" s="52" t="s">
        <v>25</v>
      </c>
      <c r="F6556" s="52" t="s">
        <v>26</v>
      </c>
      <c r="G6556" s="53"/>
    </row>
    <row r="6557">
      <c r="A6557" s="49">
        <v>44581.968218124995</v>
      </c>
      <c r="B6557" s="50">
        <v>44582.0931881713</v>
      </c>
      <c r="C6557" s="51">
        <v>1.006</v>
      </c>
      <c r="D6557" s="51">
        <v>63.0</v>
      </c>
      <c r="E6557" s="52" t="s">
        <v>25</v>
      </c>
      <c r="F6557" s="52" t="s">
        <v>26</v>
      </c>
      <c r="G6557" s="53"/>
    </row>
    <row r="6558">
      <c r="A6558" s="49">
        <v>44581.97863356481</v>
      </c>
      <c r="B6558" s="50">
        <v>44582.1036115972</v>
      </c>
      <c r="C6558" s="51">
        <v>1.006</v>
      </c>
      <c r="D6558" s="51">
        <v>63.0</v>
      </c>
      <c r="E6558" s="52" t="s">
        <v>25</v>
      </c>
      <c r="F6558" s="52" t="s">
        <v>26</v>
      </c>
      <c r="G6558" s="53"/>
    </row>
    <row r="6559">
      <c r="A6559" s="49">
        <v>44581.989065752314</v>
      </c>
      <c r="B6559" s="50">
        <v>44582.1140456828</v>
      </c>
      <c r="C6559" s="51">
        <v>1.006</v>
      </c>
      <c r="D6559" s="51">
        <v>63.0</v>
      </c>
      <c r="E6559" s="52" t="s">
        <v>25</v>
      </c>
      <c r="F6559" s="52" t="s">
        <v>26</v>
      </c>
      <c r="G6559" s="53"/>
    </row>
    <row r="6560">
      <c r="A6560" s="49">
        <v>44581.999485625</v>
      </c>
      <c r="B6560" s="50">
        <v>44582.1244676967</v>
      </c>
      <c r="C6560" s="51">
        <v>1.006</v>
      </c>
      <c r="D6560" s="51">
        <v>63.0</v>
      </c>
      <c r="E6560" s="52" t="s">
        <v>25</v>
      </c>
      <c r="F6560" s="52" t="s">
        <v>26</v>
      </c>
      <c r="G6560" s="53"/>
    </row>
    <row r="6561">
      <c r="A6561" s="49">
        <v>44582.009939606476</v>
      </c>
      <c r="B6561" s="50">
        <v>44582.1349104861</v>
      </c>
      <c r="C6561" s="51">
        <v>1.006</v>
      </c>
      <c r="D6561" s="51">
        <v>63.0</v>
      </c>
      <c r="E6561" s="52" t="s">
        <v>25</v>
      </c>
      <c r="F6561" s="52" t="s">
        <v>26</v>
      </c>
      <c r="G6561" s="53"/>
    </row>
    <row r="6562">
      <c r="A6562" s="49">
        <v>44582.020361030096</v>
      </c>
      <c r="B6562" s="50">
        <v>44582.1453436689</v>
      </c>
      <c r="C6562" s="51">
        <v>1.006</v>
      </c>
      <c r="D6562" s="51">
        <v>63.0</v>
      </c>
      <c r="E6562" s="52" t="s">
        <v>25</v>
      </c>
      <c r="F6562" s="52" t="s">
        <v>26</v>
      </c>
      <c r="G6562" s="53"/>
    </row>
    <row r="6563">
      <c r="A6563" s="49">
        <v>44582.03080652778</v>
      </c>
      <c r="B6563" s="50">
        <v>44582.1557784027</v>
      </c>
      <c r="C6563" s="51">
        <v>1.006</v>
      </c>
      <c r="D6563" s="51">
        <v>63.0</v>
      </c>
      <c r="E6563" s="52" t="s">
        <v>25</v>
      </c>
      <c r="F6563" s="52" t="s">
        <v>26</v>
      </c>
      <c r="G6563" s="53"/>
    </row>
    <row r="6564">
      <c r="A6564" s="49">
        <v>44582.041221817126</v>
      </c>
      <c r="B6564" s="50">
        <v>44582.1661999537</v>
      </c>
      <c r="C6564" s="51">
        <v>1.006</v>
      </c>
      <c r="D6564" s="51">
        <v>63.0</v>
      </c>
      <c r="E6564" s="52" t="s">
        <v>25</v>
      </c>
      <c r="F6564" s="52" t="s">
        <v>26</v>
      </c>
      <c r="G6564" s="53"/>
    </row>
    <row r="6565">
      <c r="A6565" s="49">
        <v>44582.05164762732</v>
      </c>
      <c r="B6565" s="50">
        <v>44582.1766224768</v>
      </c>
      <c r="C6565" s="51">
        <v>1.006</v>
      </c>
      <c r="D6565" s="51">
        <v>63.0</v>
      </c>
      <c r="E6565" s="52" t="s">
        <v>25</v>
      </c>
      <c r="F6565" s="52" t="s">
        <v>26</v>
      </c>
      <c r="G6565" s="53"/>
    </row>
    <row r="6566">
      <c r="A6566" s="49">
        <v>44582.06214541667</v>
      </c>
      <c r="B6566" s="50">
        <v>44582.1871134722</v>
      </c>
      <c r="C6566" s="51">
        <v>1.006</v>
      </c>
      <c r="D6566" s="51">
        <v>63.0</v>
      </c>
      <c r="E6566" s="52" t="s">
        <v>25</v>
      </c>
      <c r="F6566" s="52" t="s">
        <v>26</v>
      </c>
      <c r="G6566" s="53"/>
    </row>
    <row r="6567">
      <c r="A6567" s="49">
        <v>44582.07260135417</v>
      </c>
      <c r="B6567" s="50">
        <v>44582.1975686921</v>
      </c>
      <c r="C6567" s="51">
        <v>1.006</v>
      </c>
      <c r="D6567" s="51">
        <v>63.0</v>
      </c>
      <c r="E6567" s="52" t="s">
        <v>25</v>
      </c>
      <c r="F6567" s="52" t="s">
        <v>26</v>
      </c>
      <c r="G6567" s="53"/>
    </row>
    <row r="6568">
      <c r="A6568" s="49">
        <v>44582.08304356481</v>
      </c>
      <c r="B6568" s="50">
        <v>44582.2080230092</v>
      </c>
      <c r="C6568" s="51">
        <v>1.006</v>
      </c>
      <c r="D6568" s="51">
        <v>63.0</v>
      </c>
      <c r="E6568" s="52" t="s">
        <v>25</v>
      </c>
      <c r="F6568" s="52" t="s">
        <v>26</v>
      </c>
      <c r="G6568" s="53"/>
    </row>
    <row r="6569">
      <c r="A6569" s="49">
        <v>44582.09349043982</v>
      </c>
      <c r="B6569" s="50">
        <v>44582.2184672338</v>
      </c>
      <c r="C6569" s="51">
        <v>1.006</v>
      </c>
      <c r="D6569" s="51">
        <v>64.0</v>
      </c>
      <c r="E6569" s="52" t="s">
        <v>25</v>
      </c>
      <c r="F6569" s="52" t="s">
        <v>26</v>
      </c>
      <c r="G6569" s="53"/>
    </row>
    <row r="6570">
      <c r="A6570" s="49">
        <v>44582.103912199076</v>
      </c>
      <c r="B6570" s="50">
        <v>44582.2288880439</v>
      </c>
      <c r="C6570" s="51">
        <v>1.006</v>
      </c>
      <c r="D6570" s="51">
        <v>64.0</v>
      </c>
      <c r="E6570" s="52" t="s">
        <v>25</v>
      </c>
      <c r="F6570" s="52" t="s">
        <v>26</v>
      </c>
      <c r="G6570" s="53"/>
    </row>
    <row r="6571">
      <c r="A6571" s="49">
        <v>44582.11434947916</v>
      </c>
      <c r="B6571" s="50">
        <v>44582.2393100578</v>
      </c>
      <c r="C6571" s="51">
        <v>1.006</v>
      </c>
      <c r="D6571" s="51">
        <v>64.0</v>
      </c>
      <c r="E6571" s="52" t="s">
        <v>25</v>
      </c>
      <c r="F6571" s="52" t="s">
        <v>26</v>
      </c>
      <c r="G6571" s="53"/>
    </row>
    <row r="6572">
      <c r="A6572" s="49">
        <v>44582.12482922454</v>
      </c>
      <c r="B6572" s="50">
        <v>44582.2497901273</v>
      </c>
      <c r="C6572" s="51">
        <v>1.006</v>
      </c>
      <c r="D6572" s="51">
        <v>65.0</v>
      </c>
      <c r="E6572" s="52" t="s">
        <v>25</v>
      </c>
      <c r="F6572" s="52" t="s">
        <v>26</v>
      </c>
      <c r="G6572" s="53"/>
    </row>
    <row r="6573">
      <c r="A6573" s="49">
        <v>44582.13523881944</v>
      </c>
      <c r="B6573" s="50">
        <v>44582.2602106712</v>
      </c>
      <c r="C6573" s="51">
        <v>1.006</v>
      </c>
      <c r="D6573" s="51">
        <v>65.0</v>
      </c>
      <c r="E6573" s="52" t="s">
        <v>25</v>
      </c>
      <c r="F6573" s="52" t="s">
        <v>26</v>
      </c>
      <c r="G6573" s="53"/>
    </row>
    <row r="6574">
      <c r="A6574" s="49">
        <v>44582.14566516204</v>
      </c>
      <c r="B6574" s="50">
        <v>44582.2706317361</v>
      </c>
      <c r="C6574" s="51">
        <v>1.006</v>
      </c>
      <c r="D6574" s="51">
        <v>66.0</v>
      </c>
      <c r="E6574" s="52" t="s">
        <v>25</v>
      </c>
      <c r="F6574" s="52" t="s">
        <v>26</v>
      </c>
      <c r="G6574" s="53"/>
    </row>
    <row r="6575">
      <c r="A6575" s="49">
        <v>44582.15607303241</v>
      </c>
      <c r="B6575" s="50">
        <v>44582.2810515972</v>
      </c>
      <c r="C6575" s="51">
        <v>1.006</v>
      </c>
      <c r="D6575" s="51">
        <v>66.0</v>
      </c>
      <c r="E6575" s="52" t="s">
        <v>25</v>
      </c>
      <c r="F6575" s="52" t="s">
        <v>26</v>
      </c>
      <c r="G6575" s="53"/>
    </row>
    <row r="6576">
      <c r="A6576" s="49">
        <v>44582.166551574075</v>
      </c>
      <c r="B6576" s="50">
        <v>44582.2915310185</v>
      </c>
      <c r="C6576" s="51">
        <v>1.005</v>
      </c>
      <c r="D6576" s="51">
        <v>66.0</v>
      </c>
      <c r="E6576" s="52" t="s">
        <v>25</v>
      </c>
      <c r="F6576" s="52" t="s">
        <v>26</v>
      </c>
      <c r="G6576" s="53"/>
    </row>
    <row r="6577">
      <c r="A6577" s="49">
        <v>44582.17697185185</v>
      </c>
      <c r="B6577" s="50">
        <v>44582.3019526504</v>
      </c>
      <c r="C6577" s="51">
        <v>1.006</v>
      </c>
      <c r="D6577" s="51">
        <v>67.0</v>
      </c>
      <c r="E6577" s="52" t="s">
        <v>25</v>
      </c>
      <c r="F6577" s="52" t="s">
        <v>26</v>
      </c>
      <c r="G6577" s="53"/>
    </row>
    <row r="6578">
      <c r="A6578" s="49">
        <v>44582.18740556713</v>
      </c>
      <c r="B6578" s="50">
        <v>44582.3123848842</v>
      </c>
      <c r="C6578" s="51">
        <v>1.006</v>
      </c>
      <c r="D6578" s="51">
        <v>67.0</v>
      </c>
      <c r="E6578" s="52" t="s">
        <v>25</v>
      </c>
      <c r="F6578" s="52" t="s">
        <v>26</v>
      </c>
      <c r="G6578" s="53"/>
    </row>
    <row r="6579">
      <c r="A6579" s="49">
        <v>44582.19782763888</v>
      </c>
      <c r="B6579" s="50">
        <v>44582.322807662</v>
      </c>
      <c r="C6579" s="51">
        <v>1.006</v>
      </c>
      <c r="D6579" s="51">
        <v>68.0</v>
      </c>
      <c r="E6579" s="52" t="s">
        <v>25</v>
      </c>
      <c r="F6579" s="52" t="s">
        <v>26</v>
      </c>
      <c r="G6579" s="53"/>
    </row>
    <row r="6580">
      <c r="A6580" s="49">
        <v>44582.20824807871</v>
      </c>
      <c r="B6580" s="50">
        <v>44582.3332278356</v>
      </c>
      <c r="C6580" s="51">
        <v>1.005</v>
      </c>
      <c r="D6580" s="51">
        <v>68.0</v>
      </c>
      <c r="E6580" s="52" t="s">
        <v>25</v>
      </c>
      <c r="F6580" s="52" t="s">
        <v>26</v>
      </c>
      <c r="G6580" s="53"/>
    </row>
    <row r="6581">
      <c r="A6581" s="49">
        <v>44582.21866774306</v>
      </c>
      <c r="B6581" s="50">
        <v>44582.3436503587</v>
      </c>
      <c r="C6581" s="51">
        <v>1.006</v>
      </c>
      <c r="D6581" s="51">
        <v>68.0</v>
      </c>
      <c r="E6581" s="52" t="s">
        <v>25</v>
      </c>
      <c r="F6581" s="52" t="s">
        <v>26</v>
      </c>
      <c r="G6581" s="53"/>
    </row>
    <row r="6582">
      <c r="A6582" s="49">
        <v>44582.22911872686</v>
      </c>
      <c r="B6582" s="50">
        <v>44582.3540952777</v>
      </c>
      <c r="C6582" s="51">
        <v>1.006</v>
      </c>
      <c r="D6582" s="51">
        <v>68.0</v>
      </c>
      <c r="E6582" s="52" t="s">
        <v>25</v>
      </c>
      <c r="F6582" s="52" t="s">
        <v>26</v>
      </c>
      <c r="G6582" s="53"/>
    </row>
    <row r="6583">
      <c r="A6583" s="49">
        <v>44582.23954766204</v>
      </c>
      <c r="B6583" s="50">
        <v>44582.3645263425</v>
      </c>
      <c r="C6583" s="51">
        <v>1.006</v>
      </c>
      <c r="D6583" s="51">
        <v>67.0</v>
      </c>
      <c r="E6583" s="52" t="s">
        <v>25</v>
      </c>
      <c r="F6583" s="52" t="s">
        <v>26</v>
      </c>
      <c r="G6583" s="53"/>
    </row>
    <row r="6584">
      <c r="A6584" s="49">
        <v>44582.24996798611</v>
      </c>
      <c r="B6584" s="50">
        <v>44582.3749481249</v>
      </c>
      <c r="C6584" s="51">
        <v>1.006</v>
      </c>
      <c r="D6584" s="51">
        <v>67.0</v>
      </c>
      <c r="E6584" s="52" t="s">
        <v>25</v>
      </c>
      <c r="F6584" s="52" t="s">
        <v>26</v>
      </c>
      <c r="G6584" s="53"/>
    </row>
    <row r="6585">
      <c r="A6585" s="49">
        <v>44582.2604034838</v>
      </c>
      <c r="B6585" s="50">
        <v>44582.3853791203</v>
      </c>
      <c r="C6585" s="51">
        <v>1.006</v>
      </c>
      <c r="D6585" s="51">
        <v>67.0</v>
      </c>
      <c r="E6585" s="52" t="s">
        <v>25</v>
      </c>
      <c r="F6585" s="52" t="s">
        <v>26</v>
      </c>
      <c r="G6585" s="53"/>
    </row>
    <row r="6586">
      <c r="A6586" s="49">
        <v>44582.270818634264</v>
      </c>
      <c r="B6586" s="50">
        <v>44582.3958006944</v>
      </c>
      <c r="C6586" s="51">
        <v>1.006</v>
      </c>
      <c r="D6586" s="51">
        <v>67.0</v>
      </c>
      <c r="E6586" s="52" t="s">
        <v>25</v>
      </c>
      <c r="F6586" s="52" t="s">
        <v>26</v>
      </c>
      <c r="G6586" s="53"/>
    </row>
    <row r="6587">
      <c r="A6587" s="49">
        <v>44582.28124128473</v>
      </c>
      <c r="B6587" s="50">
        <v>44582.4062229745</v>
      </c>
      <c r="C6587" s="51">
        <v>1.006</v>
      </c>
      <c r="D6587" s="51">
        <v>67.0</v>
      </c>
      <c r="E6587" s="52" t="s">
        <v>25</v>
      </c>
      <c r="F6587" s="52" t="s">
        <v>26</v>
      </c>
      <c r="G6587" s="53"/>
    </row>
    <row r="6588">
      <c r="A6588" s="49">
        <v>44582.29170371528</v>
      </c>
      <c r="B6588" s="50">
        <v>44582.4166803587</v>
      </c>
      <c r="C6588" s="51">
        <v>1.006</v>
      </c>
      <c r="D6588" s="51">
        <v>67.0</v>
      </c>
      <c r="E6588" s="52" t="s">
        <v>25</v>
      </c>
      <c r="F6588" s="52" t="s">
        <v>26</v>
      </c>
      <c r="G6588" s="53"/>
    </row>
    <row r="6589">
      <c r="A6589" s="49">
        <v>44582.30214201389</v>
      </c>
      <c r="B6589" s="50">
        <v>44582.4271012384</v>
      </c>
      <c r="C6589" s="51">
        <v>1.006</v>
      </c>
      <c r="D6589" s="51">
        <v>67.0</v>
      </c>
      <c r="E6589" s="52" t="s">
        <v>25</v>
      </c>
      <c r="F6589" s="52" t="s">
        <v>26</v>
      </c>
      <c r="G6589" s="53"/>
    </row>
    <row r="6590">
      <c r="A6590" s="49">
        <v>44582.31256210648</v>
      </c>
      <c r="B6590" s="50">
        <v>44582.4375352199</v>
      </c>
      <c r="C6590" s="51">
        <v>1.006</v>
      </c>
      <c r="D6590" s="51">
        <v>67.0</v>
      </c>
      <c r="E6590" s="52" t="s">
        <v>25</v>
      </c>
      <c r="F6590" s="52" t="s">
        <v>26</v>
      </c>
      <c r="G6590" s="53"/>
    </row>
    <row r="6591">
      <c r="A6591" s="49">
        <v>44582.32299584491</v>
      </c>
      <c r="B6591" s="50">
        <v>44582.4479679398</v>
      </c>
      <c r="C6591" s="51">
        <v>1.006</v>
      </c>
      <c r="D6591" s="51">
        <v>67.0</v>
      </c>
      <c r="E6591" s="52" t="s">
        <v>25</v>
      </c>
      <c r="F6591" s="52" t="s">
        <v>26</v>
      </c>
      <c r="G6591" s="53"/>
    </row>
    <row r="6592">
      <c r="A6592" s="49">
        <v>44582.33342570602</v>
      </c>
      <c r="B6592" s="50">
        <v>44582.458387824</v>
      </c>
      <c r="C6592" s="51">
        <v>1.005</v>
      </c>
      <c r="D6592" s="51">
        <v>67.0</v>
      </c>
      <c r="E6592" s="52" t="s">
        <v>25</v>
      </c>
      <c r="F6592" s="52" t="s">
        <v>26</v>
      </c>
      <c r="G6592" s="53"/>
    </row>
    <row r="6593">
      <c r="A6593" s="49">
        <v>44582.343857858796</v>
      </c>
      <c r="B6593" s="50">
        <v>44582.4688331712</v>
      </c>
      <c r="C6593" s="51">
        <v>1.005</v>
      </c>
      <c r="D6593" s="51">
        <v>67.0</v>
      </c>
      <c r="E6593" s="52" t="s">
        <v>25</v>
      </c>
      <c r="F6593" s="52" t="s">
        <v>26</v>
      </c>
      <c r="G6593" s="53"/>
    </row>
    <row r="6594">
      <c r="A6594" s="49">
        <v>44582.35427998843</v>
      </c>
      <c r="B6594" s="50">
        <v>44582.4792540509</v>
      </c>
      <c r="C6594" s="51">
        <v>1.006</v>
      </c>
      <c r="D6594" s="51">
        <v>67.0</v>
      </c>
      <c r="E6594" s="52" t="s">
        <v>25</v>
      </c>
      <c r="F6594" s="52" t="s">
        <v>26</v>
      </c>
      <c r="G6594" s="53"/>
    </row>
    <row r="6595">
      <c r="A6595" s="49">
        <v>44582.364706203705</v>
      </c>
      <c r="B6595" s="50">
        <v>44582.4896858333</v>
      </c>
      <c r="C6595" s="51">
        <v>1.006</v>
      </c>
      <c r="D6595" s="51">
        <v>67.0</v>
      </c>
      <c r="E6595" s="52" t="s">
        <v>25</v>
      </c>
      <c r="F6595" s="52" t="s">
        <v>26</v>
      </c>
      <c r="G6595" s="53"/>
    </row>
    <row r="6596">
      <c r="A6596" s="49">
        <v>44582.375133043985</v>
      </c>
      <c r="B6596" s="50">
        <v>44582.5001058796</v>
      </c>
      <c r="C6596" s="51">
        <v>1.006</v>
      </c>
      <c r="D6596" s="51">
        <v>67.0</v>
      </c>
      <c r="E6596" s="52" t="s">
        <v>25</v>
      </c>
      <c r="F6596" s="52" t="s">
        <v>26</v>
      </c>
      <c r="G6596" s="53"/>
    </row>
    <row r="6597">
      <c r="A6597" s="49">
        <v>44582.38555017361</v>
      </c>
      <c r="B6597" s="50">
        <v>44582.510525625</v>
      </c>
      <c r="C6597" s="51">
        <v>1.006</v>
      </c>
      <c r="D6597" s="51">
        <v>67.0</v>
      </c>
      <c r="E6597" s="52" t="s">
        <v>25</v>
      </c>
      <c r="F6597" s="52" t="s">
        <v>26</v>
      </c>
      <c r="G6597" s="53"/>
    </row>
    <row r="6598">
      <c r="A6598" s="49">
        <v>44582.39601280093</v>
      </c>
      <c r="B6598" s="50">
        <v>44582.5209830787</v>
      </c>
      <c r="C6598" s="51">
        <v>1.005</v>
      </c>
      <c r="D6598" s="51">
        <v>67.0</v>
      </c>
      <c r="E6598" s="52" t="s">
        <v>25</v>
      </c>
      <c r="F6598" s="52" t="s">
        <v>26</v>
      </c>
      <c r="G6598" s="53"/>
    </row>
    <row r="6599">
      <c r="A6599" s="49">
        <v>44582.40644118056</v>
      </c>
      <c r="B6599" s="50">
        <v>44582.5314153587</v>
      </c>
      <c r="C6599" s="51">
        <v>1.006</v>
      </c>
      <c r="D6599" s="51">
        <v>67.0</v>
      </c>
      <c r="E6599" s="52" t="s">
        <v>25</v>
      </c>
      <c r="F6599" s="52" t="s">
        <v>26</v>
      </c>
      <c r="G6599" s="53"/>
    </row>
    <row r="6600">
      <c r="A6600" s="49">
        <v>44582.416867754626</v>
      </c>
      <c r="B6600" s="50">
        <v>44582.541836655</v>
      </c>
      <c r="C6600" s="51">
        <v>1.006</v>
      </c>
      <c r="D6600" s="51">
        <v>67.0</v>
      </c>
      <c r="E6600" s="52" t="s">
        <v>25</v>
      </c>
      <c r="F6600" s="52" t="s">
        <v>26</v>
      </c>
      <c r="G6600" s="53"/>
    </row>
    <row r="6601">
      <c r="A6601" s="49">
        <v>44582.42728265046</v>
      </c>
      <c r="B6601" s="50">
        <v>44582.5522594791</v>
      </c>
      <c r="C6601" s="51">
        <v>1.006</v>
      </c>
      <c r="D6601" s="51">
        <v>67.0</v>
      </c>
      <c r="E6601" s="52" t="s">
        <v>25</v>
      </c>
      <c r="F6601" s="52" t="s">
        <v>26</v>
      </c>
      <c r="G6601" s="53"/>
    </row>
    <row r="6602">
      <c r="A6602" s="49">
        <v>44582.43770013889</v>
      </c>
      <c r="B6602" s="50">
        <v>44582.5626823958</v>
      </c>
      <c r="C6602" s="51">
        <v>1.005</v>
      </c>
      <c r="D6602" s="51">
        <v>67.0</v>
      </c>
      <c r="E6602" s="52" t="s">
        <v>25</v>
      </c>
      <c r="F6602" s="52" t="s">
        <v>26</v>
      </c>
      <c r="G6602" s="53"/>
    </row>
    <row r="6603">
      <c r="A6603" s="49">
        <v>44582.44813309028</v>
      </c>
      <c r="B6603" s="50">
        <v>44582.5731031481</v>
      </c>
      <c r="C6603" s="51">
        <v>1.006</v>
      </c>
      <c r="D6603" s="51">
        <v>67.0</v>
      </c>
      <c r="E6603" s="52" t="s">
        <v>25</v>
      </c>
      <c r="F6603" s="52" t="s">
        <v>26</v>
      </c>
      <c r="G6603" s="53"/>
    </row>
    <row r="6604">
      <c r="A6604" s="49">
        <v>44582.45856237269</v>
      </c>
      <c r="B6604" s="50">
        <v>44582.5835362268</v>
      </c>
      <c r="C6604" s="51">
        <v>1.006</v>
      </c>
      <c r="D6604" s="51">
        <v>67.0</v>
      </c>
      <c r="E6604" s="52" t="s">
        <v>25</v>
      </c>
      <c r="F6604" s="52" t="s">
        <v>26</v>
      </c>
      <c r="G6604" s="53"/>
    </row>
    <row r="6605">
      <c r="A6605" s="49">
        <v>44582.469018738426</v>
      </c>
      <c r="B6605" s="50">
        <v>44582.5939928703</v>
      </c>
      <c r="C6605" s="51">
        <v>1.006</v>
      </c>
      <c r="D6605" s="51">
        <v>67.0</v>
      </c>
      <c r="E6605" s="52" t="s">
        <v>25</v>
      </c>
      <c r="F6605" s="52" t="s">
        <v>26</v>
      </c>
      <c r="G6605" s="53"/>
    </row>
    <row r="6606">
      <c r="A6606" s="49">
        <v>44582.47943731482</v>
      </c>
      <c r="B6606" s="50">
        <v>44582.6044158912</v>
      </c>
      <c r="C6606" s="51">
        <v>1.006</v>
      </c>
      <c r="D6606" s="51">
        <v>66.0</v>
      </c>
      <c r="E6606" s="52" t="s">
        <v>25</v>
      </c>
      <c r="F6606" s="52" t="s">
        <v>26</v>
      </c>
      <c r="G6606" s="53"/>
    </row>
    <row r="6607">
      <c r="A6607" s="49">
        <v>44582.48987042824</v>
      </c>
      <c r="B6607" s="50">
        <v>44582.6148394791</v>
      </c>
      <c r="C6607" s="51">
        <v>1.006</v>
      </c>
      <c r="D6607" s="51">
        <v>67.0</v>
      </c>
      <c r="E6607" s="52" t="s">
        <v>25</v>
      </c>
      <c r="F6607" s="52" t="s">
        <v>26</v>
      </c>
      <c r="G6607" s="53"/>
    </row>
    <row r="6608">
      <c r="A6608" s="49">
        <v>44582.50030530093</v>
      </c>
      <c r="B6608" s="50">
        <v>44582.6252714699</v>
      </c>
      <c r="C6608" s="51">
        <v>1.006</v>
      </c>
      <c r="D6608" s="51">
        <v>66.0</v>
      </c>
      <c r="E6608" s="52" t="s">
        <v>25</v>
      </c>
      <c r="F6608" s="52" t="s">
        <v>26</v>
      </c>
      <c r="G6608" s="53"/>
    </row>
    <row r="6609">
      <c r="A6609" s="49">
        <v>44582.510717048615</v>
      </c>
      <c r="B6609" s="50">
        <v>44582.6356914467</v>
      </c>
      <c r="C6609" s="51">
        <v>1.006</v>
      </c>
      <c r="D6609" s="51">
        <v>66.0</v>
      </c>
      <c r="E6609" s="52" t="s">
        <v>25</v>
      </c>
      <c r="F6609" s="52" t="s">
        <v>26</v>
      </c>
      <c r="G6609" s="53"/>
    </row>
    <row r="6610">
      <c r="A6610" s="49">
        <v>44582.521161412034</v>
      </c>
      <c r="B6610" s="50">
        <v>44582.6461343518</v>
      </c>
      <c r="C6610" s="51">
        <v>1.006</v>
      </c>
      <c r="D6610" s="51">
        <v>66.0</v>
      </c>
      <c r="E6610" s="52" t="s">
        <v>25</v>
      </c>
      <c r="F6610" s="52" t="s">
        <v>26</v>
      </c>
      <c r="G6610" s="53"/>
    </row>
    <row r="6611">
      <c r="A6611" s="49">
        <v>44582.53158431713</v>
      </c>
      <c r="B6611" s="50">
        <v>44582.6565565162</v>
      </c>
      <c r="C6611" s="51">
        <v>1.006</v>
      </c>
      <c r="D6611" s="51">
        <v>66.0</v>
      </c>
      <c r="E6611" s="52" t="s">
        <v>25</v>
      </c>
      <c r="F6611" s="52" t="s">
        <v>26</v>
      </c>
      <c r="G6611" s="53"/>
    </row>
    <row r="6612">
      <c r="A6612" s="49">
        <v>44582.54202245371</v>
      </c>
      <c r="B6612" s="50">
        <v>44582.6670005902</v>
      </c>
      <c r="C6612" s="51">
        <v>1.006</v>
      </c>
      <c r="D6612" s="51">
        <v>66.0</v>
      </c>
      <c r="E6612" s="52" t="s">
        <v>25</v>
      </c>
      <c r="F6612" s="52" t="s">
        <v>26</v>
      </c>
      <c r="G6612" s="53"/>
    </row>
    <row r="6613">
      <c r="A6613" s="49">
        <v>44582.55244417824</v>
      </c>
      <c r="B6613" s="50">
        <v>44582.6774228356</v>
      </c>
      <c r="C6613" s="51">
        <v>1.006</v>
      </c>
      <c r="D6613" s="51">
        <v>66.0</v>
      </c>
      <c r="E6613" s="52" t="s">
        <v>25</v>
      </c>
      <c r="F6613" s="52" t="s">
        <v>26</v>
      </c>
      <c r="G6613" s="53"/>
    </row>
    <row r="6614">
      <c r="A6614" s="49">
        <v>44582.562939780095</v>
      </c>
      <c r="B6614" s="50">
        <v>44582.6879149074</v>
      </c>
      <c r="C6614" s="51">
        <v>1.006</v>
      </c>
      <c r="D6614" s="51">
        <v>66.0</v>
      </c>
      <c r="E6614" s="52" t="s">
        <v>25</v>
      </c>
      <c r="F6614" s="52" t="s">
        <v>26</v>
      </c>
      <c r="G6614" s="53"/>
    </row>
    <row r="6615">
      <c r="A6615" s="49">
        <v>44582.57336456019</v>
      </c>
      <c r="B6615" s="50">
        <v>44582.6983361111</v>
      </c>
      <c r="C6615" s="51">
        <v>1.006</v>
      </c>
      <c r="D6615" s="51">
        <v>66.0</v>
      </c>
      <c r="E6615" s="52" t="s">
        <v>25</v>
      </c>
      <c r="F6615" s="52" t="s">
        <v>26</v>
      </c>
      <c r="G6615" s="53"/>
    </row>
    <row r="6616">
      <c r="A6616" s="49">
        <v>44582.58378256945</v>
      </c>
      <c r="B6616" s="50">
        <v>44582.7087579513</v>
      </c>
      <c r="C6616" s="51">
        <v>1.006</v>
      </c>
      <c r="D6616" s="51">
        <v>66.0</v>
      </c>
      <c r="E6616" s="52" t="s">
        <v>25</v>
      </c>
      <c r="F6616" s="52" t="s">
        <v>26</v>
      </c>
      <c r="G6616" s="53"/>
    </row>
    <row r="6617">
      <c r="A6617" s="49">
        <v>44582.59419767361</v>
      </c>
      <c r="B6617" s="50">
        <v>44582.7191784953</v>
      </c>
      <c r="C6617" s="51">
        <v>1.006</v>
      </c>
      <c r="D6617" s="51">
        <v>66.0</v>
      </c>
      <c r="E6617" s="52" t="s">
        <v>25</v>
      </c>
      <c r="F6617" s="52" t="s">
        <v>26</v>
      </c>
      <c r="G6617" s="53"/>
    </row>
    <row r="6618">
      <c r="A6618" s="49">
        <v>44582.60464974537</v>
      </c>
      <c r="B6618" s="50">
        <v>44582.7296231365</v>
      </c>
      <c r="C6618" s="51">
        <v>1.006</v>
      </c>
      <c r="D6618" s="51">
        <v>66.0</v>
      </c>
      <c r="E6618" s="52" t="s">
        <v>25</v>
      </c>
      <c r="F6618" s="52" t="s">
        <v>26</v>
      </c>
      <c r="G6618" s="53"/>
    </row>
    <row r="6619">
      <c r="A6619" s="49">
        <v>44582.61507900463</v>
      </c>
      <c r="B6619" s="50">
        <v>44582.7400556828</v>
      </c>
      <c r="C6619" s="51">
        <v>1.006</v>
      </c>
      <c r="D6619" s="51">
        <v>66.0</v>
      </c>
      <c r="E6619" s="52" t="s">
        <v>25</v>
      </c>
      <c r="F6619" s="52" t="s">
        <v>26</v>
      </c>
      <c r="G6619" s="53"/>
    </row>
    <row r="6620">
      <c r="A6620" s="49">
        <v>44582.62551142361</v>
      </c>
      <c r="B6620" s="50">
        <v>44582.7504885185</v>
      </c>
      <c r="C6620" s="51">
        <v>1.006</v>
      </c>
      <c r="D6620" s="51">
        <v>66.0</v>
      </c>
      <c r="E6620" s="52" t="s">
        <v>25</v>
      </c>
      <c r="F6620" s="52" t="s">
        <v>26</v>
      </c>
      <c r="G6620" s="53"/>
    </row>
    <row r="6621">
      <c r="A6621" s="49">
        <v>44582.635931481476</v>
      </c>
      <c r="B6621" s="50">
        <v>44582.7609094444</v>
      </c>
      <c r="C6621" s="51">
        <v>1.006</v>
      </c>
      <c r="D6621" s="51">
        <v>66.0</v>
      </c>
      <c r="E6621" s="52" t="s">
        <v>25</v>
      </c>
      <c r="F6621" s="52" t="s">
        <v>26</v>
      </c>
      <c r="G6621" s="53"/>
    </row>
    <row r="6622">
      <c r="A6622" s="49">
        <v>44582.64635127315</v>
      </c>
      <c r="B6622" s="50">
        <v>44582.7713320254</v>
      </c>
      <c r="C6622" s="51">
        <v>1.006</v>
      </c>
      <c r="D6622" s="51">
        <v>66.0</v>
      </c>
      <c r="E6622" s="52" t="s">
        <v>25</v>
      </c>
      <c r="F6622" s="52" t="s">
        <v>26</v>
      </c>
      <c r="G6622" s="53"/>
    </row>
    <row r="6623">
      <c r="A6623" s="49">
        <v>44582.656779537036</v>
      </c>
      <c r="B6623" s="50">
        <v>44582.7817530787</v>
      </c>
      <c r="C6623" s="51">
        <v>1.006</v>
      </c>
      <c r="D6623" s="51">
        <v>66.0</v>
      </c>
      <c r="E6623" s="52" t="s">
        <v>25</v>
      </c>
      <c r="F6623" s="52" t="s">
        <v>26</v>
      </c>
      <c r="G6623" s="53"/>
    </row>
    <row r="6624">
      <c r="A6624" s="49">
        <v>44582.66722650463</v>
      </c>
      <c r="B6624" s="50">
        <v>44582.792197581</v>
      </c>
      <c r="C6624" s="51">
        <v>1.006</v>
      </c>
      <c r="D6624" s="51">
        <v>66.0</v>
      </c>
      <c r="E6624" s="52" t="s">
        <v>25</v>
      </c>
      <c r="F6624" s="52" t="s">
        <v>26</v>
      </c>
      <c r="G6624" s="53"/>
    </row>
    <row r="6625">
      <c r="A6625" s="49">
        <v>44582.677645902775</v>
      </c>
      <c r="B6625" s="50">
        <v>44582.802619699</v>
      </c>
      <c r="C6625" s="51">
        <v>1.005</v>
      </c>
      <c r="D6625" s="51">
        <v>66.0</v>
      </c>
      <c r="E6625" s="52" t="s">
        <v>25</v>
      </c>
      <c r="F6625" s="52" t="s">
        <v>26</v>
      </c>
      <c r="G6625" s="53"/>
    </row>
    <row r="6626">
      <c r="A6626" s="49">
        <v>44582.68806221065</v>
      </c>
      <c r="B6626" s="50">
        <v>44582.8130424074</v>
      </c>
      <c r="C6626" s="51">
        <v>1.006</v>
      </c>
      <c r="D6626" s="51">
        <v>66.0</v>
      </c>
      <c r="E6626" s="52" t="s">
        <v>25</v>
      </c>
      <c r="F6626" s="52" t="s">
        <v>26</v>
      </c>
      <c r="G6626" s="53"/>
    </row>
    <row r="6627">
      <c r="A6627" s="49">
        <v>44582.698487685186</v>
      </c>
      <c r="B6627" s="50">
        <v>44582.8234627199</v>
      </c>
      <c r="C6627" s="51">
        <v>1.005</v>
      </c>
      <c r="D6627" s="51">
        <v>66.0</v>
      </c>
      <c r="E6627" s="52" t="s">
        <v>25</v>
      </c>
      <c r="F6627" s="52" t="s">
        <v>26</v>
      </c>
      <c r="G6627" s="53"/>
    </row>
    <row r="6628">
      <c r="A6628" s="49">
        <v>44582.70890869213</v>
      </c>
      <c r="B6628" s="50">
        <v>44582.8338839351</v>
      </c>
      <c r="C6628" s="51">
        <v>1.006</v>
      </c>
      <c r="D6628" s="51">
        <v>66.0</v>
      </c>
      <c r="E6628" s="52" t="s">
        <v>25</v>
      </c>
      <c r="F6628" s="52" t="s">
        <v>26</v>
      </c>
      <c r="G6628" s="53"/>
    </row>
    <row r="6629">
      <c r="A6629" s="49">
        <v>44582.7193299537</v>
      </c>
      <c r="B6629" s="50">
        <v>44582.8443049884</v>
      </c>
      <c r="C6629" s="51">
        <v>1.006</v>
      </c>
      <c r="D6629" s="51">
        <v>66.0</v>
      </c>
      <c r="E6629" s="52" t="s">
        <v>25</v>
      </c>
      <c r="F6629" s="52" t="s">
        <v>26</v>
      </c>
      <c r="G6629" s="53"/>
    </row>
    <row r="6630">
      <c r="A6630" s="49">
        <v>44582.72974804398</v>
      </c>
      <c r="B6630" s="50">
        <v>44582.8547262268</v>
      </c>
      <c r="C6630" s="51">
        <v>1.006</v>
      </c>
      <c r="D6630" s="51">
        <v>66.0</v>
      </c>
      <c r="E6630" s="52" t="s">
        <v>25</v>
      </c>
      <c r="F6630" s="52" t="s">
        <v>26</v>
      </c>
      <c r="G6630" s="53"/>
    </row>
    <row r="6631">
      <c r="A6631" s="49">
        <v>44582.740176562496</v>
      </c>
      <c r="B6631" s="50">
        <v>44582.8651464236</v>
      </c>
      <c r="C6631" s="51">
        <v>1.005</v>
      </c>
      <c r="D6631" s="51">
        <v>66.0</v>
      </c>
      <c r="E6631" s="52" t="s">
        <v>25</v>
      </c>
      <c r="F6631" s="52" t="s">
        <v>26</v>
      </c>
      <c r="G6631" s="53"/>
    </row>
    <row r="6632">
      <c r="A6632" s="49">
        <v>44582.750596365746</v>
      </c>
      <c r="B6632" s="50">
        <v>44582.8755788773</v>
      </c>
      <c r="C6632" s="51">
        <v>1.006</v>
      </c>
      <c r="D6632" s="51">
        <v>66.0</v>
      </c>
      <c r="E6632" s="52" t="s">
        <v>25</v>
      </c>
      <c r="F6632" s="52" t="s">
        <v>26</v>
      </c>
      <c r="G6632" s="53"/>
    </row>
    <row r="6633">
      <c r="A6633" s="49">
        <v>44582.76103879629</v>
      </c>
      <c r="B6633" s="50">
        <v>44582.8860117592</v>
      </c>
      <c r="C6633" s="51">
        <v>1.005</v>
      </c>
      <c r="D6633" s="51">
        <v>65.0</v>
      </c>
      <c r="E6633" s="52" t="s">
        <v>25</v>
      </c>
      <c r="F6633" s="52" t="s">
        <v>26</v>
      </c>
      <c r="G6633" s="53"/>
    </row>
    <row r="6634">
      <c r="A6634" s="49">
        <v>44582.77146857639</v>
      </c>
      <c r="B6634" s="50">
        <v>44582.8964431944</v>
      </c>
      <c r="C6634" s="51">
        <v>1.006</v>
      </c>
      <c r="D6634" s="51">
        <v>65.0</v>
      </c>
      <c r="E6634" s="52" t="s">
        <v>25</v>
      </c>
      <c r="F6634" s="52" t="s">
        <v>26</v>
      </c>
      <c r="G6634" s="53"/>
    </row>
    <row r="6635">
      <c r="A6635" s="49">
        <v>44582.78189900463</v>
      </c>
      <c r="B6635" s="50">
        <v>44582.90686478</v>
      </c>
      <c r="C6635" s="51">
        <v>1.006</v>
      </c>
      <c r="D6635" s="51">
        <v>65.0</v>
      </c>
      <c r="E6635" s="52" t="s">
        <v>25</v>
      </c>
      <c r="F6635" s="52" t="s">
        <v>26</v>
      </c>
      <c r="G6635" s="53"/>
    </row>
    <row r="6636">
      <c r="A6636" s="49">
        <v>44582.79230248842</v>
      </c>
      <c r="B6636" s="50">
        <v>44582.9172853935</v>
      </c>
      <c r="C6636" s="51">
        <v>1.006</v>
      </c>
      <c r="D6636" s="51">
        <v>65.0</v>
      </c>
      <c r="E6636" s="52" t="s">
        <v>25</v>
      </c>
      <c r="F6636" s="52" t="s">
        <v>26</v>
      </c>
      <c r="G6636" s="53"/>
    </row>
    <row r="6637">
      <c r="A6637" s="49">
        <v>44582.80273481482</v>
      </c>
      <c r="B6637" s="50">
        <v>44582.9277070949</v>
      </c>
      <c r="C6637" s="51">
        <v>1.006</v>
      </c>
      <c r="D6637" s="51">
        <v>65.0</v>
      </c>
      <c r="E6637" s="52" t="s">
        <v>25</v>
      </c>
      <c r="F6637" s="52" t="s">
        <v>26</v>
      </c>
      <c r="G6637" s="53"/>
    </row>
    <row r="6638">
      <c r="A6638" s="49">
        <v>44582.81315246528</v>
      </c>
      <c r="B6638" s="50">
        <v>44582.938127037</v>
      </c>
      <c r="C6638" s="51">
        <v>1.006</v>
      </c>
      <c r="D6638" s="51">
        <v>65.0</v>
      </c>
      <c r="E6638" s="52" t="s">
        <v>25</v>
      </c>
      <c r="F6638" s="52" t="s">
        <v>26</v>
      </c>
      <c r="G6638" s="53"/>
    </row>
    <row r="6639">
      <c r="A6639" s="49">
        <v>44582.8235846875</v>
      </c>
      <c r="B6639" s="50">
        <v>44582.9485614583</v>
      </c>
      <c r="C6639" s="51">
        <v>1.006</v>
      </c>
      <c r="D6639" s="51">
        <v>65.0</v>
      </c>
      <c r="E6639" s="52" t="s">
        <v>25</v>
      </c>
      <c r="F6639" s="52" t="s">
        <v>26</v>
      </c>
      <c r="G6639" s="53"/>
    </row>
    <row r="6640">
      <c r="A6640" s="49">
        <v>44582.83400332176</v>
      </c>
      <c r="B6640" s="50">
        <v>44582.9589835069</v>
      </c>
      <c r="C6640" s="51">
        <v>1.006</v>
      </c>
      <c r="D6640" s="51">
        <v>65.0</v>
      </c>
      <c r="E6640" s="52" t="s">
        <v>25</v>
      </c>
      <c r="F6640" s="52" t="s">
        <v>26</v>
      </c>
      <c r="G6640" s="53"/>
    </row>
    <row r="6641">
      <c r="A6641" s="49">
        <v>44582.84442743055</v>
      </c>
      <c r="B6641" s="50">
        <v>44582.9694057407</v>
      </c>
      <c r="C6641" s="51">
        <v>1.006</v>
      </c>
      <c r="D6641" s="51">
        <v>65.0</v>
      </c>
      <c r="E6641" s="52" t="s">
        <v>25</v>
      </c>
      <c r="F6641" s="52" t="s">
        <v>26</v>
      </c>
      <c r="G6641" s="53"/>
    </row>
    <row r="6642">
      <c r="A6642" s="49">
        <v>44582.85487527778</v>
      </c>
      <c r="B6642" s="50">
        <v>44582.9798498495</v>
      </c>
      <c r="C6642" s="51">
        <v>1.006</v>
      </c>
      <c r="D6642" s="51">
        <v>65.0</v>
      </c>
      <c r="E6642" s="52" t="s">
        <v>25</v>
      </c>
      <c r="F6642" s="52" t="s">
        <v>26</v>
      </c>
      <c r="G6642" s="53"/>
    </row>
    <row r="6643">
      <c r="A6643" s="49">
        <v>44582.865299930556</v>
      </c>
      <c r="B6643" s="50">
        <v>44582.9902713078</v>
      </c>
      <c r="C6643" s="51">
        <v>1.006</v>
      </c>
      <c r="D6643" s="51">
        <v>65.0</v>
      </c>
      <c r="E6643" s="52" t="s">
        <v>25</v>
      </c>
      <c r="F6643" s="52" t="s">
        <v>26</v>
      </c>
      <c r="G6643" s="53"/>
    </row>
    <row r="6644">
      <c r="A6644" s="49">
        <v>44582.87573818287</v>
      </c>
      <c r="B6644" s="50">
        <v>44583.0007154513</v>
      </c>
      <c r="C6644" s="51">
        <v>1.006</v>
      </c>
      <c r="D6644" s="51">
        <v>65.0</v>
      </c>
      <c r="E6644" s="52" t="s">
        <v>25</v>
      </c>
      <c r="F6644" s="52" t="s">
        <v>26</v>
      </c>
      <c r="G6644" s="53"/>
    </row>
    <row r="6645">
      <c r="A6645" s="49">
        <v>44582.88616003472</v>
      </c>
      <c r="B6645" s="50">
        <v>44583.0111359259</v>
      </c>
      <c r="C6645" s="51">
        <v>1.006</v>
      </c>
      <c r="D6645" s="51">
        <v>65.0</v>
      </c>
      <c r="E6645" s="52" t="s">
        <v>25</v>
      </c>
      <c r="F6645" s="52" t="s">
        <v>26</v>
      </c>
      <c r="G6645" s="53"/>
    </row>
    <row r="6646">
      <c r="A6646" s="49">
        <v>44582.89658944444</v>
      </c>
      <c r="B6646" s="50">
        <v>44583.0215698032</v>
      </c>
      <c r="C6646" s="51">
        <v>1.006</v>
      </c>
      <c r="D6646" s="51">
        <v>65.0</v>
      </c>
      <c r="E6646" s="52" t="s">
        <v>25</v>
      </c>
      <c r="F6646" s="52" t="s">
        <v>26</v>
      </c>
      <c r="G6646" s="53"/>
    </row>
    <row r="6647">
      <c r="A6647" s="49">
        <v>44582.90700980324</v>
      </c>
      <c r="B6647" s="50">
        <v>44583.0319913657</v>
      </c>
      <c r="C6647" s="51">
        <v>1.006</v>
      </c>
      <c r="D6647" s="51">
        <v>65.0</v>
      </c>
      <c r="E6647" s="52" t="s">
        <v>25</v>
      </c>
      <c r="F6647" s="52" t="s">
        <v>26</v>
      </c>
      <c r="G6647" s="53"/>
    </row>
    <row r="6648">
      <c r="A6648" s="49">
        <v>44582.91743001157</v>
      </c>
      <c r="B6648" s="50">
        <v>44583.0424114814</v>
      </c>
      <c r="C6648" s="51">
        <v>1.006</v>
      </c>
      <c r="D6648" s="51">
        <v>65.0</v>
      </c>
      <c r="E6648" s="52" t="s">
        <v>25</v>
      </c>
      <c r="F6648" s="52" t="s">
        <v>26</v>
      </c>
      <c r="G6648" s="53"/>
    </row>
    <row r="6649">
      <c r="A6649" s="49">
        <v>44582.92785208333</v>
      </c>
      <c r="B6649" s="50">
        <v>44583.0528317476</v>
      </c>
      <c r="C6649" s="51">
        <v>1.006</v>
      </c>
      <c r="D6649" s="51">
        <v>65.0</v>
      </c>
      <c r="E6649" s="52" t="s">
        <v>25</v>
      </c>
      <c r="F6649" s="52" t="s">
        <v>26</v>
      </c>
      <c r="G6649" s="53"/>
    </row>
    <row r="6650">
      <c r="A6650" s="49">
        <v>44582.9383034375</v>
      </c>
      <c r="B6650" s="50">
        <v>44583.063277118</v>
      </c>
      <c r="C6650" s="51">
        <v>1.006</v>
      </c>
      <c r="D6650" s="51">
        <v>65.0</v>
      </c>
      <c r="E6650" s="52" t="s">
        <v>25</v>
      </c>
      <c r="F6650" s="52" t="s">
        <v>26</v>
      </c>
      <c r="G6650" s="53"/>
    </row>
    <row r="6651">
      <c r="A6651" s="49">
        <v>44582.948764050925</v>
      </c>
      <c r="B6651" s="50">
        <v>44583.0737342476</v>
      </c>
      <c r="C6651" s="51">
        <v>1.006</v>
      </c>
      <c r="D6651" s="51">
        <v>65.0</v>
      </c>
      <c r="E6651" s="52" t="s">
        <v>25</v>
      </c>
      <c r="F6651" s="52" t="s">
        <v>26</v>
      </c>
      <c r="G6651" s="53"/>
    </row>
    <row r="6652">
      <c r="A6652" s="49">
        <v>44582.9592485301</v>
      </c>
      <c r="B6652" s="50">
        <v>44583.0842238425</v>
      </c>
      <c r="C6652" s="51">
        <v>1.006</v>
      </c>
      <c r="D6652" s="51">
        <v>65.0</v>
      </c>
      <c r="E6652" s="52" t="s">
        <v>25</v>
      </c>
      <c r="F6652" s="52" t="s">
        <v>26</v>
      </c>
      <c r="G6652" s="53"/>
    </row>
    <row r="6653">
      <c r="A6653" s="49">
        <v>44582.969674594904</v>
      </c>
      <c r="B6653" s="50">
        <v>44583.0946452199</v>
      </c>
      <c r="C6653" s="51">
        <v>1.006</v>
      </c>
      <c r="D6653" s="51">
        <v>65.0</v>
      </c>
      <c r="E6653" s="52" t="s">
        <v>25</v>
      </c>
      <c r="F6653" s="52" t="s">
        <v>26</v>
      </c>
      <c r="G6653" s="53"/>
    </row>
    <row r="6654">
      <c r="A6654" s="49">
        <v>44582.98013581018</v>
      </c>
      <c r="B6654" s="50">
        <v>44583.1051114814</v>
      </c>
      <c r="C6654" s="51">
        <v>1.006</v>
      </c>
      <c r="D6654" s="51">
        <v>65.0</v>
      </c>
      <c r="E6654" s="52" t="s">
        <v>25</v>
      </c>
      <c r="F6654" s="52" t="s">
        <v>26</v>
      </c>
      <c r="G6654" s="53"/>
    </row>
    <row r="6655">
      <c r="A6655" s="49">
        <v>44582.99055824074</v>
      </c>
      <c r="B6655" s="50">
        <v>44583.1155325347</v>
      </c>
      <c r="C6655" s="51">
        <v>1.006</v>
      </c>
      <c r="D6655" s="51">
        <v>65.0</v>
      </c>
      <c r="E6655" s="52" t="s">
        <v>25</v>
      </c>
      <c r="F6655" s="52" t="s">
        <v>26</v>
      </c>
      <c r="G6655" s="53"/>
    </row>
    <row r="6656">
      <c r="A6656" s="49">
        <v>44583.00099107639</v>
      </c>
      <c r="B6656" s="50">
        <v>44583.1259641435</v>
      </c>
      <c r="C6656" s="51">
        <v>1.006</v>
      </c>
      <c r="D6656" s="51">
        <v>65.0</v>
      </c>
      <c r="E6656" s="52" t="s">
        <v>25</v>
      </c>
      <c r="F6656" s="52" t="s">
        <v>26</v>
      </c>
      <c r="G6656" s="53"/>
    </row>
    <row r="6657">
      <c r="A6657" s="49">
        <v>44583.01140737269</v>
      </c>
      <c r="B6657" s="50">
        <v>44583.136384456</v>
      </c>
      <c r="C6657" s="51">
        <v>1.006</v>
      </c>
      <c r="D6657" s="51">
        <v>65.0</v>
      </c>
      <c r="E6657" s="52" t="s">
        <v>25</v>
      </c>
      <c r="F6657" s="52" t="s">
        <v>26</v>
      </c>
      <c r="G6657" s="53"/>
    </row>
    <row r="6658">
      <c r="A6658" s="49">
        <v>44583.02183016203</v>
      </c>
      <c r="B6658" s="50">
        <v>44583.1468073263</v>
      </c>
      <c r="C6658" s="51">
        <v>1.006</v>
      </c>
      <c r="D6658" s="51">
        <v>65.0</v>
      </c>
      <c r="E6658" s="52" t="s">
        <v>25</v>
      </c>
      <c r="F6658" s="52" t="s">
        <v>26</v>
      </c>
      <c r="G6658" s="53"/>
    </row>
    <row r="6659">
      <c r="A6659" s="49">
        <v>44583.032266979164</v>
      </c>
      <c r="B6659" s="50">
        <v>44583.1572416898</v>
      </c>
      <c r="C6659" s="51">
        <v>1.006</v>
      </c>
      <c r="D6659" s="51">
        <v>65.0</v>
      </c>
      <c r="E6659" s="52" t="s">
        <v>25</v>
      </c>
      <c r="F6659" s="52" t="s">
        <v>26</v>
      </c>
      <c r="G6659" s="53"/>
    </row>
    <row r="6660">
      <c r="A6660" s="49">
        <v>44583.042685277775</v>
      </c>
      <c r="B6660" s="50">
        <v>44583.1676623958</v>
      </c>
      <c r="C6660" s="51">
        <v>1.006</v>
      </c>
      <c r="D6660" s="51">
        <v>65.0</v>
      </c>
      <c r="E6660" s="52" t="s">
        <v>25</v>
      </c>
      <c r="F6660" s="52" t="s">
        <v>26</v>
      </c>
      <c r="G6660" s="53"/>
    </row>
    <row r="6661">
      <c r="A6661" s="49">
        <v>44583.053104942126</v>
      </c>
      <c r="B6661" s="50">
        <v>44583.1780829861</v>
      </c>
      <c r="C6661" s="51">
        <v>1.006</v>
      </c>
      <c r="D6661" s="51">
        <v>64.0</v>
      </c>
      <c r="E6661" s="52" t="s">
        <v>25</v>
      </c>
      <c r="F6661" s="52" t="s">
        <v>26</v>
      </c>
      <c r="G6661" s="53"/>
    </row>
    <row r="6662">
      <c r="A6662" s="49">
        <v>44583.063593506944</v>
      </c>
      <c r="B6662" s="50">
        <v>44583.1885730208</v>
      </c>
      <c r="C6662" s="51">
        <v>1.006</v>
      </c>
      <c r="D6662" s="51">
        <v>64.0</v>
      </c>
      <c r="E6662" s="52" t="s">
        <v>25</v>
      </c>
      <c r="F6662" s="52" t="s">
        <v>26</v>
      </c>
      <c r="G6662" s="53"/>
    </row>
    <row r="6663">
      <c r="A6663" s="49">
        <v>44583.074024456015</v>
      </c>
      <c r="B6663" s="50">
        <v>44583.1990058217</v>
      </c>
      <c r="C6663" s="51">
        <v>1.006</v>
      </c>
      <c r="D6663" s="51">
        <v>64.0</v>
      </c>
      <c r="E6663" s="52" t="s">
        <v>25</v>
      </c>
      <c r="F6663" s="52" t="s">
        <v>26</v>
      </c>
      <c r="G6663" s="53"/>
    </row>
    <row r="6664">
      <c r="A6664" s="49">
        <v>44583.084450254624</v>
      </c>
      <c r="B6664" s="50">
        <v>44583.2094253703</v>
      </c>
      <c r="C6664" s="51">
        <v>1.006</v>
      </c>
      <c r="D6664" s="51">
        <v>64.0</v>
      </c>
      <c r="E6664" s="52" t="s">
        <v>25</v>
      </c>
      <c r="F6664" s="52" t="s">
        <v>26</v>
      </c>
      <c r="G6664" s="53"/>
    </row>
    <row r="6665">
      <c r="A6665" s="49">
        <v>44583.09489457176</v>
      </c>
      <c r="B6665" s="50">
        <v>44583.2198687847</v>
      </c>
      <c r="C6665" s="51">
        <v>1.006</v>
      </c>
      <c r="D6665" s="51">
        <v>64.0</v>
      </c>
      <c r="E6665" s="52" t="s">
        <v>25</v>
      </c>
      <c r="F6665" s="52" t="s">
        <v>26</v>
      </c>
      <c r="G6665" s="53"/>
    </row>
    <row r="6666">
      <c r="A6666" s="49">
        <v>44583.10533690972</v>
      </c>
      <c r="B6666" s="50">
        <v>44583.230314155</v>
      </c>
      <c r="C6666" s="51">
        <v>1.006</v>
      </c>
      <c r="D6666" s="51">
        <v>64.0</v>
      </c>
      <c r="E6666" s="52" t="s">
        <v>25</v>
      </c>
      <c r="F6666" s="52" t="s">
        <v>26</v>
      </c>
      <c r="G6666" s="53"/>
    </row>
    <row r="6667">
      <c r="A6667" s="49">
        <v>44583.11577287037</v>
      </c>
      <c r="B6667" s="50">
        <v>44583.2407462615</v>
      </c>
      <c r="C6667" s="51">
        <v>1.006</v>
      </c>
      <c r="D6667" s="51">
        <v>64.0</v>
      </c>
      <c r="E6667" s="52" t="s">
        <v>25</v>
      </c>
      <c r="F6667" s="52" t="s">
        <v>26</v>
      </c>
      <c r="G6667" s="53"/>
    </row>
    <row r="6668">
      <c r="A6668" s="49">
        <v>44583.126195081015</v>
      </c>
      <c r="B6668" s="50">
        <v>44583.2511681249</v>
      </c>
      <c r="C6668" s="51">
        <v>1.006</v>
      </c>
      <c r="D6668" s="51">
        <v>64.0</v>
      </c>
      <c r="E6668" s="52" t="s">
        <v>25</v>
      </c>
      <c r="F6668" s="52" t="s">
        <v>26</v>
      </c>
      <c r="G6668" s="53"/>
    </row>
    <row r="6669">
      <c r="A6669" s="49">
        <v>44583.13661246528</v>
      </c>
      <c r="B6669" s="50">
        <v>44583.2615919328</v>
      </c>
      <c r="C6669" s="51">
        <v>1.006</v>
      </c>
      <c r="D6669" s="51">
        <v>64.0</v>
      </c>
      <c r="E6669" s="52" t="s">
        <v>25</v>
      </c>
      <c r="F6669" s="52" t="s">
        <v>26</v>
      </c>
      <c r="G6669" s="53"/>
    </row>
    <row r="6670">
      <c r="A6670" s="49">
        <v>44583.14711440972</v>
      </c>
      <c r="B6670" s="50">
        <v>44583.2720951736</v>
      </c>
      <c r="C6670" s="51">
        <v>1.006</v>
      </c>
      <c r="D6670" s="51">
        <v>64.0</v>
      </c>
      <c r="E6670" s="52" t="s">
        <v>25</v>
      </c>
      <c r="F6670" s="52" t="s">
        <v>26</v>
      </c>
      <c r="G6670" s="53"/>
    </row>
    <row r="6671">
      <c r="A6671" s="49">
        <v>44583.157532349534</v>
      </c>
      <c r="B6671" s="50">
        <v>44583.2825182754</v>
      </c>
      <c r="C6671" s="51">
        <v>1.006</v>
      </c>
      <c r="D6671" s="51">
        <v>64.0</v>
      </c>
      <c r="E6671" s="52" t="s">
        <v>25</v>
      </c>
      <c r="F6671" s="52" t="s">
        <v>26</v>
      </c>
      <c r="G6671" s="53"/>
    </row>
    <row r="6672">
      <c r="A6672" s="49">
        <v>44583.16797606481</v>
      </c>
      <c r="B6672" s="50">
        <v>44583.2929504282</v>
      </c>
      <c r="C6672" s="51">
        <v>1.006</v>
      </c>
      <c r="D6672" s="51">
        <v>64.0</v>
      </c>
      <c r="E6672" s="52" t="s">
        <v>25</v>
      </c>
      <c r="F6672" s="52" t="s">
        <v>26</v>
      </c>
      <c r="G6672" s="53"/>
    </row>
    <row r="6673">
      <c r="A6673" s="49">
        <v>44583.178424467595</v>
      </c>
      <c r="B6673" s="50">
        <v>44583.3034062731</v>
      </c>
      <c r="C6673" s="51">
        <v>1.006</v>
      </c>
      <c r="D6673" s="51">
        <v>64.0</v>
      </c>
      <c r="E6673" s="52" t="s">
        <v>25</v>
      </c>
      <c r="F6673" s="52" t="s">
        <v>26</v>
      </c>
      <c r="G6673" s="53"/>
    </row>
    <row r="6674">
      <c r="A6674" s="49">
        <v>44583.18885505787</v>
      </c>
      <c r="B6674" s="50">
        <v>44583.3138269791</v>
      </c>
      <c r="C6674" s="51">
        <v>1.006</v>
      </c>
      <c r="D6674" s="51">
        <v>64.0</v>
      </c>
      <c r="E6674" s="52" t="s">
        <v>25</v>
      </c>
      <c r="F6674" s="52" t="s">
        <v>26</v>
      </c>
      <c r="G6674" s="53"/>
    </row>
    <row r="6675">
      <c r="A6675" s="49">
        <v>44583.19927824074</v>
      </c>
      <c r="B6675" s="50">
        <v>44583.3242472916</v>
      </c>
      <c r="C6675" s="51">
        <v>1.006</v>
      </c>
      <c r="D6675" s="51">
        <v>64.0</v>
      </c>
      <c r="E6675" s="52" t="s">
        <v>25</v>
      </c>
      <c r="F6675" s="52" t="s">
        <v>26</v>
      </c>
      <c r="G6675" s="53"/>
    </row>
    <row r="6676">
      <c r="A6676" s="49">
        <v>44583.2097115162</v>
      </c>
      <c r="B6676" s="50">
        <v>44583.3346796759</v>
      </c>
      <c r="C6676" s="51">
        <v>1.006</v>
      </c>
      <c r="D6676" s="51">
        <v>64.0</v>
      </c>
      <c r="E6676" s="52" t="s">
        <v>25</v>
      </c>
      <c r="F6676" s="52" t="s">
        <v>26</v>
      </c>
      <c r="G6676" s="53"/>
    </row>
    <row r="6677">
      <c r="A6677" s="49">
        <v>44583.22012491898</v>
      </c>
      <c r="B6677" s="50">
        <v>44583.3450995949</v>
      </c>
      <c r="C6677" s="51">
        <v>1.006</v>
      </c>
      <c r="D6677" s="51">
        <v>64.0</v>
      </c>
      <c r="E6677" s="52" t="s">
        <v>25</v>
      </c>
      <c r="F6677" s="52" t="s">
        <v>26</v>
      </c>
      <c r="G6677" s="53"/>
    </row>
    <row r="6678">
      <c r="A6678" s="49">
        <v>44583.23054615741</v>
      </c>
      <c r="B6678" s="50">
        <v>44583.3555194675</v>
      </c>
      <c r="C6678" s="51">
        <v>1.006</v>
      </c>
      <c r="D6678" s="51">
        <v>64.0</v>
      </c>
      <c r="E6678" s="52" t="s">
        <v>25</v>
      </c>
      <c r="F6678" s="52" t="s">
        <v>26</v>
      </c>
      <c r="G6678" s="53"/>
    </row>
    <row r="6679">
      <c r="A6679" s="49">
        <v>44583.24098949074</v>
      </c>
      <c r="B6679" s="50">
        <v>44583.3659522222</v>
      </c>
      <c r="C6679" s="51">
        <v>1.006</v>
      </c>
      <c r="D6679" s="51">
        <v>64.0</v>
      </c>
      <c r="E6679" s="52" t="s">
        <v>25</v>
      </c>
      <c r="F6679" s="52" t="s">
        <v>26</v>
      </c>
      <c r="G6679" s="53"/>
    </row>
    <row r="6680">
      <c r="A6680" s="49">
        <v>44583.25139239583</v>
      </c>
      <c r="B6680" s="50">
        <v>44583.3763732291</v>
      </c>
      <c r="C6680" s="51">
        <v>1.006</v>
      </c>
      <c r="D6680" s="51">
        <v>64.0</v>
      </c>
      <c r="E6680" s="52" t="s">
        <v>25</v>
      </c>
      <c r="F6680" s="52" t="s">
        <v>26</v>
      </c>
      <c r="G6680" s="53"/>
    </row>
    <row r="6681">
      <c r="A6681" s="49">
        <v>44583.261823402776</v>
      </c>
      <c r="B6681" s="50">
        <v>44583.3867954282</v>
      </c>
      <c r="C6681" s="51">
        <v>1.006</v>
      </c>
      <c r="D6681" s="51">
        <v>64.0</v>
      </c>
      <c r="E6681" s="52" t="s">
        <v>25</v>
      </c>
      <c r="F6681" s="52" t="s">
        <v>26</v>
      </c>
      <c r="G6681" s="53"/>
    </row>
    <row r="6682">
      <c r="A6682" s="49">
        <v>44583.272244039355</v>
      </c>
      <c r="B6682" s="50">
        <v>44583.3972270833</v>
      </c>
      <c r="C6682" s="51">
        <v>1.006</v>
      </c>
      <c r="D6682" s="51">
        <v>64.0</v>
      </c>
      <c r="E6682" s="52" t="s">
        <v>25</v>
      </c>
      <c r="F6682" s="52" t="s">
        <v>26</v>
      </c>
      <c r="G6682" s="53"/>
    </row>
    <row r="6683">
      <c r="A6683" s="49">
        <v>44583.28270354167</v>
      </c>
      <c r="B6683" s="50">
        <v>44583.4076820949</v>
      </c>
      <c r="C6683" s="51">
        <v>1.006</v>
      </c>
      <c r="D6683" s="51">
        <v>64.0</v>
      </c>
      <c r="E6683" s="52" t="s">
        <v>25</v>
      </c>
      <c r="F6683" s="52" t="s">
        <v>26</v>
      </c>
      <c r="G6683" s="53"/>
    </row>
    <row r="6684">
      <c r="A6684" s="49">
        <v>44583.293132164355</v>
      </c>
      <c r="B6684" s="50">
        <v>44583.418114699</v>
      </c>
      <c r="C6684" s="51">
        <v>1.006</v>
      </c>
      <c r="D6684" s="51">
        <v>64.0</v>
      </c>
      <c r="E6684" s="52" t="s">
        <v>25</v>
      </c>
      <c r="F6684" s="52" t="s">
        <v>26</v>
      </c>
      <c r="G6684" s="53"/>
    </row>
    <row r="6685">
      <c r="A6685" s="49">
        <v>44583.303563865746</v>
      </c>
      <c r="B6685" s="50">
        <v>44583.4285362152</v>
      </c>
      <c r="C6685" s="51">
        <v>1.006</v>
      </c>
      <c r="D6685" s="51">
        <v>64.0</v>
      </c>
      <c r="E6685" s="52" t="s">
        <v>25</v>
      </c>
      <c r="F6685" s="52" t="s">
        <v>26</v>
      </c>
      <c r="G6685" s="53"/>
    </row>
    <row r="6686">
      <c r="A6686" s="49">
        <v>44583.31397930556</v>
      </c>
      <c r="B6686" s="50">
        <v>44583.4389567592</v>
      </c>
      <c r="C6686" s="51">
        <v>1.006</v>
      </c>
      <c r="D6686" s="51">
        <v>64.0</v>
      </c>
      <c r="E6686" s="52" t="s">
        <v>25</v>
      </c>
      <c r="F6686" s="52" t="s">
        <v>26</v>
      </c>
      <c r="G6686" s="53"/>
    </row>
    <row r="6687">
      <c r="A6687" s="49">
        <v>44583.32440084491</v>
      </c>
      <c r="B6687" s="50">
        <v>44583.4493765162</v>
      </c>
      <c r="C6687" s="51">
        <v>1.006</v>
      </c>
      <c r="D6687" s="51">
        <v>64.0</v>
      </c>
      <c r="E6687" s="52" t="s">
        <v>25</v>
      </c>
      <c r="F6687" s="52" t="s">
        <v>26</v>
      </c>
      <c r="G6687" s="53"/>
    </row>
    <row r="6688">
      <c r="A6688" s="49">
        <v>44583.334830486114</v>
      </c>
      <c r="B6688" s="50">
        <v>44583.4598094328</v>
      </c>
      <c r="C6688" s="51">
        <v>1.006</v>
      </c>
      <c r="D6688" s="51">
        <v>64.0</v>
      </c>
      <c r="E6688" s="52" t="s">
        <v>25</v>
      </c>
      <c r="F6688" s="52" t="s">
        <v>26</v>
      </c>
      <c r="G6688" s="53"/>
    </row>
    <row r="6689">
      <c r="A6689" s="49">
        <v>44583.34525745371</v>
      </c>
      <c r="B6689" s="50">
        <v>44583.4702305902</v>
      </c>
      <c r="C6689" s="51">
        <v>1.006</v>
      </c>
      <c r="D6689" s="51">
        <v>64.0</v>
      </c>
      <c r="E6689" s="52" t="s">
        <v>25</v>
      </c>
      <c r="F6689" s="52" t="s">
        <v>26</v>
      </c>
      <c r="G6689" s="53"/>
    </row>
    <row r="6690">
      <c r="A6690" s="49">
        <v>44583.35568084491</v>
      </c>
      <c r="B6690" s="50">
        <v>44583.4806528935</v>
      </c>
      <c r="C6690" s="51">
        <v>1.006</v>
      </c>
      <c r="D6690" s="51">
        <v>64.0</v>
      </c>
      <c r="E6690" s="52" t="s">
        <v>25</v>
      </c>
      <c r="F6690" s="52" t="s">
        <v>26</v>
      </c>
      <c r="G6690" s="53"/>
    </row>
    <row r="6691">
      <c r="A6691" s="49">
        <v>44583.36611238426</v>
      </c>
      <c r="B6691" s="50">
        <v>44583.491084699</v>
      </c>
      <c r="C6691" s="51">
        <v>1.006</v>
      </c>
      <c r="D6691" s="51">
        <v>63.0</v>
      </c>
      <c r="E6691" s="52" t="s">
        <v>25</v>
      </c>
      <c r="F6691" s="52" t="s">
        <v>26</v>
      </c>
      <c r="G6691" s="53"/>
    </row>
    <row r="6692">
      <c r="A6692" s="49">
        <v>44583.3765519213</v>
      </c>
      <c r="B6692" s="50">
        <v>44583.5015292013</v>
      </c>
      <c r="C6692" s="51">
        <v>1.006</v>
      </c>
      <c r="D6692" s="51">
        <v>63.0</v>
      </c>
      <c r="E6692" s="52" t="s">
        <v>25</v>
      </c>
      <c r="F6692" s="52" t="s">
        <v>26</v>
      </c>
      <c r="G6692" s="53"/>
    </row>
    <row r="6693">
      <c r="A6693" s="49">
        <v>44583.38698461806</v>
      </c>
      <c r="B6693" s="50">
        <v>44583.5119627893</v>
      </c>
      <c r="C6693" s="51">
        <v>1.006</v>
      </c>
      <c r="D6693" s="51">
        <v>63.0</v>
      </c>
      <c r="E6693" s="52" t="s">
        <v>25</v>
      </c>
      <c r="F6693" s="52" t="s">
        <v>26</v>
      </c>
      <c r="G6693" s="53"/>
    </row>
    <row r="6694">
      <c r="A6694" s="49">
        <v>44583.397418078705</v>
      </c>
      <c r="B6694" s="50">
        <v>44583.5223943171</v>
      </c>
      <c r="C6694" s="51">
        <v>1.006</v>
      </c>
      <c r="D6694" s="51">
        <v>63.0</v>
      </c>
      <c r="E6694" s="52" t="s">
        <v>25</v>
      </c>
      <c r="F6694" s="52" t="s">
        <v>26</v>
      </c>
      <c r="G6694" s="53"/>
    </row>
    <row r="6695">
      <c r="A6695" s="49">
        <v>44583.40783837963</v>
      </c>
      <c r="B6695" s="50">
        <v>44583.5328156365</v>
      </c>
      <c r="C6695" s="51">
        <v>1.006</v>
      </c>
      <c r="D6695" s="51">
        <v>63.0</v>
      </c>
      <c r="E6695" s="52" t="s">
        <v>25</v>
      </c>
      <c r="F6695" s="52" t="s">
        <v>26</v>
      </c>
      <c r="G6695" s="53"/>
    </row>
    <row r="6696">
      <c r="A6696" s="49">
        <v>44583.41827040509</v>
      </c>
      <c r="B6696" s="50">
        <v>44583.5432470023</v>
      </c>
      <c r="C6696" s="51">
        <v>1.006</v>
      </c>
      <c r="D6696" s="51">
        <v>63.0</v>
      </c>
      <c r="E6696" s="52" t="s">
        <v>25</v>
      </c>
      <c r="F6696" s="52" t="s">
        <v>26</v>
      </c>
      <c r="G6696" s="53"/>
    </row>
    <row r="6697">
      <c r="A6697" s="49">
        <v>44583.42869267361</v>
      </c>
      <c r="B6697" s="50">
        <v>44583.5536673611</v>
      </c>
      <c r="C6697" s="51">
        <v>1.006</v>
      </c>
      <c r="D6697" s="51">
        <v>63.0</v>
      </c>
      <c r="E6697" s="52" t="s">
        <v>25</v>
      </c>
      <c r="F6697" s="52" t="s">
        <v>26</v>
      </c>
      <c r="G6697" s="53"/>
    </row>
    <row r="6698">
      <c r="A6698" s="49">
        <v>44583.43911649306</v>
      </c>
      <c r="B6698" s="50">
        <v>44583.5640890972</v>
      </c>
      <c r="C6698" s="51">
        <v>1.006</v>
      </c>
      <c r="D6698" s="51">
        <v>63.0</v>
      </c>
      <c r="E6698" s="52" t="s">
        <v>25</v>
      </c>
      <c r="F6698" s="52" t="s">
        <v>26</v>
      </c>
      <c r="G6698" s="53"/>
    </row>
    <row r="6699">
      <c r="A6699" s="49">
        <v>44583.449528275465</v>
      </c>
      <c r="B6699" s="50">
        <v>44583.5745085532</v>
      </c>
      <c r="C6699" s="51">
        <v>1.006</v>
      </c>
      <c r="D6699" s="51">
        <v>63.0</v>
      </c>
      <c r="E6699" s="52" t="s">
        <v>25</v>
      </c>
      <c r="F6699" s="52" t="s">
        <v>26</v>
      </c>
      <c r="G6699" s="53"/>
    </row>
    <row r="6700">
      <c r="A6700" s="49">
        <v>44583.4599515625</v>
      </c>
      <c r="B6700" s="50">
        <v>44583.5849306597</v>
      </c>
      <c r="C6700" s="51">
        <v>1.006</v>
      </c>
      <c r="D6700" s="51">
        <v>63.0</v>
      </c>
      <c r="E6700" s="52" t="s">
        <v>25</v>
      </c>
      <c r="F6700" s="52" t="s">
        <v>26</v>
      </c>
      <c r="G6700" s="53"/>
    </row>
    <row r="6701">
      <c r="A6701" s="49">
        <v>44583.470373055556</v>
      </c>
      <c r="B6701" s="50">
        <v>44583.5953523495</v>
      </c>
      <c r="C6701" s="51">
        <v>1.006</v>
      </c>
      <c r="D6701" s="51">
        <v>63.0</v>
      </c>
      <c r="E6701" s="52" t="s">
        <v>25</v>
      </c>
      <c r="F6701" s="52" t="s">
        <v>26</v>
      </c>
      <c r="G6701" s="53"/>
    </row>
    <row r="6702">
      <c r="A6702" s="49">
        <v>44583.480820358796</v>
      </c>
      <c r="B6702" s="50">
        <v>44583.6057968865</v>
      </c>
      <c r="C6702" s="51">
        <v>1.006</v>
      </c>
      <c r="D6702" s="51">
        <v>63.0</v>
      </c>
      <c r="E6702" s="52" t="s">
        <v>25</v>
      </c>
      <c r="F6702" s="52" t="s">
        <v>26</v>
      </c>
      <c r="G6702" s="53"/>
    </row>
    <row r="6703">
      <c r="A6703" s="49">
        <v>44583.49131893519</v>
      </c>
      <c r="B6703" s="50">
        <v>44583.6162896296</v>
      </c>
      <c r="C6703" s="51">
        <v>1.006</v>
      </c>
      <c r="D6703" s="51">
        <v>63.0</v>
      </c>
      <c r="E6703" s="52" t="s">
        <v>25</v>
      </c>
      <c r="F6703" s="52" t="s">
        <v>26</v>
      </c>
      <c r="G6703" s="53"/>
    </row>
    <row r="6704">
      <c r="A6704" s="49">
        <v>44583.50184640047</v>
      </c>
      <c r="B6704" s="50">
        <v>44583.6268172569</v>
      </c>
      <c r="C6704" s="51">
        <v>1.006</v>
      </c>
      <c r="D6704" s="51">
        <v>63.0</v>
      </c>
      <c r="E6704" s="52" t="s">
        <v>25</v>
      </c>
      <c r="F6704" s="52" t="s">
        <v>26</v>
      </c>
      <c r="G6704" s="53"/>
    </row>
    <row r="6705">
      <c r="A6705" s="49">
        <v>44583.512267708335</v>
      </c>
      <c r="B6705" s="50">
        <v>44583.637250706</v>
      </c>
      <c r="C6705" s="51">
        <v>1.006</v>
      </c>
      <c r="D6705" s="51">
        <v>63.0</v>
      </c>
      <c r="E6705" s="52" t="s">
        <v>25</v>
      </c>
      <c r="F6705" s="52" t="s">
        <v>26</v>
      </c>
      <c r="G6705" s="53"/>
    </row>
    <row r="6706">
      <c r="A6706" s="49">
        <v>44583.52269355324</v>
      </c>
      <c r="B6706" s="50">
        <v>44583.64766978</v>
      </c>
      <c r="C6706" s="51">
        <v>1.006</v>
      </c>
      <c r="D6706" s="51">
        <v>63.0</v>
      </c>
      <c r="E6706" s="52" t="s">
        <v>25</v>
      </c>
      <c r="F6706" s="52" t="s">
        <v>26</v>
      </c>
      <c r="G6706" s="53"/>
    </row>
    <row r="6707">
      <c r="A6707" s="49">
        <v>44583.5331671412</v>
      </c>
      <c r="B6707" s="50">
        <v>44583.6581362963</v>
      </c>
      <c r="C6707" s="51">
        <v>1.006</v>
      </c>
      <c r="D6707" s="51">
        <v>63.0</v>
      </c>
      <c r="E6707" s="52" t="s">
        <v>25</v>
      </c>
      <c r="F6707" s="52" t="s">
        <v>26</v>
      </c>
      <c r="G6707" s="53"/>
    </row>
    <row r="6708">
      <c r="A6708" s="49">
        <v>44583.54359568287</v>
      </c>
      <c r="B6708" s="50">
        <v>44583.6685687384</v>
      </c>
      <c r="C6708" s="51">
        <v>1.006</v>
      </c>
      <c r="D6708" s="51">
        <v>63.0</v>
      </c>
      <c r="E6708" s="52" t="s">
        <v>25</v>
      </c>
      <c r="F6708" s="52" t="s">
        <v>26</v>
      </c>
      <c r="G6708" s="53"/>
    </row>
    <row r="6709">
      <c r="A6709" s="49">
        <v>44583.55404973379</v>
      </c>
      <c r="B6709" s="50">
        <v>44583.6790156944</v>
      </c>
      <c r="C6709" s="51">
        <v>1.006</v>
      </c>
      <c r="D6709" s="51">
        <v>63.0</v>
      </c>
      <c r="E6709" s="52" t="s">
        <v>25</v>
      </c>
      <c r="F6709" s="52" t="s">
        <v>26</v>
      </c>
      <c r="G6709" s="53"/>
    </row>
    <row r="6710">
      <c r="A6710" s="49">
        <v>44583.56446283565</v>
      </c>
      <c r="B6710" s="50">
        <v>44583.689435949</v>
      </c>
      <c r="C6710" s="51">
        <v>1.006</v>
      </c>
      <c r="D6710" s="51">
        <v>63.0</v>
      </c>
      <c r="E6710" s="52" t="s">
        <v>25</v>
      </c>
      <c r="F6710" s="52" t="s">
        <v>26</v>
      </c>
      <c r="G6710" s="53"/>
    </row>
    <row r="6711">
      <c r="A6711" s="49">
        <v>44583.574903518514</v>
      </c>
      <c r="B6711" s="50">
        <v>44583.6998695717</v>
      </c>
      <c r="C6711" s="51">
        <v>1.006</v>
      </c>
      <c r="D6711" s="51">
        <v>63.0</v>
      </c>
      <c r="E6711" s="52" t="s">
        <v>25</v>
      </c>
      <c r="F6711" s="52" t="s">
        <v>26</v>
      </c>
      <c r="G6711" s="53"/>
    </row>
    <row r="6712">
      <c r="A6712" s="49">
        <v>44583.58531496528</v>
      </c>
      <c r="B6712" s="50">
        <v>44583.7102921759</v>
      </c>
      <c r="C6712" s="51">
        <v>1.006</v>
      </c>
      <c r="D6712" s="51">
        <v>63.0</v>
      </c>
      <c r="E6712" s="52" t="s">
        <v>25</v>
      </c>
      <c r="F6712" s="52" t="s">
        <v>26</v>
      </c>
      <c r="G6712" s="53"/>
    </row>
    <row r="6713">
      <c r="A6713" s="49">
        <v>44583.59573486111</v>
      </c>
      <c r="B6713" s="50">
        <v>44583.7207124189</v>
      </c>
      <c r="C6713" s="51">
        <v>1.006</v>
      </c>
      <c r="D6713" s="51">
        <v>63.0</v>
      </c>
      <c r="E6713" s="52" t="s">
        <v>25</v>
      </c>
      <c r="F6713" s="52" t="s">
        <v>26</v>
      </c>
      <c r="G6713" s="53"/>
    </row>
    <row r="6714">
      <c r="A6714" s="49">
        <v>44583.60615975695</v>
      </c>
      <c r="B6714" s="50">
        <v>44583.7311345254</v>
      </c>
      <c r="C6714" s="51">
        <v>1.006</v>
      </c>
      <c r="D6714" s="51">
        <v>63.0</v>
      </c>
      <c r="E6714" s="52" t="s">
        <v>25</v>
      </c>
      <c r="F6714" s="52" t="s">
        <v>26</v>
      </c>
      <c r="G6714" s="53"/>
    </row>
    <row r="6715">
      <c r="A6715" s="49">
        <v>44583.61660395833</v>
      </c>
      <c r="B6715" s="50">
        <v>44583.7415667939</v>
      </c>
      <c r="C6715" s="51">
        <v>1.006</v>
      </c>
      <c r="D6715" s="51">
        <v>63.0</v>
      </c>
      <c r="E6715" s="52" t="s">
        <v>25</v>
      </c>
      <c r="F6715" s="52" t="s">
        <v>26</v>
      </c>
      <c r="G6715" s="53"/>
    </row>
    <row r="6716">
      <c r="A6716" s="49">
        <v>44583.62703725694</v>
      </c>
      <c r="B6716" s="50">
        <v>44583.7519994328</v>
      </c>
      <c r="C6716" s="51">
        <v>1.006</v>
      </c>
      <c r="D6716" s="51">
        <v>63.0</v>
      </c>
      <c r="E6716" s="52" t="s">
        <v>25</v>
      </c>
      <c r="F6716" s="52" t="s">
        <v>26</v>
      </c>
      <c r="G6716" s="53"/>
    </row>
    <row r="6717">
      <c r="A6717" s="49">
        <v>44583.63744730324</v>
      </c>
      <c r="B6717" s="50">
        <v>44583.7624202546</v>
      </c>
      <c r="C6717" s="51">
        <v>1.006</v>
      </c>
      <c r="D6717" s="51">
        <v>63.0</v>
      </c>
      <c r="E6717" s="52" t="s">
        <v>25</v>
      </c>
      <c r="F6717" s="52" t="s">
        <v>26</v>
      </c>
      <c r="G6717" s="53"/>
    </row>
    <row r="6718">
      <c r="A6718" s="49">
        <v>44583.647915787034</v>
      </c>
      <c r="B6718" s="50">
        <v>44583.7728875462</v>
      </c>
      <c r="C6718" s="51">
        <v>1.006</v>
      </c>
      <c r="D6718" s="51">
        <v>63.0</v>
      </c>
      <c r="E6718" s="52" t="s">
        <v>25</v>
      </c>
      <c r="F6718" s="52" t="s">
        <v>26</v>
      </c>
      <c r="G6718" s="53"/>
    </row>
    <row r="6719">
      <c r="A6719" s="49">
        <v>44583.65832513889</v>
      </c>
      <c r="B6719" s="50">
        <v>44583.7833076041</v>
      </c>
      <c r="C6719" s="51">
        <v>1.006</v>
      </c>
      <c r="D6719" s="51">
        <v>63.0</v>
      </c>
      <c r="E6719" s="52" t="s">
        <v>25</v>
      </c>
      <c r="F6719" s="52" t="s">
        <v>26</v>
      </c>
      <c r="G6719" s="53"/>
    </row>
    <row r="6720">
      <c r="A6720" s="49">
        <v>44583.66875251157</v>
      </c>
      <c r="B6720" s="50">
        <v>44583.7937272453</v>
      </c>
      <c r="C6720" s="51">
        <v>1.006</v>
      </c>
      <c r="D6720" s="51">
        <v>63.0</v>
      </c>
      <c r="E6720" s="52" t="s">
        <v>25</v>
      </c>
      <c r="F6720" s="52" t="s">
        <v>26</v>
      </c>
      <c r="G6720" s="53"/>
    </row>
    <row r="6721">
      <c r="A6721" s="49">
        <v>44583.679208472226</v>
      </c>
      <c r="B6721" s="50">
        <v>44583.8041847106</v>
      </c>
      <c r="C6721" s="51">
        <v>1.006</v>
      </c>
      <c r="D6721" s="51">
        <v>63.0</v>
      </c>
      <c r="E6721" s="52" t="s">
        <v>25</v>
      </c>
      <c r="F6721" s="52" t="s">
        <v>26</v>
      </c>
      <c r="G6721" s="53"/>
    </row>
    <row r="6722">
      <c r="A6722" s="49">
        <v>44583.68964684028</v>
      </c>
      <c r="B6722" s="50">
        <v>44583.8146168287</v>
      </c>
      <c r="C6722" s="51">
        <v>1.006</v>
      </c>
      <c r="D6722" s="51">
        <v>63.0</v>
      </c>
      <c r="E6722" s="52" t="s">
        <v>25</v>
      </c>
      <c r="F6722" s="52" t="s">
        <v>26</v>
      </c>
      <c r="G6722" s="53"/>
    </row>
    <row r="6723">
      <c r="A6723" s="49">
        <v>44583.700099027774</v>
      </c>
      <c r="B6723" s="50">
        <v>44583.8250731018</v>
      </c>
      <c r="C6723" s="51">
        <v>1.006</v>
      </c>
      <c r="D6723" s="51">
        <v>63.0</v>
      </c>
      <c r="E6723" s="52" t="s">
        <v>25</v>
      </c>
      <c r="F6723" s="52" t="s">
        <v>26</v>
      </c>
      <c r="G6723" s="53"/>
    </row>
    <row r="6724">
      <c r="A6724" s="49">
        <v>44583.71051903935</v>
      </c>
      <c r="B6724" s="50">
        <v>44583.8354954629</v>
      </c>
      <c r="C6724" s="51">
        <v>1.006</v>
      </c>
      <c r="D6724" s="51">
        <v>63.0</v>
      </c>
      <c r="E6724" s="52" t="s">
        <v>25</v>
      </c>
      <c r="F6724" s="52" t="s">
        <v>26</v>
      </c>
      <c r="G6724" s="53"/>
    </row>
    <row r="6725">
      <c r="A6725" s="49">
        <v>44583.72093859954</v>
      </c>
      <c r="B6725" s="50">
        <v>44583.8459159259</v>
      </c>
      <c r="C6725" s="51">
        <v>1.006</v>
      </c>
      <c r="D6725" s="51">
        <v>63.0</v>
      </c>
      <c r="E6725" s="52" t="s">
        <v>25</v>
      </c>
      <c r="F6725" s="52" t="s">
        <v>26</v>
      </c>
      <c r="G6725" s="53"/>
    </row>
    <row r="6726">
      <c r="A6726" s="49">
        <v>44583.73135957176</v>
      </c>
      <c r="B6726" s="50">
        <v>44583.8563376388</v>
      </c>
      <c r="C6726" s="51">
        <v>1.006</v>
      </c>
      <c r="D6726" s="51">
        <v>63.0</v>
      </c>
      <c r="E6726" s="52" t="s">
        <v>25</v>
      </c>
      <c r="F6726" s="52" t="s">
        <v>26</v>
      </c>
      <c r="G6726" s="53"/>
    </row>
    <row r="6727">
      <c r="A6727" s="49">
        <v>44583.741846377314</v>
      </c>
      <c r="B6727" s="50">
        <v>44583.8668173032</v>
      </c>
      <c r="C6727" s="51">
        <v>1.006</v>
      </c>
      <c r="D6727" s="51">
        <v>63.0</v>
      </c>
      <c r="E6727" s="52" t="s">
        <v>25</v>
      </c>
      <c r="F6727" s="52" t="s">
        <v>26</v>
      </c>
      <c r="G6727" s="53"/>
    </row>
    <row r="6728">
      <c r="A6728" s="49">
        <v>44583.752259189816</v>
      </c>
      <c r="B6728" s="50">
        <v>44583.8772400347</v>
      </c>
      <c r="C6728" s="51">
        <v>1.006</v>
      </c>
      <c r="D6728" s="51">
        <v>63.0</v>
      </c>
      <c r="E6728" s="52" t="s">
        <v>25</v>
      </c>
      <c r="F6728" s="52" t="s">
        <v>26</v>
      </c>
      <c r="G6728" s="53"/>
    </row>
    <row r="6729">
      <c r="A6729" s="49">
        <v>44583.762703518514</v>
      </c>
      <c r="B6729" s="50">
        <v>44583.8876856365</v>
      </c>
      <c r="C6729" s="51">
        <v>1.006</v>
      </c>
      <c r="D6729" s="51">
        <v>63.0</v>
      </c>
      <c r="E6729" s="52" t="s">
        <v>25</v>
      </c>
      <c r="F6729" s="52" t="s">
        <v>26</v>
      </c>
      <c r="G6729" s="53"/>
    </row>
    <row r="6730">
      <c r="A6730" s="49">
        <v>44583.77314510416</v>
      </c>
      <c r="B6730" s="50">
        <v>44583.8981182407</v>
      </c>
      <c r="C6730" s="51">
        <v>1.006</v>
      </c>
      <c r="D6730" s="51">
        <v>63.0</v>
      </c>
      <c r="E6730" s="52" t="s">
        <v>25</v>
      </c>
      <c r="F6730" s="52" t="s">
        <v>26</v>
      </c>
      <c r="G6730" s="53"/>
    </row>
    <row r="6731">
      <c r="A6731" s="49">
        <v>44583.78357289352</v>
      </c>
      <c r="B6731" s="50">
        <v>44583.9085400578</v>
      </c>
      <c r="C6731" s="51">
        <v>1.006</v>
      </c>
      <c r="D6731" s="51">
        <v>63.0</v>
      </c>
      <c r="E6731" s="52" t="s">
        <v>25</v>
      </c>
      <c r="F6731" s="52" t="s">
        <v>26</v>
      </c>
      <c r="G6731" s="53"/>
    </row>
    <row r="6732">
      <c r="A6732" s="49">
        <v>44583.79398915509</v>
      </c>
      <c r="B6732" s="50">
        <v>44583.9189617824</v>
      </c>
      <c r="C6732" s="51">
        <v>1.006</v>
      </c>
      <c r="D6732" s="51">
        <v>63.0</v>
      </c>
      <c r="E6732" s="52" t="s">
        <v>25</v>
      </c>
      <c r="F6732" s="52" t="s">
        <v>26</v>
      </c>
      <c r="G6732" s="53"/>
    </row>
    <row r="6733">
      <c r="A6733" s="49">
        <v>44583.80444503472</v>
      </c>
      <c r="B6733" s="50">
        <v>44583.929417199</v>
      </c>
      <c r="C6733" s="51">
        <v>1.006</v>
      </c>
      <c r="D6733" s="51">
        <v>64.0</v>
      </c>
      <c r="E6733" s="52" t="s">
        <v>25</v>
      </c>
      <c r="F6733" s="52" t="s">
        <v>26</v>
      </c>
      <c r="G6733" s="53"/>
    </row>
    <row r="6734">
      <c r="A6734" s="49">
        <v>44583.81486662037</v>
      </c>
      <c r="B6734" s="50">
        <v>44583.9398381365</v>
      </c>
      <c r="C6734" s="51">
        <v>1.006</v>
      </c>
      <c r="D6734" s="51">
        <v>64.0</v>
      </c>
      <c r="E6734" s="52" t="s">
        <v>25</v>
      </c>
      <c r="F6734" s="52" t="s">
        <v>26</v>
      </c>
      <c r="G6734" s="53"/>
    </row>
    <row r="6735">
      <c r="A6735" s="49">
        <v>44583.82531290509</v>
      </c>
      <c r="B6735" s="50">
        <v>44583.9502599768</v>
      </c>
      <c r="C6735" s="51">
        <v>1.005</v>
      </c>
      <c r="D6735" s="51">
        <v>65.0</v>
      </c>
      <c r="E6735" s="52" t="s">
        <v>25</v>
      </c>
      <c r="F6735" s="52" t="s">
        <v>26</v>
      </c>
      <c r="G6735" s="53"/>
    </row>
    <row r="6736">
      <c r="A6736" s="49">
        <v>44583.83574224537</v>
      </c>
      <c r="B6736" s="50">
        <v>44583.9607160416</v>
      </c>
      <c r="C6736" s="51">
        <v>1.006</v>
      </c>
      <c r="D6736" s="51">
        <v>65.0</v>
      </c>
      <c r="E6736" s="52" t="s">
        <v>25</v>
      </c>
      <c r="F6736" s="52" t="s">
        <v>26</v>
      </c>
      <c r="G6736" s="53"/>
    </row>
    <row r="6737">
      <c r="A6737" s="49">
        <v>44583.84616291667</v>
      </c>
      <c r="B6737" s="50">
        <v>44583.9711356134</v>
      </c>
      <c r="C6737" s="51">
        <v>1.005</v>
      </c>
      <c r="D6737" s="51">
        <v>65.0</v>
      </c>
      <c r="E6737" s="52" t="s">
        <v>25</v>
      </c>
      <c r="F6737" s="52" t="s">
        <v>26</v>
      </c>
      <c r="G6737" s="53"/>
    </row>
    <row r="6738">
      <c r="A6738" s="49">
        <v>44583.85657931713</v>
      </c>
      <c r="B6738" s="50">
        <v>44583.9815555324</v>
      </c>
      <c r="C6738" s="51">
        <v>1.005</v>
      </c>
      <c r="D6738" s="51">
        <v>66.0</v>
      </c>
      <c r="E6738" s="52" t="s">
        <v>25</v>
      </c>
      <c r="F6738" s="52" t="s">
        <v>26</v>
      </c>
      <c r="G6738" s="53"/>
    </row>
    <row r="6739">
      <c r="A6739" s="49">
        <v>44583.86699896991</v>
      </c>
      <c r="B6739" s="50">
        <v>44583.9919753472</v>
      </c>
      <c r="C6739" s="51">
        <v>1.005</v>
      </c>
      <c r="D6739" s="51">
        <v>66.0</v>
      </c>
      <c r="E6739" s="52" t="s">
        <v>25</v>
      </c>
      <c r="F6739" s="52" t="s">
        <v>26</v>
      </c>
      <c r="G6739" s="53"/>
    </row>
    <row r="6740">
      <c r="A6740" s="49">
        <v>44583.87744087963</v>
      </c>
      <c r="B6740" s="50">
        <v>44584.0024081018</v>
      </c>
      <c r="C6740" s="51">
        <v>1.006</v>
      </c>
      <c r="D6740" s="51">
        <v>67.0</v>
      </c>
      <c r="E6740" s="52" t="s">
        <v>25</v>
      </c>
      <c r="F6740" s="52" t="s">
        <v>26</v>
      </c>
      <c r="G6740" s="53"/>
    </row>
    <row r="6741">
      <c r="A6741" s="49">
        <v>44583.88785347222</v>
      </c>
      <c r="B6741" s="50">
        <v>44584.0128299536</v>
      </c>
      <c r="C6741" s="51">
        <v>1.005</v>
      </c>
      <c r="D6741" s="51">
        <v>67.0</v>
      </c>
      <c r="E6741" s="52" t="s">
        <v>25</v>
      </c>
      <c r="F6741" s="52" t="s">
        <v>26</v>
      </c>
      <c r="G6741" s="53"/>
    </row>
    <row r="6742">
      <c r="A6742" s="49">
        <v>44583.898296921296</v>
      </c>
      <c r="B6742" s="50">
        <v>44584.0232749189</v>
      </c>
      <c r="C6742" s="51">
        <v>1.005</v>
      </c>
      <c r="D6742" s="51">
        <v>67.0</v>
      </c>
      <c r="E6742" s="52" t="s">
        <v>25</v>
      </c>
      <c r="F6742" s="52" t="s">
        <v>26</v>
      </c>
      <c r="G6742" s="53"/>
    </row>
    <row r="6743">
      <c r="A6743" s="49">
        <v>44583.908730324074</v>
      </c>
      <c r="B6743" s="50">
        <v>44584.033708206</v>
      </c>
      <c r="C6743" s="51">
        <v>1.005</v>
      </c>
      <c r="D6743" s="51">
        <v>68.0</v>
      </c>
      <c r="E6743" s="52" t="s">
        <v>25</v>
      </c>
      <c r="F6743" s="52" t="s">
        <v>26</v>
      </c>
      <c r="G6743" s="53"/>
    </row>
    <row r="6744">
      <c r="A6744" s="49">
        <v>44583.91915721065</v>
      </c>
      <c r="B6744" s="50">
        <v>44584.0441291435</v>
      </c>
      <c r="C6744" s="51">
        <v>1.005</v>
      </c>
      <c r="D6744" s="51">
        <v>68.0</v>
      </c>
      <c r="E6744" s="52" t="s">
        <v>25</v>
      </c>
      <c r="F6744" s="52" t="s">
        <v>26</v>
      </c>
      <c r="G6744" s="53"/>
    </row>
    <row r="6745">
      <c r="A6745" s="49">
        <v>44583.92957303241</v>
      </c>
      <c r="B6745" s="50">
        <v>44584.0545503703</v>
      </c>
      <c r="C6745" s="51">
        <v>1.005</v>
      </c>
      <c r="D6745" s="51">
        <v>68.0</v>
      </c>
      <c r="E6745" s="52" t="s">
        <v>25</v>
      </c>
      <c r="F6745" s="52" t="s">
        <v>26</v>
      </c>
      <c r="G6745" s="53"/>
    </row>
    <row r="6746">
      <c r="A6746" s="49">
        <v>44583.940000347226</v>
      </c>
      <c r="B6746" s="50">
        <v>44584.0649708912</v>
      </c>
      <c r="C6746" s="51">
        <v>1.005</v>
      </c>
      <c r="D6746" s="51">
        <v>68.0</v>
      </c>
      <c r="E6746" s="52" t="s">
        <v>25</v>
      </c>
      <c r="F6746" s="52" t="s">
        <v>26</v>
      </c>
      <c r="G6746" s="53"/>
    </row>
    <row r="6747">
      <c r="A6747" s="49">
        <v>44583.95041870371</v>
      </c>
      <c r="B6747" s="50">
        <v>44584.075392662</v>
      </c>
      <c r="C6747" s="51">
        <v>1.005</v>
      </c>
      <c r="D6747" s="51">
        <v>68.0</v>
      </c>
      <c r="E6747" s="52" t="s">
        <v>25</v>
      </c>
      <c r="F6747" s="52" t="s">
        <v>26</v>
      </c>
      <c r="G6747" s="53"/>
    </row>
    <row r="6748">
      <c r="A6748" s="49">
        <v>44583.96088048611</v>
      </c>
      <c r="B6748" s="50">
        <v>44584.0858582523</v>
      </c>
      <c r="C6748" s="51">
        <v>1.005</v>
      </c>
      <c r="D6748" s="51">
        <v>68.0</v>
      </c>
      <c r="E6748" s="52" t="s">
        <v>25</v>
      </c>
      <c r="F6748" s="52" t="s">
        <v>26</v>
      </c>
      <c r="G6748" s="53"/>
    </row>
    <row r="6749">
      <c r="A6749" s="49">
        <v>44583.97131454861</v>
      </c>
      <c r="B6749" s="50">
        <v>44584.0962925</v>
      </c>
      <c r="C6749" s="51">
        <v>1.005</v>
      </c>
      <c r="D6749" s="51">
        <v>68.0</v>
      </c>
      <c r="E6749" s="52" t="s">
        <v>25</v>
      </c>
      <c r="F6749" s="52" t="s">
        <v>26</v>
      </c>
      <c r="G6749" s="53"/>
    </row>
    <row r="6750">
      <c r="A6750" s="49">
        <v>44583.981759918985</v>
      </c>
      <c r="B6750" s="50">
        <v>44584.1067376967</v>
      </c>
      <c r="C6750" s="51">
        <v>1.005</v>
      </c>
      <c r="D6750" s="51">
        <v>68.0</v>
      </c>
      <c r="E6750" s="52" t="s">
        <v>25</v>
      </c>
      <c r="F6750" s="52" t="s">
        <v>26</v>
      </c>
      <c r="G6750" s="53"/>
    </row>
    <row r="6751">
      <c r="A6751" s="49">
        <v>44583.99217388889</v>
      </c>
      <c r="B6751" s="50">
        <v>44584.1171586921</v>
      </c>
      <c r="C6751" s="51">
        <v>1.005</v>
      </c>
      <c r="D6751" s="51">
        <v>68.0</v>
      </c>
      <c r="E6751" s="52" t="s">
        <v>25</v>
      </c>
      <c r="F6751" s="52" t="s">
        <v>26</v>
      </c>
      <c r="G6751" s="53"/>
    </row>
    <row r="6752">
      <c r="A6752" s="49">
        <v>44584.00260766204</v>
      </c>
      <c r="B6752" s="50">
        <v>44584.127580081</v>
      </c>
      <c r="C6752" s="51">
        <v>1.005</v>
      </c>
      <c r="D6752" s="51">
        <v>68.0</v>
      </c>
      <c r="E6752" s="52" t="s">
        <v>25</v>
      </c>
      <c r="F6752" s="52" t="s">
        <v>26</v>
      </c>
      <c r="G6752" s="53"/>
    </row>
    <row r="6753">
      <c r="A6753" s="49">
        <v>44584.013027291665</v>
      </c>
      <c r="B6753" s="50">
        <v>44584.1380026041</v>
      </c>
      <c r="C6753" s="51">
        <v>1.005</v>
      </c>
      <c r="D6753" s="51">
        <v>68.0</v>
      </c>
      <c r="E6753" s="52" t="s">
        <v>25</v>
      </c>
      <c r="F6753" s="52" t="s">
        <v>26</v>
      </c>
      <c r="G6753" s="53"/>
    </row>
    <row r="6754">
      <c r="A6754" s="49">
        <v>44584.023457187504</v>
      </c>
      <c r="B6754" s="50">
        <v>44584.1484322569</v>
      </c>
      <c r="C6754" s="51">
        <v>1.005</v>
      </c>
      <c r="D6754" s="51">
        <v>67.0</v>
      </c>
      <c r="E6754" s="52" t="s">
        <v>25</v>
      </c>
      <c r="F6754" s="52" t="s">
        <v>26</v>
      </c>
      <c r="G6754" s="53"/>
    </row>
    <row r="6755">
      <c r="A6755" s="49">
        <v>44584.03388928241</v>
      </c>
      <c r="B6755" s="50">
        <v>44584.1588650347</v>
      </c>
      <c r="C6755" s="51">
        <v>1.005</v>
      </c>
      <c r="D6755" s="51">
        <v>67.0</v>
      </c>
      <c r="E6755" s="52" t="s">
        <v>25</v>
      </c>
      <c r="F6755" s="52" t="s">
        <v>26</v>
      </c>
      <c r="G6755" s="53"/>
    </row>
    <row r="6756">
      <c r="A6756" s="49">
        <v>44584.04431268519</v>
      </c>
      <c r="B6756" s="50">
        <v>44584.1692859027</v>
      </c>
      <c r="C6756" s="51">
        <v>1.006</v>
      </c>
      <c r="D6756" s="51">
        <v>67.0</v>
      </c>
      <c r="E6756" s="52" t="s">
        <v>25</v>
      </c>
      <c r="F6756" s="52" t="s">
        <v>26</v>
      </c>
      <c r="G6756" s="53"/>
    </row>
    <row r="6757">
      <c r="A6757" s="49">
        <v>44584.05475435185</v>
      </c>
      <c r="B6757" s="50">
        <v>44584.1797286342</v>
      </c>
      <c r="C6757" s="51">
        <v>1.005</v>
      </c>
      <c r="D6757" s="51">
        <v>67.0</v>
      </c>
      <c r="E6757" s="52" t="s">
        <v>25</v>
      </c>
      <c r="F6757" s="52" t="s">
        <v>26</v>
      </c>
      <c r="G6757" s="53"/>
    </row>
    <row r="6758">
      <c r="A6758" s="49">
        <v>44584.065184328705</v>
      </c>
      <c r="B6758" s="50">
        <v>44584.1901619444</v>
      </c>
      <c r="C6758" s="51">
        <v>1.006</v>
      </c>
      <c r="D6758" s="51">
        <v>67.0</v>
      </c>
      <c r="E6758" s="52" t="s">
        <v>25</v>
      </c>
      <c r="F6758" s="52" t="s">
        <v>26</v>
      </c>
      <c r="G6758" s="53"/>
    </row>
    <row r="6759">
      <c r="A6759" s="49">
        <v>44584.07561043982</v>
      </c>
      <c r="B6759" s="50">
        <v>44584.2005821875</v>
      </c>
      <c r="C6759" s="51">
        <v>1.005</v>
      </c>
      <c r="D6759" s="51">
        <v>67.0</v>
      </c>
      <c r="E6759" s="52" t="s">
        <v>25</v>
      </c>
      <c r="F6759" s="52" t="s">
        <v>26</v>
      </c>
      <c r="G6759" s="53"/>
    </row>
    <row r="6760">
      <c r="A6760" s="49">
        <v>44584.086040891205</v>
      </c>
      <c r="B6760" s="50">
        <v>44584.2110141435</v>
      </c>
      <c r="C6760" s="51">
        <v>1.005</v>
      </c>
      <c r="D6760" s="51">
        <v>67.0</v>
      </c>
      <c r="E6760" s="52" t="s">
        <v>25</v>
      </c>
      <c r="F6760" s="52" t="s">
        <v>26</v>
      </c>
      <c r="G6760" s="53"/>
    </row>
    <row r="6761">
      <c r="A6761" s="49">
        <v>44584.09645837963</v>
      </c>
      <c r="B6761" s="50">
        <v>44584.2214354398</v>
      </c>
      <c r="C6761" s="51">
        <v>1.005</v>
      </c>
      <c r="D6761" s="51">
        <v>67.0</v>
      </c>
      <c r="E6761" s="52" t="s">
        <v>25</v>
      </c>
      <c r="F6761" s="52" t="s">
        <v>26</v>
      </c>
      <c r="G6761" s="53"/>
    </row>
    <row r="6762">
      <c r="A6762" s="49">
        <v>44584.10690025463</v>
      </c>
      <c r="B6762" s="50">
        <v>44584.231878449</v>
      </c>
      <c r="C6762" s="51">
        <v>1.005</v>
      </c>
      <c r="D6762" s="51">
        <v>67.0</v>
      </c>
      <c r="E6762" s="52" t="s">
        <v>25</v>
      </c>
      <c r="F6762" s="52" t="s">
        <v>26</v>
      </c>
      <c r="G6762" s="53"/>
    </row>
    <row r="6763">
      <c r="A6763" s="49">
        <v>44584.11732114584</v>
      </c>
      <c r="B6763" s="50">
        <v>44584.2423002893</v>
      </c>
      <c r="C6763" s="51">
        <v>1.005</v>
      </c>
      <c r="D6763" s="51">
        <v>67.0</v>
      </c>
      <c r="E6763" s="52" t="s">
        <v>25</v>
      </c>
      <c r="F6763" s="52" t="s">
        <v>26</v>
      </c>
      <c r="G6763" s="53"/>
    </row>
    <row r="6764">
      <c r="A6764" s="49">
        <v>44584.127761192125</v>
      </c>
      <c r="B6764" s="50">
        <v>44584.2527341203</v>
      </c>
      <c r="C6764" s="51">
        <v>1.005</v>
      </c>
      <c r="D6764" s="51">
        <v>67.0</v>
      </c>
      <c r="E6764" s="52" t="s">
        <v>25</v>
      </c>
      <c r="F6764" s="52" t="s">
        <v>26</v>
      </c>
      <c r="G6764" s="53"/>
    </row>
    <row r="6765">
      <c r="A6765" s="49">
        <v>44584.13817627315</v>
      </c>
      <c r="B6765" s="50">
        <v>44584.2631552777</v>
      </c>
      <c r="C6765" s="51">
        <v>1.005</v>
      </c>
      <c r="D6765" s="51">
        <v>67.0</v>
      </c>
      <c r="E6765" s="52" t="s">
        <v>25</v>
      </c>
      <c r="F6765" s="52" t="s">
        <v>26</v>
      </c>
      <c r="G6765" s="53"/>
    </row>
    <row r="6766">
      <c r="A6766" s="49">
        <v>44584.14863186343</v>
      </c>
      <c r="B6766" s="50">
        <v>44584.2736111111</v>
      </c>
      <c r="C6766" s="51">
        <v>1.005</v>
      </c>
      <c r="D6766" s="51">
        <v>67.0</v>
      </c>
      <c r="E6766" s="52" t="s">
        <v>25</v>
      </c>
      <c r="F6766" s="52" t="s">
        <v>26</v>
      </c>
      <c r="G6766" s="53"/>
    </row>
    <row r="6767">
      <c r="A6767" s="49">
        <v>44584.15905731481</v>
      </c>
      <c r="B6767" s="50">
        <v>44584.2840324768</v>
      </c>
      <c r="C6767" s="51">
        <v>1.005</v>
      </c>
      <c r="D6767" s="51">
        <v>67.0</v>
      </c>
      <c r="E6767" s="52" t="s">
        <v>25</v>
      </c>
      <c r="F6767" s="52" t="s">
        <v>26</v>
      </c>
      <c r="G6767" s="53"/>
    </row>
    <row r="6768">
      <c r="A6768" s="49">
        <v>44584.16949078704</v>
      </c>
      <c r="B6768" s="50">
        <v>44584.2944644212</v>
      </c>
      <c r="C6768" s="51">
        <v>1.005</v>
      </c>
      <c r="D6768" s="51">
        <v>67.0</v>
      </c>
      <c r="E6768" s="52" t="s">
        <v>25</v>
      </c>
      <c r="F6768" s="52" t="s">
        <v>26</v>
      </c>
      <c r="G6768" s="53"/>
    </row>
    <row r="6769">
      <c r="A6769" s="49">
        <v>44584.179916099536</v>
      </c>
      <c r="B6769" s="50">
        <v>44584.304897118</v>
      </c>
      <c r="C6769" s="51">
        <v>1.006</v>
      </c>
      <c r="D6769" s="51">
        <v>67.0</v>
      </c>
      <c r="E6769" s="52" t="s">
        <v>25</v>
      </c>
      <c r="F6769" s="52" t="s">
        <v>26</v>
      </c>
      <c r="G6769" s="53"/>
    </row>
    <row r="6770">
      <c r="A6770" s="49">
        <v>44584.190345208335</v>
      </c>
      <c r="B6770" s="50">
        <v>44584.3153290509</v>
      </c>
      <c r="C6770" s="51">
        <v>1.006</v>
      </c>
      <c r="D6770" s="51">
        <v>67.0</v>
      </c>
      <c r="E6770" s="52" t="s">
        <v>25</v>
      </c>
      <c r="F6770" s="52" t="s">
        <v>26</v>
      </c>
      <c r="G6770" s="53"/>
    </row>
    <row r="6771">
      <c r="A6771" s="49">
        <v>44584.2007746875</v>
      </c>
      <c r="B6771" s="50">
        <v>44584.3257495717</v>
      </c>
      <c r="C6771" s="51">
        <v>1.006</v>
      </c>
      <c r="D6771" s="51">
        <v>67.0</v>
      </c>
      <c r="E6771" s="52" t="s">
        <v>25</v>
      </c>
      <c r="F6771" s="52" t="s">
        <v>26</v>
      </c>
      <c r="G6771" s="53"/>
    </row>
    <row r="6772">
      <c r="A6772" s="49">
        <v>44584.21120697916</v>
      </c>
      <c r="B6772" s="50">
        <v>44584.3361836574</v>
      </c>
      <c r="C6772" s="51">
        <v>1.005</v>
      </c>
      <c r="D6772" s="51">
        <v>67.0</v>
      </c>
      <c r="E6772" s="52" t="s">
        <v>25</v>
      </c>
      <c r="F6772" s="52" t="s">
        <v>26</v>
      </c>
      <c r="G6772" s="53"/>
    </row>
    <row r="6773">
      <c r="A6773" s="49">
        <v>44584.221627280094</v>
      </c>
      <c r="B6773" s="50">
        <v>44584.346605243</v>
      </c>
      <c r="C6773" s="51">
        <v>1.005</v>
      </c>
      <c r="D6773" s="51">
        <v>67.0</v>
      </c>
      <c r="E6773" s="52" t="s">
        <v>25</v>
      </c>
      <c r="F6773" s="52" t="s">
        <v>26</v>
      </c>
      <c r="G6773" s="53"/>
    </row>
    <row r="6774">
      <c r="A6774" s="49">
        <v>44584.232046944446</v>
      </c>
      <c r="B6774" s="50">
        <v>44584.3570243287</v>
      </c>
      <c r="C6774" s="51">
        <v>1.005</v>
      </c>
      <c r="D6774" s="51">
        <v>67.0</v>
      </c>
      <c r="E6774" s="52" t="s">
        <v>25</v>
      </c>
      <c r="F6774" s="52" t="s">
        <v>26</v>
      </c>
      <c r="G6774" s="53"/>
    </row>
    <row r="6775">
      <c r="A6775" s="49">
        <v>44584.24248043982</v>
      </c>
      <c r="B6775" s="50">
        <v>44584.3674574074</v>
      </c>
      <c r="C6775" s="51">
        <v>1.005</v>
      </c>
      <c r="D6775" s="51">
        <v>67.0</v>
      </c>
      <c r="E6775" s="52" t="s">
        <v>25</v>
      </c>
      <c r="F6775" s="52" t="s">
        <v>26</v>
      </c>
      <c r="G6775" s="53"/>
    </row>
    <row r="6776">
      <c r="A6776" s="49">
        <v>44584.25289783565</v>
      </c>
      <c r="B6776" s="50">
        <v>44584.3778788541</v>
      </c>
      <c r="C6776" s="51">
        <v>1.006</v>
      </c>
      <c r="D6776" s="51">
        <v>67.0</v>
      </c>
      <c r="E6776" s="52" t="s">
        <v>25</v>
      </c>
      <c r="F6776" s="52" t="s">
        <v>26</v>
      </c>
      <c r="G6776" s="53"/>
    </row>
    <row r="6777">
      <c r="A6777" s="49">
        <v>44584.263345011575</v>
      </c>
      <c r="B6777" s="50">
        <v>44584.3883230902</v>
      </c>
      <c r="C6777" s="51">
        <v>1.005</v>
      </c>
      <c r="D6777" s="51">
        <v>67.0</v>
      </c>
      <c r="E6777" s="52" t="s">
        <v>25</v>
      </c>
      <c r="F6777" s="52" t="s">
        <v>26</v>
      </c>
      <c r="G6777" s="53"/>
    </row>
    <row r="6778">
      <c r="A6778" s="49">
        <v>44584.27377866898</v>
      </c>
      <c r="B6778" s="50">
        <v>44584.3987551967</v>
      </c>
      <c r="C6778" s="51">
        <v>1.006</v>
      </c>
      <c r="D6778" s="51">
        <v>66.0</v>
      </c>
      <c r="E6778" s="52" t="s">
        <v>25</v>
      </c>
      <c r="F6778" s="52" t="s">
        <v>26</v>
      </c>
      <c r="G6778" s="53"/>
    </row>
    <row r="6779">
      <c r="A6779" s="49">
        <v>44584.284206122684</v>
      </c>
      <c r="B6779" s="50">
        <v>44584.4091767129</v>
      </c>
      <c r="C6779" s="51">
        <v>1.005</v>
      </c>
      <c r="D6779" s="51">
        <v>66.0</v>
      </c>
      <c r="E6779" s="52" t="s">
        <v>25</v>
      </c>
      <c r="F6779" s="52" t="s">
        <v>26</v>
      </c>
      <c r="G6779" s="53"/>
    </row>
    <row r="6780">
      <c r="A6780" s="49">
        <v>44584.29462783565</v>
      </c>
      <c r="B6780" s="50">
        <v>44584.4195973726</v>
      </c>
      <c r="C6780" s="51">
        <v>1.006</v>
      </c>
      <c r="D6780" s="51">
        <v>66.0</v>
      </c>
      <c r="E6780" s="52" t="s">
        <v>25</v>
      </c>
      <c r="F6780" s="52" t="s">
        <v>26</v>
      </c>
      <c r="G6780" s="53"/>
    </row>
    <row r="6781">
      <c r="A6781" s="49">
        <v>44584.30503886574</v>
      </c>
      <c r="B6781" s="50">
        <v>44584.4300185763</v>
      </c>
      <c r="C6781" s="51">
        <v>1.006</v>
      </c>
      <c r="D6781" s="51">
        <v>66.0</v>
      </c>
      <c r="E6781" s="52" t="s">
        <v>25</v>
      </c>
      <c r="F6781" s="52" t="s">
        <v>26</v>
      </c>
      <c r="G6781" s="53"/>
    </row>
    <row r="6782">
      <c r="A6782" s="49">
        <v>44584.31546539352</v>
      </c>
      <c r="B6782" s="50">
        <v>44584.4404408912</v>
      </c>
      <c r="C6782" s="51">
        <v>1.005</v>
      </c>
      <c r="D6782" s="51">
        <v>66.0</v>
      </c>
      <c r="E6782" s="52" t="s">
        <v>25</v>
      </c>
      <c r="F6782" s="52" t="s">
        <v>26</v>
      </c>
      <c r="G6782" s="53"/>
    </row>
    <row r="6783">
      <c r="A6783" s="49">
        <v>44584.325880833334</v>
      </c>
      <c r="B6783" s="50">
        <v>44584.4508626273</v>
      </c>
      <c r="C6783" s="51">
        <v>1.005</v>
      </c>
      <c r="D6783" s="51">
        <v>66.0</v>
      </c>
      <c r="E6783" s="52" t="s">
        <v>25</v>
      </c>
      <c r="F6783" s="52" t="s">
        <v>26</v>
      </c>
      <c r="G6783" s="53"/>
    </row>
    <row r="6784">
      <c r="A6784" s="49">
        <v>44584.3363611574</v>
      </c>
      <c r="B6784" s="50">
        <v>44584.4613417592</v>
      </c>
      <c r="C6784" s="51">
        <v>1.006</v>
      </c>
      <c r="D6784" s="51">
        <v>66.0</v>
      </c>
      <c r="E6784" s="52" t="s">
        <v>25</v>
      </c>
      <c r="F6784" s="52" t="s">
        <v>26</v>
      </c>
      <c r="G6784" s="53"/>
    </row>
    <row r="6785">
      <c r="A6785" s="49">
        <v>44584.34678908565</v>
      </c>
      <c r="B6785" s="50">
        <v>44584.4717644791</v>
      </c>
      <c r="C6785" s="51">
        <v>1.005</v>
      </c>
      <c r="D6785" s="51">
        <v>66.0</v>
      </c>
      <c r="E6785" s="52" t="s">
        <v>25</v>
      </c>
      <c r="F6785" s="52" t="s">
        <v>26</v>
      </c>
      <c r="G6785" s="53"/>
    </row>
    <row r="6786">
      <c r="A6786" s="49">
        <v>44584.3572186574</v>
      </c>
      <c r="B6786" s="50">
        <v>44584.4821967939</v>
      </c>
      <c r="C6786" s="51">
        <v>1.006</v>
      </c>
      <c r="D6786" s="51">
        <v>66.0</v>
      </c>
      <c r="E6786" s="52" t="s">
        <v>25</v>
      </c>
      <c r="F6786" s="52" t="s">
        <v>26</v>
      </c>
      <c r="G6786" s="53"/>
    </row>
    <row r="6787">
      <c r="A6787" s="49">
        <v>44584.36764938658</v>
      </c>
      <c r="B6787" s="50">
        <v>44584.4926183333</v>
      </c>
      <c r="C6787" s="51">
        <v>1.005</v>
      </c>
      <c r="D6787" s="51">
        <v>66.0</v>
      </c>
      <c r="E6787" s="52" t="s">
        <v>25</v>
      </c>
      <c r="F6787" s="52" t="s">
        <v>26</v>
      </c>
      <c r="G6787" s="53"/>
    </row>
    <row r="6788">
      <c r="A6788" s="49">
        <v>44584.37806577546</v>
      </c>
      <c r="B6788" s="50">
        <v>44584.5030393055</v>
      </c>
      <c r="C6788" s="51">
        <v>1.006</v>
      </c>
      <c r="D6788" s="51">
        <v>66.0</v>
      </c>
      <c r="E6788" s="52" t="s">
        <v>25</v>
      </c>
      <c r="F6788" s="52" t="s">
        <v>26</v>
      </c>
      <c r="G6788" s="53"/>
    </row>
    <row r="6789">
      <c r="A6789" s="49">
        <v>44584.388537025465</v>
      </c>
      <c r="B6789" s="50">
        <v>44584.5135186458</v>
      </c>
      <c r="C6789" s="51">
        <v>1.006</v>
      </c>
      <c r="D6789" s="51">
        <v>66.0</v>
      </c>
      <c r="E6789" s="52" t="s">
        <v>25</v>
      </c>
      <c r="F6789" s="52" t="s">
        <v>26</v>
      </c>
      <c r="G6789" s="53"/>
    </row>
    <row r="6790">
      <c r="A6790" s="49">
        <v>44584.39896268518</v>
      </c>
      <c r="B6790" s="50">
        <v>44584.5239410069</v>
      </c>
      <c r="C6790" s="51">
        <v>1.006</v>
      </c>
      <c r="D6790" s="51">
        <v>66.0</v>
      </c>
      <c r="E6790" s="52" t="s">
        <v>25</v>
      </c>
      <c r="F6790" s="52" t="s">
        <v>26</v>
      </c>
      <c r="G6790" s="53"/>
    </row>
    <row r="6791">
      <c r="A6791" s="49">
        <v>44584.40940142361</v>
      </c>
      <c r="B6791" s="50">
        <v>44584.5343726967</v>
      </c>
      <c r="C6791" s="51">
        <v>1.006</v>
      </c>
      <c r="D6791" s="51">
        <v>66.0</v>
      </c>
      <c r="E6791" s="52" t="s">
        <v>25</v>
      </c>
      <c r="F6791" s="52" t="s">
        <v>26</v>
      </c>
      <c r="G6791" s="53"/>
    </row>
    <row r="6792">
      <c r="A6792" s="49">
        <v>44584.4198362037</v>
      </c>
      <c r="B6792" s="50">
        <v>44584.5448062615</v>
      </c>
      <c r="C6792" s="51">
        <v>1.005</v>
      </c>
      <c r="D6792" s="51">
        <v>66.0</v>
      </c>
      <c r="E6792" s="52" t="s">
        <v>25</v>
      </c>
      <c r="F6792" s="52" t="s">
        <v>26</v>
      </c>
      <c r="G6792" s="53"/>
    </row>
    <row r="6793">
      <c r="A6793" s="49">
        <v>44584.43024732639</v>
      </c>
      <c r="B6793" s="50">
        <v>44584.5552255787</v>
      </c>
      <c r="C6793" s="51">
        <v>1.005</v>
      </c>
      <c r="D6793" s="51">
        <v>66.0</v>
      </c>
      <c r="E6793" s="52" t="s">
        <v>25</v>
      </c>
      <c r="F6793" s="52" t="s">
        <v>26</v>
      </c>
      <c r="G6793" s="53"/>
    </row>
    <row r="6794">
      <c r="A6794" s="49">
        <v>44584.44067134259</v>
      </c>
      <c r="B6794" s="50">
        <v>44584.5656456597</v>
      </c>
      <c r="C6794" s="51">
        <v>1.005</v>
      </c>
      <c r="D6794" s="51">
        <v>66.0</v>
      </c>
      <c r="E6794" s="52" t="s">
        <v>25</v>
      </c>
      <c r="F6794" s="52" t="s">
        <v>26</v>
      </c>
      <c r="G6794" s="53"/>
    </row>
    <row r="6795">
      <c r="A6795" s="49">
        <v>44584.451085520835</v>
      </c>
      <c r="B6795" s="50">
        <v>44584.576067581</v>
      </c>
      <c r="C6795" s="51">
        <v>1.006</v>
      </c>
      <c r="D6795" s="51">
        <v>66.0</v>
      </c>
      <c r="E6795" s="52" t="s">
        <v>25</v>
      </c>
      <c r="F6795" s="52" t="s">
        <v>26</v>
      </c>
      <c r="G6795" s="53"/>
    </row>
    <row r="6796">
      <c r="A6796" s="49">
        <v>44584.461531215275</v>
      </c>
      <c r="B6796" s="50">
        <v>44584.5865026504</v>
      </c>
      <c r="C6796" s="51">
        <v>1.005</v>
      </c>
      <c r="D6796" s="51">
        <v>66.0</v>
      </c>
      <c r="E6796" s="52" t="s">
        <v>25</v>
      </c>
      <c r="F6796" s="52" t="s">
        <v>26</v>
      </c>
      <c r="G6796" s="53"/>
    </row>
    <row r="6797">
      <c r="A6797" s="49">
        <v>44584.471967164354</v>
      </c>
      <c r="B6797" s="50">
        <v>44584.5969361921</v>
      </c>
      <c r="C6797" s="51">
        <v>1.006</v>
      </c>
      <c r="D6797" s="51">
        <v>66.0</v>
      </c>
      <c r="E6797" s="52" t="s">
        <v>25</v>
      </c>
      <c r="F6797" s="52" t="s">
        <v>26</v>
      </c>
      <c r="G6797" s="53"/>
    </row>
    <row r="6798">
      <c r="A6798" s="49">
        <v>44584.48240732639</v>
      </c>
      <c r="B6798" s="50">
        <v>44584.6073800347</v>
      </c>
      <c r="C6798" s="51">
        <v>1.005</v>
      </c>
      <c r="D6798" s="51">
        <v>66.0</v>
      </c>
      <c r="E6798" s="52" t="s">
        <v>25</v>
      </c>
      <c r="F6798" s="52" t="s">
        <v>26</v>
      </c>
      <c r="G6798" s="53"/>
    </row>
    <row r="6799">
      <c r="A6799" s="49">
        <v>44584.492858854166</v>
      </c>
      <c r="B6799" s="50">
        <v>44584.6178359837</v>
      </c>
      <c r="C6799" s="51">
        <v>1.006</v>
      </c>
      <c r="D6799" s="51">
        <v>66.0</v>
      </c>
      <c r="E6799" s="52" t="s">
        <v>25</v>
      </c>
      <c r="F6799" s="52" t="s">
        <v>26</v>
      </c>
      <c r="G6799" s="53"/>
    </row>
    <row r="6800">
      <c r="A6800" s="49">
        <v>44584.50328297453</v>
      </c>
      <c r="B6800" s="50">
        <v>44584.6282568518</v>
      </c>
      <c r="C6800" s="51">
        <v>1.006</v>
      </c>
      <c r="D6800" s="51">
        <v>66.0</v>
      </c>
      <c r="E6800" s="52" t="s">
        <v>25</v>
      </c>
      <c r="F6800" s="52" t="s">
        <v>26</v>
      </c>
      <c r="G6800" s="53"/>
    </row>
    <row r="6801">
      <c r="A6801" s="49">
        <v>44584.51370200231</v>
      </c>
      <c r="B6801" s="50">
        <v>44584.6386784837</v>
      </c>
      <c r="C6801" s="51">
        <v>1.006</v>
      </c>
      <c r="D6801" s="51">
        <v>66.0</v>
      </c>
      <c r="E6801" s="52" t="s">
        <v>25</v>
      </c>
      <c r="F6801" s="52" t="s">
        <v>26</v>
      </c>
      <c r="G6801" s="53"/>
    </row>
    <row r="6802">
      <c r="A6802" s="49">
        <v>44584.52417334491</v>
      </c>
      <c r="B6802" s="50">
        <v>44584.6491457407</v>
      </c>
      <c r="C6802" s="51">
        <v>1.006</v>
      </c>
      <c r="D6802" s="51">
        <v>66.0</v>
      </c>
      <c r="E6802" s="52" t="s">
        <v>25</v>
      </c>
      <c r="F6802" s="52" t="s">
        <v>26</v>
      </c>
      <c r="G6802" s="53"/>
    </row>
    <row r="6803">
      <c r="A6803" s="49">
        <v>44584.53459297454</v>
      </c>
      <c r="B6803" s="50">
        <v>44584.6595661805</v>
      </c>
      <c r="C6803" s="51">
        <v>1.005</v>
      </c>
      <c r="D6803" s="51">
        <v>65.0</v>
      </c>
      <c r="E6803" s="52" t="s">
        <v>25</v>
      </c>
      <c r="F6803" s="52" t="s">
        <v>26</v>
      </c>
      <c r="G6803" s="53"/>
    </row>
    <row r="6804">
      <c r="A6804" s="49">
        <v>44584.545009953705</v>
      </c>
      <c r="B6804" s="50">
        <v>44584.6699870833</v>
      </c>
      <c r="C6804" s="51">
        <v>1.005</v>
      </c>
      <c r="D6804" s="51">
        <v>65.0</v>
      </c>
      <c r="E6804" s="52" t="s">
        <v>25</v>
      </c>
      <c r="F6804" s="52" t="s">
        <v>26</v>
      </c>
      <c r="G6804" s="53"/>
    </row>
    <row r="6805">
      <c r="A6805" s="49">
        <v>44584.55543767361</v>
      </c>
      <c r="B6805" s="50">
        <v>44584.6804096759</v>
      </c>
      <c r="C6805" s="51">
        <v>1.005</v>
      </c>
      <c r="D6805" s="51">
        <v>65.0</v>
      </c>
      <c r="E6805" s="52" t="s">
        <v>25</v>
      </c>
      <c r="F6805" s="52" t="s">
        <v>26</v>
      </c>
      <c r="G6805" s="53"/>
    </row>
    <row r="6806">
      <c r="A6806" s="49">
        <v>44584.565901435184</v>
      </c>
      <c r="B6806" s="50">
        <v>44584.6908771064</v>
      </c>
      <c r="C6806" s="51">
        <v>1.006</v>
      </c>
      <c r="D6806" s="51">
        <v>65.0</v>
      </c>
      <c r="E6806" s="52" t="s">
        <v>25</v>
      </c>
      <c r="F6806" s="52" t="s">
        <v>26</v>
      </c>
      <c r="G6806" s="53"/>
    </row>
    <row r="6807">
      <c r="A6807" s="49">
        <v>44584.57635408565</v>
      </c>
      <c r="B6807" s="50">
        <v>44584.7013341666</v>
      </c>
      <c r="C6807" s="51">
        <v>1.005</v>
      </c>
      <c r="D6807" s="51">
        <v>65.0</v>
      </c>
      <c r="E6807" s="52" t="s">
        <v>25</v>
      </c>
      <c r="F6807" s="52" t="s">
        <v>26</v>
      </c>
      <c r="G6807" s="53"/>
    </row>
    <row r="6808">
      <c r="A6808" s="49">
        <v>44584.586783692124</v>
      </c>
      <c r="B6808" s="50">
        <v>44584.7117556365</v>
      </c>
      <c r="C6808" s="51">
        <v>1.006</v>
      </c>
      <c r="D6808" s="51">
        <v>65.0</v>
      </c>
      <c r="E6808" s="52" t="s">
        <v>25</v>
      </c>
      <c r="F6808" s="52" t="s">
        <v>26</v>
      </c>
      <c r="G6808" s="53"/>
    </row>
    <row r="6809">
      <c r="A6809" s="49">
        <v>44584.59721664352</v>
      </c>
      <c r="B6809" s="50">
        <v>44584.7221889699</v>
      </c>
      <c r="C6809" s="51">
        <v>1.005</v>
      </c>
      <c r="D6809" s="51">
        <v>65.0</v>
      </c>
      <c r="E6809" s="52" t="s">
        <v>25</v>
      </c>
      <c r="F6809" s="52" t="s">
        <v>26</v>
      </c>
      <c r="G6809" s="53"/>
    </row>
    <row r="6810">
      <c r="A6810" s="49">
        <v>44584.60763103009</v>
      </c>
      <c r="B6810" s="50">
        <v>44584.7326096064</v>
      </c>
      <c r="C6810" s="51">
        <v>1.005</v>
      </c>
      <c r="D6810" s="51">
        <v>65.0</v>
      </c>
      <c r="E6810" s="52" t="s">
        <v>25</v>
      </c>
      <c r="F6810" s="52" t="s">
        <v>26</v>
      </c>
      <c r="G6810" s="53"/>
    </row>
    <row r="6811">
      <c r="A6811" s="49">
        <v>44584.61809886574</v>
      </c>
      <c r="B6811" s="50">
        <v>44584.7430668749</v>
      </c>
      <c r="C6811" s="51">
        <v>1.006</v>
      </c>
      <c r="D6811" s="51">
        <v>65.0</v>
      </c>
      <c r="E6811" s="52" t="s">
        <v>25</v>
      </c>
      <c r="F6811" s="52" t="s">
        <v>26</v>
      </c>
      <c r="G6811" s="53"/>
    </row>
    <row r="6812">
      <c r="A6812" s="49">
        <v>44584.628586238425</v>
      </c>
      <c r="B6812" s="50">
        <v>44584.7535575578</v>
      </c>
      <c r="C6812" s="51">
        <v>1.006</v>
      </c>
      <c r="D6812" s="51">
        <v>65.0</v>
      </c>
      <c r="E6812" s="52" t="s">
        <v>25</v>
      </c>
      <c r="F6812" s="52" t="s">
        <v>26</v>
      </c>
      <c r="G6812" s="53"/>
    </row>
    <row r="6813">
      <c r="A6813" s="49">
        <v>44584.639015243054</v>
      </c>
      <c r="B6813" s="50">
        <v>44584.76399</v>
      </c>
      <c r="C6813" s="51">
        <v>1.005</v>
      </c>
      <c r="D6813" s="51">
        <v>65.0</v>
      </c>
      <c r="E6813" s="52" t="s">
        <v>25</v>
      </c>
      <c r="F6813" s="52" t="s">
        <v>26</v>
      </c>
      <c r="G6813" s="53"/>
    </row>
    <row r="6814">
      <c r="A6814" s="49">
        <v>44584.64950616898</v>
      </c>
      <c r="B6814" s="50">
        <v>44584.7744816087</v>
      </c>
      <c r="C6814" s="51">
        <v>1.006</v>
      </c>
      <c r="D6814" s="51">
        <v>65.0</v>
      </c>
      <c r="E6814" s="52" t="s">
        <v>25</v>
      </c>
      <c r="F6814" s="52" t="s">
        <v>26</v>
      </c>
      <c r="G6814" s="53"/>
    </row>
    <row r="6815">
      <c r="A6815" s="49">
        <v>44584.65992917824</v>
      </c>
      <c r="B6815" s="50">
        <v>44584.784903831</v>
      </c>
      <c r="C6815" s="51">
        <v>1.006</v>
      </c>
      <c r="D6815" s="51">
        <v>65.0</v>
      </c>
      <c r="E6815" s="52" t="s">
        <v>25</v>
      </c>
      <c r="F6815" s="52" t="s">
        <v>26</v>
      </c>
      <c r="G6815" s="53"/>
    </row>
    <row r="6816">
      <c r="A6816" s="49">
        <v>44584.67034361111</v>
      </c>
      <c r="B6816" s="50">
        <v>44584.7953250347</v>
      </c>
      <c r="C6816" s="51">
        <v>1.005</v>
      </c>
      <c r="D6816" s="51">
        <v>65.0</v>
      </c>
      <c r="E6816" s="52" t="s">
        <v>25</v>
      </c>
      <c r="F6816" s="52" t="s">
        <v>26</v>
      </c>
      <c r="G6816" s="53"/>
    </row>
    <row r="6817">
      <c r="A6817" s="49">
        <v>44584.680771053245</v>
      </c>
      <c r="B6817" s="50">
        <v>44584.8057459953</v>
      </c>
      <c r="C6817" s="51">
        <v>1.006</v>
      </c>
      <c r="D6817" s="51">
        <v>65.0</v>
      </c>
      <c r="E6817" s="52" t="s">
        <v>25</v>
      </c>
      <c r="F6817" s="52" t="s">
        <v>26</v>
      </c>
      <c r="G6817" s="53"/>
    </row>
    <row r="6818">
      <c r="A6818" s="49">
        <v>44584.691200243054</v>
      </c>
      <c r="B6818" s="50">
        <v>44584.81616728</v>
      </c>
      <c r="C6818" s="51">
        <v>1.005</v>
      </c>
      <c r="D6818" s="51">
        <v>65.0</v>
      </c>
      <c r="E6818" s="52" t="s">
        <v>25</v>
      </c>
      <c r="F6818" s="52" t="s">
        <v>26</v>
      </c>
      <c r="G6818" s="53"/>
    </row>
    <row r="6819">
      <c r="A6819" s="49">
        <v>44584.701617280094</v>
      </c>
      <c r="B6819" s="50">
        <v>44584.8265903009</v>
      </c>
      <c r="C6819" s="51">
        <v>1.005</v>
      </c>
      <c r="D6819" s="51">
        <v>65.0</v>
      </c>
      <c r="E6819" s="52" t="s">
        <v>25</v>
      </c>
      <c r="F6819" s="52" t="s">
        <v>26</v>
      </c>
      <c r="G6819" s="53"/>
    </row>
    <row r="6820">
      <c r="A6820" s="49">
        <v>44584.712047939815</v>
      </c>
      <c r="B6820" s="50">
        <v>44584.8370209606</v>
      </c>
      <c r="C6820" s="51">
        <v>1.006</v>
      </c>
      <c r="D6820" s="51">
        <v>65.0</v>
      </c>
      <c r="E6820" s="52" t="s">
        <v>25</v>
      </c>
      <c r="F6820" s="52" t="s">
        <v>26</v>
      </c>
      <c r="G6820" s="53"/>
    </row>
    <row r="6821">
      <c r="A6821" s="49">
        <v>44584.72248394676</v>
      </c>
      <c r="B6821" s="50">
        <v>44584.847453993</v>
      </c>
      <c r="C6821" s="51">
        <v>1.006</v>
      </c>
      <c r="D6821" s="51">
        <v>65.0</v>
      </c>
      <c r="E6821" s="52" t="s">
        <v>25</v>
      </c>
      <c r="F6821" s="52" t="s">
        <v>26</v>
      </c>
      <c r="G6821" s="53"/>
    </row>
    <row r="6822">
      <c r="A6822" s="49">
        <v>44584.732899525465</v>
      </c>
      <c r="B6822" s="50">
        <v>44584.8578736458</v>
      </c>
      <c r="C6822" s="51">
        <v>1.006</v>
      </c>
      <c r="D6822" s="51">
        <v>65.0</v>
      </c>
      <c r="E6822" s="52" t="s">
        <v>25</v>
      </c>
      <c r="F6822" s="52" t="s">
        <v>26</v>
      </c>
      <c r="G6822" s="53"/>
    </row>
    <row r="6823">
      <c r="A6823" s="49">
        <v>44584.743322546296</v>
      </c>
      <c r="B6823" s="50">
        <v>44584.8682965393</v>
      </c>
      <c r="C6823" s="51">
        <v>1.006</v>
      </c>
      <c r="D6823" s="51">
        <v>65.0</v>
      </c>
      <c r="E6823" s="52" t="s">
        <v>25</v>
      </c>
      <c r="F6823" s="52" t="s">
        <v>26</v>
      </c>
      <c r="G6823" s="53"/>
    </row>
    <row r="6824">
      <c r="A6824" s="49">
        <v>44584.7537455787</v>
      </c>
      <c r="B6824" s="50">
        <v>44584.8787189699</v>
      </c>
      <c r="C6824" s="51">
        <v>1.006</v>
      </c>
      <c r="D6824" s="51">
        <v>65.0</v>
      </c>
      <c r="E6824" s="52" t="s">
        <v>25</v>
      </c>
      <c r="F6824" s="52" t="s">
        <v>26</v>
      </c>
      <c r="G6824" s="53"/>
    </row>
    <row r="6825">
      <c r="A6825" s="49">
        <v>44584.76417976852</v>
      </c>
      <c r="B6825" s="50">
        <v>44584.8891509143</v>
      </c>
      <c r="C6825" s="51">
        <v>1.006</v>
      </c>
      <c r="D6825" s="51">
        <v>65.0</v>
      </c>
      <c r="E6825" s="52" t="s">
        <v>25</v>
      </c>
      <c r="F6825" s="52" t="s">
        <v>26</v>
      </c>
      <c r="G6825" s="53"/>
    </row>
    <row r="6826">
      <c r="A6826" s="49">
        <v>44584.77462585648</v>
      </c>
      <c r="B6826" s="50">
        <v>44584.899607118</v>
      </c>
      <c r="C6826" s="51">
        <v>1.006</v>
      </c>
      <c r="D6826" s="51">
        <v>65.0</v>
      </c>
      <c r="E6826" s="52" t="s">
        <v>25</v>
      </c>
      <c r="F6826" s="52" t="s">
        <v>26</v>
      </c>
      <c r="G6826" s="53"/>
    </row>
    <row r="6827">
      <c r="A6827" s="49">
        <v>44584.78511133102</v>
      </c>
      <c r="B6827" s="50">
        <v>44584.9100892939</v>
      </c>
      <c r="C6827" s="51">
        <v>1.005</v>
      </c>
      <c r="D6827" s="51">
        <v>65.0</v>
      </c>
      <c r="E6827" s="52" t="s">
        <v>25</v>
      </c>
      <c r="F6827" s="52" t="s">
        <v>26</v>
      </c>
      <c r="G6827" s="53"/>
    </row>
    <row r="6828">
      <c r="A6828" s="49">
        <v>44584.7955390162</v>
      </c>
      <c r="B6828" s="50">
        <v>44584.9205106828</v>
      </c>
      <c r="C6828" s="51">
        <v>1.006</v>
      </c>
      <c r="D6828" s="51">
        <v>65.0</v>
      </c>
      <c r="E6828" s="52" t="s">
        <v>25</v>
      </c>
      <c r="F6828" s="52" t="s">
        <v>26</v>
      </c>
      <c r="G6828" s="53"/>
    </row>
    <row r="6829">
      <c r="A6829" s="49">
        <v>44584.80594872685</v>
      </c>
      <c r="B6829" s="50">
        <v>44584.9309312152</v>
      </c>
      <c r="C6829" s="51">
        <v>1.006</v>
      </c>
      <c r="D6829" s="51">
        <v>65.0</v>
      </c>
      <c r="E6829" s="52" t="s">
        <v>25</v>
      </c>
      <c r="F6829" s="52" t="s">
        <v>26</v>
      </c>
      <c r="G6829" s="53"/>
    </row>
    <row r="6830">
      <c r="A6830" s="49">
        <v>44584.81637451389</v>
      </c>
      <c r="B6830" s="50">
        <v>44584.9413511111</v>
      </c>
      <c r="C6830" s="51">
        <v>1.006</v>
      </c>
      <c r="D6830" s="51">
        <v>65.0</v>
      </c>
      <c r="E6830" s="52" t="s">
        <v>25</v>
      </c>
      <c r="F6830" s="52" t="s">
        <v>26</v>
      </c>
      <c r="G6830" s="53"/>
    </row>
    <row r="6831">
      <c r="A6831" s="49">
        <v>44584.82680298611</v>
      </c>
      <c r="B6831" s="50">
        <v>44584.9517833217</v>
      </c>
      <c r="C6831" s="51">
        <v>1.006</v>
      </c>
      <c r="D6831" s="51">
        <v>64.0</v>
      </c>
      <c r="E6831" s="52" t="s">
        <v>25</v>
      </c>
      <c r="F6831" s="52" t="s">
        <v>26</v>
      </c>
      <c r="G6831" s="53"/>
    </row>
    <row r="6832">
      <c r="A6832" s="49">
        <v>44584.83724836806</v>
      </c>
      <c r="B6832" s="50">
        <v>44584.9622280324</v>
      </c>
      <c r="C6832" s="51">
        <v>1.006</v>
      </c>
      <c r="D6832" s="51">
        <v>64.0</v>
      </c>
      <c r="E6832" s="52" t="s">
        <v>25</v>
      </c>
      <c r="F6832" s="52" t="s">
        <v>26</v>
      </c>
      <c r="G6832" s="53"/>
    </row>
    <row r="6833">
      <c r="A6833" s="49">
        <v>44584.84774712963</v>
      </c>
      <c r="B6833" s="50">
        <v>44584.9727303356</v>
      </c>
      <c r="C6833" s="51">
        <v>1.005</v>
      </c>
      <c r="D6833" s="51">
        <v>64.0</v>
      </c>
      <c r="E6833" s="52" t="s">
        <v>25</v>
      </c>
      <c r="F6833" s="52" t="s">
        <v>26</v>
      </c>
      <c r="G6833" s="53"/>
    </row>
    <row r="6834">
      <c r="A6834" s="49">
        <v>44584.85820314815</v>
      </c>
      <c r="B6834" s="50">
        <v>44584.9831746296</v>
      </c>
      <c r="C6834" s="51">
        <v>1.006</v>
      </c>
      <c r="D6834" s="51">
        <v>64.0</v>
      </c>
      <c r="E6834" s="52" t="s">
        <v>25</v>
      </c>
      <c r="F6834" s="52" t="s">
        <v>26</v>
      </c>
      <c r="G6834" s="53"/>
    </row>
    <row r="6835">
      <c r="A6835" s="49">
        <v>44584.86864545139</v>
      </c>
      <c r="B6835" s="50">
        <v>44584.9936193518</v>
      </c>
      <c r="C6835" s="51">
        <v>1.006</v>
      </c>
      <c r="D6835" s="51">
        <v>64.0</v>
      </c>
      <c r="E6835" s="52" t="s">
        <v>25</v>
      </c>
      <c r="F6835" s="52" t="s">
        <v>26</v>
      </c>
      <c r="G6835" s="53"/>
    </row>
    <row r="6836">
      <c r="A6836" s="49">
        <v>44584.87907841435</v>
      </c>
      <c r="B6836" s="50">
        <v>44585.0040519791</v>
      </c>
      <c r="C6836" s="51">
        <v>1.006</v>
      </c>
      <c r="D6836" s="51">
        <v>64.0</v>
      </c>
      <c r="E6836" s="52" t="s">
        <v>25</v>
      </c>
      <c r="F6836" s="52" t="s">
        <v>26</v>
      </c>
      <c r="G6836" s="53"/>
    </row>
    <row r="6837">
      <c r="A6837" s="49">
        <v>44584.88951333333</v>
      </c>
      <c r="B6837" s="50">
        <v>44585.0144846875</v>
      </c>
      <c r="C6837" s="51">
        <v>1.005</v>
      </c>
      <c r="D6837" s="51">
        <v>64.0</v>
      </c>
      <c r="E6837" s="52" t="s">
        <v>25</v>
      </c>
      <c r="F6837" s="52" t="s">
        <v>26</v>
      </c>
      <c r="G6837" s="53"/>
    </row>
    <row r="6838">
      <c r="A6838" s="49">
        <v>44584.89996420139</v>
      </c>
      <c r="B6838" s="50">
        <v>44585.0249410648</v>
      </c>
      <c r="C6838" s="51">
        <v>1.005</v>
      </c>
      <c r="D6838" s="51">
        <v>64.0</v>
      </c>
      <c r="E6838" s="52" t="s">
        <v>25</v>
      </c>
      <c r="F6838" s="52" t="s">
        <v>26</v>
      </c>
      <c r="G6838" s="53"/>
    </row>
    <row r="6839">
      <c r="A6839" s="49">
        <v>44584.910439756946</v>
      </c>
      <c r="B6839" s="50">
        <v>44585.0354086342</v>
      </c>
      <c r="C6839" s="51">
        <v>1.006</v>
      </c>
      <c r="D6839" s="51">
        <v>64.0</v>
      </c>
      <c r="E6839" s="52" t="s">
        <v>25</v>
      </c>
      <c r="F6839" s="52" t="s">
        <v>26</v>
      </c>
      <c r="G6839" s="53"/>
    </row>
    <row r="6840">
      <c r="A6840" s="49">
        <v>44584.920862997686</v>
      </c>
      <c r="B6840" s="50">
        <v>44585.045829618</v>
      </c>
      <c r="C6840" s="51">
        <v>1.006</v>
      </c>
      <c r="D6840" s="51">
        <v>64.0</v>
      </c>
      <c r="E6840" s="52" t="s">
        <v>25</v>
      </c>
      <c r="F6840" s="52" t="s">
        <v>26</v>
      </c>
      <c r="G6840" s="53"/>
    </row>
    <row r="6841">
      <c r="A6841" s="49">
        <v>44584.93128236111</v>
      </c>
      <c r="B6841" s="50">
        <v>44585.0562490972</v>
      </c>
      <c r="C6841" s="51">
        <v>1.005</v>
      </c>
      <c r="D6841" s="51">
        <v>64.0</v>
      </c>
      <c r="E6841" s="52" t="s">
        <v>25</v>
      </c>
      <c r="F6841" s="52" t="s">
        <v>26</v>
      </c>
      <c r="G6841" s="53"/>
    </row>
    <row r="6842">
      <c r="A6842" s="49">
        <v>44584.94170390046</v>
      </c>
      <c r="B6842" s="50">
        <v>44585.066668368</v>
      </c>
      <c r="C6842" s="51">
        <v>1.006</v>
      </c>
      <c r="D6842" s="51">
        <v>64.0</v>
      </c>
      <c r="E6842" s="52" t="s">
        <v>25</v>
      </c>
      <c r="F6842" s="52" t="s">
        <v>26</v>
      </c>
      <c r="G6842" s="53"/>
    </row>
    <row r="6843">
      <c r="A6843" s="49">
        <v>44584.95211456019</v>
      </c>
      <c r="B6843" s="50">
        <v>44585.0770896296</v>
      </c>
      <c r="C6843" s="51">
        <v>1.006</v>
      </c>
      <c r="D6843" s="51">
        <v>64.0</v>
      </c>
      <c r="E6843" s="52" t="s">
        <v>25</v>
      </c>
      <c r="F6843" s="52" t="s">
        <v>26</v>
      </c>
      <c r="G6843" s="53"/>
    </row>
    <row r="6844">
      <c r="A6844" s="49">
        <v>44584.96253253472</v>
      </c>
      <c r="B6844" s="50">
        <v>44585.087510787</v>
      </c>
      <c r="C6844" s="51">
        <v>1.005</v>
      </c>
      <c r="D6844" s="51">
        <v>64.0</v>
      </c>
      <c r="E6844" s="52" t="s">
        <v>25</v>
      </c>
      <c r="F6844" s="52" t="s">
        <v>26</v>
      </c>
      <c r="G6844" s="53"/>
    </row>
    <row r="6845">
      <c r="A6845" s="49">
        <v>44584.97296112269</v>
      </c>
      <c r="B6845" s="50">
        <v>44585.097933831</v>
      </c>
      <c r="C6845" s="51">
        <v>1.005</v>
      </c>
      <c r="D6845" s="51">
        <v>64.0</v>
      </c>
      <c r="E6845" s="52" t="s">
        <v>25</v>
      </c>
      <c r="F6845" s="52" t="s">
        <v>26</v>
      </c>
      <c r="G6845" s="53"/>
    </row>
    <row r="6846">
      <c r="A6846" s="49">
        <v>44584.9834134375</v>
      </c>
      <c r="B6846" s="50">
        <v>44585.1083784606</v>
      </c>
      <c r="C6846" s="51">
        <v>1.005</v>
      </c>
      <c r="D6846" s="51">
        <v>64.0</v>
      </c>
      <c r="E6846" s="52" t="s">
        <v>25</v>
      </c>
      <c r="F6846" s="52" t="s">
        <v>26</v>
      </c>
      <c r="G6846" s="53"/>
    </row>
    <row r="6847">
      <c r="A6847" s="49">
        <v>44584.99382606482</v>
      </c>
      <c r="B6847" s="50">
        <v>44585.1188000347</v>
      </c>
      <c r="C6847" s="51">
        <v>1.006</v>
      </c>
      <c r="D6847" s="51">
        <v>64.0</v>
      </c>
      <c r="E6847" s="52" t="s">
        <v>25</v>
      </c>
      <c r="F6847" s="52" t="s">
        <v>26</v>
      </c>
      <c r="G6847" s="53"/>
    </row>
    <row r="6848">
      <c r="A6848" s="49">
        <v>44585.00425949074</v>
      </c>
      <c r="B6848" s="50">
        <v>44585.129234456</v>
      </c>
      <c r="C6848" s="51">
        <v>1.006</v>
      </c>
      <c r="D6848" s="51">
        <v>64.0</v>
      </c>
      <c r="E6848" s="52" t="s">
        <v>25</v>
      </c>
      <c r="F6848" s="52" t="s">
        <v>26</v>
      </c>
      <c r="G6848" s="53"/>
    </row>
    <row r="6849">
      <c r="A6849" s="49">
        <v>44585.01472125</v>
      </c>
      <c r="B6849" s="50">
        <v>44585.1396546643</v>
      </c>
      <c r="C6849" s="51">
        <v>1.006</v>
      </c>
      <c r="D6849" s="51">
        <v>64.0</v>
      </c>
      <c r="E6849" s="52" t="s">
        <v>25</v>
      </c>
      <c r="F6849" s="52" t="s">
        <v>26</v>
      </c>
      <c r="G6849" s="53"/>
    </row>
    <row r="6850">
      <c r="A6850" s="49">
        <v>44585.02510097223</v>
      </c>
      <c r="B6850" s="50">
        <v>44585.1500770717</v>
      </c>
      <c r="C6850" s="51">
        <v>1.005</v>
      </c>
      <c r="D6850" s="51">
        <v>64.0</v>
      </c>
      <c r="E6850" s="52" t="s">
        <v>25</v>
      </c>
      <c r="F6850" s="52" t="s">
        <v>26</v>
      </c>
      <c r="G6850" s="53"/>
    </row>
    <row r="6851">
      <c r="A6851" s="49">
        <v>44585.03552805555</v>
      </c>
      <c r="B6851" s="50">
        <v>44585.1605097222</v>
      </c>
      <c r="C6851" s="51">
        <v>1.006</v>
      </c>
      <c r="D6851" s="51">
        <v>64.0</v>
      </c>
      <c r="E6851" s="52" t="s">
        <v>25</v>
      </c>
      <c r="F6851" s="52" t="s">
        <v>26</v>
      </c>
      <c r="G6851" s="53"/>
    </row>
    <row r="6852">
      <c r="A6852" s="49">
        <v>44585.04599222222</v>
      </c>
      <c r="B6852" s="50">
        <v>44585.1709657523</v>
      </c>
      <c r="C6852" s="51">
        <v>1.006</v>
      </c>
      <c r="D6852" s="51">
        <v>64.0</v>
      </c>
      <c r="E6852" s="52" t="s">
        <v>25</v>
      </c>
      <c r="F6852" s="52" t="s">
        <v>26</v>
      </c>
      <c r="G6852" s="53"/>
    </row>
    <row r="6853">
      <c r="A6853" s="49">
        <v>44585.056424236114</v>
      </c>
      <c r="B6853" s="50">
        <v>44585.1813978472</v>
      </c>
      <c r="C6853" s="51">
        <v>1.005</v>
      </c>
      <c r="D6853" s="51">
        <v>64.0</v>
      </c>
      <c r="E6853" s="52" t="s">
        <v>25</v>
      </c>
      <c r="F6853" s="52" t="s">
        <v>26</v>
      </c>
      <c r="G6853" s="53"/>
    </row>
    <row r="6854">
      <c r="A6854" s="49">
        <v>44585.06684234954</v>
      </c>
      <c r="B6854" s="50">
        <v>44585.1918183564</v>
      </c>
      <c r="C6854" s="51">
        <v>1.005</v>
      </c>
      <c r="D6854" s="51">
        <v>64.0</v>
      </c>
      <c r="E6854" s="52" t="s">
        <v>25</v>
      </c>
      <c r="F6854" s="52" t="s">
        <v>26</v>
      </c>
      <c r="G6854" s="53"/>
    </row>
    <row r="6855">
      <c r="A6855" s="49">
        <v>44585.07727869213</v>
      </c>
      <c r="B6855" s="50">
        <v>44585.2022493981</v>
      </c>
      <c r="C6855" s="51">
        <v>1.005</v>
      </c>
      <c r="D6855" s="51">
        <v>64.0</v>
      </c>
      <c r="E6855" s="52" t="s">
        <v>25</v>
      </c>
      <c r="F6855" s="52" t="s">
        <v>26</v>
      </c>
      <c r="G6855" s="53"/>
    </row>
    <row r="6856">
      <c r="A6856" s="49">
        <v>44585.08769916667</v>
      </c>
      <c r="B6856" s="50">
        <v>44585.2126715856</v>
      </c>
      <c r="C6856" s="51">
        <v>1.006</v>
      </c>
      <c r="D6856" s="51">
        <v>64.0</v>
      </c>
      <c r="E6856" s="52" t="s">
        <v>25</v>
      </c>
      <c r="F6856" s="52" t="s">
        <v>26</v>
      </c>
      <c r="G6856" s="53"/>
    </row>
    <row r="6857">
      <c r="A6857" s="49">
        <v>44585.098121828705</v>
      </c>
      <c r="B6857" s="50">
        <v>44585.2230927777</v>
      </c>
      <c r="C6857" s="51">
        <v>1.005</v>
      </c>
      <c r="D6857" s="51">
        <v>64.0</v>
      </c>
      <c r="E6857" s="52" t="s">
        <v>25</v>
      </c>
      <c r="F6857" s="52" t="s">
        <v>26</v>
      </c>
      <c r="G6857" s="53"/>
    </row>
    <row r="6858">
      <c r="A6858" s="49">
        <v>44585.10854777778</v>
      </c>
      <c r="B6858" s="50">
        <v>44585.2335242708</v>
      </c>
      <c r="C6858" s="51">
        <v>1.005</v>
      </c>
      <c r="D6858" s="51">
        <v>64.0</v>
      </c>
      <c r="E6858" s="52" t="s">
        <v>25</v>
      </c>
      <c r="F6858" s="52" t="s">
        <v>26</v>
      </c>
      <c r="G6858" s="53"/>
    </row>
    <row r="6859">
      <c r="A6859" s="49">
        <v>44585.11905233796</v>
      </c>
      <c r="B6859" s="50">
        <v>44585.2440275925</v>
      </c>
      <c r="C6859" s="51">
        <v>1.005</v>
      </c>
      <c r="D6859" s="51">
        <v>64.0</v>
      </c>
      <c r="E6859" s="52" t="s">
        <v>25</v>
      </c>
      <c r="F6859" s="52" t="s">
        <v>26</v>
      </c>
      <c r="G6859" s="53"/>
    </row>
    <row r="6860">
      <c r="A6860" s="49">
        <v>44585.12951452546</v>
      </c>
      <c r="B6860" s="50">
        <v>44585.2544850462</v>
      </c>
      <c r="C6860" s="51">
        <v>1.006</v>
      </c>
      <c r="D6860" s="51">
        <v>64.0</v>
      </c>
      <c r="E6860" s="52" t="s">
        <v>25</v>
      </c>
      <c r="F6860" s="52" t="s">
        <v>26</v>
      </c>
      <c r="G6860" s="53"/>
    </row>
    <row r="6861">
      <c r="A6861" s="49">
        <v>44585.13994050926</v>
      </c>
      <c r="B6861" s="50">
        <v>44585.2649186805</v>
      </c>
      <c r="C6861" s="51">
        <v>1.006</v>
      </c>
      <c r="D6861" s="51">
        <v>64.0</v>
      </c>
      <c r="E6861" s="52" t="s">
        <v>25</v>
      </c>
      <c r="F6861" s="52" t="s">
        <v>26</v>
      </c>
      <c r="G6861" s="53"/>
    </row>
    <row r="6862">
      <c r="A6862" s="49">
        <v>44585.15040572917</v>
      </c>
      <c r="B6862" s="50">
        <v>44585.2753758912</v>
      </c>
      <c r="C6862" s="51">
        <v>1.006</v>
      </c>
      <c r="D6862" s="51">
        <v>63.0</v>
      </c>
      <c r="E6862" s="52" t="s">
        <v>25</v>
      </c>
      <c r="F6862" s="52" t="s">
        <v>26</v>
      </c>
      <c r="G6862" s="53"/>
    </row>
    <row r="6863">
      <c r="A6863" s="49">
        <v>44585.16082175926</v>
      </c>
      <c r="B6863" s="50">
        <v>44585.2857968981</v>
      </c>
      <c r="C6863" s="51">
        <v>1.005</v>
      </c>
      <c r="D6863" s="51">
        <v>63.0</v>
      </c>
      <c r="E6863" s="52" t="s">
        <v>25</v>
      </c>
      <c r="F6863" s="52" t="s">
        <v>26</v>
      </c>
      <c r="G6863" s="53"/>
    </row>
    <row r="6864">
      <c r="A6864" s="49">
        <v>44585.17124116898</v>
      </c>
      <c r="B6864" s="50">
        <v>44585.2962195833</v>
      </c>
      <c r="C6864" s="51">
        <v>1.006</v>
      </c>
      <c r="D6864" s="51">
        <v>64.0</v>
      </c>
      <c r="E6864" s="52" t="s">
        <v>25</v>
      </c>
      <c r="F6864" s="52" t="s">
        <v>26</v>
      </c>
      <c r="G6864" s="53"/>
    </row>
    <row r="6865">
      <c r="A6865" s="49">
        <v>44585.18167248843</v>
      </c>
      <c r="B6865" s="50">
        <v>44585.3066508912</v>
      </c>
      <c r="C6865" s="51">
        <v>1.006</v>
      </c>
      <c r="D6865" s="51">
        <v>63.0</v>
      </c>
      <c r="E6865" s="52" t="s">
        <v>25</v>
      </c>
      <c r="F6865" s="52" t="s">
        <v>26</v>
      </c>
      <c r="G6865" s="53"/>
    </row>
    <row r="6866">
      <c r="A6866" s="49">
        <v>44585.19211283565</v>
      </c>
      <c r="B6866" s="50">
        <v>44585.3170842592</v>
      </c>
      <c r="C6866" s="51">
        <v>1.006</v>
      </c>
      <c r="D6866" s="51">
        <v>63.0</v>
      </c>
      <c r="E6866" s="52" t="s">
        <v>25</v>
      </c>
      <c r="F6866" s="52" t="s">
        <v>26</v>
      </c>
      <c r="G6866" s="53"/>
    </row>
    <row r="6867">
      <c r="A6867" s="49">
        <v>44585.20253465278</v>
      </c>
      <c r="B6867" s="50">
        <v>44585.3275051504</v>
      </c>
      <c r="C6867" s="51">
        <v>1.006</v>
      </c>
      <c r="D6867" s="51">
        <v>63.0</v>
      </c>
      <c r="E6867" s="52" t="s">
        <v>25</v>
      </c>
      <c r="F6867" s="52" t="s">
        <v>26</v>
      </c>
      <c r="G6867" s="53"/>
    </row>
    <row r="6868">
      <c r="A6868" s="49">
        <v>44585.21295078704</v>
      </c>
      <c r="B6868" s="50">
        <v>44585.3379280671</v>
      </c>
      <c r="C6868" s="51">
        <v>1.006</v>
      </c>
      <c r="D6868" s="51">
        <v>63.0</v>
      </c>
      <c r="E6868" s="52" t="s">
        <v>25</v>
      </c>
      <c r="F6868" s="52" t="s">
        <v>26</v>
      </c>
      <c r="G6868" s="53"/>
    </row>
    <row r="6869">
      <c r="A6869" s="49">
        <v>44585.223379710646</v>
      </c>
      <c r="B6869" s="50">
        <v>44585.3483618749</v>
      </c>
      <c r="C6869" s="51">
        <v>1.005</v>
      </c>
      <c r="D6869" s="51">
        <v>63.0</v>
      </c>
      <c r="E6869" s="52" t="s">
        <v>25</v>
      </c>
      <c r="F6869" s="52" t="s">
        <v>26</v>
      </c>
      <c r="G6869" s="53"/>
    </row>
    <row r="6870">
      <c r="A6870" s="49">
        <v>44585.233812743056</v>
      </c>
      <c r="B6870" s="50">
        <v>44585.3587942708</v>
      </c>
      <c r="C6870" s="51">
        <v>1.006</v>
      </c>
      <c r="D6870" s="51">
        <v>63.0</v>
      </c>
      <c r="E6870" s="52" t="s">
        <v>25</v>
      </c>
      <c r="F6870" s="52" t="s">
        <v>26</v>
      </c>
      <c r="G6870" s="53"/>
    </row>
    <row r="6871">
      <c r="A6871" s="49">
        <v>44585.244244236106</v>
      </c>
      <c r="B6871" s="50">
        <v>44585.3692148958</v>
      </c>
      <c r="C6871" s="51">
        <v>1.006</v>
      </c>
      <c r="D6871" s="51">
        <v>63.0</v>
      </c>
      <c r="E6871" s="52" t="s">
        <v>25</v>
      </c>
      <c r="F6871" s="52" t="s">
        <v>26</v>
      </c>
      <c r="G6871" s="53"/>
    </row>
    <row r="6872">
      <c r="A6872" s="49">
        <v>44585.25467516204</v>
      </c>
      <c r="B6872" s="50">
        <v>44585.3796468055</v>
      </c>
      <c r="C6872" s="51">
        <v>1.005</v>
      </c>
      <c r="D6872" s="51">
        <v>63.0</v>
      </c>
      <c r="E6872" s="52" t="s">
        <v>25</v>
      </c>
      <c r="F6872" s="52" t="s">
        <v>26</v>
      </c>
      <c r="G6872" s="53"/>
    </row>
    <row r="6873">
      <c r="A6873" s="49">
        <v>44585.26509239583</v>
      </c>
      <c r="B6873" s="50">
        <v>44585.3900666203</v>
      </c>
      <c r="C6873" s="51">
        <v>1.005</v>
      </c>
      <c r="D6873" s="51">
        <v>63.0</v>
      </c>
      <c r="E6873" s="52" t="s">
        <v>25</v>
      </c>
      <c r="F6873" s="52" t="s">
        <v>26</v>
      </c>
      <c r="G6873" s="53"/>
    </row>
    <row r="6874">
      <c r="A6874" s="49">
        <v>44585.27551076389</v>
      </c>
      <c r="B6874" s="50">
        <v>44585.4004863425</v>
      </c>
      <c r="C6874" s="51">
        <v>1.005</v>
      </c>
      <c r="D6874" s="51">
        <v>63.0</v>
      </c>
      <c r="E6874" s="52" t="s">
        <v>25</v>
      </c>
      <c r="F6874" s="52" t="s">
        <v>26</v>
      </c>
      <c r="G6874" s="53"/>
    </row>
    <row r="6875">
      <c r="A6875" s="49">
        <v>44585.28593445602</v>
      </c>
      <c r="B6875" s="50">
        <v>44585.4109079976</v>
      </c>
      <c r="C6875" s="51">
        <v>1.005</v>
      </c>
      <c r="D6875" s="51">
        <v>63.0</v>
      </c>
      <c r="E6875" s="52" t="s">
        <v>25</v>
      </c>
      <c r="F6875" s="52" t="s">
        <v>26</v>
      </c>
      <c r="G6875" s="53"/>
    </row>
    <row r="6876">
      <c r="A6876" s="49">
        <v>44585.29635965278</v>
      </c>
      <c r="B6876" s="50">
        <v>44585.4213269907</v>
      </c>
      <c r="C6876" s="51">
        <v>1.005</v>
      </c>
      <c r="D6876" s="51">
        <v>63.0</v>
      </c>
      <c r="E6876" s="52" t="s">
        <v>25</v>
      </c>
      <c r="F6876" s="52" t="s">
        <v>26</v>
      </c>
      <c r="G6876" s="53"/>
    </row>
    <row r="6877">
      <c r="A6877" s="49">
        <v>44585.30683724537</v>
      </c>
      <c r="B6877" s="50">
        <v>44585.4318052199</v>
      </c>
      <c r="C6877" s="51">
        <v>1.006</v>
      </c>
      <c r="D6877" s="51">
        <v>63.0</v>
      </c>
      <c r="E6877" s="52" t="s">
        <v>25</v>
      </c>
      <c r="F6877" s="52" t="s">
        <v>26</v>
      </c>
      <c r="G6877" s="53"/>
    </row>
    <row r="6878">
      <c r="A6878" s="49">
        <v>44585.31725288194</v>
      </c>
      <c r="B6878" s="50">
        <v>44585.4422246064</v>
      </c>
      <c r="C6878" s="51">
        <v>1.005</v>
      </c>
      <c r="D6878" s="51">
        <v>63.0</v>
      </c>
      <c r="E6878" s="52" t="s">
        <v>25</v>
      </c>
      <c r="F6878" s="52" t="s">
        <v>26</v>
      </c>
      <c r="G6878" s="53"/>
    </row>
    <row r="6879">
      <c r="A6879" s="49">
        <v>44585.32769880787</v>
      </c>
      <c r="B6879" s="50">
        <v>44585.4526689583</v>
      </c>
      <c r="C6879" s="51">
        <v>1.006</v>
      </c>
      <c r="D6879" s="51">
        <v>63.0</v>
      </c>
      <c r="E6879" s="52" t="s">
        <v>25</v>
      </c>
      <c r="F6879" s="52" t="s">
        <v>26</v>
      </c>
      <c r="G6879" s="53"/>
    </row>
    <row r="6880">
      <c r="A6880" s="49">
        <v>44585.33811060185</v>
      </c>
      <c r="B6880" s="50">
        <v>44585.4630913773</v>
      </c>
      <c r="C6880" s="51">
        <v>1.006</v>
      </c>
      <c r="D6880" s="51">
        <v>63.0</v>
      </c>
      <c r="E6880" s="52" t="s">
        <v>25</v>
      </c>
      <c r="F6880" s="52" t="s">
        <v>26</v>
      </c>
      <c r="G6880" s="53"/>
    </row>
    <row r="6881">
      <c r="A6881" s="49">
        <v>44585.34854925926</v>
      </c>
      <c r="B6881" s="50">
        <v>44585.4735255671</v>
      </c>
      <c r="C6881" s="51">
        <v>1.005</v>
      </c>
      <c r="D6881" s="51">
        <v>63.0</v>
      </c>
      <c r="E6881" s="52" t="s">
        <v>25</v>
      </c>
      <c r="F6881" s="52" t="s">
        <v>26</v>
      </c>
      <c r="G6881" s="53"/>
    </row>
    <row r="6882">
      <c r="A6882" s="49">
        <v>44585.358972118054</v>
      </c>
      <c r="B6882" s="50">
        <v>44585.4839468981</v>
      </c>
      <c r="C6882" s="51">
        <v>1.005</v>
      </c>
      <c r="D6882" s="51">
        <v>63.0</v>
      </c>
      <c r="E6882" s="52" t="s">
        <v>25</v>
      </c>
      <c r="F6882" s="52" t="s">
        <v>26</v>
      </c>
      <c r="G6882" s="53"/>
    </row>
    <row r="6883">
      <c r="A6883" s="49">
        <v>44585.369405833335</v>
      </c>
      <c r="B6883" s="50">
        <v>44585.4943787037</v>
      </c>
      <c r="C6883" s="51">
        <v>1.005</v>
      </c>
      <c r="D6883" s="51">
        <v>63.0</v>
      </c>
      <c r="E6883" s="52" t="s">
        <v>25</v>
      </c>
      <c r="F6883" s="52" t="s">
        <v>26</v>
      </c>
      <c r="G6883" s="53"/>
    </row>
    <row r="6884">
      <c r="A6884" s="49">
        <v>44585.379824710646</v>
      </c>
      <c r="B6884" s="50">
        <v>44585.5048004861</v>
      </c>
      <c r="C6884" s="51">
        <v>1.005</v>
      </c>
      <c r="D6884" s="51">
        <v>63.0</v>
      </c>
      <c r="E6884" s="52" t="s">
        <v>25</v>
      </c>
      <c r="F6884" s="52" t="s">
        <v>26</v>
      </c>
      <c r="G6884" s="53"/>
    </row>
    <row r="6885">
      <c r="A6885" s="49">
        <v>44585.39024390046</v>
      </c>
      <c r="B6885" s="50">
        <v>44585.5152207523</v>
      </c>
      <c r="C6885" s="51">
        <v>1.006</v>
      </c>
      <c r="D6885" s="51">
        <v>63.0</v>
      </c>
      <c r="E6885" s="52" t="s">
        <v>25</v>
      </c>
      <c r="F6885" s="52" t="s">
        <v>26</v>
      </c>
      <c r="G6885" s="53"/>
    </row>
    <row r="6886">
      <c r="A6886" s="49">
        <v>44585.400670497685</v>
      </c>
      <c r="B6886" s="50">
        <v>44585.5256397916</v>
      </c>
      <c r="C6886" s="51">
        <v>1.006</v>
      </c>
      <c r="D6886" s="51">
        <v>63.0</v>
      </c>
      <c r="E6886" s="52" t="s">
        <v>25</v>
      </c>
      <c r="F6886" s="52" t="s">
        <v>26</v>
      </c>
      <c r="G6886" s="53"/>
    </row>
    <row r="6887">
      <c r="A6887" s="49">
        <v>44585.41109018518</v>
      </c>
      <c r="B6887" s="50">
        <v>44585.5360593518</v>
      </c>
      <c r="C6887" s="51">
        <v>1.005</v>
      </c>
      <c r="D6887" s="51">
        <v>63.0</v>
      </c>
      <c r="E6887" s="52" t="s">
        <v>25</v>
      </c>
      <c r="F6887" s="52" t="s">
        <v>26</v>
      </c>
      <c r="G6887" s="53"/>
    </row>
    <row r="6888">
      <c r="A6888" s="49">
        <v>44585.4215165162</v>
      </c>
      <c r="B6888" s="50">
        <v>44585.5464901504</v>
      </c>
      <c r="C6888" s="51">
        <v>1.006</v>
      </c>
      <c r="D6888" s="51">
        <v>63.0</v>
      </c>
      <c r="E6888" s="52" t="s">
        <v>25</v>
      </c>
      <c r="F6888" s="52" t="s">
        <v>26</v>
      </c>
      <c r="G6888" s="53"/>
    </row>
    <row r="6889">
      <c r="A6889" s="49">
        <v>44585.43193189814</v>
      </c>
      <c r="B6889" s="50">
        <v>44585.5569127314</v>
      </c>
      <c r="C6889" s="51">
        <v>1.006</v>
      </c>
      <c r="D6889" s="51">
        <v>63.0</v>
      </c>
      <c r="E6889" s="52" t="s">
        <v>25</v>
      </c>
      <c r="F6889" s="52" t="s">
        <v>26</v>
      </c>
      <c r="G6889" s="53"/>
    </row>
    <row r="6890">
      <c r="A6890" s="49">
        <v>44585.44240241898</v>
      </c>
      <c r="B6890" s="50">
        <v>44585.5673691898</v>
      </c>
      <c r="C6890" s="51">
        <v>1.006</v>
      </c>
      <c r="D6890" s="51">
        <v>63.0</v>
      </c>
      <c r="E6890" s="52" t="s">
        <v>25</v>
      </c>
      <c r="F6890" s="52" t="s">
        <v>26</v>
      </c>
      <c r="G6890" s="53"/>
    </row>
    <row r="6891">
      <c r="A6891" s="49">
        <v>44585.4528390625</v>
      </c>
      <c r="B6891" s="50">
        <v>44585.5778149768</v>
      </c>
      <c r="C6891" s="51">
        <v>1.006</v>
      </c>
      <c r="D6891" s="51">
        <v>63.0</v>
      </c>
      <c r="E6891" s="52" t="s">
        <v>25</v>
      </c>
      <c r="F6891" s="52" t="s">
        <v>26</v>
      </c>
      <c r="G6891" s="53"/>
    </row>
    <row r="6892">
      <c r="A6892" s="49">
        <v>44585.46326787037</v>
      </c>
      <c r="B6892" s="50">
        <v>44585.588237743</v>
      </c>
      <c r="C6892" s="51">
        <v>1.006</v>
      </c>
      <c r="D6892" s="51">
        <v>63.0</v>
      </c>
      <c r="E6892" s="52" t="s">
        <v>25</v>
      </c>
      <c r="F6892" s="52" t="s">
        <v>26</v>
      </c>
      <c r="G6892" s="53"/>
    </row>
    <row r="6893">
      <c r="A6893" s="49">
        <v>44585.47368800926</v>
      </c>
      <c r="B6893" s="50">
        <v>44585.5986589583</v>
      </c>
      <c r="C6893" s="51">
        <v>1.006</v>
      </c>
      <c r="D6893" s="51">
        <v>63.0</v>
      </c>
      <c r="E6893" s="52" t="s">
        <v>25</v>
      </c>
      <c r="F6893" s="52" t="s">
        <v>26</v>
      </c>
      <c r="G6893" s="53"/>
    </row>
    <row r="6894">
      <c r="A6894" s="49">
        <v>44585.49453805556</v>
      </c>
      <c r="B6894" s="50">
        <v>44585.6195013541</v>
      </c>
      <c r="C6894" s="51">
        <v>1.005</v>
      </c>
      <c r="D6894" s="51">
        <v>63.0</v>
      </c>
      <c r="E6894" s="52" t="s">
        <v>25</v>
      </c>
      <c r="F6894" s="52" t="s">
        <v>26</v>
      </c>
      <c r="G6894" s="53"/>
    </row>
    <row r="6895">
      <c r="A6895" s="49">
        <v>44585.504982094906</v>
      </c>
      <c r="B6895" s="50">
        <v>44585.6299569212</v>
      </c>
      <c r="C6895" s="51">
        <v>1.006</v>
      </c>
      <c r="D6895" s="51">
        <v>63.0</v>
      </c>
      <c r="E6895" s="52" t="s">
        <v>25</v>
      </c>
      <c r="F6895" s="52" t="s">
        <v>26</v>
      </c>
      <c r="G6895" s="53"/>
    </row>
    <row r="6896">
      <c r="A6896" s="49">
        <v>44585.5154028588</v>
      </c>
      <c r="B6896" s="50">
        <v>44585.6403787499</v>
      </c>
      <c r="C6896" s="51">
        <v>1.005</v>
      </c>
      <c r="D6896" s="51">
        <v>63.0</v>
      </c>
      <c r="E6896" s="52" t="s">
        <v>25</v>
      </c>
      <c r="F6896" s="52" t="s">
        <v>26</v>
      </c>
      <c r="G6896" s="53"/>
    </row>
    <row r="6897">
      <c r="A6897" s="49">
        <v>44585.52582969907</v>
      </c>
      <c r="B6897" s="50">
        <v>44585.6507987731</v>
      </c>
      <c r="C6897" s="51">
        <v>1.006</v>
      </c>
      <c r="D6897" s="51">
        <v>63.0</v>
      </c>
      <c r="E6897" s="52" t="s">
        <v>25</v>
      </c>
      <c r="F6897" s="52" t="s">
        <v>26</v>
      </c>
      <c r="G6897" s="53"/>
    </row>
    <row r="6898">
      <c r="A6898" s="49">
        <v>44585.53624920139</v>
      </c>
      <c r="B6898" s="50">
        <v>44585.6612200462</v>
      </c>
      <c r="C6898" s="51">
        <v>1.006</v>
      </c>
      <c r="D6898" s="51">
        <v>63.0</v>
      </c>
      <c r="E6898" s="52" t="s">
        <v>25</v>
      </c>
      <c r="F6898" s="52" t="s">
        <v>26</v>
      </c>
      <c r="G6898" s="53"/>
    </row>
    <row r="6899">
      <c r="A6899" s="49">
        <v>44585.54670896991</v>
      </c>
      <c r="B6899" s="50">
        <v>44585.6716535069</v>
      </c>
      <c r="C6899" s="51">
        <v>1.006</v>
      </c>
      <c r="D6899" s="51">
        <v>63.0</v>
      </c>
      <c r="E6899" s="52" t="s">
        <v>25</v>
      </c>
      <c r="F6899" s="52" t="s">
        <v>26</v>
      </c>
      <c r="G6899" s="53"/>
    </row>
    <row r="6900">
      <c r="A6900" s="49">
        <v>44585.557095578704</v>
      </c>
      <c r="B6900" s="50">
        <v>44585.6820743402</v>
      </c>
      <c r="C6900" s="51">
        <v>1.006</v>
      </c>
      <c r="D6900" s="51">
        <v>63.0</v>
      </c>
      <c r="E6900" s="52" t="s">
        <v>25</v>
      </c>
      <c r="F6900" s="52" t="s">
        <v>26</v>
      </c>
      <c r="G6900" s="53"/>
    </row>
    <row r="6901">
      <c r="A6901" s="49">
        <v>44585.56752719908</v>
      </c>
      <c r="B6901" s="50">
        <v>44585.692497199</v>
      </c>
      <c r="C6901" s="51">
        <v>1.006</v>
      </c>
      <c r="D6901" s="51">
        <v>63.0</v>
      </c>
      <c r="E6901" s="52" t="s">
        <v>25</v>
      </c>
      <c r="F6901" s="52" t="s">
        <v>26</v>
      </c>
      <c r="G6901" s="53"/>
    </row>
    <row r="6902">
      <c r="A6902" s="49">
        <v>44585.57794594907</v>
      </c>
      <c r="B6902" s="50">
        <v>44585.7029186226</v>
      </c>
      <c r="C6902" s="51">
        <v>1.006</v>
      </c>
      <c r="D6902" s="51">
        <v>63.0</v>
      </c>
      <c r="E6902" s="52" t="s">
        <v>25</v>
      </c>
      <c r="F6902" s="52" t="s">
        <v>26</v>
      </c>
      <c r="G6902" s="53"/>
    </row>
    <row r="6903">
      <c r="A6903" s="49">
        <v>44585.5883846875</v>
      </c>
      <c r="B6903" s="50">
        <v>44585.7133513773</v>
      </c>
      <c r="C6903" s="51">
        <v>1.006</v>
      </c>
      <c r="D6903" s="51">
        <v>63.0</v>
      </c>
      <c r="E6903" s="52" t="s">
        <v>25</v>
      </c>
      <c r="F6903" s="52" t="s">
        <v>26</v>
      </c>
      <c r="G6903" s="53"/>
    </row>
    <row r="6904">
      <c r="A6904" s="49">
        <v>44585.59879603009</v>
      </c>
      <c r="B6904" s="50">
        <v>44585.7237723148</v>
      </c>
      <c r="C6904" s="51">
        <v>1.006</v>
      </c>
      <c r="D6904" s="51">
        <v>64.0</v>
      </c>
      <c r="E6904" s="52" t="s">
        <v>25</v>
      </c>
      <c r="F6904" s="52" t="s">
        <v>26</v>
      </c>
      <c r="G6904" s="53"/>
    </row>
    <row r="6905">
      <c r="A6905" s="49">
        <v>44585.60922493055</v>
      </c>
      <c r="B6905" s="50">
        <v>44585.7341937731</v>
      </c>
      <c r="C6905" s="51">
        <v>1.006</v>
      </c>
      <c r="D6905" s="51">
        <v>64.0</v>
      </c>
      <c r="E6905" s="52" t="s">
        <v>25</v>
      </c>
      <c r="F6905" s="52" t="s">
        <v>26</v>
      </c>
      <c r="G6905" s="53"/>
    </row>
    <row r="6906">
      <c r="A6906" s="49">
        <v>44585.61967707176</v>
      </c>
      <c r="B6906" s="50">
        <v>44585.7446498495</v>
      </c>
      <c r="C6906" s="51">
        <v>1.005</v>
      </c>
      <c r="D6906" s="51">
        <v>65.0</v>
      </c>
      <c r="E6906" s="52" t="s">
        <v>25</v>
      </c>
      <c r="F6906" s="52" t="s">
        <v>26</v>
      </c>
      <c r="G6906" s="53"/>
    </row>
    <row r="6907">
      <c r="A6907" s="49">
        <v>44585.630108020836</v>
      </c>
      <c r="B6907" s="50">
        <v>44585.7550734953</v>
      </c>
      <c r="C6907" s="51">
        <v>1.005</v>
      </c>
      <c r="D6907" s="51">
        <v>65.0</v>
      </c>
      <c r="E6907" s="52" t="s">
        <v>25</v>
      </c>
      <c r="F6907" s="52" t="s">
        <v>26</v>
      </c>
      <c r="G6907" s="53"/>
    </row>
    <row r="6908">
      <c r="A6908" s="49">
        <v>44585.6405237037</v>
      </c>
      <c r="B6908" s="50">
        <v>44585.7654952546</v>
      </c>
      <c r="C6908" s="51">
        <v>1.005</v>
      </c>
      <c r="D6908" s="51">
        <v>65.0</v>
      </c>
      <c r="E6908" s="52" t="s">
        <v>25</v>
      </c>
      <c r="F6908" s="52" t="s">
        <v>26</v>
      </c>
      <c r="G6908" s="53"/>
    </row>
    <row r="6909">
      <c r="A6909" s="49">
        <v>44585.65095491898</v>
      </c>
      <c r="B6909" s="50">
        <v>44585.7759299305</v>
      </c>
      <c r="C6909" s="51">
        <v>1.005</v>
      </c>
      <c r="D6909" s="51">
        <v>66.0</v>
      </c>
      <c r="E6909" s="52" t="s">
        <v>25</v>
      </c>
      <c r="F6909" s="52" t="s">
        <v>26</v>
      </c>
      <c r="G6909" s="53"/>
    </row>
    <row r="6910">
      <c r="A6910" s="49">
        <v>44585.66137509259</v>
      </c>
      <c r="B6910" s="50">
        <v>44585.7863502083</v>
      </c>
      <c r="C6910" s="51">
        <v>1.005</v>
      </c>
      <c r="D6910" s="51">
        <v>66.0</v>
      </c>
      <c r="E6910" s="52" t="s">
        <v>25</v>
      </c>
      <c r="F6910" s="52" t="s">
        <v>26</v>
      </c>
      <c r="G6910" s="53"/>
    </row>
    <row r="6911">
      <c r="A6911" s="49">
        <v>44585.671806388884</v>
      </c>
      <c r="B6911" s="50">
        <v>44585.7967828356</v>
      </c>
      <c r="C6911" s="51">
        <v>1.005</v>
      </c>
      <c r="D6911" s="51">
        <v>67.0</v>
      </c>
      <c r="E6911" s="52" t="s">
        <v>25</v>
      </c>
      <c r="F6911" s="52" t="s">
        <v>26</v>
      </c>
      <c r="G6911" s="53"/>
    </row>
    <row r="6912">
      <c r="A6912" s="49">
        <v>44585.68224815972</v>
      </c>
      <c r="B6912" s="50">
        <v>44585.8072158912</v>
      </c>
      <c r="C6912" s="51">
        <v>1.005</v>
      </c>
      <c r="D6912" s="51">
        <v>67.0</v>
      </c>
      <c r="E6912" s="52" t="s">
        <v>25</v>
      </c>
      <c r="F6912" s="52" t="s">
        <v>26</v>
      </c>
      <c r="G6912" s="53"/>
    </row>
    <row r="6913">
      <c r="A6913" s="49">
        <v>44585.69266833333</v>
      </c>
      <c r="B6913" s="50">
        <v>44585.8176377893</v>
      </c>
      <c r="C6913" s="51">
        <v>1.005</v>
      </c>
      <c r="D6913" s="51">
        <v>68.0</v>
      </c>
      <c r="E6913" s="52" t="s">
        <v>25</v>
      </c>
      <c r="F6913" s="52" t="s">
        <v>26</v>
      </c>
      <c r="G6913" s="53"/>
    </row>
    <row r="6914">
      <c r="A6914" s="49">
        <v>44585.70308828704</v>
      </c>
      <c r="B6914" s="50">
        <v>44585.8280591666</v>
      </c>
      <c r="C6914" s="51">
        <v>1.005</v>
      </c>
      <c r="D6914" s="51">
        <v>68.0</v>
      </c>
      <c r="E6914" s="52" t="s">
        <v>25</v>
      </c>
      <c r="F6914" s="52" t="s">
        <v>26</v>
      </c>
      <c r="G6914" s="53"/>
    </row>
    <row r="6915">
      <c r="A6915" s="49">
        <v>44585.71350703704</v>
      </c>
      <c r="B6915" s="50">
        <v>44585.8384783217</v>
      </c>
      <c r="C6915" s="51">
        <v>1.005</v>
      </c>
      <c r="D6915" s="51">
        <v>68.0</v>
      </c>
      <c r="E6915" s="52" t="s">
        <v>25</v>
      </c>
      <c r="F6915" s="52" t="s">
        <v>26</v>
      </c>
      <c r="G6915" s="53"/>
    </row>
    <row r="6916">
      <c r="A6916" s="49">
        <v>44585.723926875</v>
      </c>
      <c r="B6916" s="50">
        <v>44585.8489008101</v>
      </c>
      <c r="C6916" s="51">
        <v>1.005</v>
      </c>
      <c r="D6916" s="51">
        <v>68.0</v>
      </c>
      <c r="E6916" s="52" t="s">
        <v>25</v>
      </c>
      <c r="F6916" s="52" t="s">
        <v>26</v>
      </c>
      <c r="G6916" s="53"/>
    </row>
    <row r="6917">
      <c r="A6917" s="49">
        <v>44585.734351562496</v>
      </c>
      <c r="B6917" s="50">
        <v>44585.8593236226</v>
      </c>
      <c r="C6917" s="51">
        <v>1.005</v>
      </c>
      <c r="D6917" s="51">
        <v>68.0</v>
      </c>
      <c r="E6917" s="52" t="s">
        <v>25</v>
      </c>
      <c r="F6917" s="52" t="s">
        <v>26</v>
      </c>
      <c r="G6917" s="53"/>
    </row>
    <row r="6918">
      <c r="A6918" s="49">
        <v>44585.744819837964</v>
      </c>
      <c r="B6918" s="50">
        <v>44585.8697784375</v>
      </c>
      <c r="C6918" s="51">
        <v>1.005</v>
      </c>
      <c r="D6918" s="51">
        <v>68.0</v>
      </c>
      <c r="E6918" s="52" t="s">
        <v>25</v>
      </c>
      <c r="F6918" s="52" t="s">
        <v>26</v>
      </c>
      <c r="G6918" s="53"/>
    </row>
    <row r="6919">
      <c r="A6919" s="49">
        <v>44585.75525315972</v>
      </c>
      <c r="B6919" s="50">
        <v>44585.8802237847</v>
      </c>
      <c r="C6919" s="51">
        <v>1.005</v>
      </c>
      <c r="D6919" s="51">
        <v>68.0</v>
      </c>
      <c r="E6919" s="52" t="s">
        <v>25</v>
      </c>
      <c r="F6919" s="52" t="s">
        <v>26</v>
      </c>
      <c r="G6919" s="53"/>
    </row>
    <row r="6920">
      <c r="A6920" s="49">
        <v>44585.76568481482</v>
      </c>
      <c r="B6920" s="50">
        <v>44585.8906570949</v>
      </c>
      <c r="C6920" s="51">
        <v>1.005</v>
      </c>
      <c r="D6920" s="51">
        <v>67.0</v>
      </c>
      <c r="E6920" s="52" t="s">
        <v>25</v>
      </c>
      <c r="F6920" s="52" t="s">
        <v>26</v>
      </c>
      <c r="G6920" s="53"/>
    </row>
    <row r="6921">
      <c r="A6921" s="49">
        <v>44585.77610228009</v>
      </c>
      <c r="B6921" s="50">
        <v>44585.9010774189</v>
      </c>
      <c r="C6921" s="51">
        <v>1.005</v>
      </c>
      <c r="D6921" s="51">
        <v>67.0</v>
      </c>
      <c r="E6921" s="52" t="s">
        <v>25</v>
      </c>
      <c r="F6921" s="52" t="s">
        <v>26</v>
      </c>
      <c r="G6921" s="53"/>
    </row>
    <row r="6922">
      <c r="A6922" s="49">
        <v>44585.78652822917</v>
      </c>
      <c r="B6922" s="50">
        <v>44585.9115001273</v>
      </c>
      <c r="C6922" s="51">
        <v>1.005</v>
      </c>
      <c r="D6922" s="51">
        <v>67.0</v>
      </c>
      <c r="E6922" s="52" t="s">
        <v>25</v>
      </c>
      <c r="F6922" s="52" t="s">
        <v>26</v>
      </c>
      <c r="G6922" s="53"/>
    </row>
    <row r="6923">
      <c r="A6923" s="49">
        <v>44585.796952662036</v>
      </c>
      <c r="B6923" s="50">
        <v>44585.9219222222</v>
      </c>
      <c r="C6923" s="51">
        <v>1.005</v>
      </c>
      <c r="D6923" s="51">
        <v>67.0</v>
      </c>
      <c r="E6923" s="52" t="s">
        <v>25</v>
      </c>
      <c r="F6923" s="52" t="s">
        <v>26</v>
      </c>
      <c r="G6923" s="53"/>
    </row>
    <row r="6924">
      <c r="A6924" s="49">
        <v>44585.807366678244</v>
      </c>
      <c r="B6924" s="50">
        <v>44585.9323442939</v>
      </c>
      <c r="C6924" s="51">
        <v>1.005</v>
      </c>
      <c r="D6924" s="51">
        <v>67.0</v>
      </c>
      <c r="E6924" s="52" t="s">
        <v>25</v>
      </c>
      <c r="F6924" s="52" t="s">
        <v>26</v>
      </c>
      <c r="G6924" s="53"/>
    </row>
    <row r="6925">
      <c r="A6925" s="49">
        <v>44585.817796620366</v>
      </c>
      <c r="B6925" s="50">
        <v>44585.9427649189</v>
      </c>
      <c r="C6925" s="51">
        <v>1.005</v>
      </c>
      <c r="D6925" s="51">
        <v>67.0</v>
      </c>
      <c r="E6925" s="52" t="s">
        <v>25</v>
      </c>
      <c r="F6925" s="52" t="s">
        <v>26</v>
      </c>
      <c r="G6925" s="53"/>
    </row>
    <row r="6926">
      <c r="A6926" s="49">
        <v>44585.82821248843</v>
      </c>
      <c r="B6926" s="50">
        <v>44585.9531855787</v>
      </c>
      <c r="C6926" s="51">
        <v>1.005</v>
      </c>
      <c r="D6926" s="51">
        <v>67.0</v>
      </c>
      <c r="E6926" s="52" t="s">
        <v>25</v>
      </c>
      <c r="F6926" s="52" t="s">
        <v>26</v>
      </c>
      <c r="G6926" s="53"/>
    </row>
    <row r="6927">
      <c r="A6927" s="49">
        <v>44585.83863195602</v>
      </c>
      <c r="B6927" s="50">
        <v>44585.9636062152</v>
      </c>
      <c r="C6927" s="51">
        <v>1.005</v>
      </c>
      <c r="D6927" s="51">
        <v>67.0</v>
      </c>
      <c r="E6927" s="52" t="s">
        <v>25</v>
      </c>
      <c r="F6927" s="52" t="s">
        <v>26</v>
      </c>
      <c r="G6927" s="53"/>
    </row>
    <row r="6928">
      <c r="A6928" s="49">
        <v>44585.84906069444</v>
      </c>
      <c r="B6928" s="50">
        <v>44585.9740269097</v>
      </c>
      <c r="C6928" s="51">
        <v>1.005</v>
      </c>
      <c r="D6928" s="51">
        <v>67.0</v>
      </c>
      <c r="E6928" s="52" t="s">
        <v>25</v>
      </c>
      <c r="F6928" s="52" t="s">
        <v>26</v>
      </c>
      <c r="G6928" s="53"/>
    </row>
    <row r="6929">
      <c r="A6929" s="49">
        <v>44585.85951664352</v>
      </c>
      <c r="B6929" s="50">
        <v>44585.9844841666</v>
      </c>
      <c r="C6929" s="51">
        <v>1.005</v>
      </c>
      <c r="D6929" s="51">
        <v>67.0</v>
      </c>
      <c r="E6929" s="52" t="s">
        <v>25</v>
      </c>
      <c r="F6929" s="52" t="s">
        <v>26</v>
      </c>
      <c r="G6929" s="53"/>
    </row>
    <row r="6930">
      <c r="A6930" s="49">
        <v>44585.869943854166</v>
      </c>
      <c r="B6930" s="50">
        <v>44585.9949160879</v>
      </c>
      <c r="C6930" s="51">
        <v>1.005</v>
      </c>
      <c r="D6930" s="51">
        <v>67.0</v>
      </c>
      <c r="E6930" s="52" t="s">
        <v>25</v>
      </c>
      <c r="F6930" s="52" t="s">
        <v>26</v>
      </c>
      <c r="G6930" s="53"/>
    </row>
    <row r="6931">
      <c r="A6931" s="49">
        <v>44585.88038357639</v>
      </c>
      <c r="B6931" s="50">
        <v>44586.0053478009</v>
      </c>
      <c r="C6931" s="51">
        <v>1.005</v>
      </c>
      <c r="D6931" s="51">
        <v>67.0</v>
      </c>
      <c r="E6931" s="52" t="s">
        <v>25</v>
      </c>
      <c r="F6931" s="52" t="s">
        <v>26</v>
      </c>
      <c r="G6931" s="53"/>
    </row>
    <row r="6932">
      <c r="A6932" s="49">
        <v>44585.890798402776</v>
      </c>
      <c r="B6932" s="50">
        <v>44586.0157677199</v>
      </c>
      <c r="C6932" s="51">
        <v>1.005</v>
      </c>
      <c r="D6932" s="51">
        <v>67.0</v>
      </c>
      <c r="E6932" s="52" t="s">
        <v>25</v>
      </c>
      <c r="F6932" s="52" t="s">
        <v>26</v>
      </c>
      <c r="G6932" s="53"/>
    </row>
    <row r="6933">
      <c r="A6933" s="49">
        <v>44585.90122641204</v>
      </c>
      <c r="B6933" s="50">
        <v>44586.0261894907</v>
      </c>
      <c r="C6933" s="51">
        <v>1.005</v>
      </c>
      <c r="D6933" s="51">
        <v>67.0</v>
      </c>
      <c r="E6933" s="52" t="s">
        <v>25</v>
      </c>
      <c r="F6933" s="52" t="s">
        <v>26</v>
      </c>
      <c r="G6933" s="53"/>
    </row>
    <row r="6934">
      <c r="A6934" s="49">
        <v>44585.911640266204</v>
      </c>
      <c r="B6934" s="50">
        <v>44586.0366126851</v>
      </c>
      <c r="C6934" s="51">
        <v>1.005</v>
      </c>
      <c r="D6934" s="51">
        <v>67.0</v>
      </c>
      <c r="E6934" s="52" t="s">
        <v>25</v>
      </c>
      <c r="F6934" s="52" t="s">
        <v>26</v>
      </c>
      <c r="G6934" s="53"/>
    </row>
    <row r="6935">
      <c r="A6935" s="49">
        <v>44585.92206690973</v>
      </c>
      <c r="B6935" s="50">
        <v>44586.0470335416</v>
      </c>
      <c r="C6935" s="51">
        <v>1.005</v>
      </c>
      <c r="D6935" s="51">
        <v>67.0</v>
      </c>
      <c r="E6935" s="52" t="s">
        <v>25</v>
      </c>
      <c r="F6935" s="52" t="s">
        <v>26</v>
      </c>
      <c r="G6935" s="53"/>
    </row>
    <row r="6936">
      <c r="A6936" s="49">
        <v>44585.93248674768</v>
      </c>
      <c r="B6936" s="50">
        <v>44586.0574543287</v>
      </c>
      <c r="C6936" s="51">
        <v>1.005</v>
      </c>
      <c r="D6936" s="51">
        <v>67.0</v>
      </c>
      <c r="E6936" s="52" t="s">
        <v>25</v>
      </c>
      <c r="F6936" s="52" t="s">
        <v>26</v>
      </c>
      <c r="G6936" s="53"/>
    </row>
    <row r="6937">
      <c r="A6937" s="49">
        <v>44585.94292609954</v>
      </c>
      <c r="B6937" s="50">
        <v>44586.0678981597</v>
      </c>
      <c r="C6937" s="51">
        <v>1.005</v>
      </c>
      <c r="D6937" s="51">
        <v>67.0</v>
      </c>
      <c r="E6937" s="52" t="s">
        <v>25</v>
      </c>
      <c r="F6937" s="52" t="s">
        <v>26</v>
      </c>
      <c r="G6937" s="53"/>
    </row>
    <row r="6938">
      <c r="A6938" s="49">
        <v>44585.95334597222</v>
      </c>
      <c r="B6938" s="50">
        <v>44586.07831853</v>
      </c>
      <c r="C6938" s="51">
        <v>1.005</v>
      </c>
      <c r="D6938" s="51">
        <v>67.0</v>
      </c>
      <c r="E6938" s="52" t="s">
        <v>25</v>
      </c>
      <c r="F6938" s="52" t="s">
        <v>26</v>
      </c>
      <c r="G6938" s="53"/>
    </row>
    <row r="6939">
      <c r="A6939" s="49">
        <v>44585.96376837963</v>
      </c>
      <c r="B6939" s="50">
        <v>44586.0887395601</v>
      </c>
      <c r="C6939" s="51">
        <v>1.005</v>
      </c>
      <c r="D6939" s="51">
        <v>67.0</v>
      </c>
      <c r="E6939" s="52" t="s">
        <v>25</v>
      </c>
      <c r="F6939" s="52" t="s">
        <v>26</v>
      </c>
      <c r="G6939" s="53"/>
    </row>
    <row r="6940">
      <c r="A6940" s="49">
        <v>44585.97422222223</v>
      </c>
      <c r="B6940" s="50">
        <v>44586.0991940509</v>
      </c>
      <c r="C6940" s="51">
        <v>1.005</v>
      </c>
      <c r="D6940" s="51">
        <v>67.0</v>
      </c>
      <c r="E6940" s="52" t="s">
        <v>25</v>
      </c>
      <c r="F6940" s="52" t="s">
        <v>26</v>
      </c>
      <c r="G6940" s="53"/>
    </row>
    <row r="6941">
      <c r="A6941" s="49">
        <v>44585.984680625</v>
      </c>
      <c r="B6941" s="50">
        <v>44586.1096506828</v>
      </c>
      <c r="C6941" s="51">
        <v>1.005</v>
      </c>
      <c r="D6941" s="51">
        <v>67.0</v>
      </c>
      <c r="E6941" s="52" t="s">
        <v>25</v>
      </c>
      <c r="F6941" s="52" t="s">
        <v>26</v>
      </c>
      <c r="G6941" s="53"/>
    </row>
    <row r="6942">
      <c r="A6942" s="49">
        <v>44585.99509201389</v>
      </c>
      <c r="B6942" s="50">
        <v>44586.1200741782</v>
      </c>
      <c r="C6942" s="51">
        <v>1.005</v>
      </c>
      <c r="D6942" s="51">
        <v>67.0</v>
      </c>
      <c r="E6942" s="52" t="s">
        <v>25</v>
      </c>
      <c r="F6942" s="52" t="s">
        <v>26</v>
      </c>
      <c r="G6942" s="53"/>
    </row>
    <row r="6943">
      <c r="A6943" s="49">
        <v>44586.005521643514</v>
      </c>
      <c r="B6943" s="50">
        <v>44586.1304959722</v>
      </c>
      <c r="C6943" s="51">
        <v>1.005</v>
      </c>
      <c r="D6943" s="51">
        <v>67.0</v>
      </c>
      <c r="E6943" s="52" t="s">
        <v>25</v>
      </c>
      <c r="F6943" s="52" t="s">
        <v>26</v>
      </c>
      <c r="G6943" s="53"/>
    </row>
    <row r="6944">
      <c r="A6944" s="49">
        <v>44586.015948078704</v>
      </c>
      <c r="B6944" s="50">
        <v>44586.1409166666</v>
      </c>
      <c r="C6944" s="51">
        <v>1.005</v>
      </c>
      <c r="D6944" s="51">
        <v>67.0</v>
      </c>
      <c r="E6944" s="52" t="s">
        <v>25</v>
      </c>
      <c r="F6944" s="52" t="s">
        <v>26</v>
      </c>
      <c r="G6944" s="53"/>
    </row>
    <row r="6945">
      <c r="A6945" s="49">
        <v>44586.02638026621</v>
      </c>
      <c r="B6945" s="50">
        <v>44586.1513485763</v>
      </c>
      <c r="C6945" s="51">
        <v>1.005</v>
      </c>
      <c r="D6945" s="51">
        <v>66.0</v>
      </c>
      <c r="E6945" s="52" t="s">
        <v>25</v>
      </c>
      <c r="F6945" s="52" t="s">
        <v>26</v>
      </c>
      <c r="G6945" s="53"/>
    </row>
    <row r="6946">
      <c r="A6946" s="49">
        <v>44586.03680128472</v>
      </c>
      <c r="B6946" s="50">
        <v>44586.1617703009</v>
      </c>
      <c r="C6946" s="51">
        <v>1.005</v>
      </c>
      <c r="D6946" s="51">
        <v>66.0</v>
      </c>
      <c r="E6946" s="52" t="s">
        <v>25</v>
      </c>
      <c r="F6946" s="52" t="s">
        <v>26</v>
      </c>
      <c r="G6946" s="53"/>
    </row>
    <row r="6947">
      <c r="A6947" s="49">
        <v>44586.04722284722</v>
      </c>
      <c r="B6947" s="50">
        <v>44586.1721915277</v>
      </c>
      <c r="C6947" s="51">
        <v>1.005</v>
      </c>
      <c r="D6947" s="51">
        <v>66.0</v>
      </c>
      <c r="E6947" s="52" t="s">
        <v>25</v>
      </c>
      <c r="F6947" s="52" t="s">
        <v>26</v>
      </c>
      <c r="G6947" s="53"/>
    </row>
    <row r="6948">
      <c r="A6948" s="49">
        <v>44586.057644699074</v>
      </c>
      <c r="B6948" s="50">
        <v>44586.1826124768</v>
      </c>
      <c r="C6948" s="51">
        <v>1.005</v>
      </c>
      <c r="D6948" s="51">
        <v>66.0</v>
      </c>
      <c r="E6948" s="52" t="s">
        <v>25</v>
      </c>
      <c r="F6948" s="52" t="s">
        <v>26</v>
      </c>
      <c r="G6948" s="53"/>
    </row>
    <row r="6949">
      <c r="A6949" s="49">
        <v>44586.06811280093</v>
      </c>
      <c r="B6949" s="50">
        <v>44586.1930800578</v>
      </c>
      <c r="C6949" s="51">
        <v>1.005</v>
      </c>
      <c r="D6949" s="51">
        <v>66.0</v>
      </c>
      <c r="E6949" s="52" t="s">
        <v>25</v>
      </c>
      <c r="F6949" s="52" t="s">
        <v>26</v>
      </c>
      <c r="G6949" s="53"/>
    </row>
    <row r="6950">
      <c r="A6950" s="49">
        <v>44586.07854288194</v>
      </c>
      <c r="B6950" s="50">
        <v>44586.2035123495</v>
      </c>
      <c r="C6950" s="51">
        <v>1.005</v>
      </c>
      <c r="D6950" s="51">
        <v>66.0</v>
      </c>
      <c r="E6950" s="52" t="s">
        <v>25</v>
      </c>
      <c r="F6950" s="52" t="s">
        <v>26</v>
      </c>
      <c r="G6950" s="53"/>
    </row>
    <row r="6951">
      <c r="A6951" s="49">
        <v>44586.088963946764</v>
      </c>
      <c r="B6951" s="50">
        <v>44586.2139350694</v>
      </c>
      <c r="C6951" s="51">
        <v>1.005</v>
      </c>
      <c r="D6951" s="51">
        <v>66.0</v>
      </c>
      <c r="E6951" s="52" t="s">
        <v>25</v>
      </c>
      <c r="F6951" s="52" t="s">
        <v>26</v>
      </c>
      <c r="G6951" s="53"/>
    </row>
    <row r="6952">
      <c r="A6952" s="49">
        <v>44586.09939076389</v>
      </c>
      <c r="B6952" s="50">
        <v>44586.2243564351</v>
      </c>
      <c r="C6952" s="51">
        <v>1.005</v>
      </c>
      <c r="D6952" s="51">
        <v>66.0</v>
      </c>
      <c r="E6952" s="52" t="s">
        <v>25</v>
      </c>
      <c r="F6952" s="52" t="s">
        <v>26</v>
      </c>
      <c r="G6952" s="53"/>
    </row>
    <row r="6953">
      <c r="A6953" s="49">
        <v>44586.10979931713</v>
      </c>
      <c r="B6953" s="50">
        <v>44586.2347787037</v>
      </c>
      <c r="C6953" s="51">
        <v>1.005</v>
      </c>
      <c r="D6953" s="51">
        <v>66.0</v>
      </c>
      <c r="E6953" s="52" t="s">
        <v>25</v>
      </c>
      <c r="F6953" s="52" t="s">
        <v>26</v>
      </c>
      <c r="G6953" s="53"/>
    </row>
    <row r="6954">
      <c r="A6954" s="49">
        <v>44586.12024159722</v>
      </c>
      <c r="B6954" s="50">
        <v>44586.2452006018</v>
      </c>
      <c r="C6954" s="51">
        <v>1.005</v>
      </c>
      <c r="D6954" s="51">
        <v>66.0</v>
      </c>
      <c r="E6954" s="52" t="s">
        <v>25</v>
      </c>
      <c r="F6954" s="52" t="s">
        <v>26</v>
      </c>
      <c r="G6954" s="53"/>
    </row>
    <row r="6955">
      <c r="A6955" s="49">
        <v>44586.13072528935</v>
      </c>
      <c r="B6955" s="50">
        <v>44586.2556792939</v>
      </c>
      <c r="C6955" s="51">
        <v>1.005</v>
      </c>
      <c r="D6955" s="51">
        <v>66.0</v>
      </c>
      <c r="E6955" s="52" t="s">
        <v>25</v>
      </c>
      <c r="F6955" s="52" t="s">
        <v>26</v>
      </c>
      <c r="G6955" s="53"/>
    </row>
    <row r="6956">
      <c r="A6956" s="49">
        <v>44586.14113350694</v>
      </c>
      <c r="B6956" s="50">
        <v>44586.2661014351</v>
      </c>
      <c r="C6956" s="51">
        <v>1.005</v>
      </c>
      <c r="D6956" s="51">
        <v>66.0</v>
      </c>
      <c r="E6956" s="52" t="s">
        <v>25</v>
      </c>
      <c r="F6956" s="52" t="s">
        <v>26</v>
      </c>
      <c r="G6956" s="53"/>
    </row>
    <row r="6957">
      <c r="A6957" s="49">
        <v>44586.15155703704</v>
      </c>
      <c r="B6957" s="50">
        <v>44586.2765231365</v>
      </c>
      <c r="C6957" s="51">
        <v>1.005</v>
      </c>
      <c r="D6957" s="51">
        <v>66.0</v>
      </c>
      <c r="E6957" s="52" t="s">
        <v>25</v>
      </c>
      <c r="F6957" s="52" t="s">
        <v>26</v>
      </c>
      <c r="G6957" s="53"/>
    </row>
    <row r="6958">
      <c r="A6958" s="49">
        <v>44586.161974664356</v>
      </c>
      <c r="B6958" s="50">
        <v>44586.2869440856</v>
      </c>
      <c r="C6958" s="51">
        <v>1.005</v>
      </c>
      <c r="D6958" s="51">
        <v>66.0</v>
      </c>
      <c r="E6958" s="52" t="s">
        <v>25</v>
      </c>
      <c r="F6958" s="52" t="s">
        <v>26</v>
      </c>
      <c r="G6958" s="53"/>
    </row>
    <row r="6959">
      <c r="A6959" s="49">
        <v>44586.17243366898</v>
      </c>
      <c r="B6959" s="50">
        <v>44586.2974011921</v>
      </c>
      <c r="C6959" s="51">
        <v>1.005</v>
      </c>
      <c r="D6959" s="51">
        <v>66.0</v>
      </c>
      <c r="E6959" s="52" t="s">
        <v>25</v>
      </c>
      <c r="F6959" s="52" t="s">
        <v>26</v>
      </c>
      <c r="G6959" s="53"/>
    </row>
    <row r="6960">
      <c r="A6960" s="49">
        <v>44586.182856064814</v>
      </c>
      <c r="B6960" s="50">
        <v>44586.3078222685</v>
      </c>
      <c r="C6960" s="51">
        <v>1.006</v>
      </c>
      <c r="D6960" s="51">
        <v>66.0</v>
      </c>
      <c r="E6960" s="52" t="s">
        <v>25</v>
      </c>
      <c r="F6960" s="52" t="s">
        <v>26</v>
      </c>
      <c r="G6960" s="53"/>
    </row>
    <row r="6961">
      <c r="A6961" s="49">
        <v>44586.19327427083</v>
      </c>
      <c r="B6961" s="50">
        <v>44586.3182423263</v>
      </c>
      <c r="C6961" s="51">
        <v>1.005</v>
      </c>
      <c r="D6961" s="51">
        <v>66.0</v>
      </c>
      <c r="E6961" s="52" t="s">
        <v>25</v>
      </c>
      <c r="F6961" s="52" t="s">
        <v>26</v>
      </c>
      <c r="G6961" s="53"/>
    </row>
    <row r="6962">
      <c r="A6962" s="49">
        <v>44586.203688865746</v>
      </c>
      <c r="B6962" s="50">
        <v>44586.32866228</v>
      </c>
      <c r="C6962" s="51">
        <v>1.005</v>
      </c>
      <c r="D6962" s="51">
        <v>66.0</v>
      </c>
      <c r="E6962" s="52" t="s">
        <v>25</v>
      </c>
      <c r="F6962" s="52" t="s">
        <v>26</v>
      </c>
      <c r="G6962" s="53"/>
    </row>
    <row r="6963">
      <c r="A6963" s="49">
        <v>44586.214118668984</v>
      </c>
      <c r="B6963" s="50">
        <v>44586.3390935069</v>
      </c>
      <c r="C6963" s="51">
        <v>1.005</v>
      </c>
      <c r="D6963" s="51">
        <v>66.0</v>
      </c>
      <c r="E6963" s="52" t="s">
        <v>25</v>
      </c>
      <c r="F6963" s="52" t="s">
        <v>26</v>
      </c>
      <c r="G6963" s="53"/>
    </row>
    <row r="6964">
      <c r="A6964" s="49">
        <v>44586.224596458334</v>
      </c>
      <c r="B6964" s="50">
        <v>44586.3495704976</v>
      </c>
      <c r="C6964" s="51">
        <v>1.005</v>
      </c>
      <c r="D6964" s="51">
        <v>66.0</v>
      </c>
      <c r="E6964" s="52" t="s">
        <v>25</v>
      </c>
      <c r="F6964" s="52" t="s">
        <v>26</v>
      </c>
      <c r="G6964" s="53"/>
    </row>
    <row r="6965">
      <c r="A6965" s="49">
        <v>44586.235030717595</v>
      </c>
      <c r="B6965" s="50">
        <v>44586.3600033912</v>
      </c>
      <c r="C6965" s="51">
        <v>1.006</v>
      </c>
      <c r="D6965" s="51">
        <v>66.0</v>
      </c>
      <c r="E6965" s="52" t="s">
        <v>25</v>
      </c>
      <c r="F6965" s="52" t="s">
        <v>26</v>
      </c>
      <c r="G6965" s="53"/>
    </row>
    <row r="6966">
      <c r="A6966" s="49">
        <v>44586.2454587963</v>
      </c>
      <c r="B6966" s="50">
        <v>44586.3704243634</v>
      </c>
      <c r="C6966" s="51">
        <v>1.005</v>
      </c>
      <c r="D6966" s="51">
        <v>66.0</v>
      </c>
      <c r="E6966" s="52" t="s">
        <v>25</v>
      </c>
      <c r="F6966" s="52" t="s">
        <v>26</v>
      </c>
      <c r="G6966" s="53"/>
    </row>
    <row r="6967">
      <c r="A6967" s="49">
        <v>44586.255876655094</v>
      </c>
      <c r="B6967" s="50">
        <v>44586.3808457291</v>
      </c>
      <c r="C6967" s="51">
        <v>1.006</v>
      </c>
      <c r="D6967" s="51">
        <v>66.0</v>
      </c>
      <c r="E6967" s="52" t="s">
        <v>25</v>
      </c>
      <c r="F6967" s="52" t="s">
        <v>26</v>
      </c>
      <c r="G6967" s="53"/>
    </row>
    <row r="6968">
      <c r="A6968" s="49">
        <v>44586.26629983797</v>
      </c>
      <c r="B6968" s="50">
        <v>44586.3912670949</v>
      </c>
      <c r="C6968" s="51">
        <v>1.005</v>
      </c>
      <c r="D6968" s="51">
        <v>66.0</v>
      </c>
      <c r="E6968" s="52" t="s">
        <v>25</v>
      </c>
      <c r="F6968" s="52" t="s">
        <v>26</v>
      </c>
      <c r="G6968" s="53"/>
    </row>
    <row r="6969">
      <c r="A6969" s="49">
        <v>44586.2767159838</v>
      </c>
      <c r="B6969" s="50">
        <v>44586.40168853</v>
      </c>
      <c r="C6969" s="51">
        <v>1.006</v>
      </c>
      <c r="D6969" s="51">
        <v>66.0</v>
      </c>
      <c r="E6969" s="52" t="s">
        <v>25</v>
      </c>
      <c r="F6969" s="52" t="s">
        <v>26</v>
      </c>
      <c r="G6969" s="53"/>
    </row>
    <row r="6970">
      <c r="A6970" s="49">
        <v>44586.28716204861</v>
      </c>
      <c r="B6970" s="50">
        <v>44586.4121236458</v>
      </c>
      <c r="C6970" s="51">
        <v>1.005</v>
      </c>
      <c r="D6970" s="51">
        <v>66.0</v>
      </c>
      <c r="E6970" s="52" t="s">
        <v>25</v>
      </c>
      <c r="F6970" s="52" t="s">
        <v>26</v>
      </c>
      <c r="G6970" s="53"/>
    </row>
    <row r="6971">
      <c r="A6971" s="49">
        <v>44586.29757378472</v>
      </c>
      <c r="B6971" s="50">
        <v>44586.422545787</v>
      </c>
      <c r="C6971" s="51">
        <v>1.005</v>
      </c>
      <c r="D6971" s="51">
        <v>66.0</v>
      </c>
      <c r="E6971" s="52" t="s">
        <v>25</v>
      </c>
      <c r="F6971" s="52" t="s">
        <v>26</v>
      </c>
      <c r="G6971" s="53"/>
    </row>
    <row r="6972">
      <c r="A6972" s="49">
        <v>44586.308010787034</v>
      </c>
      <c r="B6972" s="50">
        <v>44586.4329672222</v>
      </c>
      <c r="C6972" s="51">
        <v>1.005</v>
      </c>
      <c r="D6972" s="51">
        <v>65.0</v>
      </c>
      <c r="E6972" s="52" t="s">
        <v>25</v>
      </c>
      <c r="F6972" s="52" t="s">
        <v>26</v>
      </c>
      <c r="G6972" s="53"/>
    </row>
    <row r="6973">
      <c r="A6973" s="49">
        <v>44586.31841974537</v>
      </c>
      <c r="B6973" s="50">
        <v>44586.4433865277</v>
      </c>
      <c r="C6973" s="51">
        <v>1.005</v>
      </c>
      <c r="D6973" s="51">
        <v>65.0</v>
      </c>
      <c r="E6973" s="52" t="s">
        <v>25</v>
      </c>
      <c r="F6973" s="52" t="s">
        <v>26</v>
      </c>
      <c r="G6973" s="53"/>
    </row>
    <row r="6974">
      <c r="A6974" s="49">
        <v>44586.32883796297</v>
      </c>
      <c r="B6974" s="50">
        <v>44586.4538072453</v>
      </c>
      <c r="C6974" s="51">
        <v>1.005</v>
      </c>
      <c r="D6974" s="51">
        <v>65.0</v>
      </c>
      <c r="E6974" s="52" t="s">
        <v>25</v>
      </c>
      <c r="F6974" s="52" t="s">
        <v>26</v>
      </c>
      <c r="G6974" s="53"/>
    </row>
    <row r="6975">
      <c r="A6975" s="49">
        <v>44586.33927165509</v>
      </c>
      <c r="B6975" s="50">
        <v>44586.464241493</v>
      </c>
      <c r="C6975" s="51">
        <v>1.005</v>
      </c>
      <c r="D6975" s="51">
        <v>65.0</v>
      </c>
      <c r="E6975" s="52" t="s">
        <v>25</v>
      </c>
      <c r="F6975" s="52" t="s">
        <v>26</v>
      </c>
      <c r="G6975" s="53"/>
    </row>
    <row r="6976">
      <c r="A6976" s="49">
        <v>44586.34969478009</v>
      </c>
      <c r="B6976" s="50">
        <v>44586.4746616435</v>
      </c>
      <c r="C6976" s="51">
        <v>1.005</v>
      </c>
      <c r="D6976" s="51">
        <v>65.0</v>
      </c>
      <c r="E6976" s="52" t="s">
        <v>25</v>
      </c>
      <c r="F6976" s="52" t="s">
        <v>26</v>
      </c>
      <c r="G6976" s="53"/>
    </row>
    <row r="6977">
      <c r="A6977" s="49">
        <v>44586.36010417824</v>
      </c>
      <c r="B6977" s="50">
        <v>44586.4850827893</v>
      </c>
      <c r="C6977" s="51">
        <v>1.005</v>
      </c>
      <c r="D6977" s="51">
        <v>65.0</v>
      </c>
      <c r="E6977" s="52" t="s">
        <v>25</v>
      </c>
      <c r="F6977" s="52" t="s">
        <v>26</v>
      </c>
      <c r="G6977" s="53"/>
    </row>
    <row r="6978">
      <c r="A6978" s="49">
        <v>44586.37052924768</v>
      </c>
      <c r="B6978" s="50">
        <v>44586.4955033796</v>
      </c>
      <c r="C6978" s="51">
        <v>1.005</v>
      </c>
      <c r="D6978" s="51">
        <v>65.0</v>
      </c>
      <c r="E6978" s="52" t="s">
        <v>25</v>
      </c>
      <c r="F6978" s="52" t="s">
        <v>26</v>
      </c>
      <c r="G6978" s="53"/>
    </row>
    <row r="6979">
      <c r="A6979" s="49">
        <v>44586.3809521875</v>
      </c>
      <c r="B6979" s="50">
        <v>44586.5059247916</v>
      </c>
      <c r="C6979" s="51">
        <v>1.005</v>
      </c>
      <c r="D6979" s="51">
        <v>65.0</v>
      </c>
      <c r="E6979" s="52" t="s">
        <v>25</v>
      </c>
      <c r="F6979" s="52" t="s">
        <v>26</v>
      </c>
      <c r="G6979" s="53"/>
    </row>
    <row r="6980">
      <c r="A6980" s="49">
        <v>44586.39137914352</v>
      </c>
      <c r="B6980" s="50">
        <v>44586.5163573148</v>
      </c>
      <c r="C6980" s="51">
        <v>1.005</v>
      </c>
      <c r="D6980" s="51">
        <v>65.0</v>
      </c>
      <c r="E6980" s="52" t="s">
        <v>25</v>
      </c>
      <c r="F6980" s="52" t="s">
        <v>26</v>
      </c>
      <c r="G6980" s="53"/>
    </row>
    <row r="6981">
      <c r="A6981" s="49">
        <v>44586.401818391205</v>
      </c>
      <c r="B6981" s="50">
        <v>44586.5267778703</v>
      </c>
      <c r="C6981" s="51">
        <v>1.005</v>
      </c>
      <c r="D6981" s="51">
        <v>65.0</v>
      </c>
      <c r="E6981" s="52" t="s">
        <v>25</v>
      </c>
      <c r="F6981" s="52" t="s">
        <v>26</v>
      </c>
      <c r="G6981" s="53"/>
    </row>
    <row r="6982">
      <c r="A6982" s="49">
        <v>44586.412237129625</v>
      </c>
      <c r="B6982" s="50">
        <v>44586.5372106481</v>
      </c>
      <c r="C6982" s="51">
        <v>1.005</v>
      </c>
      <c r="D6982" s="51">
        <v>65.0</v>
      </c>
      <c r="E6982" s="52" t="s">
        <v>25</v>
      </c>
      <c r="F6982" s="52" t="s">
        <v>26</v>
      </c>
      <c r="G6982" s="53"/>
    </row>
    <row r="6983">
      <c r="A6983" s="49">
        <v>44586.42265577546</v>
      </c>
      <c r="B6983" s="50">
        <v>44586.5476317824</v>
      </c>
      <c r="C6983" s="51">
        <v>1.006</v>
      </c>
      <c r="D6983" s="51">
        <v>65.0</v>
      </c>
      <c r="E6983" s="52" t="s">
        <v>25</v>
      </c>
      <c r="F6983" s="52" t="s">
        <v>26</v>
      </c>
      <c r="G6983" s="53"/>
    </row>
    <row r="6984">
      <c r="A6984" s="49">
        <v>44586.433099201386</v>
      </c>
      <c r="B6984" s="50">
        <v>44586.5580643981</v>
      </c>
      <c r="C6984" s="51">
        <v>1.005</v>
      </c>
      <c r="D6984" s="51">
        <v>65.0</v>
      </c>
      <c r="E6984" s="52" t="s">
        <v>25</v>
      </c>
      <c r="F6984" s="52" t="s">
        <v>26</v>
      </c>
      <c r="G6984" s="53"/>
    </row>
    <row r="6985">
      <c r="A6985" s="49">
        <v>44586.44351525463</v>
      </c>
      <c r="B6985" s="50">
        <v>44586.5684851851</v>
      </c>
      <c r="C6985" s="51">
        <v>1.005</v>
      </c>
      <c r="D6985" s="51">
        <v>65.0</v>
      </c>
      <c r="E6985" s="52" t="s">
        <v>25</v>
      </c>
      <c r="F6985" s="52" t="s">
        <v>26</v>
      </c>
      <c r="G6985" s="53"/>
    </row>
    <row r="6986">
      <c r="A6986" s="49">
        <v>44586.45393662037</v>
      </c>
      <c r="B6986" s="50">
        <v>44586.5789055786</v>
      </c>
      <c r="C6986" s="51">
        <v>1.005</v>
      </c>
      <c r="D6986" s="51">
        <v>65.0</v>
      </c>
      <c r="E6986" s="52" t="s">
        <v>25</v>
      </c>
      <c r="F6986" s="52" t="s">
        <v>26</v>
      </c>
      <c r="G6986" s="53"/>
    </row>
    <row r="6987">
      <c r="A6987" s="49">
        <v>44586.46435865741</v>
      </c>
      <c r="B6987" s="50">
        <v>44586.5893269212</v>
      </c>
      <c r="C6987" s="51">
        <v>1.005</v>
      </c>
      <c r="D6987" s="51">
        <v>65.0</v>
      </c>
      <c r="E6987" s="52" t="s">
        <v>25</v>
      </c>
      <c r="F6987" s="52" t="s">
        <v>26</v>
      </c>
      <c r="G6987" s="53"/>
    </row>
    <row r="6988">
      <c r="A6988" s="49">
        <v>44586.47478278935</v>
      </c>
      <c r="B6988" s="50">
        <v>44586.5997471643</v>
      </c>
      <c r="C6988" s="51">
        <v>1.005</v>
      </c>
      <c r="D6988" s="51">
        <v>65.0</v>
      </c>
      <c r="E6988" s="52" t="s">
        <v>25</v>
      </c>
      <c r="F6988" s="52" t="s">
        <v>26</v>
      </c>
      <c r="G6988" s="53"/>
    </row>
    <row r="6989">
      <c r="A6989" s="49">
        <v>44586.48519446759</v>
      </c>
      <c r="B6989" s="50">
        <v>44586.6101678472</v>
      </c>
      <c r="C6989" s="51">
        <v>1.005</v>
      </c>
      <c r="D6989" s="51">
        <v>65.0</v>
      </c>
      <c r="E6989" s="52" t="s">
        <v>25</v>
      </c>
      <c r="F6989" s="52" t="s">
        <v>26</v>
      </c>
      <c r="G6989" s="53"/>
    </row>
    <row r="6990">
      <c r="A6990" s="49">
        <v>44586.495615092594</v>
      </c>
      <c r="B6990" s="50">
        <v>44586.6205883101</v>
      </c>
      <c r="C6990" s="51">
        <v>1.005</v>
      </c>
      <c r="D6990" s="51">
        <v>65.0</v>
      </c>
      <c r="E6990" s="52" t="s">
        <v>25</v>
      </c>
      <c r="F6990" s="52" t="s">
        <v>26</v>
      </c>
      <c r="G6990" s="53"/>
    </row>
    <row r="6991">
      <c r="A6991" s="49">
        <v>44586.50606392361</v>
      </c>
      <c r="B6991" s="50">
        <v>44586.6310336458</v>
      </c>
      <c r="C6991" s="51">
        <v>1.005</v>
      </c>
      <c r="D6991" s="51">
        <v>65.0</v>
      </c>
      <c r="E6991" s="52" t="s">
        <v>25</v>
      </c>
      <c r="F6991" s="52" t="s">
        <v>26</v>
      </c>
      <c r="G6991" s="53"/>
    </row>
    <row r="6992">
      <c r="A6992" s="49">
        <v>44586.5164796412</v>
      </c>
      <c r="B6992" s="50">
        <v>44586.6414566088</v>
      </c>
      <c r="C6992" s="51">
        <v>1.006</v>
      </c>
      <c r="D6992" s="51">
        <v>65.0</v>
      </c>
      <c r="E6992" s="52" t="s">
        <v>25</v>
      </c>
      <c r="F6992" s="52" t="s">
        <v>26</v>
      </c>
      <c r="G6992" s="53"/>
    </row>
    <row r="6993">
      <c r="A6993" s="49">
        <v>44586.526912245376</v>
      </c>
      <c r="B6993" s="50">
        <v>44586.6518786689</v>
      </c>
      <c r="C6993" s="51">
        <v>1.005</v>
      </c>
      <c r="D6993" s="51">
        <v>65.0</v>
      </c>
      <c r="E6993" s="52" t="s">
        <v>25</v>
      </c>
      <c r="F6993" s="52" t="s">
        <v>26</v>
      </c>
      <c r="G6993" s="53"/>
    </row>
    <row r="6994">
      <c r="A6994" s="49">
        <v>44586.537330127314</v>
      </c>
      <c r="B6994" s="50">
        <v>44586.6622988425</v>
      </c>
      <c r="C6994" s="51">
        <v>1.005</v>
      </c>
      <c r="D6994" s="51">
        <v>65.0</v>
      </c>
      <c r="E6994" s="52" t="s">
        <v>25</v>
      </c>
      <c r="F6994" s="52" t="s">
        <v>26</v>
      </c>
      <c r="G6994" s="53"/>
    </row>
    <row r="6995">
      <c r="A6995" s="49">
        <v>44586.54775039352</v>
      </c>
      <c r="B6995" s="50">
        <v>44586.6727202546</v>
      </c>
      <c r="C6995" s="51">
        <v>1.005</v>
      </c>
      <c r="D6995" s="51">
        <v>65.0</v>
      </c>
      <c r="E6995" s="52" t="s">
        <v>25</v>
      </c>
      <c r="F6995" s="52" t="s">
        <v>26</v>
      </c>
      <c r="G6995" s="53"/>
    </row>
    <row r="6996">
      <c r="A6996" s="49">
        <v>44586.558166435185</v>
      </c>
      <c r="B6996" s="50">
        <v>44586.6831405787</v>
      </c>
      <c r="C6996" s="51">
        <v>1.005</v>
      </c>
      <c r="D6996" s="51">
        <v>65.0</v>
      </c>
      <c r="E6996" s="52" t="s">
        <v>25</v>
      </c>
      <c r="F6996" s="52" t="s">
        <v>26</v>
      </c>
      <c r="G6996" s="53"/>
    </row>
    <row r="6997">
      <c r="A6997" s="49">
        <v>44586.56859174768</v>
      </c>
      <c r="B6997" s="50">
        <v>44586.6935621064</v>
      </c>
      <c r="C6997" s="51">
        <v>1.006</v>
      </c>
      <c r="D6997" s="51">
        <v>65.0</v>
      </c>
      <c r="E6997" s="52" t="s">
        <v>25</v>
      </c>
      <c r="F6997" s="52" t="s">
        <v>26</v>
      </c>
      <c r="G6997" s="53"/>
    </row>
    <row r="6998">
      <c r="A6998" s="49">
        <v>44586.5790055324</v>
      </c>
      <c r="B6998" s="50">
        <v>44586.7039828125</v>
      </c>
      <c r="C6998" s="51">
        <v>1.006</v>
      </c>
      <c r="D6998" s="51">
        <v>65.0</v>
      </c>
      <c r="E6998" s="52" t="s">
        <v>25</v>
      </c>
      <c r="F6998" s="52" t="s">
        <v>26</v>
      </c>
      <c r="G6998" s="53"/>
    </row>
    <row r="6999">
      <c r="A6999" s="49">
        <v>44586.58942371528</v>
      </c>
      <c r="B6999" s="50">
        <v>44586.7144024768</v>
      </c>
      <c r="C6999" s="51">
        <v>1.005</v>
      </c>
      <c r="D6999" s="51">
        <v>65.0</v>
      </c>
      <c r="E6999" s="52" t="s">
        <v>25</v>
      </c>
      <c r="F6999" s="52" t="s">
        <v>26</v>
      </c>
      <c r="G6999" s="53"/>
    </row>
    <row r="7000">
      <c r="A7000" s="49">
        <v>44586.599845543984</v>
      </c>
      <c r="B7000" s="50">
        <v>44586.7248233217</v>
      </c>
      <c r="C7000" s="51">
        <v>1.006</v>
      </c>
      <c r="D7000" s="51">
        <v>65.0</v>
      </c>
      <c r="E7000" s="52" t="s">
        <v>25</v>
      </c>
      <c r="F7000" s="52" t="s">
        <v>26</v>
      </c>
      <c r="G7000" s="53"/>
    </row>
    <row r="7001">
      <c r="A7001" s="49">
        <v>44586.610290613426</v>
      </c>
      <c r="B7001" s="50">
        <v>44586.7352570601</v>
      </c>
      <c r="C7001" s="51">
        <v>1.005</v>
      </c>
      <c r="D7001" s="51">
        <v>64.0</v>
      </c>
      <c r="E7001" s="52" t="s">
        <v>25</v>
      </c>
      <c r="F7001" s="52" t="s">
        <v>26</v>
      </c>
      <c r="G7001" s="53"/>
    </row>
    <row r="7002">
      <c r="A7002" s="49">
        <v>44586.62070113426</v>
      </c>
      <c r="B7002" s="50">
        <v>44586.7456772106</v>
      </c>
      <c r="C7002" s="51">
        <v>1.005</v>
      </c>
      <c r="D7002" s="51">
        <v>64.0</v>
      </c>
      <c r="E7002" s="52" t="s">
        <v>25</v>
      </c>
      <c r="F7002" s="52" t="s">
        <v>26</v>
      </c>
      <c r="G7002" s="53"/>
    </row>
    <row r="7003">
      <c r="A7003" s="49">
        <v>44586.631125555556</v>
      </c>
      <c r="B7003" s="50">
        <v>44586.7560978935</v>
      </c>
      <c r="C7003" s="51">
        <v>1.005</v>
      </c>
      <c r="D7003" s="51">
        <v>64.0</v>
      </c>
      <c r="E7003" s="52" t="s">
        <v>25</v>
      </c>
      <c r="F7003" s="52" t="s">
        <v>26</v>
      </c>
      <c r="G7003" s="53"/>
    </row>
    <row r="7004">
      <c r="A7004" s="49">
        <v>44586.641545810184</v>
      </c>
      <c r="B7004" s="50">
        <v>44586.7665190856</v>
      </c>
      <c r="C7004" s="51">
        <v>1.005</v>
      </c>
      <c r="D7004" s="51">
        <v>64.0</v>
      </c>
      <c r="E7004" s="52" t="s">
        <v>25</v>
      </c>
      <c r="F7004" s="52" t="s">
        <v>26</v>
      </c>
      <c r="G7004" s="53"/>
    </row>
    <row r="7005">
      <c r="A7005" s="49">
        <v>44586.651964930556</v>
      </c>
      <c r="B7005" s="50">
        <v>44586.7769403472</v>
      </c>
      <c r="C7005" s="51">
        <v>1.005</v>
      </c>
      <c r="D7005" s="51">
        <v>64.0</v>
      </c>
      <c r="E7005" s="52" t="s">
        <v>25</v>
      </c>
      <c r="F7005" s="52" t="s">
        <v>26</v>
      </c>
      <c r="G7005" s="53"/>
    </row>
    <row r="7006">
      <c r="A7006" s="49">
        <v>44586.66239387731</v>
      </c>
      <c r="B7006" s="50">
        <v>44586.7873610879</v>
      </c>
      <c r="C7006" s="51">
        <v>1.005</v>
      </c>
      <c r="D7006" s="51">
        <v>64.0</v>
      </c>
      <c r="E7006" s="52" t="s">
        <v>25</v>
      </c>
      <c r="F7006" s="52" t="s">
        <v>26</v>
      </c>
      <c r="G7006" s="53"/>
    </row>
    <row r="7007">
      <c r="A7007" s="49">
        <v>44586.672804155096</v>
      </c>
      <c r="B7007" s="50">
        <v>44586.7977803935</v>
      </c>
      <c r="C7007" s="51">
        <v>1.005</v>
      </c>
      <c r="D7007" s="51">
        <v>64.0</v>
      </c>
      <c r="E7007" s="52" t="s">
        <v>25</v>
      </c>
      <c r="F7007" s="52" t="s">
        <v>26</v>
      </c>
      <c r="G7007" s="53"/>
    </row>
    <row r="7008">
      <c r="A7008" s="49">
        <v>44586.683226967594</v>
      </c>
      <c r="B7008" s="50">
        <v>44586.8082004745</v>
      </c>
      <c r="C7008" s="51">
        <v>1.005</v>
      </c>
      <c r="D7008" s="51">
        <v>64.0</v>
      </c>
      <c r="E7008" s="52" t="s">
        <v>25</v>
      </c>
      <c r="F7008" s="52" t="s">
        <v>26</v>
      </c>
      <c r="G7008" s="53"/>
    </row>
    <row r="7009">
      <c r="A7009" s="49">
        <v>44586.69364149305</v>
      </c>
      <c r="B7009" s="50">
        <v>44586.8186210532</v>
      </c>
      <c r="C7009" s="51">
        <v>1.005</v>
      </c>
      <c r="D7009" s="51">
        <v>64.0</v>
      </c>
      <c r="E7009" s="52" t="s">
        <v>25</v>
      </c>
      <c r="F7009" s="52" t="s">
        <v>26</v>
      </c>
      <c r="G7009" s="53"/>
    </row>
    <row r="7010">
      <c r="A7010" s="49">
        <v>44586.70408185185</v>
      </c>
      <c r="B7010" s="50">
        <v>44586.8290653124</v>
      </c>
      <c r="C7010" s="51">
        <v>1.005</v>
      </c>
      <c r="D7010" s="51">
        <v>64.0</v>
      </c>
      <c r="E7010" s="52" t="s">
        <v>25</v>
      </c>
      <c r="F7010" s="52" t="s">
        <v>26</v>
      </c>
      <c r="G7010" s="53"/>
    </row>
    <row r="7011">
      <c r="A7011" s="49">
        <v>44586.71450480324</v>
      </c>
      <c r="B7011" s="50">
        <v>44586.8394864467</v>
      </c>
      <c r="C7011" s="51">
        <v>1.005</v>
      </c>
      <c r="D7011" s="51">
        <v>64.0</v>
      </c>
      <c r="E7011" s="52" t="s">
        <v>25</v>
      </c>
      <c r="F7011" s="52" t="s">
        <v>26</v>
      </c>
      <c r="G7011" s="53"/>
    </row>
    <row r="7012">
      <c r="A7012" s="49">
        <v>44586.72494114583</v>
      </c>
      <c r="B7012" s="50">
        <v>44586.8499198495</v>
      </c>
      <c r="C7012" s="51">
        <v>1.005</v>
      </c>
      <c r="D7012" s="51">
        <v>64.0</v>
      </c>
      <c r="E7012" s="52" t="s">
        <v>25</v>
      </c>
      <c r="F7012" s="52" t="s">
        <v>26</v>
      </c>
      <c r="G7012" s="53"/>
    </row>
    <row r="7013">
      <c r="A7013" s="49">
        <v>44586.735365995366</v>
      </c>
      <c r="B7013" s="50">
        <v>44586.8603409837</v>
      </c>
      <c r="C7013" s="51">
        <v>1.005</v>
      </c>
      <c r="D7013" s="51">
        <v>64.0</v>
      </c>
      <c r="E7013" s="52" t="s">
        <v>25</v>
      </c>
      <c r="F7013" s="52" t="s">
        <v>26</v>
      </c>
      <c r="G7013" s="53"/>
    </row>
    <row r="7014">
      <c r="A7014" s="49">
        <v>44586.7457896875</v>
      </c>
      <c r="B7014" s="50">
        <v>44586.8707632638</v>
      </c>
      <c r="C7014" s="51">
        <v>1.005</v>
      </c>
      <c r="D7014" s="51">
        <v>64.0</v>
      </c>
      <c r="E7014" s="52" t="s">
        <v>25</v>
      </c>
      <c r="F7014" s="52" t="s">
        <v>26</v>
      </c>
      <c r="G7014" s="53"/>
    </row>
    <row r="7015">
      <c r="A7015" s="49">
        <v>44586.75620631945</v>
      </c>
      <c r="B7015" s="50">
        <v>44586.8811835648</v>
      </c>
      <c r="C7015" s="51">
        <v>1.005</v>
      </c>
      <c r="D7015" s="51">
        <v>64.0</v>
      </c>
      <c r="E7015" s="52" t="s">
        <v>25</v>
      </c>
      <c r="F7015" s="52" t="s">
        <v>26</v>
      </c>
      <c r="G7015" s="53"/>
    </row>
    <row r="7016">
      <c r="A7016" s="49">
        <v>44586.766630150465</v>
      </c>
      <c r="B7016" s="50">
        <v>44586.8916053009</v>
      </c>
      <c r="C7016" s="51">
        <v>1.005</v>
      </c>
      <c r="D7016" s="51">
        <v>64.0</v>
      </c>
      <c r="E7016" s="52" t="s">
        <v>25</v>
      </c>
      <c r="F7016" s="52" t="s">
        <v>26</v>
      </c>
      <c r="G7016" s="53"/>
    </row>
    <row r="7017">
      <c r="A7017" s="49">
        <v>44586.7770752662</v>
      </c>
      <c r="B7017" s="50">
        <v>44586.9020511111</v>
      </c>
      <c r="C7017" s="51">
        <v>1.005</v>
      </c>
      <c r="D7017" s="51">
        <v>64.0</v>
      </c>
      <c r="E7017" s="52" t="s">
        <v>25</v>
      </c>
      <c r="F7017" s="52" t="s">
        <v>26</v>
      </c>
      <c r="G7017" s="53"/>
    </row>
    <row r="7018">
      <c r="A7018" s="49">
        <v>44586.78749134259</v>
      </c>
      <c r="B7018" s="50">
        <v>44586.9124720717</v>
      </c>
      <c r="C7018" s="51">
        <v>1.005</v>
      </c>
      <c r="D7018" s="51">
        <v>64.0</v>
      </c>
      <c r="E7018" s="52" t="s">
        <v>25</v>
      </c>
      <c r="F7018" s="52" t="s">
        <v>26</v>
      </c>
      <c r="G7018" s="53"/>
    </row>
    <row r="7019">
      <c r="A7019" s="49">
        <v>44586.79791876157</v>
      </c>
      <c r="B7019" s="50">
        <v>44586.9228927199</v>
      </c>
      <c r="C7019" s="51">
        <v>1.005</v>
      </c>
      <c r="D7019" s="51">
        <v>64.0</v>
      </c>
      <c r="E7019" s="52" t="s">
        <v>25</v>
      </c>
      <c r="F7019" s="52" t="s">
        <v>26</v>
      </c>
      <c r="G7019" s="53"/>
    </row>
    <row r="7020">
      <c r="A7020" s="49">
        <v>44586.80833675926</v>
      </c>
      <c r="B7020" s="50">
        <v>44586.9333153009</v>
      </c>
      <c r="C7020" s="51">
        <v>1.005</v>
      </c>
      <c r="D7020" s="51">
        <v>64.0</v>
      </c>
      <c r="E7020" s="52" t="s">
        <v>25</v>
      </c>
      <c r="F7020" s="52" t="s">
        <v>26</v>
      </c>
      <c r="G7020" s="53"/>
    </row>
    <row r="7021">
      <c r="A7021" s="49">
        <v>44586.81875690972</v>
      </c>
      <c r="B7021" s="50">
        <v>44586.9437346759</v>
      </c>
      <c r="C7021" s="51">
        <v>1.005</v>
      </c>
      <c r="D7021" s="51">
        <v>64.0</v>
      </c>
      <c r="E7021" s="52" t="s">
        <v>25</v>
      </c>
      <c r="F7021" s="52" t="s">
        <v>26</v>
      </c>
      <c r="G7021" s="53"/>
    </row>
    <row r="7022">
      <c r="A7022" s="49">
        <v>44586.82918068287</v>
      </c>
      <c r="B7022" s="50">
        <v>44586.9541550115</v>
      </c>
      <c r="C7022" s="51">
        <v>1.005</v>
      </c>
      <c r="D7022" s="51">
        <v>64.0</v>
      </c>
      <c r="E7022" s="52" t="s">
        <v>25</v>
      </c>
      <c r="F7022" s="52" t="s">
        <v>26</v>
      </c>
      <c r="G7022" s="53"/>
    </row>
    <row r="7023">
      <c r="A7023" s="49">
        <v>44586.83959378472</v>
      </c>
      <c r="B7023" s="50">
        <v>44586.9645774074</v>
      </c>
      <c r="C7023" s="51">
        <v>1.006</v>
      </c>
      <c r="D7023" s="51">
        <v>64.0</v>
      </c>
      <c r="E7023" s="52" t="s">
        <v>25</v>
      </c>
      <c r="F7023" s="52" t="s">
        <v>26</v>
      </c>
      <c r="G7023" s="53"/>
    </row>
    <row r="7024">
      <c r="A7024" s="49">
        <v>44586.85002376157</v>
      </c>
      <c r="B7024" s="50">
        <v>44586.9749987499</v>
      </c>
      <c r="C7024" s="51">
        <v>1.005</v>
      </c>
      <c r="D7024" s="51">
        <v>64.0</v>
      </c>
      <c r="E7024" s="52" t="s">
        <v>25</v>
      </c>
      <c r="F7024" s="52" t="s">
        <v>26</v>
      </c>
      <c r="G7024" s="53"/>
    </row>
    <row r="7025">
      <c r="A7025" s="49">
        <v>44586.86045079862</v>
      </c>
      <c r="B7025" s="50">
        <v>44586.9854205208</v>
      </c>
      <c r="C7025" s="51">
        <v>1.005</v>
      </c>
      <c r="D7025" s="51">
        <v>64.0</v>
      </c>
      <c r="E7025" s="52" t="s">
        <v>25</v>
      </c>
      <c r="F7025" s="52" t="s">
        <v>26</v>
      </c>
      <c r="G7025" s="53"/>
    </row>
    <row r="7026">
      <c r="A7026" s="49">
        <v>44586.8708658449</v>
      </c>
      <c r="B7026" s="50">
        <v>44586.995842743</v>
      </c>
      <c r="C7026" s="51">
        <v>1.005</v>
      </c>
      <c r="D7026" s="51">
        <v>64.0</v>
      </c>
      <c r="E7026" s="52" t="s">
        <v>25</v>
      </c>
      <c r="F7026" s="52" t="s">
        <v>26</v>
      </c>
      <c r="G7026" s="53"/>
    </row>
    <row r="7027">
      <c r="A7027" s="49">
        <v>44586.88129034722</v>
      </c>
      <c r="B7027" s="50">
        <v>44587.0062649537</v>
      </c>
      <c r="C7027" s="51">
        <v>1.005</v>
      </c>
      <c r="D7027" s="51">
        <v>64.0</v>
      </c>
      <c r="E7027" s="52" t="s">
        <v>25</v>
      </c>
      <c r="F7027" s="52" t="s">
        <v>26</v>
      </c>
      <c r="G7027" s="53"/>
    </row>
    <row r="7028">
      <c r="A7028" s="49">
        <v>44586.89171631944</v>
      </c>
      <c r="B7028" s="50">
        <v>44587.0166862962</v>
      </c>
      <c r="C7028" s="51">
        <v>1.005</v>
      </c>
      <c r="D7028" s="51">
        <v>64.0</v>
      </c>
      <c r="E7028" s="52" t="s">
        <v>25</v>
      </c>
      <c r="F7028" s="52" t="s">
        <v>26</v>
      </c>
      <c r="G7028" s="53"/>
    </row>
    <row r="7029">
      <c r="A7029" s="49">
        <v>44586.902145092594</v>
      </c>
      <c r="B7029" s="50">
        <v>44587.0271206365</v>
      </c>
      <c r="C7029" s="51">
        <v>1.005</v>
      </c>
      <c r="D7029" s="51">
        <v>64.0</v>
      </c>
      <c r="E7029" s="52" t="s">
        <v>25</v>
      </c>
      <c r="F7029" s="52" t="s">
        <v>26</v>
      </c>
      <c r="G7029" s="53"/>
    </row>
    <row r="7030">
      <c r="A7030" s="49">
        <v>44586.91258469908</v>
      </c>
      <c r="B7030" s="50">
        <v>44587.0375550463</v>
      </c>
      <c r="C7030" s="51">
        <v>1.005</v>
      </c>
      <c r="D7030" s="51">
        <v>64.0</v>
      </c>
      <c r="E7030" s="52" t="s">
        <v>25</v>
      </c>
      <c r="F7030" s="52" t="s">
        <v>26</v>
      </c>
      <c r="G7030" s="53"/>
    </row>
    <row r="7031">
      <c r="A7031" s="49">
        <v>44586.923000358795</v>
      </c>
      <c r="B7031" s="50">
        <v>44587.0479747453</v>
      </c>
      <c r="C7031" s="51">
        <v>1.005</v>
      </c>
      <c r="D7031" s="51">
        <v>64.0</v>
      </c>
      <c r="E7031" s="52" t="s">
        <v>25</v>
      </c>
      <c r="F7031" s="52" t="s">
        <v>26</v>
      </c>
      <c r="G7031" s="53"/>
    </row>
    <row r="7032">
      <c r="A7032" s="49">
        <v>44586.93342497685</v>
      </c>
      <c r="B7032" s="50">
        <v>44587.058396956</v>
      </c>
      <c r="C7032" s="51">
        <v>1.005</v>
      </c>
      <c r="D7032" s="51">
        <v>64.0</v>
      </c>
      <c r="E7032" s="52" t="s">
        <v>25</v>
      </c>
      <c r="F7032" s="52" t="s">
        <v>26</v>
      </c>
      <c r="G7032" s="53"/>
    </row>
    <row r="7033">
      <c r="A7033" s="49">
        <v>44586.94384129629</v>
      </c>
      <c r="B7033" s="50">
        <v>44587.0688180671</v>
      </c>
      <c r="C7033" s="51">
        <v>1.005</v>
      </c>
      <c r="D7033" s="51">
        <v>64.0</v>
      </c>
      <c r="E7033" s="52" t="s">
        <v>25</v>
      </c>
      <c r="F7033" s="52" t="s">
        <v>26</v>
      </c>
      <c r="G7033" s="53"/>
    </row>
    <row r="7034">
      <c r="A7034" s="49">
        <v>44586.95425880787</v>
      </c>
      <c r="B7034" s="50">
        <v>44587.0792392592</v>
      </c>
      <c r="C7034" s="51">
        <v>1.005</v>
      </c>
      <c r="D7034" s="51">
        <v>64.0</v>
      </c>
      <c r="E7034" s="52" t="s">
        <v>25</v>
      </c>
      <c r="F7034" s="52" t="s">
        <v>26</v>
      </c>
      <c r="G7034" s="53"/>
    </row>
    <row r="7035">
      <c r="A7035" s="49">
        <v>44586.96469515046</v>
      </c>
      <c r="B7035" s="50">
        <v>44587.0896709143</v>
      </c>
      <c r="C7035" s="51">
        <v>1.005</v>
      </c>
      <c r="D7035" s="51">
        <v>63.0</v>
      </c>
      <c r="E7035" s="52" t="s">
        <v>25</v>
      </c>
      <c r="F7035" s="52" t="s">
        <v>26</v>
      </c>
      <c r="G7035" s="53"/>
    </row>
    <row r="7036">
      <c r="A7036" s="49">
        <v>44586.97511180556</v>
      </c>
      <c r="B7036" s="50">
        <v>44587.1000923842</v>
      </c>
      <c r="C7036" s="51">
        <v>1.005</v>
      </c>
      <c r="D7036" s="51">
        <v>63.0</v>
      </c>
      <c r="E7036" s="52" t="s">
        <v>25</v>
      </c>
      <c r="F7036" s="52" t="s">
        <v>26</v>
      </c>
      <c r="G7036" s="53"/>
    </row>
    <row r="7037">
      <c r="A7037" s="49">
        <v>44586.98554060185</v>
      </c>
      <c r="B7037" s="50">
        <v>44587.1105134722</v>
      </c>
      <c r="C7037" s="51">
        <v>1.005</v>
      </c>
      <c r="D7037" s="51">
        <v>63.0</v>
      </c>
      <c r="E7037" s="52" t="s">
        <v>25</v>
      </c>
      <c r="F7037" s="52" t="s">
        <v>26</v>
      </c>
      <c r="G7037" s="53"/>
    </row>
    <row r="7038">
      <c r="A7038" s="49">
        <v>44586.9959603125</v>
      </c>
      <c r="B7038" s="50">
        <v>44587.1209362152</v>
      </c>
      <c r="C7038" s="51">
        <v>1.005</v>
      </c>
      <c r="D7038" s="51">
        <v>63.0</v>
      </c>
      <c r="E7038" s="52" t="s">
        <v>25</v>
      </c>
      <c r="F7038" s="52" t="s">
        <v>26</v>
      </c>
      <c r="G7038" s="53"/>
    </row>
    <row r="7039">
      <c r="A7039" s="49">
        <v>44587.00637891203</v>
      </c>
      <c r="B7039" s="50">
        <v>44587.1313569675</v>
      </c>
      <c r="C7039" s="51">
        <v>1.005</v>
      </c>
      <c r="D7039" s="51">
        <v>63.0</v>
      </c>
      <c r="E7039" s="52" t="s">
        <v>25</v>
      </c>
      <c r="F7039" s="52" t="s">
        <v>26</v>
      </c>
      <c r="G7039" s="53"/>
    </row>
    <row r="7040">
      <c r="A7040" s="49">
        <v>44587.01679635417</v>
      </c>
      <c r="B7040" s="50">
        <v>44587.1417793981</v>
      </c>
      <c r="C7040" s="51">
        <v>1.005</v>
      </c>
      <c r="D7040" s="51">
        <v>63.0</v>
      </c>
      <c r="E7040" s="52" t="s">
        <v>25</v>
      </c>
      <c r="F7040" s="52" t="s">
        <v>26</v>
      </c>
      <c r="G7040" s="53"/>
    </row>
    <row r="7041">
      <c r="A7041" s="49">
        <v>44587.02722891203</v>
      </c>
      <c r="B7041" s="50">
        <v>44587.1521999652</v>
      </c>
      <c r="C7041" s="51">
        <v>1.005</v>
      </c>
      <c r="D7041" s="51">
        <v>63.0</v>
      </c>
      <c r="E7041" s="52" t="s">
        <v>25</v>
      </c>
      <c r="F7041" s="52" t="s">
        <v>26</v>
      </c>
      <c r="G7041" s="53"/>
    </row>
    <row r="7042">
      <c r="A7042" s="49">
        <v>44587.037663553245</v>
      </c>
      <c r="B7042" s="50">
        <v>44587.162621331</v>
      </c>
      <c r="C7042" s="51">
        <v>1.005</v>
      </c>
      <c r="D7042" s="51">
        <v>63.0</v>
      </c>
      <c r="E7042" s="52" t="s">
        <v>25</v>
      </c>
      <c r="F7042" s="52" t="s">
        <v>26</v>
      </c>
      <c r="G7042" s="53"/>
    </row>
    <row r="7043">
      <c r="A7043" s="49">
        <v>44587.04806559028</v>
      </c>
      <c r="B7043" s="50">
        <v>44587.1730418634</v>
      </c>
      <c r="C7043" s="51">
        <v>1.005</v>
      </c>
      <c r="D7043" s="51">
        <v>63.0</v>
      </c>
      <c r="E7043" s="52" t="s">
        <v>25</v>
      </c>
      <c r="F7043" s="52" t="s">
        <v>26</v>
      </c>
      <c r="G7043" s="53"/>
    </row>
    <row r="7044">
      <c r="A7044" s="49">
        <v>44587.05848619213</v>
      </c>
      <c r="B7044" s="50">
        <v>44587.1834637963</v>
      </c>
      <c r="C7044" s="51">
        <v>1.005</v>
      </c>
      <c r="D7044" s="51">
        <v>63.0</v>
      </c>
      <c r="E7044" s="52" t="s">
        <v>25</v>
      </c>
      <c r="F7044" s="52" t="s">
        <v>26</v>
      </c>
      <c r="G7044" s="53"/>
    </row>
    <row r="7045">
      <c r="A7045" s="49">
        <v>44587.06890452546</v>
      </c>
      <c r="B7045" s="50">
        <v>44587.1938851157</v>
      </c>
      <c r="C7045" s="51">
        <v>1.005</v>
      </c>
      <c r="D7045" s="51">
        <v>63.0</v>
      </c>
      <c r="E7045" s="52" t="s">
        <v>25</v>
      </c>
      <c r="F7045" s="52" t="s">
        <v>26</v>
      </c>
      <c r="G7045" s="53"/>
    </row>
    <row r="7046">
      <c r="A7046" s="49">
        <v>44587.07934067129</v>
      </c>
      <c r="B7046" s="50">
        <v>44587.204317199</v>
      </c>
      <c r="C7046" s="51">
        <v>1.006</v>
      </c>
      <c r="D7046" s="51">
        <v>63.0</v>
      </c>
      <c r="E7046" s="52" t="s">
        <v>25</v>
      </c>
      <c r="F7046" s="52" t="s">
        <v>26</v>
      </c>
      <c r="G7046" s="53"/>
    </row>
    <row r="7047">
      <c r="A7047" s="49">
        <v>44587.08975288195</v>
      </c>
      <c r="B7047" s="50">
        <v>44587.2147366203</v>
      </c>
      <c r="C7047" s="51">
        <v>1.005</v>
      </c>
      <c r="D7047" s="51">
        <v>63.0</v>
      </c>
      <c r="E7047" s="52" t="s">
        <v>25</v>
      </c>
      <c r="F7047" s="52" t="s">
        <v>26</v>
      </c>
      <c r="G7047" s="53"/>
    </row>
    <row r="7048">
      <c r="A7048" s="49">
        <v>44587.10018572917</v>
      </c>
      <c r="B7048" s="50">
        <v>44587.2251570138</v>
      </c>
      <c r="C7048" s="51">
        <v>1.005</v>
      </c>
      <c r="D7048" s="51">
        <v>63.0</v>
      </c>
      <c r="E7048" s="52" t="s">
        <v>25</v>
      </c>
      <c r="F7048" s="52" t="s">
        <v>26</v>
      </c>
      <c r="G7048" s="53"/>
    </row>
    <row r="7049">
      <c r="A7049" s="49">
        <v>44587.110593819445</v>
      </c>
      <c r="B7049" s="50">
        <v>44587.2355779745</v>
      </c>
      <c r="C7049" s="51">
        <v>1.005</v>
      </c>
      <c r="D7049" s="51">
        <v>63.0</v>
      </c>
      <c r="E7049" s="52" t="s">
        <v>25</v>
      </c>
      <c r="F7049" s="52" t="s">
        <v>26</v>
      </c>
      <c r="G7049" s="53"/>
    </row>
    <row r="7050">
      <c r="A7050" s="49">
        <v>44587.121022499996</v>
      </c>
      <c r="B7050" s="50">
        <v>44587.2459970717</v>
      </c>
      <c r="C7050" s="51">
        <v>1.005</v>
      </c>
      <c r="D7050" s="51">
        <v>63.0</v>
      </c>
      <c r="E7050" s="52" t="s">
        <v>25</v>
      </c>
      <c r="F7050" s="52" t="s">
        <v>26</v>
      </c>
      <c r="G7050" s="53"/>
    </row>
    <row r="7051">
      <c r="A7051" s="49">
        <v>44587.131468865744</v>
      </c>
      <c r="B7051" s="50">
        <v>44587.2564415277</v>
      </c>
      <c r="C7051" s="51">
        <v>1.005</v>
      </c>
      <c r="D7051" s="51">
        <v>63.0</v>
      </c>
      <c r="E7051" s="52" t="s">
        <v>25</v>
      </c>
      <c r="F7051" s="52" t="s">
        <v>26</v>
      </c>
      <c r="G7051" s="53"/>
    </row>
    <row r="7052">
      <c r="A7052" s="49">
        <v>44587.141916099536</v>
      </c>
      <c r="B7052" s="50">
        <v>44587.2668976157</v>
      </c>
      <c r="C7052" s="51">
        <v>1.005</v>
      </c>
      <c r="D7052" s="51">
        <v>63.0</v>
      </c>
      <c r="E7052" s="52" t="s">
        <v>25</v>
      </c>
      <c r="F7052" s="52" t="s">
        <v>26</v>
      </c>
      <c r="G7052" s="53"/>
    </row>
    <row r="7053">
      <c r="A7053" s="49">
        <v>44587.15234515046</v>
      </c>
      <c r="B7053" s="50">
        <v>44587.2773181481</v>
      </c>
      <c r="C7053" s="51">
        <v>1.005</v>
      </c>
      <c r="D7053" s="51">
        <v>63.0</v>
      </c>
      <c r="E7053" s="52" t="s">
        <v>25</v>
      </c>
      <c r="F7053" s="52" t="s">
        <v>26</v>
      </c>
      <c r="G7053" s="53"/>
    </row>
    <row r="7054">
      <c r="A7054" s="49">
        <v>44587.16276464121</v>
      </c>
      <c r="B7054" s="50">
        <v>44587.2877386689</v>
      </c>
      <c r="C7054" s="51">
        <v>1.005</v>
      </c>
      <c r="D7054" s="51">
        <v>63.0</v>
      </c>
      <c r="E7054" s="52" t="s">
        <v>25</v>
      </c>
      <c r="F7054" s="52" t="s">
        <v>26</v>
      </c>
      <c r="G7054" s="53"/>
    </row>
    <row r="7055">
      <c r="A7055" s="49">
        <v>44587.17319934028</v>
      </c>
      <c r="B7055" s="50">
        <v>44587.29817228</v>
      </c>
      <c r="C7055" s="51">
        <v>1.005</v>
      </c>
      <c r="D7055" s="51">
        <v>63.0</v>
      </c>
      <c r="E7055" s="52" t="s">
        <v>25</v>
      </c>
      <c r="F7055" s="52" t="s">
        <v>26</v>
      </c>
      <c r="G7055" s="53"/>
    </row>
    <row r="7056">
      <c r="A7056" s="49">
        <v>44587.183616319446</v>
      </c>
      <c r="B7056" s="50">
        <v>44587.3085938657</v>
      </c>
      <c r="C7056" s="51">
        <v>1.005</v>
      </c>
      <c r="D7056" s="51">
        <v>63.0</v>
      </c>
      <c r="E7056" s="52" t="s">
        <v>25</v>
      </c>
      <c r="F7056" s="52" t="s">
        <v>26</v>
      </c>
      <c r="G7056" s="53"/>
    </row>
    <row r="7057">
      <c r="A7057" s="49">
        <v>44587.19403353009</v>
      </c>
      <c r="B7057" s="50">
        <v>44587.3190144444</v>
      </c>
      <c r="C7057" s="51">
        <v>1.005</v>
      </c>
      <c r="D7057" s="51">
        <v>63.0</v>
      </c>
      <c r="E7057" s="52" t="s">
        <v>25</v>
      </c>
      <c r="F7057" s="52" t="s">
        <v>26</v>
      </c>
      <c r="G7057" s="53"/>
    </row>
    <row r="7058">
      <c r="A7058" s="49">
        <v>44587.20447532408</v>
      </c>
      <c r="B7058" s="50">
        <v>44587.3294472685</v>
      </c>
      <c r="C7058" s="51">
        <v>1.005</v>
      </c>
      <c r="D7058" s="51">
        <v>63.0</v>
      </c>
      <c r="E7058" s="52" t="s">
        <v>25</v>
      </c>
      <c r="F7058" s="52" t="s">
        <v>26</v>
      </c>
      <c r="G7058" s="53"/>
    </row>
    <row r="7059">
      <c r="A7059" s="49">
        <v>44587.21490825231</v>
      </c>
      <c r="B7059" s="50">
        <v>44587.3398813078</v>
      </c>
      <c r="C7059" s="51">
        <v>1.005</v>
      </c>
      <c r="D7059" s="51">
        <v>63.0</v>
      </c>
      <c r="E7059" s="52" t="s">
        <v>25</v>
      </c>
      <c r="F7059" s="52" t="s">
        <v>26</v>
      </c>
      <c r="G7059" s="53"/>
    </row>
    <row r="7060">
      <c r="A7060" s="49">
        <v>44587.225322858794</v>
      </c>
      <c r="B7060" s="50">
        <v>44587.3503025925</v>
      </c>
      <c r="C7060" s="51">
        <v>1.005</v>
      </c>
      <c r="D7060" s="51">
        <v>63.0</v>
      </c>
      <c r="E7060" s="52" t="s">
        <v>25</v>
      </c>
      <c r="F7060" s="52" t="s">
        <v>26</v>
      </c>
      <c r="G7060" s="53"/>
    </row>
    <row r="7061">
      <c r="A7061" s="49">
        <v>44587.235752685185</v>
      </c>
      <c r="B7061" s="50">
        <v>44587.360723368</v>
      </c>
      <c r="C7061" s="51">
        <v>1.005</v>
      </c>
      <c r="D7061" s="51">
        <v>63.0</v>
      </c>
      <c r="E7061" s="52" t="s">
        <v>25</v>
      </c>
      <c r="F7061" s="52" t="s">
        <v>26</v>
      </c>
      <c r="G7061" s="53"/>
    </row>
    <row r="7062">
      <c r="A7062" s="49">
        <v>44587.24620469907</v>
      </c>
      <c r="B7062" s="50">
        <v>44587.3711806018</v>
      </c>
      <c r="C7062" s="51">
        <v>1.005</v>
      </c>
      <c r="D7062" s="51">
        <v>63.0</v>
      </c>
      <c r="E7062" s="52" t="s">
        <v>25</v>
      </c>
      <c r="F7062" s="52" t="s">
        <v>26</v>
      </c>
      <c r="G7062" s="53"/>
    </row>
    <row r="7063">
      <c r="A7063" s="49">
        <v>44587.25664359954</v>
      </c>
      <c r="B7063" s="50">
        <v>44587.3816139236</v>
      </c>
      <c r="C7063" s="51">
        <v>1.005</v>
      </c>
      <c r="D7063" s="51">
        <v>63.0</v>
      </c>
      <c r="E7063" s="52" t="s">
        <v>25</v>
      </c>
      <c r="F7063" s="52" t="s">
        <v>26</v>
      </c>
      <c r="G7063" s="53"/>
    </row>
    <row r="7064">
      <c r="A7064" s="49">
        <v>44587.26710391203</v>
      </c>
      <c r="B7064" s="50">
        <v>44587.3920703125</v>
      </c>
      <c r="C7064" s="51">
        <v>1.005</v>
      </c>
      <c r="D7064" s="51">
        <v>63.0</v>
      </c>
      <c r="E7064" s="52" t="s">
        <v>25</v>
      </c>
      <c r="F7064" s="52" t="s">
        <v>26</v>
      </c>
      <c r="G7064" s="53"/>
    </row>
    <row r="7065">
      <c r="A7065" s="49">
        <v>44587.27751107639</v>
      </c>
      <c r="B7065" s="50">
        <v>44587.4024927777</v>
      </c>
      <c r="C7065" s="51">
        <v>1.005</v>
      </c>
      <c r="D7065" s="51">
        <v>63.0</v>
      </c>
      <c r="E7065" s="52" t="s">
        <v>25</v>
      </c>
      <c r="F7065" s="52" t="s">
        <v>26</v>
      </c>
      <c r="G7065" s="53"/>
    </row>
    <row r="7066">
      <c r="A7066" s="49">
        <v>44587.28795775463</v>
      </c>
      <c r="B7066" s="50">
        <v>44587.4129251851</v>
      </c>
      <c r="C7066" s="51">
        <v>1.005</v>
      </c>
      <c r="D7066" s="51">
        <v>63.0</v>
      </c>
      <c r="E7066" s="52" t="s">
        <v>25</v>
      </c>
      <c r="F7066" s="52" t="s">
        <v>26</v>
      </c>
      <c r="G7066" s="53"/>
    </row>
    <row r="7067">
      <c r="A7067" s="49">
        <v>44587.29838030093</v>
      </c>
      <c r="B7067" s="50">
        <v>44587.4233461111</v>
      </c>
      <c r="C7067" s="51">
        <v>1.005</v>
      </c>
      <c r="D7067" s="51">
        <v>63.0</v>
      </c>
      <c r="E7067" s="52" t="s">
        <v>25</v>
      </c>
      <c r="F7067" s="52" t="s">
        <v>26</v>
      </c>
      <c r="G7067" s="53"/>
    </row>
    <row r="7068">
      <c r="A7068" s="49">
        <v>44587.308794282406</v>
      </c>
      <c r="B7068" s="50">
        <v>44587.433766875</v>
      </c>
      <c r="C7068" s="51">
        <v>1.005</v>
      </c>
      <c r="D7068" s="51">
        <v>63.0</v>
      </c>
      <c r="E7068" s="52" t="s">
        <v>25</v>
      </c>
      <c r="F7068" s="52" t="s">
        <v>26</v>
      </c>
      <c r="G7068" s="53"/>
    </row>
    <row r="7069">
      <c r="A7069" s="49">
        <v>44587.319218171295</v>
      </c>
      <c r="B7069" s="50">
        <v>44587.4441865393</v>
      </c>
      <c r="C7069" s="51">
        <v>1.005</v>
      </c>
      <c r="D7069" s="51">
        <v>63.0</v>
      </c>
      <c r="E7069" s="52" t="s">
        <v>25</v>
      </c>
      <c r="F7069" s="52" t="s">
        <v>26</v>
      </c>
      <c r="G7069" s="53"/>
    </row>
    <row r="7070">
      <c r="A7070" s="49">
        <v>44587.32968284722</v>
      </c>
      <c r="B7070" s="50">
        <v>44587.4546536226</v>
      </c>
      <c r="C7070" s="51">
        <v>1.005</v>
      </c>
      <c r="D7070" s="51">
        <v>63.0</v>
      </c>
      <c r="E7070" s="52" t="s">
        <v>25</v>
      </c>
      <c r="F7070" s="52" t="s">
        <v>26</v>
      </c>
      <c r="G7070" s="53"/>
    </row>
    <row r="7071">
      <c r="A7071" s="49">
        <v>44587.34017791667</v>
      </c>
      <c r="B7071" s="50">
        <v>44587.4650754861</v>
      </c>
      <c r="C7071" s="51">
        <v>1.005</v>
      </c>
      <c r="D7071" s="51">
        <v>63.0</v>
      </c>
      <c r="E7071" s="52" t="s">
        <v>25</v>
      </c>
      <c r="F7071" s="52" t="s">
        <v>26</v>
      </c>
      <c r="G7071" s="53"/>
    </row>
    <row r="7072">
      <c r="A7072" s="49">
        <v>44587.35053304398</v>
      </c>
      <c r="B7072" s="50">
        <v>44587.4754972685</v>
      </c>
      <c r="C7072" s="51">
        <v>1.005</v>
      </c>
      <c r="D7072" s="51">
        <v>63.0</v>
      </c>
      <c r="E7072" s="52" t="s">
        <v>25</v>
      </c>
      <c r="F7072" s="52" t="s">
        <v>26</v>
      </c>
      <c r="G7072" s="53"/>
    </row>
    <row r="7073">
      <c r="A7073" s="49">
        <v>44587.36097868056</v>
      </c>
      <c r="B7073" s="50">
        <v>44587.4859182638</v>
      </c>
      <c r="C7073" s="51">
        <v>1.005</v>
      </c>
      <c r="D7073" s="51">
        <v>63.0</v>
      </c>
      <c r="E7073" s="52" t="s">
        <v>25</v>
      </c>
      <c r="F7073" s="52" t="s">
        <v>26</v>
      </c>
      <c r="G7073" s="53"/>
    </row>
    <row r="7074">
      <c r="A7074" s="49">
        <v>44587.37140340278</v>
      </c>
      <c r="B7074" s="50">
        <v>44587.4963618981</v>
      </c>
      <c r="C7074" s="51">
        <v>1.005</v>
      </c>
      <c r="D7074" s="51">
        <v>64.0</v>
      </c>
      <c r="E7074" s="52" t="s">
        <v>25</v>
      </c>
      <c r="F7074" s="52" t="s">
        <v>26</v>
      </c>
      <c r="G7074" s="53"/>
    </row>
    <row r="7075">
      <c r="A7075" s="49">
        <v>44587.38182466435</v>
      </c>
      <c r="B7075" s="50">
        <v>44587.5067941898</v>
      </c>
      <c r="C7075" s="51">
        <v>1.005</v>
      </c>
      <c r="D7075" s="51">
        <v>64.0</v>
      </c>
      <c r="E7075" s="52" t="s">
        <v>25</v>
      </c>
      <c r="F7075" s="52" t="s">
        <v>26</v>
      </c>
      <c r="G7075" s="53"/>
    </row>
    <row r="7076">
      <c r="A7076" s="49">
        <v>44587.392280740736</v>
      </c>
      <c r="B7076" s="50">
        <v>44587.5172388888</v>
      </c>
      <c r="C7076" s="51">
        <v>1.005</v>
      </c>
      <c r="D7076" s="51">
        <v>64.0</v>
      </c>
      <c r="E7076" s="52" t="s">
        <v>25</v>
      </c>
      <c r="F7076" s="52" t="s">
        <v>26</v>
      </c>
      <c r="G7076" s="53"/>
    </row>
    <row r="7077">
      <c r="A7077" s="49">
        <v>44587.40268810185</v>
      </c>
      <c r="B7077" s="50">
        <v>44587.5276585648</v>
      </c>
      <c r="C7077" s="51">
        <v>1.005</v>
      </c>
      <c r="D7077" s="51">
        <v>65.0</v>
      </c>
      <c r="E7077" s="52" t="s">
        <v>25</v>
      </c>
      <c r="F7077" s="52" t="s">
        <v>26</v>
      </c>
      <c r="G7077" s="53"/>
    </row>
    <row r="7078">
      <c r="A7078" s="49">
        <v>44587.41310974537</v>
      </c>
      <c r="B7078" s="50">
        <v>44587.5380788541</v>
      </c>
      <c r="C7078" s="51">
        <v>1.005</v>
      </c>
      <c r="D7078" s="51">
        <v>65.0</v>
      </c>
      <c r="E7078" s="52" t="s">
        <v>25</v>
      </c>
      <c r="F7078" s="52" t="s">
        <v>26</v>
      </c>
      <c r="G7078" s="53"/>
    </row>
    <row r="7079">
      <c r="A7079" s="49">
        <v>44587.42352769676</v>
      </c>
      <c r="B7079" s="50">
        <v>44587.548500405</v>
      </c>
      <c r="C7079" s="51">
        <v>1.005</v>
      </c>
      <c r="D7079" s="51">
        <v>66.0</v>
      </c>
      <c r="E7079" s="52" t="s">
        <v>25</v>
      </c>
      <c r="F7079" s="52" t="s">
        <v>26</v>
      </c>
      <c r="G7079" s="53"/>
    </row>
    <row r="7080">
      <c r="A7080" s="49">
        <v>44587.4339565625</v>
      </c>
      <c r="B7080" s="50">
        <v>44587.5589223958</v>
      </c>
      <c r="C7080" s="51">
        <v>1.005</v>
      </c>
      <c r="D7080" s="51">
        <v>66.0</v>
      </c>
      <c r="E7080" s="52" t="s">
        <v>25</v>
      </c>
      <c r="F7080" s="52" t="s">
        <v>26</v>
      </c>
      <c r="G7080" s="53"/>
    </row>
    <row r="7081">
      <c r="A7081" s="49">
        <v>44587.44437738426</v>
      </c>
      <c r="B7081" s="50">
        <v>44587.5693557407</v>
      </c>
      <c r="C7081" s="51">
        <v>1.005</v>
      </c>
      <c r="D7081" s="51">
        <v>66.0</v>
      </c>
      <c r="E7081" s="52" t="s">
        <v>25</v>
      </c>
      <c r="F7081" s="52" t="s">
        <v>26</v>
      </c>
      <c r="G7081" s="53"/>
    </row>
    <row r="7082">
      <c r="A7082" s="49">
        <v>44587.45480856481</v>
      </c>
      <c r="B7082" s="50">
        <v>44587.5797766435</v>
      </c>
      <c r="C7082" s="51">
        <v>1.005</v>
      </c>
      <c r="D7082" s="51">
        <v>67.0</v>
      </c>
      <c r="E7082" s="52" t="s">
        <v>25</v>
      </c>
      <c r="F7082" s="52" t="s">
        <v>26</v>
      </c>
      <c r="G7082" s="53"/>
    </row>
    <row r="7083">
      <c r="A7083" s="49">
        <v>44587.46522895833</v>
      </c>
      <c r="B7083" s="50">
        <v>44587.5901979976</v>
      </c>
      <c r="C7083" s="51">
        <v>1.005</v>
      </c>
      <c r="D7083" s="51">
        <v>67.0</v>
      </c>
      <c r="E7083" s="52" t="s">
        <v>25</v>
      </c>
      <c r="F7083" s="52" t="s">
        <v>26</v>
      </c>
      <c r="G7083" s="53"/>
    </row>
    <row r="7084">
      <c r="A7084" s="49">
        <v>44587.47565587963</v>
      </c>
      <c r="B7084" s="50">
        <v>44587.6006194675</v>
      </c>
      <c r="C7084" s="51">
        <v>1.005</v>
      </c>
      <c r="D7084" s="51">
        <v>68.0</v>
      </c>
      <c r="E7084" s="52" t="s">
        <v>25</v>
      </c>
      <c r="F7084" s="52" t="s">
        <v>26</v>
      </c>
      <c r="G7084" s="53"/>
    </row>
    <row r="7085">
      <c r="A7085" s="49">
        <v>44587.48605951389</v>
      </c>
      <c r="B7085" s="50">
        <v>44587.6110403935</v>
      </c>
      <c r="C7085" s="51">
        <v>1.005</v>
      </c>
      <c r="D7085" s="51">
        <v>68.0</v>
      </c>
      <c r="E7085" s="52" t="s">
        <v>25</v>
      </c>
      <c r="F7085" s="52" t="s">
        <v>26</v>
      </c>
      <c r="G7085" s="53"/>
    </row>
    <row r="7086">
      <c r="A7086" s="49">
        <v>44587.496492997685</v>
      </c>
      <c r="B7086" s="50">
        <v>44587.6214627314</v>
      </c>
      <c r="C7086" s="51">
        <v>1.005</v>
      </c>
      <c r="D7086" s="51">
        <v>68.0</v>
      </c>
      <c r="E7086" s="52" t="s">
        <v>25</v>
      </c>
      <c r="F7086" s="52" t="s">
        <v>26</v>
      </c>
      <c r="G7086" s="53"/>
    </row>
    <row r="7087">
      <c r="A7087" s="49">
        <v>44587.50690577546</v>
      </c>
      <c r="B7087" s="50">
        <v>44587.6318844328</v>
      </c>
      <c r="C7087" s="51">
        <v>1.005</v>
      </c>
      <c r="D7087" s="51">
        <v>68.0</v>
      </c>
      <c r="E7087" s="52" t="s">
        <v>25</v>
      </c>
      <c r="F7087" s="52" t="s">
        <v>26</v>
      </c>
      <c r="G7087" s="53"/>
    </row>
    <row r="7088">
      <c r="A7088" s="49">
        <v>44587.5173571875</v>
      </c>
      <c r="B7088" s="50">
        <v>44587.6423056828</v>
      </c>
      <c r="C7088" s="51">
        <v>1.005</v>
      </c>
      <c r="D7088" s="51">
        <v>68.0</v>
      </c>
      <c r="E7088" s="52" t="s">
        <v>25</v>
      </c>
      <c r="F7088" s="52" t="s">
        <v>26</v>
      </c>
      <c r="G7088" s="53"/>
    </row>
    <row r="7089">
      <c r="A7089" s="49">
        <v>44587.52774929398</v>
      </c>
      <c r="B7089" s="50">
        <v>44587.6527257638</v>
      </c>
      <c r="C7089" s="51">
        <v>1.005</v>
      </c>
      <c r="D7089" s="51">
        <v>68.0</v>
      </c>
      <c r="E7089" s="52" t="s">
        <v>25</v>
      </c>
      <c r="F7089" s="52" t="s">
        <v>26</v>
      </c>
      <c r="G7089" s="53"/>
    </row>
    <row r="7090">
      <c r="A7090" s="49">
        <v>44587.53818280093</v>
      </c>
      <c r="B7090" s="50">
        <v>44587.66315603</v>
      </c>
      <c r="C7090" s="51">
        <v>1.005</v>
      </c>
      <c r="D7090" s="51">
        <v>68.0</v>
      </c>
      <c r="E7090" s="52" t="s">
        <v>25</v>
      </c>
      <c r="F7090" s="52" t="s">
        <v>26</v>
      </c>
      <c r="G7090" s="53"/>
    </row>
    <row r="7091">
      <c r="A7091" s="49">
        <v>44587.5486121875</v>
      </c>
      <c r="B7091" s="50">
        <v>44587.6735906018</v>
      </c>
      <c r="C7091" s="51">
        <v>1.005</v>
      </c>
      <c r="D7091" s="51">
        <v>67.0</v>
      </c>
      <c r="E7091" s="52" t="s">
        <v>25</v>
      </c>
      <c r="F7091" s="52" t="s">
        <v>26</v>
      </c>
      <c r="G7091" s="53"/>
    </row>
    <row r="7092">
      <c r="A7092" s="49">
        <v>44587.559039942134</v>
      </c>
      <c r="B7092" s="50">
        <v>44587.6840124305</v>
      </c>
      <c r="C7092" s="51">
        <v>1.005</v>
      </c>
      <c r="D7092" s="51">
        <v>67.0</v>
      </c>
      <c r="E7092" s="52" t="s">
        <v>25</v>
      </c>
      <c r="F7092" s="52" t="s">
        <v>26</v>
      </c>
      <c r="G7092" s="53"/>
    </row>
    <row r="7093">
      <c r="A7093" s="49">
        <v>44587.5694658912</v>
      </c>
      <c r="B7093" s="50">
        <v>44587.6944333796</v>
      </c>
      <c r="C7093" s="51">
        <v>1.005</v>
      </c>
      <c r="D7093" s="51">
        <v>67.0</v>
      </c>
      <c r="E7093" s="52" t="s">
        <v>25</v>
      </c>
      <c r="F7093" s="52" t="s">
        <v>26</v>
      </c>
      <c r="G7093" s="53"/>
    </row>
    <row r="7094">
      <c r="A7094" s="49">
        <v>44587.5798721412</v>
      </c>
      <c r="B7094" s="50">
        <v>44587.7048534953</v>
      </c>
      <c r="C7094" s="51">
        <v>1.005</v>
      </c>
      <c r="D7094" s="51">
        <v>67.0</v>
      </c>
      <c r="E7094" s="52" t="s">
        <v>25</v>
      </c>
      <c r="F7094" s="52" t="s">
        <v>26</v>
      </c>
      <c r="G7094" s="53"/>
    </row>
    <row r="7095">
      <c r="A7095" s="49">
        <v>44587.59030362268</v>
      </c>
      <c r="B7095" s="50">
        <v>44587.7152746875</v>
      </c>
      <c r="C7095" s="51">
        <v>1.005</v>
      </c>
      <c r="D7095" s="51">
        <v>67.0</v>
      </c>
      <c r="E7095" s="52" t="s">
        <v>25</v>
      </c>
      <c r="F7095" s="52" t="s">
        <v>26</v>
      </c>
      <c r="G7095" s="53"/>
    </row>
    <row r="7096">
      <c r="A7096" s="49">
        <v>44587.60072638889</v>
      </c>
      <c r="B7096" s="50">
        <v>44587.7256967824</v>
      </c>
      <c r="C7096" s="51">
        <v>1.005</v>
      </c>
      <c r="D7096" s="51">
        <v>67.0</v>
      </c>
      <c r="E7096" s="52" t="s">
        <v>25</v>
      </c>
      <c r="F7096" s="52" t="s">
        <v>26</v>
      </c>
      <c r="G7096" s="53"/>
    </row>
    <row r="7097">
      <c r="A7097" s="49">
        <v>44587.61114150463</v>
      </c>
      <c r="B7097" s="50">
        <v>44587.7361180555</v>
      </c>
      <c r="C7097" s="51">
        <v>1.005</v>
      </c>
      <c r="D7097" s="51">
        <v>67.0</v>
      </c>
      <c r="E7097" s="52" t="s">
        <v>25</v>
      </c>
      <c r="F7097" s="52" t="s">
        <v>26</v>
      </c>
      <c r="G7097" s="53"/>
    </row>
    <row r="7098">
      <c r="A7098" s="49">
        <v>44587.621583125</v>
      </c>
      <c r="B7098" s="50">
        <v>44587.7465613194</v>
      </c>
      <c r="C7098" s="51">
        <v>1.005</v>
      </c>
      <c r="D7098" s="51">
        <v>67.0</v>
      </c>
      <c r="E7098" s="52" t="s">
        <v>25</v>
      </c>
      <c r="F7098" s="52" t="s">
        <v>26</v>
      </c>
      <c r="G7098" s="53"/>
    </row>
    <row r="7099">
      <c r="A7099" s="49">
        <v>44587.63202167824</v>
      </c>
      <c r="B7099" s="50">
        <v>44587.7569954398</v>
      </c>
      <c r="C7099" s="51">
        <v>1.005</v>
      </c>
      <c r="D7099" s="51">
        <v>67.0</v>
      </c>
      <c r="E7099" s="52" t="s">
        <v>25</v>
      </c>
      <c r="F7099" s="52" t="s">
        <v>26</v>
      </c>
      <c r="G7099" s="53"/>
    </row>
    <row r="7100">
      <c r="A7100" s="49">
        <v>44587.642448136576</v>
      </c>
      <c r="B7100" s="50">
        <v>44587.7674278472</v>
      </c>
      <c r="C7100" s="51">
        <v>1.005</v>
      </c>
      <c r="D7100" s="51">
        <v>67.0</v>
      </c>
      <c r="E7100" s="52" t="s">
        <v>25</v>
      </c>
      <c r="F7100" s="52" t="s">
        <v>26</v>
      </c>
      <c r="G7100" s="53"/>
    </row>
    <row r="7101">
      <c r="A7101" s="49">
        <v>44587.652876458335</v>
      </c>
      <c r="B7101" s="50">
        <v>44587.7778497916</v>
      </c>
      <c r="C7101" s="51">
        <v>1.005</v>
      </c>
      <c r="D7101" s="51">
        <v>67.0</v>
      </c>
      <c r="E7101" s="52" t="s">
        <v>25</v>
      </c>
      <c r="F7101" s="52" t="s">
        <v>26</v>
      </c>
      <c r="G7101" s="53"/>
    </row>
    <row r="7102">
      <c r="A7102" s="49">
        <v>44587.66329456019</v>
      </c>
      <c r="B7102" s="50">
        <v>44587.7882723495</v>
      </c>
      <c r="C7102" s="51">
        <v>1.005</v>
      </c>
      <c r="D7102" s="51">
        <v>67.0</v>
      </c>
      <c r="E7102" s="52" t="s">
        <v>25</v>
      </c>
      <c r="F7102" s="52" t="s">
        <v>26</v>
      </c>
      <c r="G7102" s="53"/>
    </row>
    <row r="7103">
      <c r="A7103" s="49">
        <v>44587.67371552083</v>
      </c>
      <c r="B7103" s="50">
        <v>44587.7986948263</v>
      </c>
      <c r="C7103" s="51">
        <v>1.005</v>
      </c>
      <c r="D7103" s="51">
        <v>67.0</v>
      </c>
      <c r="E7103" s="52" t="s">
        <v>25</v>
      </c>
      <c r="F7103" s="52" t="s">
        <v>26</v>
      </c>
      <c r="G7103" s="53"/>
    </row>
    <row r="7104">
      <c r="A7104" s="49">
        <v>44587.684133622686</v>
      </c>
      <c r="B7104" s="50">
        <v>44587.8091155902</v>
      </c>
      <c r="C7104" s="51">
        <v>1.005</v>
      </c>
      <c r="D7104" s="51">
        <v>67.0</v>
      </c>
      <c r="E7104" s="52" t="s">
        <v>25</v>
      </c>
      <c r="F7104" s="52" t="s">
        <v>26</v>
      </c>
      <c r="G7104" s="53"/>
    </row>
    <row r="7105">
      <c r="A7105" s="49">
        <v>44587.69456497685</v>
      </c>
      <c r="B7105" s="50">
        <v>44587.819535625</v>
      </c>
      <c r="C7105" s="51">
        <v>1.005</v>
      </c>
      <c r="D7105" s="51">
        <v>67.0</v>
      </c>
      <c r="E7105" s="52" t="s">
        <v>25</v>
      </c>
      <c r="F7105" s="52" t="s">
        <v>26</v>
      </c>
      <c r="G7105" s="53"/>
    </row>
    <row r="7106">
      <c r="A7106" s="49">
        <v>44587.70498527778</v>
      </c>
      <c r="B7106" s="50">
        <v>44587.8299570138</v>
      </c>
      <c r="C7106" s="51">
        <v>1.005</v>
      </c>
      <c r="D7106" s="51">
        <v>67.0</v>
      </c>
      <c r="E7106" s="52" t="s">
        <v>25</v>
      </c>
      <c r="F7106" s="52" t="s">
        <v>26</v>
      </c>
      <c r="G7106" s="53"/>
    </row>
    <row r="7107">
      <c r="A7107" s="49">
        <v>44587.71540594907</v>
      </c>
      <c r="B7107" s="50">
        <v>44587.8403793055</v>
      </c>
      <c r="C7107" s="51">
        <v>1.005</v>
      </c>
      <c r="D7107" s="51">
        <v>67.0</v>
      </c>
      <c r="E7107" s="52" t="s">
        <v>25</v>
      </c>
      <c r="F7107" s="52" t="s">
        <v>26</v>
      </c>
      <c r="G7107" s="53"/>
    </row>
    <row r="7108">
      <c r="A7108" s="49">
        <v>44587.725826828704</v>
      </c>
      <c r="B7108" s="50">
        <v>44587.8508009606</v>
      </c>
      <c r="C7108" s="51">
        <v>1.005</v>
      </c>
      <c r="D7108" s="51">
        <v>67.0</v>
      </c>
      <c r="E7108" s="52" t="s">
        <v>25</v>
      </c>
      <c r="F7108" s="52" t="s">
        <v>26</v>
      </c>
      <c r="G7108" s="53"/>
    </row>
    <row r="7109">
      <c r="A7109" s="49">
        <v>44587.73624604166</v>
      </c>
      <c r="B7109" s="50">
        <v>44587.8612212499</v>
      </c>
      <c r="C7109" s="51">
        <v>1.005</v>
      </c>
      <c r="D7109" s="51">
        <v>67.0</v>
      </c>
      <c r="E7109" s="52" t="s">
        <v>25</v>
      </c>
      <c r="F7109" s="52" t="s">
        <v>26</v>
      </c>
      <c r="G7109" s="53"/>
    </row>
    <row r="7110">
      <c r="A7110" s="49">
        <v>44587.746673877315</v>
      </c>
      <c r="B7110" s="50">
        <v>44587.8716521296</v>
      </c>
      <c r="C7110" s="51">
        <v>1.005</v>
      </c>
      <c r="D7110" s="51">
        <v>67.0</v>
      </c>
      <c r="E7110" s="52" t="s">
        <v>25</v>
      </c>
      <c r="F7110" s="52" t="s">
        <v>26</v>
      </c>
      <c r="G7110" s="53"/>
    </row>
    <row r="7111">
      <c r="A7111" s="49">
        <v>44587.75709324074</v>
      </c>
      <c r="B7111" s="50">
        <v>44587.8820713773</v>
      </c>
      <c r="C7111" s="51">
        <v>1.005</v>
      </c>
      <c r="D7111" s="51">
        <v>67.0</v>
      </c>
      <c r="E7111" s="52" t="s">
        <v>25</v>
      </c>
      <c r="F7111" s="52" t="s">
        <v>26</v>
      </c>
      <c r="G7111" s="53"/>
    </row>
    <row r="7112">
      <c r="A7112" s="49">
        <v>44587.767512349536</v>
      </c>
      <c r="B7112" s="50">
        <v>44587.8924916319</v>
      </c>
      <c r="C7112" s="51">
        <v>1.005</v>
      </c>
      <c r="D7112" s="51">
        <v>67.0</v>
      </c>
      <c r="E7112" s="52" t="s">
        <v>25</v>
      </c>
      <c r="F7112" s="52" t="s">
        <v>26</v>
      </c>
      <c r="G7112" s="53"/>
    </row>
    <row r="7113">
      <c r="A7113" s="49">
        <v>44587.77793873842</v>
      </c>
      <c r="B7113" s="50">
        <v>44587.9029122453</v>
      </c>
      <c r="C7113" s="51">
        <v>1.005</v>
      </c>
      <c r="D7113" s="51">
        <v>67.0</v>
      </c>
      <c r="E7113" s="52" t="s">
        <v>25</v>
      </c>
      <c r="F7113" s="52" t="s">
        <v>26</v>
      </c>
      <c r="G7113" s="53"/>
    </row>
    <row r="7114">
      <c r="A7114" s="49">
        <v>44587.788359432874</v>
      </c>
      <c r="B7114" s="50">
        <v>44587.91333375</v>
      </c>
      <c r="C7114" s="51">
        <v>1.005</v>
      </c>
      <c r="D7114" s="51">
        <v>67.0</v>
      </c>
      <c r="E7114" s="52" t="s">
        <v>25</v>
      </c>
      <c r="F7114" s="52" t="s">
        <v>26</v>
      </c>
      <c r="G7114" s="53"/>
    </row>
    <row r="7115">
      <c r="A7115" s="49">
        <v>44587.798805439816</v>
      </c>
      <c r="B7115" s="50">
        <v>44587.9237776041</v>
      </c>
      <c r="C7115" s="51">
        <v>1.005</v>
      </c>
      <c r="D7115" s="51">
        <v>67.0</v>
      </c>
      <c r="E7115" s="52" t="s">
        <v>25</v>
      </c>
      <c r="F7115" s="52" t="s">
        <v>26</v>
      </c>
      <c r="G7115" s="53"/>
    </row>
    <row r="7116">
      <c r="A7116" s="49">
        <v>44587.80924307871</v>
      </c>
      <c r="B7116" s="50">
        <v>44587.934221875</v>
      </c>
      <c r="C7116" s="51">
        <v>1.005</v>
      </c>
      <c r="D7116" s="51">
        <v>66.0</v>
      </c>
      <c r="E7116" s="52" t="s">
        <v>25</v>
      </c>
      <c r="F7116" s="52" t="s">
        <v>26</v>
      </c>
      <c r="G7116" s="53"/>
    </row>
    <row r="7117">
      <c r="A7117" s="49">
        <v>44587.81966471065</v>
      </c>
      <c r="B7117" s="50">
        <v>44587.9446449768</v>
      </c>
      <c r="C7117" s="51">
        <v>1.005</v>
      </c>
      <c r="D7117" s="51">
        <v>66.0</v>
      </c>
      <c r="E7117" s="52" t="s">
        <v>25</v>
      </c>
      <c r="F7117" s="52" t="s">
        <v>26</v>
      </c>
      <c r="G7117" s="53"/>
    </row>
    <row r="7118">
      <c r="A7118" s="49">
        <v>44587.83009309028</v>
      </c>
      <c r="B7118" s="50">
        <v>44587.9550667824</v>
      </c>
      <c r="C7118" s="51">
        <v>1.005</v>
      </c>
      <c r="D7118" s="51">
        <v>66.0</v>
      </c>
      <c r="E7118" s="52" t="s">
        <v>25</v>
      </c>
      <c r="F7118" s="52" t="s">
        <v>26</v>
      </c>
      <c r="G7118" s="53"/>
    </row>
    <row r="7119">
      <c r="A7119" s="49">
        <v>44587.840512916664</v>
      </c>
      <c r="B7119" s="50">
        <v>44587.965487905</v>
      </c>
      <c r="C7119" s="51">
        <v>1.005</v>
      </c>
      <c r="D7119" s="51">
        <v>66.0</v>
      </c>
      <c r="E7119" s="52" t="s">
        <v>25</v>
      </c>
      <c r="F7119" s="52" t="s">
        <v>26</v>
      </c>
      <c r="G7119" s="53"/>
    </row>
    <row r="7120">
      <c r="A7120" s="49">
        <v>44587.850935995375</v>
      </c>
      <c r="B7120" s="50">
        <v>44587.9759092013</v>
      </c>
      <c r="C7120" s="51">
        <v>1.005</v>
      </c>
      <c r="D7120" s="51">
        <v>66.0</v>
      </c>
      <c r="E7120" s="52" t="s">
        <v>25</v>
      </c>
      <c r="F7120" s="52" t="s">
        <v>26</v>
      </c>
      <c r="G7120" s="53"/>
    </row>
    <row r="7121">
      <c r="A7121" s="49">
        <v>44587.86135868056</v>
      </c>
      <c r="B7121" s="50">
        <v>44587.9863319444</v>
      </c>
      <c r="C7121" s="51">
        <v>1.005</v>
      </c>
      <c r="D7121" s="51">
        <v>66.0</v>
      </c>
      <c r="E7121" s="52" t="s">
        <v>25</v>
      </c>
      <c r="F7121" s="52" t="s">
        <v>26</v>
      </c>
      <c r="G7121" s="53"/>
    </row>
    <row r="7122">
      <c r="A7122" s="49">
        <v>44587.87182961806</v>
      </c>
      <c r="B7122" s="50">
        <v>44587.9967985532</v>
      </c>
      <c r="C7122" s="51">
        <v>1.005</v>
      </c>
      <c r="D7122" s="51">
        <v>66.0</v>
      </c>
      <c r="E7122" s="52" t="s">
        <v>25</v>
      </c>
      <c r="F7122" s="52" t="s">
        <v>26</v>
      </c>
      <c r="G7122" s="53"/>
    </row>
    <row r="7123">
      <c r="A7123" s="49">
        <v>44587.88227673611</v>
      </c>
      <c r="B7123" s="50">
        <v>44588.0072544675</v>
      </c>
      <c r="C7123" s="51">
        <v>1.005</v>
      </c>
      <c r="D7123" s="51">
        <v>66.0</v>
      </c>
      <c r="E7123" s="52" t="s">
        <v>25</v>
      </c>
      <c r="F7123" s="52" t="s">
        <v>26</v>
      </c>
      <c r="G7123" s="53"/>
    </row>
    <row r="7124">
      <c r="A7124" s="49">
        <v>44587.89269925926</v>
      </c>
      <c r="B7124" s="50">
        <v>44588.0176763657</v>
      </c>
      <c r="C7124" s="51">
        <v>1.005</v>
      </c>
      <c r="D7124" s="51">
        <v>66.0</v>
      </c>
      <c r="E7124" s="52" t="s">
        <v>25</v>
      </c>
      <c r="F7124" s="52" t="s">
        <v>26</v>
      </c>
      <c r="G7124" s="53"/>
    </row>
    <row r="7125">
      <c r="A7125" s="49">
        <v>44587.90311646991</v>
      </c>
      <c r="B7125" s="50">
        <v>44588.0280976504</v>
      </c>
      <c r="C7125" s="51">
        <v>1.005</v>
      </c>
      <c r="D7125" s="51">
        <v>66.0</v>
      </c>
      <c r="E7125" s="52" t="s">
        <v>25</v>
      </c>
      <c r="F7125" s="52" t="s">
        <v>26</v>
      </c>
      <c r="G7125" s="53"/>
    </row>
    <row r="7126">
      <c r="A7126" s="49">
        <v>44587.91353657407</v>
      </c>
      <c r="B7126" s="50">
        <v>44588.0385179976</v>
      </c>
      <c r="C7126" s="51">
        <v>1.005</v>
      </c>
      <c r="D7126" s="51">
        <v>66.0</v>
      </c>
      <c r="E7126" s="52" t="s">
        <v>25</v>
      </c>
      <c r="F7126" s="52" t="s">
        <v>26</v>
      </c>
      <c r="G7126" s="53"/>
    </row>
    <row r="7127">
      <c r="A7127" s="49">
        <v>44587.92396984954</v>
      </c>
      <c r="B7127" s="50">
        <v>44588.0489395833</v>
      </c>
      <c r="C7127" s="51">
        <v>1.005</v>
      </c>
      <c r="D7127" s="51">
        <v>66.0</v>
      </c>
      <c r="E7127" s="52" t="s">
        <v>25</v>
      </c>
      <c r="F7127" s="52" t="s">
        <v>26</v>
      </c>
      <c r="G7127" s="53"/>
    </row>
    <row r="7128">
      <c r="A7128" s="49">
        <v>44587.93439954861</v>
      </c>
      <c r="B7128" s="50">
        <v>44588.0593727199</v>
      </c>
      <c r="C7128" s="51">
        <v>1.005</v>
      </c>
      <c r="D7128" s="51">
        <v>66.0</v>
      </c>
      <c r="E7128" s="52" t="s">
        <v>25</v>
      </c>
      <c r="F7128" s="52" t="s">
        <v>26</v>
      </c>
      <c r="G7128" s="53"/>
    </row>
    <row r="7129">
      <c r="A7129" s="49">
        <v>44587.94482210648</v>
      </c>
      <c r="B7129" s="50">
        <v>44588.0697948263</v>
      </c>
      <c r="C7129" s="51">
        <v>1.005</v>
      </c>
      <c r="D7129" s="51">
        <v>66.0</v>
      </c>
      <c r="E7129" s="52" t="s">
        <v>25</v>
      </c>
      <c r="F7129" s="52" t="s">
        <v>26</v>
      </c>
      <c r="G7129" s="53"/>
    </row>
    <row r="7130">
      <c r="A7130" s="49">
        <v>44587.95525667824</v>
      </c>
      <c r="B7130" s="50">
        <v>44588.0802267013</v>
      </c>
      <c r="C7130" s="51">
        <v>1.005</v>
      </c>
      <c r="D7130" s="51">
        <v>66.0</v>
      </c>
      <c r="E7130" s="52" t="s">
        <v>25</v>
      </c>
      <c r="F7130" s="52" t="s">
        <v>26</v>
      </c>
      <c r="G7130" s="53"/>
    </row>
    <row r="7131">
      <c r="A7131" s="49">
        <v>44587.965669247686</v>
      </c>
      <c r="B7131" s="50">
        <v>44588.0906457407</v>
      </c>
      <c r="C7131" s="51">
        <v>1.005</v>
      </c>
      <c r="D7131" s="51">
        <v>66.0</v>
      </c>
      <c r="E7131" s="52" t="s">
        <v>25</v>
      </c>
      <c r="F7131" s="52" t="s">
        <v>26</v>
      </c>
      <c r="G7131" s="53"/>
    </row>
    <row r="7132">
      <c r="A7132" s="49">
        <v>44587.97609229167</v>
      </c>
      <c r="B7132" s="50">
        <v>44588.1010676388</v>
      </c>
      <c r="C7132" s="51">
        <v>1.005</v>
      </c>
      <c r="D7132" s="51">
        <v>66.0</v>
      </c>
      <c r="E7132" s="52" t="s">
        <v>25</v>
      </c>
      <c r="F7132" s="52" t="s">
        <v>26</v>
      </c>
      <c r="G7132" s="53"/>
    </row>
    <row r="7133">
      <c r="A7133" s="49">
        <v>44587.986539317135</v>
      </c>
      <c r="B7133" s="50">
        <v>44588.1115109606</v>
      </c>
      <c r="C7133" s="51">
        <v>1.005</v>
      </c>
      <c r="D7133" s="51">
        <v>66.0</v>
      </c>
      <c r="E7133" s="52" t="s">
        <v>25</v>
      </c>
      <c r="F7133" s="52" t="s">
        <v>26</v>
      </c>
      <c r="G7133" s="53"/>
    </row>
    <row r="7134">
      <c r="A7134" s="49">
        <v>44587.99695641204</v>
      </c>
      <c r="B7134" s="50">
        <v>44588.1219329398</v>
      </c>
      <c r="C7134" s="51">
        <v>1.005</v>
      </c>
      <c r="D7134" s="51">
        <v>66.0</v>
      </c>
      <c r="E7134" s="52" t="s">
        <v>25</v>
      </c>
      <c r="F7134" s="52" t="s">
        <v>26</v>
      </c>
      <c r="G7134" s="53"/>
    </row>
    <row r="7135">
      <c r="A7135" s="49">
        <v>44588.007379849536</v>
      </c>
      <c r="B7135" s="50">
        <v>44588.1323536805</v>
      </c>
      <c r="C7135" s="51">
        <v>1.005</v>
      </c>
      <c r="D7135" s="51">
        <v>66.0</v>
      </c>
      <c r="E7135" s="52" t="s">
        <v>25</v>
      </c>
      <c r="F7135" s="52" t="s">
        <v>26</v>
      </c>
      <c r="G7135" s="53"/>
    </row>
    <row r="7136">
      <c r="A7136" s="49">
        <v>44588.01779616898</v>
      </c>
      <c r="B7136" s="50">
        <v>44588.1427748842</v>
      </c>
      <c r="C7136" s="51">
        <v>1.005</v>
      </c>
      <c r="D7136" s="51">
        <v>66.0</v>
      </c>
      <c r="E7136" s="52" t="s">
        <v>25</v>
      </c>
      <c r="F7136" s="52" t="s">
        <v>26</v>
      </c>
      <c r="G7136" s="53"/>
    </row>
    <row r="7137">
      <c r="A7137" s="49">
        <v>44588.02821931713</v>
      </c>
      <c r="B7137" s="50">
        <v>44588.1531953819</v>
      </c>
      <c r="C7137" s="51">
        <v>1.005</v>
      </c>
      <c r="D7137" s="51">
        <v>66.0</v>
      </c>
      <c r="E7137" s="52" t="s">
        <v>25</v>
      </c>
      <c r="F7137" s="52" t="s">
        <v>26</v>
      </c>
      <c r="G7137" s="53"/>
    </row>
    <row r="7138">
      <c r="A7138" s="49">
        <v>44588.03876012731</v>
      </c>
      <c r="B7138" s="50">
        <v>44588.1636153009</v>
      </c>
      <c r="C7138" s="51">
        <v>1.005</v>
      </c>
      <c r="D7138" s="51">
        <v>66.0</v>
      </c>
      <c r="E7138" s="52" t="s">
        <v>25</v>
      </c>
      <c r="F7138" s="52" t="s">
        <v>26</v>
      </c>
      <c r="G7138" s="53"/>
    </row>
    <row r="7139">
      <c r="A7139" s="49">
        <v>44588.04906784723</v>
      </c>
      <c r="B7139" s="50">
        <v>44588.1740374652</v>
      </c>
      <c r="C7139" s="51">
        <v>1.005</v>
      </c>
      <c r="D7139" s="51">
        <v>65.0</v>
      </c>
      <c r="E7139" s="52" t="s">
        <v>25</v>
      </c>
      <c r="F7139" s="52" t="s">
        <v>26</v>
      </c>
      <c r="G7139" s="53"/>
    </row>
    <row r="7140">
      <c r="A7140" s="49">
        <v>44588.05948148148</v>
      </c>
      <c r="B7140" s="50">
        <v>44588.1844585532</v>
      </c>
      <c r="C7140" s="51">
        <v>1.004</v>
      </c>
      <c r="D7140" s="51">
        <v>65.0</v>
      </c>
      <c r="E7140" s="52" t="s">
        <v>25</v>
      </c>
      <c r="F7140" s="52" t="s">
        <v>26</v>
      </c>
      <c r="G7140" s="53"/>
    </row>
    <row r="7141">
      <c r="A7141" s="49">
        <v>44588.07000581019</v>
      </c>
      <c r="B7141" s="50">
        <v>44588.1949719907</v>
      </c>
      <c r="C7141" s="51">
        <v>1.005</v>
      </c>
      <c r="D7141" s="51">
        <v>65.0</v>
      </c>
      <c r="E7141" s="52" t="s">
        <v>25</v>
      </c>
      <c r="F7141" s="52" t="s">
        <v>26</v>
      </c>
      <c r="G7141" s="53"/>
    </row>
    <row r="7142">
      <c r="A7142" s="49">
        <v>44588.080428263886</v>
      </c>
      <c r="B7142" s="50">
        <v>44588.2054043634</v>
      </c>
      <c r="C7142" s="51">
        <v>1.005</v>
      </c>
      <c r="D7142" s="51">
        <v>65.0</v>
      </c>
      <c r="E7142" s="52" t="s">
        <v>25</v>
      </c>
      <c r="F7142" s="52" t="s">
        <v>26</v>
      </c>
      <c r="G7142" s="53"/>
    </row>
    <row r="7143">
      <c r="A7143" s="49">
        <v>44588.090854560185</v>
      </c>
      <c r="B7143" s="50">
        <v>44588.2158237152</v>
      </c>
      <c r="C7143" s="51">
        <v>1.005</v>
      </c>
      <c r="D7143" s="51">
        <v>65.0</v>
      </c>
      <c r="E7143" s="52" t="s">
        <v>25</v>
      </c>
      <c r="F7143" s="52" t="s">
        <v>26</v>
      </c>
      <c r="G7143" s="53"/>
    </row>
    <row r="7144">
      <c r="A7144" s="49">
        <v>44588.101278125</v>
      </c>
      <c r="B7144" s="50">
        <v>44588.2262453935</v>
      </c>
      <c r="C7144" s="51">
        <v>1.005</v>
      </c>
      <c r="D7144" s="51">
        <v>65.0</v>
      </c>
      <c r="E7144" s="52" t="s">
        <v>25</v>
      </c>
      <c r="F7144" s="52" t="s">
        <v>26</v>
      </c>
      <c r="G7144" s="53"/>
    </row>
    <row r="7145">
      <c r="A7145" s="49">
        <v>44588.11170760417</v>
      </c>
      <c r="B7145" s="50">
        <v>44588.236676655</v>
      </c>
      <c r="C7145" s="51">
        <v>1.005</v>
      </c>
      <c r="D7145" s="51">
        <v>65.0</v>
      </c>
      <c r="E7145" s="52" t="s">
        <v>25</v>
      </c>
      <c r="F7145" s="52" t="s">
        <v>26</v>
      </c>
      <c r="G7145" s="53"/>
    </row>
    <row r="7146">
      <c r="A7146" s="49">
        <v>44588.12212554398</v>
      </c>
      <c r="B7146" s="50">
        <v>44588.2470991435</v>
      </c>
      <c r="C7146" s="51">
        <v>1.005</v>
      </c>
      <c r="D7146" s="51">
        <v>65.0</v>
      </c>
      <c r="E7146" s="52" t="s">
        <v>25</v>
      </c>
      <c r="F7146" s="52" t="s">
        <v>26</v>
      </c>
      <c r="G7146" s="53"/>
    </row>
    <row r="7147">
      <c r="A7147" s="49">
        <v>44588.13254255787</v>
      </c>
      <c r="B7147" s="50">
        <v>44588.2575204861</v>
      </c>
      <c r="C7147" s="51">
        <v>1.005</v>
      </c>
      <c r="D7147" s="51">
        <v>65.0</v>
      </c>
      <c r="E7147" s="52" t="s">
        <v>25</v>
      </c>
      <c r="F7147" s="52" t="s">
        <v>26</v>
      </c>
      <c r="G7147" s="53"/>
    </row>
    <row r="7148">
      <c r="A7148" s="49">
        <v>44588.142968252316</v>
      </c>
      <c r="B7148" s="50">
        <v>44588.2679435416</v>
      </c>
      <c r="C7148" s="51">
        <v>1.005</v>
      </c>
      <c r="D7148" s="51">
        <v>65.0</v>
      </c>
      <c r="E7148" s="52" t="s">
        <v>25</v>
      </c>
      <c r="F7148" s="52" t="s">
        <v>26</v>
      </c>
      <c r="G7148" s="53"/>
    </row>
    <row r="7149">
      <c r="A7149" s="49">
        <v>44588.15339212963</v>
      </c>
      <c r="B7149" s="50">
        <v>44588.2783649652</v>
      </c>
      <c r="C7149" s="51">
        <v>1.005</v>
      </c>
      <c r="D7149" s="51">
        <v>65.0</v>
      </c>
      <c r="E7149" s="52" t="s">
        <v>25</v>
      </c>
      <c r="F7149" s="52" t="s">
        <v>26</v>
      </c>
      <c r="G7149" s="53"/>
    </row>
    <row r="7150">
      <c r="A7150" s="49">
        <v>44588.16382423611</v>
      </c>
      <c r="B7150" s="50">
        <v>44588.2887969213</v>
      </c>
      <c r="C7150" s="51">
        <v>1.005</v>
      </c>
      <c r="D7150" s="51">
        <v>65.0</v>
      </c>
      <c r="E7150" s="52" t="s">
        <v>25</v>
      </c>
      <c r="F7150" s="52" t="s">
        <v>26</v>
      </c>
      <c r="G7150" s="53"/>
    </row>
    <row r="7151">
      <c r="A7151" s="49">
        <v>44588.17425123842</v>
      </c>
      <c r="B7151" s="50">
        <v>44588.2992286921</v>
      </c>
      <c r="C7151" s="51">
        <v>1.005</v>
      </c>
      <c r="D7151" s="51">
        <v>65.0</v>
      </c>
      <c r="E7151" s="52" t="s">
        <v>25</v>
      </c>
      <c r="F7151" s="52" t="s">
        <v>26</v>
      </c>
      <c r="G7151" s="53"/>
    </row>
    <row r="7152">
      <c r="A7152" s="49">
        <v>44588.184689166665</v>
      </c>
      <c r="B7152" s="50">
        <v>44588.3096603124</v>
      </c>
      <c r="C7152" s="51">
        <v>1.005</v>
      </c>
      <c r="D7152" s="51">
        <v>65.0</v>
      </c>
      <c r="E7152" s="52" t="s">
        <v>25</v>
      </c>
      <c r="F7152" s="52" t="s">
        <v>26</v>
      </c>
      <c r="G7152" s="53"/>
    </row>
    <row r="7153">
      <c r="A7153" s="49">
        <v>44588.195103668986</v>
      </c>
      <c r="B7153" s="50">
        <v>44588.3200813194</v>
      </c>
      <c r="C7153" s="51">
        <v>1.005</v>
      </c>
      <c r="D7153" s="51">
        <v>65.0</v>
      </c>
      <c r="E7153" s="52" t="s">
        <v>25</v>
      </c>
      <c r="F7153" s="52" t="s">
        <v>26</v>
      </c>
      <c r="G7153" s="53"/>
    </row>
    <row r="7154">
      <c r="A7154" s="49">
        <v>44588.20562208333</v>
      </c>
      <c r="B7154" s="50">
        <v>44588.3305033796</v>
      </c>
      <c r="C7154" s="51">
        <v>1.005</v>
      </c>
      <c r="D7154" s="51">
        <v>65.0</v>
      </c>
      <c r="E7154" s="52" t="s">
        <v>25</v>
      </c>
      <c r="F7154" s="52" t="s">
        <v>26</v>
      </c>
      <c r="G7154" s="53"/>
    </row>
    <row r="7155">
      <c r="A7155" s="49">
        <v>44588.215952743056</v>
      </c>
      <c r="B7155" s="50">
        <v>44588.3409239467</v>
      </c>
      <c r="C7155" s="51">
        <v>1.005</v>
      </c>
      <c r="D7155" s="51">
        <v>65.0</v>
      </c>
      <c r="E7155" s="52" t="s">
        <v>25</v>
      </c>
      <c r="F7155" s="52" t="s">
        <v>26</v>
      </c>
      <c r="G7155" s="53"/>
    </row>
    <row r="7156">
      <c r="A7156" s="49">
        <v>44588.22637398148</v>
      </c>
      <c r="B7156" s="50">
        <v>44588.351346574</v>
      </c>
      <c r="C7156" s="51">
        <v>1.005</v>
      </c>
      <c r="D7156" s="51">
        <v>65.0</v>
      </c>
      <c r="E7156" s="52" t="s">
        <v>25</v>
      </c>
      <c r="F7156" s="52" t="s">
        <v>26</v>
      </c>
      <c r="G7156" s="53"/>
    </row>
    <row r="7157">
      <c r="A7157" s="49">
        <v>44588.23678814815</v>
      </c>
      <c r="B7157" s="50">
        <v>44588.361767118</v>
      </c>
      <c r="C7157" s="51">
        <v>1.005</v>
      </c>
      <c r="D7157" s="51">
        <v>65.0</v>
      </c>
      <c r="E7157" s="52" t="s">
        <v>25</v>
      </c>
      <c r="F7157" s="52" t="s">
        <v>26</v>
      </c>
      <c r="G7157" s="53"/>
    </row>
    <row r="7158">
      <c r="A7158" s="49">
        <v>44588.24754123842</v>
      </c>
      <c r="B7158" s="50">
        <v>44588.3721890624</v>
      </c>
      <c r="C7158" s="51">
        <v>1.005</v>
      </c>
      <c r="D7158" s="51">
        <v>65.0</v>
      </c>
      <c r="E7158" s="52" t="s">
        <v>25</v>
      </c>
      <c r="F7158" s="52" t="s">
        <v>26</v>
      </c>
      <c r="G7158" s="53"/>
    </row>
    <row r="7159">
      <c r="A7159" s="49">
        <v>44588.25766123843</v>
      </c>
      <c r="B7159" s="50">
        <v>44588.3826319097</v>
      </c>
      <c r="C7159" s="51">
        <v>1.005</v>
      </c>
      <c r="D7159" s="51">
        <v>65.0</v>
      </c>
      <c r="E7159" s="52" t="s">
        <v>25</v>
      </c>
      <c r="F7159" s="52" t="s">
        <v>26</v>
      </c>
      <c r="G7159" s="53"/>
    </row>
    <row r="7160">
      <c r="A7160" s="49">
        <v>44588.268095844905</v>
      </c>
      <c r="B7160" s="50">
        <v>44588.3930642013</v>
      </c>
      <c r="C7160" s="51">
        <v>1.005</v>
      </c>
      <c r="D7160" s="51">
        <v>65.0</v>
      </c>
      <c r="E7160" s="52" t="s">
        <v>25</v>
      </c>
      <c r="F7160" s="52" t="s">
        <v>26</v>
      </c>
      <c r="G7160" s="53"/>
    </row>
    <row r="7161">
      <c r="A7161" s="49">
        <v>44588.27856465278</v>
      </c>
      <c r="B7161" s="50">
        <v>44588.403531956</v>
      </c>
      <c r="C7161" s="51">
        <v>1.005</v>
      </c>
      <c r="D7161" s="51">
        <v>65.0</v>
      </c>
      <c r="E7161" s="52" t="s">
        <v>25</v>
      </c>
      <c r="F7161" s="52" t="s">
        <v>26</v>
      </c>
      <c r="G7161" s="53"/>
    </row>
    <row r="7162">
      <c r="A7162" s="49">
        <v>44588.288992291666</v>
      </c>
      <c r="B7162" s="50">
        <v>44588.4139654976</v>
      </c>
      <c r="C7162" s="51">
        <v>1.005</v>
      </c>
      <c r="D7162" s="51">
        <v>65.0</v>
      </c>
      <c r="E7162" s="52" t="s">
        <v>25</v>
      </c>
      <c r="F7162" s="52" t="s">
        <v>26</v>
      </c>
      <c r="G7162" s="53"/>
    </row>
    <row r="7163">
      <c r="A7163" s="49">
        <v>44588.29943969907</v>
      </c>
      <c r="B7163" s="50">
        <v>44588.424408912</v>
      </c>
      <c r="C7163" s="51">
        <v>1.005</v>
      </c>
      <c r="D7163" s="51">
        <v>65.0</v>
      </c>
      <c r="E7163" s="52" t="s">
        <v>25</v>
      </c>
      <c r="F7163" s="52" t="s">
        <v>26</v>
      </c>
      <c r="G7163" s="53"/>
    </row>
    <row r="7164">
      <c r="A7164" s="49">
        <v>44588.30985579861</v>
      </c>
      <c r="B7164" s="50">
        <v>44588.4348310185</v>
      </c>
      <c r="C7164" s="51">
        <v>1.005</v>
      </c>
      <c r="D7164" s="51">
        <v>65.0</v>
      </c>
      <c r="E7164" s="52" t="s">
        <v>25</v>
      </c>
      <c r="F7164" s="52" t="s">
        <v>26</v>
      </c>
      <c r="G7164" s="53"/>
    </row>
    <row r="7165">
      <c r="A7165" s="49">
        <v>44588.32028679398</v>
      </c>
      <c r="B7165" s="50">
        <v>44588.4452535879</v>
      </c>
      <c r="C7165" s="51">
        <v>1.005</v>
      </c>
      <c r="D7165" s="51">
        <v>65.0</v>
      </c>
      <c r="E7165" s="52" t="s">
        <v>25</v>
      </c>
      <c r="F7165" s="52" t="s">
        <v>26</v>
      </c>
      <c r="G7165" s="53"/>
    </row>
    <row r="7166">
      <c r="A7166" s="49">
        <v>44588.33074844907</v>
      </c>
      <c r="B7166" s="50">
        <v>44588.4556766666</v>
      </c>
      <c r="C7166" s="51">
        <v>1.005</v>
      </c>
      <c r="D7166" s="51">
        <v>65.0</v>
      </c>
      <c r="E7166" s="52" t="s">
        <v>25</v>
      </c>
      <c r="F7166" s="52" t="s">
        <v>26</v>
      </c>
      <c r="G7166" s="53"/>
    </row>
    <row r="7167">
      <c r="A7167" s="49">
        <v>44588.34112640047</v>
      </c>
      <c r="B7167" s="50">
        <v>44588.4660969097</v>
      </c>
      <c r="C7167" s="51">
        <v>1.005</v>
      </c>
      <c r="D7167" s="51">
        <v>64.0</v>
      </c>
      <c r="E7167" s="52" t="s">
        <v>25</v>
      </c>
      <c r="F7167" s="52" t="s">
        <v>26</v>
      </c>
      <c r="G7167" s="53"/>
    </row>
    <row r="7168">
      <c r="A7168" s="49">
        <v>44588.351606805554</v>
      </c>
      <c r="B7168" s="50">
        <v>44588.4765762268</v>
      </c>
      <c r="C7168" s="51">
        <v>1.005</v>
      </c>
      <c r="D7168" s="51">
        <v>64.0</v>
      </c>
      <c r="E7168" s="52" t="s">
        <v>25</v>
      </c>
      <c r="F7168" s="52" t="s">
        <v>26</v>
      </c>
      <c r="G7168" s="53"/>
    </row>
    <row r="7169">
      <c r="A7169" s="49">
        <v>44588.362040775464</v>
      </c>
      <c r="B7169" s="50">
        <v>44588.4870089583</v>
      </c>
      <c r="C7169" s="51">
        <v>1.005</v>
      </c>
      <c r="D7169" s="51">
        <v>64.0</v>
      </c>
      <c r="E7169" s="52" t="s">
        <v>25</v>
      </c>
      <c r="F7169" s="52" t="s">
        <v>26</v>
      </c>
      <c r="G7169" s="53"/>
    </row>
    <row r="7170">
      <c r="A7170" s="49">
        <v>44588.372458645834</v>
      </c>
      <c r="B7170" s="50">
        <v>44588.4974291087</v>
      </c>
      <c r="C7170" s="51">
        <v>1.005</v>
      </c>
      <c r="D7170" s="51">
        <v>64.0</v>
      </c>
      <c r="E7170" s="52" t="s">
        <v>25</v>
      </c>
      <c r="F7170" s="52" t="s">
        <v>26</v>
      </c>
      <c r="G7170" s="53"/>
    </row>
    <row r="7171">
      <c r="A7171" s="49">
        <v>44588.38291396991</v>
      </c>
      <c r="B7171" s="50">
        <v>44588.507885162</v>
      </c>
      <c r="C7171" s="51">
        <v>1.005</v>
      </c>
      <c r="D7171" s="51">
        <v>64.0</v>
      </c>
      <c r="E7171" s="52" t="s">
        <v>25</v>
      </c>
      <c r="F7171" s="52" t="s">
        <v>26</v>
      </c>
      <c r="G7171" s="53"/>
    </row>
    <row r="7172">
      <c r="A7172" s="49">
        <v>44588.39334537037</v>
      </c>
      <c r="B7172" s="50">
        <v>44588.5183183796</v>
      </c>
      <c r="C7172" s="51">
        <v>1.005</v>
      </c>
      <c r="D7172" s="51">
        <v>64.0</v>
      </c>
      <c r="E7172" s="52" t="s">
        <v>25</v>
      </c>
      <c r="F7172" s="52" t="s">
        <v>26</v>
      </c>
      <c r="G7172" s="53"/>
    </row>
    <row r="7173">
      <c r="A7173" s="49">
        <v>44588.40380359953</v>
      </c>
      <c r="B7173" s="50">
        <v>44588.5287642013</v>
      </c>
      <c r="C7173" s="51">
        <v>1.005</v>
      </c>
      <c r="D7173" s="51">
        <v>64.0</v>
      </c>
      <c r="E7173" s="52" t="s">
        <v>25</v>
      </c>
      <c r="F7173" s="52" t="s">
        <v>26</v>
      </c>
      <c r="G7173" s="53"/>
    </row>
    <row r="7174">
      <c r="A7174" s="49">
        <v>44588.414209525465</v>
      </c>
      <c r="B7174" s="50">
        <v>44588.5391863194</v>
      </c>
      <c r="C7174" s="51">
        <v>1.005</v>
      </c>
      <c r="D7174" s="51">
        <v>64.0</v>
      </c>
      <c r="E7174" s="52" t="s">
        <v>25</v>
      </c>
      <c r="F7174" s="52" t="s">
        <v>26</v>
      </c>
      <c r="G7174" s="53"/>
    </row>
    <row r="7175">
      <c r="A7175" s="49">
        <v>44588.42464650463</v>
      </c>
      <c r="B7175" s="50">
        <v>44588.5496193171</v>
      </c>
      <c r="C7175" s="51">
        <v>1.005</v>
      </c>
      <c r="D7175" s="51">
        <v>64.0</v>
      </c>
      <c r="E7175" s="52" t="s">
        <v>25</v>
      </c>
      <c r="F7175" s="52" t="s">
        <v>26</v>
      </c>
      <c r="G7175" s="53"/>
    </row>
    <row r="7176">
      <c r="A7176" s="49">
        <v>44588.43506173611</v>
      </c>
      <c r="B7176" s="50">
        <v>44588.5600407523</v>
      </c>
      <c r="C7176" s="51">
        <v>1.005</v>
      </c>
      <c r="D7176" s="51">
        <v>64.0</v>
      </c>
      <c r="E7176" s="52" t="s">
        <v>25</v>
      </c>
      <c r="F7176" s="52" t="s">
        <v>26</v>
      </c>
      <c r="G7176" s="53"/>
    </row>
    <row r="7177">
      <c r="A7177" s="49">
        <v>44588.44550482639</v>
      </c>
      <c r="B7177" s="50">
        <v>44588.5704736342</v>
      </c>
      <c r="C7177" s="51">
        <v>1.005</v>
      </c>
      <c r="D7177" s="51">
        <v>64.0</v>
      </c>
      <c r="E7177" s="52" t="s">
        <v>25</v>
      </c>
      <c r="F7177" s="52" t="s">
        <v>26</v>
      </c>
      <c r="G7177" s="53"/>
    </row>
    <row r="7178">
      <c r="A7178" s="49">
        <v>44588.45592059028</v>
      </c>
      <c r="B7178" s="50">
        <v>44588.5808946064</v>
      </c>
      <c r="C7178" s="51">
        <v>1.005</v>
      </c>
      <c r="D7178" s="51">
        <v>64.0</v>
      </c>
      <c r="E7178" s="52" t="s">
        <v>25</v>
      </c>
      <c r="F7178" s="52" t="s">
        <v>26</v>
      </c>
      <c r="G7178" s="53"/>
    </row>
    <row r="7179">
      <c r="A7179" s="49">
        <v>44588.466340451385</v>
      </c>
      <c r="B7179" s="50">
        <v>44588.591315</v>
      </c>
      <c r="C7179" s="51">
        <v>1.005</v>
      </c>
      <c r="D7179" s="51">
        <v>64.0</v>
      </c>
      <c r="E7179" s="52" t="s">
        <v>25</v>
      </c>
      <c r="F7179" s="52" t="s">
        <v>26</v>
      </c>
      <c r="G7179" s="53"/>
    </row>
    <row r="7180">
      <c r="A7180" s="49">
        <v>44588.47676934028</v>
      </c>
      <c r="B7180" s="50">
        <v>44588.6017471064</v>
      </c>
      <c r="C7180" s="51">
        <v>1.005</v>
      </c>
      <c r="D7180" s="51">
        <v>64.0</v>
      </c>
      <c r="E7180" s="52" t="s">
        <v>25</v>
      </c>
      <c r="F7180" s="52" t="s">
        <v>26</v>
      </c>
      <c r="G7180" s="53"/>
    </row>
    <row r="7181">
      <c r="A7181" s="49">
        <v>44588.48722572917</v>
      </c>
      <c r="B7181" s="50">
        <v>44588.612204155</v>
      </c>
      <c r="C7181" s="51">
        <v>1.005</v>
      </c>
      <c r="D7181" s="51">
        <v>64.0</v>
      </c>
      <c r="E7181" s="52" t="s">
        <v>25</v>
      </c>
      <c r="F7181" s="52" t="s">
        <v>26</v>
      </c>
      <c r="G7181" s="53"/>
    </row>
    <row r="7182">
      <c r="A7182" s="49">
        <v>44588.49765907407</v>
      </c>
      <c r="B7182" s="50">
        <v>44588.6226365972</v>
      </c>
      <c r="C7182" s="51">
        <v>1.005</v>
      </c>
      <c r="D7182" s="51">
        <v>64.0</v>
      </c>
      <c r="E7182" s="52" t="s">
        <v>25</v>
      </c>
      <c r="F7182" s="52" t="s">
        <v>26</v>
      </c>
      <c r="G7182" s="53"/>
    </row>
    <row r="7183">
      <c r="A7183" s="49">
        <v>44588.50808663195</v>
      </c>
      <c r="B7183" s="50">
        <v>44588.6330581944</v>
      </c>
      <c r="C7183" s="51">
        <v>1.005</v>
      </c>
      <c r="D7183" s="51">
        <v>64.0</v>
      </c>
      <c r="E7183" s="52" t="s">
        <v>25</v>
      </c>
      <c r="F7183" s="52" t="s">
        <v>26</v>
      </c>
      <c r="G7183" s="53"/>
    </row>
    <row r="7184">
      <c r="A7184" s="49">
        <v>44588.518533229166</v>
      </c>
      <c r="B7184" s="50">
        <v>44588.6435035648</v>
      </c>
      <c r="C7184" s="51">
        <v>1.005</v>
      </c>
      <c r="D7184" s="51">
        <v>64.0</v>
      </c>
      <c r="E7184" s="52" t="s">
        <v>25</v>
      </c>
      <c r="F7184" s="52" t="s">
        <v>26</v>
      </c>
      <c r="G7184" s="53"/>
    </row>
    <row r="7185">
      <c r="A7185" s="49">
        <v>44588.52895277778</v>
      </c>
      <c r="B7185" s="50">
        <v>44588.6539234259</v>
      </c>
      <c r="C7185" s="51">
        <v>1.005</v>
      </c>
      <c r="D7185" s="51">
        <v>64.0</v>
      </c>
      <c r="E7185" s="52" t="s">
        <v>25</v>
      </c>
      <c r="F7185" s="52" t="s">
        <v>26</v>
      </c>
      <c r="G7185" s="53"/>
    </row>
    <row r="7186">
      <c r="A7186" s="49">
        <v>44588.53937642361</v>
      </c>
      <c r="B7186" s="50">
        <v>44588.6643473958</v>
      </c>
      <c r="C7186" s="51">
        <v>1.005</v>
      </c>
      <c r="D7186" s="51">
        <v>64.0</v>
      </c>
      <c r="E7186" s="52" t="s">
        <v>25</v>
      </c>
      <c r="F7186" s="52" t="s">
        <v>26</v>
      </c>
      <c r="G7186" s="53"/>
    </row>
    <row r="7187">
      <c r="A7187" s="49">
        <v>44588.549795196755</v>
      </c>
      <c r="B7187" s="50">
        <v>44588.6747685069</v>
      </c>
      <c r="C7187" s="51">
        <v>1.005</v>
      </c>
      <c r="D7187" s="51">
        <v>64.0</v>
      </c>
      <c r="E7187" s="52" t="s">
        <v>25</v>
      </c>
      <c r="F7187" s="52" t="s">
        <v>26</v>
      </c>
      <c r="G7187" s="53"/>
    </row>
    <row r="7188">
      <c r="A7188" s="49">
        <v>44588.56022168981</v>
      </c>
      <c r="B7188" s="50">
        <v>44588.6851908564</v>
      </c>
      <c r="C7188" s="51">
        <v>1.005</v>
      </c>
      <c r="D7188" s="51">
        <v>64.0</v>
      </c>
      <c r="E7188" s="52" t="s">
        <v>25</v>
      </c>
      <c r="F7188" s="52" t="s">
        <v>26</v>
      </c>
      <c r="G7188" s="53"/>
    </row>
    <row r="7189">
      <c r="A7189" s="49">
        <v>44588.57064230324</v>
      </c>
      <c r="B7189" s="50">
        <v>44588.6956120486</v>
      </c>
      <c r="C7189" s="51">
        <v>1.005</v>
      </c>
      <c r="D7189" s="51">
        <v>64.0</v>
      </c>
      <c r="E7189" s="52" t="s">
        <v>25</v>
      </c>
      <c r="F7189" s="52" t="s">
        <v>26</v>
      </c>
      <c r="G7189" s="53"/>
    </row>
    <row r="7190">
      <c r="A7190" s="49">
        <v>44588.58106243056</v>
      </c>
      <c r="B7190" s="50">
        <v>44588.7060430092</v>
      </c>
      <c r="C7190" s="51">
        <v>1.005</v>
      </c>
      <c r="D7190" s="51">
        <v>64.0</v>
      </c>
      <c r="E7190" s="52" t="s">
        <v>25</v>
      </c>
      <c r="F7190" s="52" t="s">
        <v>26</v>
      </c>
      <c r="G7190" s="53"/>
    </row>
    <row r="7191">
      <c r="A7191" s="49">
        <v>44588.59149141204</v>
      </c>
      <c r="B7191" s="50">
        <v>44588.7164645717</v>
      </c>
      <c r="C7191" s="51">
        <v>1.005</v>
      </c>
      <c r="D7191" s="51">
        <v>64.0</v>
      </c>
      <c r="E7191" s="52" t="s">
        <v>25</v>
      </c>
      <c r="F7191" s="52" t="s">
        <v>26</v>
      </c>
      <c r="G7191" s="53"/>
    </row>
    <row r="7192">
      <c r="A7192" s="49">
        <v>44588.60191262732</v>
      </c>
      <c r="B7192" s="50">
        <v>44588.726887037</v>
      </c>
      <c r="C7192" s="51">
        <v>1.005</v>
      </c>
      <c r="D7192" s="51">
        <v>64.0</v>
      </c>
      <c r="E7192" s="52" t="s">
        <v>25</v>
      </c>
      <c r="F7192" s="52" t="s">
        <v>26</v>
      </c>
      <c r="G7192" s="53"/>
    </row>
    <row r="7193">
      <c r="A7193" s="49">
        <v>44588.61233618055</v>
      </c>
      <c r="B7193" s="50">
        <v>44588.737308125</v>
      </c>
      <c r="C7193" s="51">
        <v>1.005</v>
      </c>
      <c r="D7193" s="51">
        <v>64.0</v>
      </c>
      <c r="E7193" s="52" t="s">
        <v>25</v>
      </c>
      <c r="F7193" s="52" t="s">
        <v>26</v>
      </c>
      <c r="G7193" s="53"/>
    </row>
    <row r="7194">
      <c r="A7194" s="49">
        <v>44588.62275101852</v>
      </c>
      <c r="B7194" s="50">
        <v>44588.7477311805</v>
      </c>
      <c r="C7194" s="51">
        <v>1.005</v>
      </c>
      <c r="D7194" s="51">
        <v>64.0</v>
      </c>
      <c r="E7194" s="52" t="s">
        <v>25</v>
      </c>
      <c r="F7194" s="52" t="s">
        <v>26</v>
      </c>
      <c r="G7194" s="53"/>
    </row>
    <row r="7195">
      <c r="A7195" s="49">
        <v>44588.633190821754</v>
      </c>
      <c r="B7195" s="50">
        <v>44588.7581642361</v>
      </c>
      <c r="C7195" s="51">
        <v>1.005</v>
      </c>
      <c r="D7195" s="51">
        <v>64.0</v>
      </c>
      <c r="E7195" s="52" t="s">
        <v>25</v>
      </c>
      <c r="F7195" s="52" t="s">
        <v>26</v>
      </c>
      <c r="G7195" s="53"/>
    </row>
    <row r="7196">
      <c r="A7196" s="49">
        <v>44588.64362534722</v>
      </c>
      <c r="B7196" s="50">
        <v>44588.7685963657</v>
      </c>
      <c r="C7196" s="51">
        <v>1.005</v>
      </c>
      <c r="D7196" s="51">
        <v>64.0</v>
      </c>
      <c r="E7196" s="52" t="s">
        <v>25</v>
      </c>
      <c r="F7196" s="52" t="s">
        <v>26</v>
      </c>
      <c r="G7196" s="53"/>
    </row>
    <row r="7197">
      <c r="A7197" s="49">
        <v>44588.654045347226</v>
      </c>
      <c r="B7197" s="50">
        <v>44588.7790185879</v>
      </c>
      <c r="C7197" s="51">
        <v>1.005</v>
      </c>
      <c r="D7197" s="51">
        <v>64.0</v>
      </c>
      <c r="E7197" s="52" t="s">
        <v>25</v>
      </c>
      <c r="F7197" s="52" t="s">
        <v>26</v>
      </c>
      <c r="G7197" s="53"/>
    </row>
    <row r="7198">
      <c r="A7198" s="49">
        <v>44588.664478182865</v>
      </c>
      <c r="B7198" s="50">
        <v>44588.7894499074</v>
      </c>
      <c r="C7198" s="51">
        <v>1.005</v>
      </c>
      <c r="D7198" s="51">
        <v>64.0</v>
      </c>
      <c r="E7198" s="52" t="s">
        <v>25</v>
      </c>
      <c r="F7198" s="52" t="s">
        <v>26</v>
      </c>
      <c r="G7198" s="53"/>
    </row>
    <row r="7199">
      <c r="A7199" s="49">
        <v>44588.67491162037</v>
      </c>
      <c r="B7199" s="50">
        <v>44588.7998836458</v>
      </c>
      <c r="C7199" s="51">
        <v>1.005</v>
      </c>
      <c r="D7199" s="51">
        <v>63.0</v>
      </c>
      <c r="E7199" s="52" t="s">
        <v>25</v>
      </c>
      <c r="F7199" s="52" t="s">
        <v>26</v>
      </c>
      <c r="G7199" s="53"/>
    </row>
    <row r="7200">
      <c r="A7200" s="49">
        <v>44588.68533061343</v>
      </c>
      <c r="B7200" s="50">
        <v>44588.8103045138</v>
      </c>
      <c r="C7200" s="51">
        <v>1.005</v>
      </c>
      <c r="D7200" s="51">
        <v>63.0</v>
      </c>
      <c r="E7200" s="52" t="s">
        <v>25</v>
      </c>
      <c r="F7200" s="52" t="s">
        <v>26</v>
      </c>
      <c r="G7200" s="53"/>
    </row>
    <row r="7201">
      <c r="A7201" s="49">
        <v>44588.69577760417</v>
      </c>
      <c r="B7201" s="50">
        <v>44588.8207497222</v>
      </c>
      <c r="C7201" s="51">
        <v>1.005</v>
      </c>
      <c r="D7201" s="51">
        <v>63.0</v>
      </c>
      <c r="E7201" s="52" t="s">
        <v>25</v>
      </c>
      <c r="F7201" s="52" t="s">
        <v>26</v>
      </c>
      <c r="G7201" s="53"/>
    </row>
    <row r="7202">
      <c r="A7202" s="49">
        <v>44588.706193125</v>
      </c>
      <c r="B7202" s="50">
        <v>44588.8311718865</v>
      </c>
      <c r="C7202" s="51">
        <v>1.005</v>
      </c>
      <c r="D7202" s="51">
        <v>63.0</v>
      </c>
      <c r="E7202" s="52" t="s">
        <v>25</v>
      </c>
      <c r="F7202" s="52" t="s">
        <v>26</v>
      </c>
      <c r="G7202" s="53"/>
    </row>
    <row r="7203">
      <c r="A7203" s="49">
        <v>44588.71662412037</v>
      </c>
      <c r="B7203" s="50">
        <v>44588.8415922222</v>
      </c>
      <c r="C7203" s="51">
        <v>1.005</v>
      </c>
      <c r="D7203" s="51">
        <v>63.0</v>
      </c>
      <c r="E7203" s="52" t="s">
        <v>25</v>
      </c>
      <c r="F7203" s="52" t="s">
        <v>26</v>
      </c>
      <c r="G7203" s="53"/>
    </row>
    <row r="7204">
      <c r="A7204" s="49">
        <v>44588.72703761574</v>
      </c>
      <c r="B7204" s="50">
        <v>44588.8520145138</v>
      </c>
      <c r="C7204" s="51">
        <v>1.005</v>
      </c>
      <c r="D7204" s="51">
        <v>63.0</v>
      </c>
      <c r="E7204" s="52" t="s">
        <v>25</v>
      </c>
      <c r="F7204" s="52" t="s">
        <v>26</v>
      </c>
      <c r="G7204" s="53"/>
    </row>
    <row r="7205">
      <c r="A7205" s="49">
        <v>44588.73747015046</v>
      </c>
      <c r="B7205" s="50">
        <v>44588.8624457523</v>
      </c>
      <c r="C7205" s="51">
        <v>1.005</v>
      </c>
      <c r="D7205" s="51">
        <v>63.0</v>
      </c>
      <c r="E7205" s="52" t="s">
        <v>25</v>
      </c>
      <c r="F7205" s="52" t="s">
        <v>26</v>
      </c>
      <c r="G7205" s="53"/>
    </row>
    <row r="7206">
      <c r="A7206" s="49">
        <v>44588.74792945602</v>
      </c>
      <c r="B7206" s="50">
        <v>44588.8729036689</v>
      </c>
      <c r="C7206" s="51">
        <v>1.005</v>
      </c>
      <c r="D7206" s="51">
        <v>63.0</v>
      </c>
      <c r="E7206" s="52" t="s">
        <v>25</v>
      </c>
      <c r="F7206" s="52" t="s">
        <v>26</v>
      </c>
      <c r="G7206" s="53"/>
    </row>
    <row r="7207">
      <c r="A7207" s="49">
        <v>44588.75836930556</v>
      </c>
      <c r="B7207" s="50">
        <v>44588.8833363194</v>
      </c>
      <c r="C7207" s="51">
        <v>1.005</v>
      </c>
      <c r="D7207" s="51">
        <v>63.0</v>
      </c>
      <c r="E7207" s="52" t="s">
        <v>25</v>
      </c>
      <c r="F7207" s="52" t="s">
        <v>26</v>
      </c>
      <c r="G7207" s="53"/>
    </row>
    <row r="7208">
      <c r="A7208" s="49">
        <v>44588.76880508102</v>
      </c>
      <c r="B7208" s="50">
        <v>44588.8937687731</v>
      </c>
      <c r="C7208" s="51">
        <v>1.005</v>
      </c>
      <c r="D7208" s="51">
        <v>63.0</v>
      </c>
      <c r="E7208" s="52" t="s">
        <v>25</v>
      </c>
      <c r="F7208" s="52" t="s">
        <v>26</v>
      </c>
      <c r="G7208" s="53"/>
    </row>
    <row r="7209">
      <c r="A7209" s="49">
        <v>44588.779209872686</v>
      </c>
      <c r="B7209" s="50">
        <v>44588.9041903472</v>
      </c>
      <c r="C7209" s="51">
        <v>1.005</v>
      </c>
      <c r="D7209" s="51">
        <v>63.0</v>
      </c>
      <c r="E7209" s="52" t="s">
        <v>25</v>
      </c>
      <c r="F7209" s="52" t="s">
        <v>26</v>
      </c>
      <c r="G7209" s="53"/>
    </row>
    <row r="7210">
      <c r="A7210" s="49">
        <v>44588.78964274305</v>
      </c>
      <c r="B7210" s="50">
        <v>44588.9146131249</v>
      </c>
      <c r="C7210" s="51">
        <v>1.005</v>
      </c>
      <c r="D7210" s="51">
        <v>63.0</v>
      </c>
      <c r="E7210" s="52" t="s">
        <v>25</v>
      </c>
      <c r="F7210" s="52" t="s">
        <v>26</v>
      </c>
      <c r="G7210" s="53"/>
    </row>
    <row r="7211">
      <c r="A7211" s="49">
        <v>44588.80008256945</v>
      </c>
      <c r="B7211" s="50">
        <v>44588.9250574768</v>
      </c>
      <c r="C7211" s="51">
        <v>1.005</v>
      </c>
      <c r="D7211" s="51">
        <v>63.0</v>
      </c>
      <c r="E7211" s="52" t="s">
        <v>25</v>
      </c>
      <c r="F7211" s="52" t="s">
        <v>26</v>
      </c>
      <c r="G7211" s="53"/>
    </row>
    <row r="7212">
      <c r="A7212" s="49">
        <v>44588.81051414352</v>
      </c>
      <c r="B7212" s="50">
        <v>44588.9354905439</v>
      </c>
      <c r="C7212" s="51">
        <v>1.005</v>
      </c>
      <c r="D7212" s="51">
        <v>63.0</v>
      </c>
      <c r="E7212" s="52" t="s">
        <v>25</v>
      </c>
      <c r="F7212" s="52" t="s">
        <v>26</v>
      </c>
      <c r="G7212" s="53"/>
    </row>
    <row r="7213">
      <c r="A7213" s="49">
        <v>44588.82093717593</v>
      </c>
      <c r="B7213" s="50">
        <v>44588.9459118865</v>
      </c>
      <c r="C7213" s="51">
        <v>1.005</v>
      </c>
      <c r="D7213" s="51">
        <v>63.0</v>
      </c>
      <c r="E7213" s="52" t="s">
        <v>25</v>
      </c>
      <c r="F7213" s="52" t="s">
        <v>26</v>
      </c>
      <c r="G7213" s="53"/>
    </row>
    <row r="7214">
      <c r="A7214" s="49">
        <v>44588.83136214121</v>
      </c>
      <c r="B7214" s="50">
        <v>44588.9563341087</v>
      </c>
      <c r="C7214" s="51">
        <v>1.005</v>
      </c>
      <c r="D7214" s="51">
        <v>63.0</v>
      </c>
      <c r="E7214" s="52" t="s">
        <v>25</v>
      </c>
      <c r="F7214" s="52" t="s">
        <v>26</v>
      </c>
      <c r="G7214" s="53"/>
    </row>
    <row r="7215">
      <c r="A7215" s="49">
        <v>44588.84187417824</v>
      </c>
      <c r="B7215" s="50">
        <v>44588.9668376736</v>
      </c>
      <c r="C7215" s="51">
        <v>1.005</v>
      </c>
      <c r="D7215" s="51">
        <v>63.0</v>
      </c>
      <c r="E7215" s="52" t="s">
        <v>25</v>
      </c>
      <c r="F7215" s="52" t="s">
        <v>26</v>
      </c>
      <c r="G7215" s="53"/>
    </row>
    <row r="7216">
      <c r="A7216" s="49">
        <v>44588.85230210648</v>
      </c>
      <c r="B7216" s="50">
        <v>44588.9772713888</v>
      </c>
      <c r="C7216" s="51">
        <v>1.005</v>
      </c>
      <c r="D7216" s="51">
        <v>63.0</v>
      </c>
      <c r="E7216" s="52" t="s">
        <v>25</v>
      </c>
      <c r="F7216" s="52" t="s">
        <v>26</v>
      </c>
      <c r="G7216" s="53"/>
    </row>
    <row r="7217">
      <c r="A7217" s="49">
        <v>44588.86271336806</v>
      </c>
      <c r="B7217" s="50">
        <v>44588.9876919675</v>
      </c>
      <c r="C7217" s="51">
        <v>1.005</v>
      </c>
      <c r="D7217" s="51">
        <v>63.0</v>
      </c>
      <c r="E7217" s="52" t="s">
        <v>25</v>
      </c>
      <c r="F7217" s="52" t="s">
        <v>26</v>
      </c>
      <c r="G7217" s="53"/>
    </row>
    <row r="7218">
      <c r="A7218" s="49">
        <v>44588.87314675926</v>
      </c>
      <c r="B7218" s="50">
        <v>44588.9981147222</v>
      </c>
      <c r="C7218" s="51">
        <v>1.005</v>
      </c>
      <c r="D7218" s="51">
        <v>63.0</v>
      </c>
      <c r="E7218" s="52" t="s">
        <v>25</v>
      </c>
      <c r="F7218" s="52" t="s">
        <v>26</v>
      </c>
      <c r="G7218" s="53"/>
    </row>
    <row r="7219">
      <c r="A7219" s="49">
        <v>44588.88356732639</v>
      </c>
      <c r="B7219" s="50">
        <v>44589.0085363773</v>
      </c>
      <c r="C7219" s="51">
        <v>1.005</v>
      </c>
      <c r="D7219" s="51">
        <v>63.0</v>
      </c>
      <c r="E7219" s="52" t="s">
        <v>25</v>
      </c>
      <c r="F7219" s="52" t="s">
        <v>26</v>
      </c>
      <c r="G7219" s="53"/>
    </row>
    <row r="7220">
      <c r="A7220" s="49">
        <v>44588.89398792824</v>
      </c>
      <c r="B7220" s="50">
        <v>44589.0189580092</v>
      </c>
      <c r="C7220" s="51">
        <v>1.005</v>
      </c>
      <c r="D7220" s="51">
        <v>63.0</v>
      </c>
      <c r="E7220" s="52" t="s">
        <v>25</v>
      </c>
      <c r="F7220" s="52" t="s">
        <v>26</v>
      </c>
      <c r="G7220" s="53"/>
    </row>
    <row r="7221">
      <c r="A7221" s="49">
        <v>44588.90515025463</v>
      </c>
      <c r="B7221" s="50">
        <v>44589.0293786226</v>
      </c>
      <c r="C7221" s="51">
        <v>1.005</v>
      </c>
      <c r="D7221" s="51">
        <v>63.0</v>
      </c>
      <c r="E7221" s="52" t="s">
        <v>25</v>
      </c>
      <c r="F7221" s="52" t="s">
        <v>26</v>
      </c>
      <c r="G7221" s="53"/>
    </row>
    <row r="7222">
      <c r="A7222" s="49">
        <v>44588.91482685185</v>
      </c>
      <c r="B7222" s="50">
        <v>44589.0397985185</v>
      </c>
      <c r="C7222" s="51">
        <v>1.005</v>
      </c>
      <c r="D7222" s="51">
        <v>63.0</v>
      </c>
      <c r="E7222" s="52" t="s">
        <v>25</v>
      </c>
      <c r="F7222" s="52" t="s">
        <v>26</v>
      </c>
      <c r="G7222" s="53"/>
    </row>
    <row r="7223">
      <c r="A7223" s="49">
        <v>44588.92531363426</v>
      </c>
      <c r="B7223" s="50">
        <v>44589.0502889583</v>
      </c>
      <c r="C7223" s="51">
        <v>1.005</v>
      </c>
      <c r="D7223" s="51">
        <v>63.0</v>
      </c>
      <c r="E7223" s="52" t="s">
        <v>25</v>
      </c>
      <c r="F7223" s="52" t="s">
        <v>26</v>
      </c>
      <c r="G7223" s="53"/>
    </row>
    <row r="7224">
      <c r="A7224" s="49">
        <v>44588.93575005787</v>
      </c>
      <c r="B7224" s="50">
        <v>44589.0607214699</v>
      </c>
      <c r="C7224" s="51">
        <v>1.005</v>
      </c>
      <c r="D7224" s="51">
        <v>63.0</v>
      </c>
      <c r="E7224" s="52" t="s">
        <v>25</v>
      </c>
      <c r="F7224" s="52" t="s">
        <v>26</v>
      </c>
      <c r="G7224" s="53"/>
    </row>
    <row r="7225">
      <c r="A7225" s="49">
        <v>44588.94618585648</v>
      </c>
      <c r="B7225" s="50">
        <v>44589.0711557175</v>
      </c>
      <c r="C7225" s="51">
        <v>1.005</v>
      </c>
      <c r="D7225" s="51">
        <v>63.0</v>
      </c>
      <c r="E7225" s="52" t="s">
        <v>25</v>
      </c>
      <c r="F7225" s="52" t="s">
        <v>26</v>
      </c>
      <c r="G7225" s="53"/>
    </row>
    <row r="7226">
      <c r="A7226" s="49">
        <v>44588.95660064815</v>
      </c>
      <c r="B7226" s="50">
        <v>44589.081576655</v>
      </c>
      <c r="C7226" s="51">
        <v>1.005</v>
      </c>
      <c r="D7226" s="51">
        <v>63.0</v>
      </c>
      <c r="E7226" s="52" t="s">
        <v>25</v>
      </c>
      <c r="F7226" s="52" t="s">
        <v>26</v>
      </c>
      <c r="G7226" s="53"/>
    </row>
    <row r="7227">
      <c r="A7227" s="49">
        <v>44588.967026620376</v>
      </c>
      <c r="B7227" s="50">
        <v>44589.0919972222</v>
      </c>
      <c r="C7227" s="51">
        <v>1.005</v>
      </c>
      <c r="D7227" s="51">
        <v>63.0</v>
      </c>
      <c r="E7227" s="52" t="s">
        <v>25</v>
      </c>
      <c r="F7227" s="52" t="s">
        <v>26</v>
      </c>
      <c r="G7227" s="53"/>
    </row>
    <row r="7228">
      <c r="A7228" s="49">
        <v>44588.97747409722</v>
      </c>
      <c r="B7228" s="50">
        <v>44589.1024420833</v>
      </c>
      <c r="C7228" s="51">
        <v>1.005</v>
      </c>
      <c r="D7228" s="51">
        <v>63.0</v>
      </c>
      <c r="E7228" s="52" t="s">
        <v>25</v>
      </c>
      <c r="F7228" s="52" t="s">
        <v>26</v>
      </c>
      <c r="G7228" s="53"/>
    </row>
    <row r="7229">
      <c r="A7229" s="49">
        <v>44588.98791287037</v>
      </c>
      <c r="B7229" s="50">
        <v>44589.1128850462</v>
      </c>
      <c r="C7229" s="51">
        <v>1.005</v>
      </c>
      <c r="D7229" s="51">
        <v>63.0</v>
      </c>
      <c r="E7229" s="52" t="s">
        <v>25</v>
      </c>
      <c r="F7229" s="52" t="s">
        <v>26</v>
      </c>
      <c r="G7229" s="53"/>
    </row>
    <row r="7230">
      <c r="A7230" s="49">
        <v>44588.99835770833</v>
      </c>
      <c r="B7230" s="50">
        <v>44589.1233297222</v>
      </c>
      <c r="C7230" s="51">
        <v>1.005</v>
      </c>
      <c r="D7230" s="51">
        <v>63.0</v>
      </c>
      <c r="E7230" s="52" t="s">
        <v>25</v>
      </c>
      <c r="F7230" s="52" t="s">
        <v>26</v>
      </c>
      <c r="G7230" s="53"/>
    </row>
    <row r="7231">
      <c r="A7231" s="49">
        <v>44589.008775740745</v>
      </c>
      <c r="B7231" s="50">
        <v>44589.1337509143</v>
      </c>
      <c r="C7231" s="51">
        <v>1.005</v>
      </c>
      <c r="D7231" s="51">
        <v>63.0</v>
      </c>
      <c r="E7231" s="52" t="s">
        <v>25</v>
      </c>
      <c r="F7231" s="52" t="s">
        <v>26</v>
      </c>
      <c r="G7231" s="53"/>
    </row>
    <row r="7232">
      <c r="A7232" s="49">
        <v>44589.019198009264</v>
      </c>
      <c r="B7232" s="50">
        <v>44589.1441721064</v>
      </c>
      <c r="C7232" s="51">
        <v>1.005</v>
      </c>
      <c r="D7232" s="51">
        <v>63.0</v>
      </c>
      <c r="E7232" s="52" t="s">
        <v>25</v>
      </c>
      <c r="F7232" s="52" t="s">
        <v>26</v>
      </c>
      <c r="G7232" s="53"/>
    </row>
    <row r="7233">
      <c r="A7233" s="49">
        <v>44589.02962417824</v>
      </c>
      <c r="B7233" s="50">
        <v>44589.1545935532</v>
      </c>
      <c r="C7233" s="51">
        <v>1.005</v>
      </c>
      <c r="D7233" s="51">
        <v>63.0</v>
      </c>
      <c r="E7233" s="52" t="s">
        <v>25</v>
      </c>
      <c r="F7233" s="52" t="s">
        <v>26</v>
      </c>
      <c r="G7233" s="53"/>
    </row>
    <row r="7234">
      <c r="A7234" s="49">
        <v>44589.040044270834</v>
      </c>
      <c r="B7234" s="50">
        <v>44589.1650152777</v>
      </c>
      <c r="C7234" s="51">
        <v>1.005</v>
      </c>
      <c r="D7234" s="51">
        <v>63.0</v>
      </c>
      <c r="E7234" s="52" t="s">
        <v>25</v>
      </c>
      <c r="F7234" s="52" t="s">
        <v>26</v>
      </c>
      <c r="G7234" s="53"/>
    </row>
    <row r="7235">
      <c r="A7235" s="49">
        <v>44589.0505053125</v>
      </c>
      <c r="B7235" s="50">
        <v>44589.175484155</v>
      </c>
      <c r="C7235" s="51">
        <v>1.005</v>
      </c>
      <c r="D7235" s="51">
        <v>64.0</v>
      </c>
      <c r="E7235" s="52" t="s">
        <v>25</v>
      </c>
      <c r="F7235" s="52" t="s">
        <v>26</v>
      </c>
      <c r="G7235" s="53"/>
    </row>
    <row r="7236">
      <c r="A7236" s="49">
        <v>44589.06098912037</v>
      </c>
      <c r="B7236" s="50">
        <v>44589.185964456</v>
      </c>
      <c r="C7236" s="51">
        <v>1.005</v>
      </c>
      <c r="D7236" s="51">
        <v>64.0</v>
      </c>
      <c r="E7236" s="52" t="s">
        <v>25</v>
      </c>
      <c r="F7236" s="52" t="s">
        <v>26</v>
      </c>
      <c r="G7236" s="53"/>
    </row>
    <row r="7237">
      <c r="A7237" s="49">
        <v>44589.07141567129</v>
      </c>
      <c r="B7237" s="50">
        <v>44589.1963853009</v>
      </c>
      <c r="C7237" s="51">
        <v>1.004</v>
      </c>
      <c r="D7237" s="51">
        <v>65.0</v>
      </c>
      <c r="E7237" s="52" t="s">
        <v>25</v>
      </c>
      <c r="F7237" s="52" t="s">
        <v>26</v>
      </c>
      <c r="G7237" s="53"/>
    </row>
    <row r="7238">
      <c r="A7238" s="49">
        <v>44589.08191299769</v>
      </c>
      <c r="B7238" s="50">
        <v>44589.2068859027</v>
      </c>
      <c r="C7238" s="51">
        <v>1.005</v>
      </c>
      <c r="D7238" s="51">
        <v>65.0</v>
      </c>
      <c r="E7238" s="52" t="s">
        <v>25</v>
      </c>
      <c r="F7238" s="52" t="s">
        <v>26</v>
      </c>
      <c r="G7238" s="53"/>
    </row>
    <row r="7239">
      <c r="A7239" s="49">
        <v>44589.092326377315</v>
      </c>
      <c r="B7239" s="50">
        <v>44589.217306412</v>
      </c>
      <c r="C7239" s="51">
        <v>1.005</v>
      </c>
      <c r="D7239" s="51">
        <v>66.0</v>
      </c>
      <c r="E7239" s="52" t="s">
        <v>25</v>
      </c>
      <c r="F7239" s="52" t="s">
        <v>26</v>
      </c>
      <c r="G7239" s="53"/>
    </row>
    <row r="7240">
      <c r="A7240" s="49">
        <v>44589.102757256944</v>
      </c>
      <c r="B7240" s="50">
        <v>44589.2277275231</v>
      </c>
      <c r="C7240" s="51">
        <v>1.004</v>
      </c>
      <c r="D7240" s="51">
        <v>66.0</v>
      </c>
      <c r="E7240" s="52" t="s">
        <v>25</v>
      </c>
      <c r="F7240" s="52" t="s">
        <v>26</v>
      </c>
      <c r="G7240" s="53"/>
    </row>
    <row r="7241">
      <c r="A7241" s="49">
        <v>44589.11316864583</v>
      </c>
      <c r="B7241" s="50">
        <v>44589.2381479282</v>
      </c>
      <c r="C7241" s="51">
        <v>1.004</v>
      </c>
      <c r="D7241" s="51">
        <v>67.0</v>
      </c>
      <c r="E7241" s="52" t="s">
        <v>25</v>
      </c>
      <c r="F7241" s="52" t="s">
        <v>26</v>
      </c>
      <c r="G7241" s="53"/>
    </row>
    <row r="7242">
      <c r="A7242" s="49">
        <v>44589.123609965274</v>
      </c>
      <c r="B7242" s="50">
        <v>44589.2485706249</v>
      </c>
      <c r="C7242" s="51">
        <v>1.004</v>
      </c>
      <c r="D7242" s="51">
        <v>67.0</v>
      </c>
      <c r="E7242" s="52" t="s">
        <v>25</v>
      </c>
      <c r="F7242" s="52" t="s">
        <v>26</v>
      </c>
      <c r="G7242" s="53"/>
    </row>
    <row r="7243">
      <c r="A7243" s="49">
        <v>44589.134012442126</v>
      </c>
      <c r="B7243" s="50">
        <v>44589.2589935995</v>
      </c>
      <c r="C7243" s="51">
        <v>1.004</v>
      </c>
      <c r="D7243" s="51">
        <v>67.0</v>
      </c>
      <c r="E7243" s="52" t="s">
        <v>25</v>
      </c>
      <c r="F7243" s="52" t="s">
        <v>26</v>
      </c>
      <c r="G7243" s="53"/>
    </row>
    <row r="7244">
      <c r="A7244" s="49">
        <v>44589.14443907407</v>
      </c>
      <c r="B7244" s="50">
        <v>44589.2694128472</v>
      </c>
      <c r="C7244" s="51">
        <v>1.004</v>
      </c>
      <c r="D7244" s="51">
        <v>68.0</v>
      </c>
      <c r="E7244" s="52" t="s">
        <v>25</v>
      </c>
      <c r="F7244" s="52" t="s">
        <v>26</v>
      </c>
      <c r="G7244" s="53"/>
    </row>
    <row r="7245">
      <c r="A7245" s="49">
        <v>44589.15487133102</v>
      </c>
      <c r="B7245" s="50">
        <v>44589.2798453588</v>
      </c>
      <c r="C7245" s="51">
        <v>1.004</v>
      </c>
      <c r="D7245" s="51">
        <v>68.0</v>
      </c>
      <c r="E7245" s="52" t="s">
        <v>25</v>
      </c>
      <c r="F7245" s="52" t="s">
        <v>26</v>
      </c>
      <c r="G7245" s="53"/>
    </row>
    <row r="7246">
      <c r="A7246" s="49">
        <v>44589.16529335648</v>
      </c>
      <c r="B7246" s="50">
        <v>44589.2902654166</v>
      </c>
      <c r="C7246" s="51">
        <v>1.004</v>
      </c>
      <c r="D7246" s="51">
        <v>68.0</v>
      </c>
      <c r="E7246" s="52" t="s">
        <v>25</v>
      </c>
      <c r="F7246" s="52" t="s">
        <v>26</v>
      </c>
      <c r="G7246" s="53"/>
    </row>
    <row r="7247">
      <c r="A7247" s="49">
        <v>44589.17571688657</v>
      </c>
      <c r="B7247" s="50">
        <v>44589.3006872569</v>
      </c>
      <c r="C7247" s="51">
        <v>1.004</v>
      </c>
      <c r="D7247" s="51">
        <v>68.0</v>
      </c>
      <c r="E7247" s="52" t="s">
        <v>25</v>
      </c>
      <c r="F7247" s="52" t="s">
        <v>26</v>
      </c>
      <c r="G7247" s="53"/>
    </row>
    <row r="7248">
      <c r="A7248" s="49">
        <v>44589.186140798614</v>
      </c>
      <c r="B7248" s="50">
        <v>44589.3111200347</v>
      </c>
      <c r="C7248" s="51">
        <v>1.004</v>
      </c>
      <c r="D7248" s="51">
        <v>68.0</v>
      </c>
      <c r="E7248" s="52" t="s">
        <v>25</v>
      </c>
      <c r="F7248" s="52" t="s">
        <v>26</v>
      </c>
      <c r="G7248" s="53"/>
    </row>
    <row r="7249">
      <c r="A7249" s="49">
        <v>44589.19656957176</v>
      </c>
      <c r="B7249" s="50">
        <v>44589.321541331</v>
      </c>
      <c r="C7249" s="51">
        <v>1.004</v>
      </c>
      <c r="D7249" s="51">
        <v>68.0</v>
      </c>
      <c r="E7249" s="52" t="s">
        <v>25</v>
      </c>
      <c r="F7249" s="52" t="s">
        <v>26</v>
      </c>
      <c r="G7249" s="53"/>
    </row>
    <row r="7250">
      <c r="A7250" s="49">
        <v>44589.20701817129</v>
      </c>
      <c r="B7250" s="50">
        <v>44589.3319857175</v>
      </c>
      <c r="C7250" s="51">
        <v>1.004</v>
      </c>
      <c r="D7250" s="51">
        <v>68.0</v>
      </c>
      <c r="E7250" s="52" t="s">
        <v>25</v>
      </c>
      <c r="F7250" s="52" t="s">
        <v>26</v>
      </c>
      <c r="G7250" s="53"/>
    </row>
    <row r="7251">
      <c r="A7251" s="49">
        <v>44589.217427337964</v>
      </c>
      <c r="B7251" s="50">
        <v>44589.3424070601</v>
      </c>
      <c r="C7251" s="51">
        <v>1.005</v>
      </c>
      <c r="D7251" s="51">
        <v>68.0</v>
      </c>
      <c r="E7251" s="52" t="s">
        <v>25</v>
      </c>
      <c r="F7251" s="52" t="s">
        <v>26</v>
      </c>
      <c r="G7251" s="53"/>
    </row>
    <row r="7252">
      <c r="A7252" s="49">
        <v>44589.227871944444</v>
      </c>
      <c r="B7252" s="50">
        <v>44589.3528388425</v>
      </c>
      <c r="C7252" s="51">
        <v>1.004</v>
      </c>
      <c r="D7252" s="51">
        <v>68.0</v>
      </c>
      <c r="E7252" s="52" t="s">
        <v>25</v>
      </c>
      <c r="F7252" s="52" t="s">
        <v>26</v>
      </c>
      <c r="G7252" s="53"/>
    </row>
    <row r="7253">
      <c r="A7253" s="49">
        <v>44589.23828957176</v>
      </c>
      <c r="B7253" s="50">
        <v>44589.36325978</v>
      </c>
      <c r="C7253" s="51">
        <v>1.004</v>
      </c>
      <c r="D7253" s="51">
        <v>68.0</v>
      </c>
      <c r="E7253" s="52" t="s">
        <v>25</v>
      </c>
      <c r="F7253" s="52" t="s">
        <v>26</v>
      </c>
      <c r="G7253" s="53"/>
    </row>
    <row r="7254">
      <c r="A7254" s="49">
        <v>44589.24871947917</v>
      </c>
      <c r="B7254" s="50">
        <v>44589.3736925462</v>
      </c>
      <c r="C7254" s="51">
        <v>1.005</v>
      </c>
      <c r="D7254" s="51">
        <v>67.0</v>
      </c>
      <c r="E7254" s="52" t="s">
        <v>25</v>
      </c>
      <c r="F7254" s="52" t="s">
        <v>26</v>
      </c>
      <c r="G7254" s="53"/>
    </row>
    <row r="7255">
      <c r="A7255" s="49">
        <v>44589.25917780092</v>
      </c>
      <c r="B7255" s="50">
        <v>44589.3841585763</v>
      </c>
      <c r="C7255" s="51">
        <v>1.004</v>
      </c>
      <c r="D7255" s="51">
        <v>67.0</v>
      </c>
      <c r="E7255" s="52" t="s">
        <v>25</v>
      </c>
      <c r="F7255" s="52" t="s">
        <v>26</v>
      </c>
      <c r="G7255" s="53"/>
    </row>
    <row r="7256">
      <c r="A7256" s="49">
        <v>44589.26962396991</v>
      </c>
      <c r="B7256" s="50">
        <v>44589.3946026388</v>
      </c>
      <c r="C7256" s="51">
        <v>1.005</v>
      </c>
      <c r="D7256" s="51">
        <v>67.0</v>
      </c>
      <c r="E7256" s="52" t="s">
        <v>25</v>
      </c>
      <c r="F7256" s="52" t="s">
        <v>26</v>
      </c>
      <c r="G7256" s="53"/>
    </row>
    <row r="7257">
      <c r="A7257" s="49">
        <v>44589.28006476852</v>
      </c>
      <c r="B7257" s="50">
        <v>44589.4050372222</v>
      </c>
      <c r="C7257" s="51">
        <v>1.004</v>
      </c>
      <c r="D7257" s="51">
        <v>67.0</v>
      </c>
      <c r="E7257" s="52" t="s">
        <v>25</v>
      </c>
      <c r="F7257" s="52" t="s">
        <v>26</v>
      </c>
      <c r="G7257" s="53"/>
    </row>
    <row r="7258">
      <c r="A7258" s="49">
        <v>44589.29052570602</v>
      </c>
      <c r="B7258" s="50">
        <v>44589.4154595717</v>
      </c>
      <c r="C7258" s="51">
        <v>1.005</v>
      </c>
      <c r="D7258" s="51">
        <v>67.0</v>
      </c>
      <c r="E7258" s="52" t="s">
        <v>25</v>
      </c>
      <c r="F7258" s="52" t="s">
        <v>26</v>
      </c>
      <c r="G7258" s="53"/>
    </row>
    <row r="7259">
      <c r="A7259" s="49">
        <v>44589.300914328705</v>
      </c>
      <c r="B7259" s="50">
        <v>44589.4258824652</v>
      </c>
      <c r="C7259" s="51">
        <v>1.005</v>
      </c>
      <c r="D7259" s="51">
        <v>67.0</v>
      </c>
      <c r="E7259" s="52" t="s">
        <v>25</v>
      </c>
      <c r="F7259" s="52" t="s">
        <v>26</v>
      </c>
      <c r="G7259" s="53"/>
    </row>
    <row r="7260">
      <c r="A7260" s="49">
        <v>44589.31134478009</v>
      </c>
      <c r="B7260" s="50">
        <v>44589.4363160879</v>
      </c>
      <c r="C7260" s="51">
        <v>1.004</v>
      </c>
      <c r="D7260" s="51">
        <v>67.0</v>
      </c>
      <c r="E7260" s="52" t="s">
        <v>25</v>
      </c>
      <c r="F7260" s="52" t="s">
        <v>26</v>
      </c>
      <c r="G7260" s="53"/>
    </row>
    <row r="7261">
      <c r="A7261" s="49">
        <v>44589.321765127315</v>
      </c>
      <c r="B7261" s="50">
        <v>44589.4467378356</v>
      </c>
      <c r="C7261" s="51">
        <v>1.005</v>
      </c>
      <c r="D7261" s="51">
        <v>67.0</v>
      </c>
      <c r="E7261" s="52" t="s">
        <v>25</v>
      </c>
      <c r="F7261" s="52" t="s">
        <v>26</v>
      </c>
      <c r="G7261" s="53"/>
    </row>
    <row r="7262">
      <c r="A7262" s="49">
        <v>44589.33218006944</v>
      </c>
      <c r="B7262" s="50">
        <v>44589.4571597453</v>
      </c>
      <c r="C7262" s="51">
        <v>1.004</v>
      </c>
      <c r="D7262" s="51">
        <v>67.0</v>
      </c>
      <c r="E7262" s="52" t="s">
        <v>25</v>
      </c>
      <c r="F7262" s="52" t="s">
        <v>26</v>
      </c>
      <c r="G7262" s="53"/>
    </row>
    <row r="7263">
      <c r="A7263" s="49">
        <v>44589.34262164352</v>
      </c>
      <c r="B7263" s="50">
        <v>44589.4675912152</v>
      </c>
      <c r="C7263" s="51">
        <v>1.005</v>
      </c>
      <c r="D7263" s="51">
        <v>67.0</v>
      </c>
      <c r="E7263" s="52" t="s">
        <v>25</v>
      </c>
      <c r="F7263" s="52" t="s">
        <v>26</v>
      </c>
      <c r="G7263" s="53"/>
    </row>
    <row r="7264">
      <c r="A7264" s="49">
        <v>44589.35304347222</v>
      </c>
      <c r="B7264" s="50">
        <v>44589.4780136574</v>
      </c>
      <c r="C7264" s="51">
        <v>1.005</v>
      </c>
      <c r="D7264" s="51">
        <v>67.0</v>
      </c>
      <c r="E7264" s="52" t="s">
        <v>25</v>
      </c>
      <c r="F7264" s="52" t="s">
        <v>26</v>
      </c>
      <c r="G7264" s="53"/>
    </row>
    <row r="7265">
      <c r="A7265" s="49">
        <v>44589.363509710645</v>
      </c>
      <c r="B7265" s="50">
        <v>44589.4884821759</v>
      </c>
      <c r="C7265" s="51">
        <v>1.005</v>
      </c>
      <c r="D7265" s="51">
        <v>67.0</v>
      </c>
      <c r="E7265" s="52" t="s">
        <v>25</v>
      </c>
      <c r="F7265" s="52" t="s">
        <v>26</v>
      </c>
      <c r="G7265" s="53"/>
    </row>
    <row r="7266">
      <c r="A7266" s="49">
        <v>44589.37394090278</v>
      </c>
      <c r="B7266" s="50">
        <v>44589.4989134837</v>
      </c>
      <c r="C7266" s="51">
        <v>1.004</v>
      </c>
      <c r="D7266" s="51">
        <v>67.0</v>
      </c>
      <c r="E7266" s="52" t="s">
        <v>25</v>
      </c>
      <c r="F7266" s="52" t="s">
        <v>26</v>
      </c>
      <c r="G7266" s="53"/>
    </row>
    <row r="7267">
      <c r="A7267" s="49">
        <v>44589.38441480324</v>
      </c>
      <c r="B7267" s="50">
        <v>44589.5093817939</v>
      </c>
      <c r="C7267" s="51">
        <v>1.005</v>
      </c>
      <c r="D7267" s="51">
        <v>67.0</v>
      </c>
      <c r="E7267" s="52" t="s">
        <v>25</v>
      </c>
      <c r="F7267" s="52" t="s">
        <v>26</v>
      </c>
      <c r="G7267" s="53"/>
    </row>
    <row r="7268">
      <c r="A7268" s="49">
        <v>44589.39482703704</v>
      </c>
      <c r="B7268" s="50">
        <v>44589.5198031597</v>
      </c>
      <c r="C7268" s="51">
        <v>1.005</v>
      </c>
      <c r="D7268" s="51">
        <v>67.0</v>
      </c>
      <c r="E7268" s="52" t="s">
        <v>25</v>
      </c>
      <c r="F7268" s="52" t="s">
        <v>26</v>
      </c>
      <c r="G7268" s="53"/>
    </row>
    <row r="7269">
      <c r="A7269" s="49">
        <v>44589.40525519676</v>
      </c>
      <c r="B7269" s="50">
        <v>44589.5302257175</v>
      </c>
      <c r="C7269" s="51">
        <v>1.005</v>
      </c>
      <c r="D7269" s="51">
        <v>67.0</v>
      </c>
      <c r="E7269" s="52" t="s">
        <v>25</v>
      </c>
      <c r="F7269" s="52" t="s">
        <v>26</v>
      </c>
      <c r="G7269" s="53"/>
    </row>
    <row r="7270">
      <c r="A7270" s="49">
        <v>44589.415673599535</v>
      </c>
      <c r="B7270" s="50">
        <v>44589.5406479166</v>
      </c>
      <c r="C7270" s="51">
        <v>1.005</v>
      </c>
      <c r="D7270" s="51">
        <v>67.0</v>
      </c>
      <c r="E7270" s="52" t="s">
        <v>25</v>
      </c>
      <c r="F7270" s="52" t="s">
        <v>26</v>
      </c>
      <c r="G7270" s="53"/>
    </row>
    <row r="7271">
      <c r="A7271" s="49">
        <v>44589.42611</v>
      </c>
      <c r="B7271" s="50">
        <v>44589.5510812384</v>
      </c>
      <c r="C7271" s="51">
        <v>1.004</v>
      </c>
      <c r="D7271" s="51">
        <v>67.0</v>
      </c>
      <c r="E7271" s="52" t="s">
        <v>25</v>
      </c>
      <c r="F7271" s="52" t="s">
        <v>26</v>
      </c>
      <c r="G7271" s="53"/>
    </row>
    <row r="7272">
      <c r="A7272" s="49">
        <v>44589.43654357639</v>
      </c>
      <c r="B7272" s="50">
        <v>44589.5615145949</v>
      </c>
      <c r="C7272" s="51">
        <v>1.005</v>
      </c>
      <c r="D7272" s="51">
        <v>67.0</v>
      </c>
      <c r="E7272" s="52" t="s">
        <v>25</v>
      </c>
      <c r="F7272" s="52" t="s">
        <v>26</v>
      </c>
      <c r="G7272" s="53"/>
    </row>
    <row r="7273">
      <c r="A7273" s="49">
        <v>44589.44696763888</v>
      </c>
      <c r="B7273" s="50">
        <v>44589.5719361111</v>
      </c>
      <c r="C7273" s="51">
        <v>1.005</v>
      </c>
      <c r="D7273" s="51">
        <v>67.0</v>
      </c>
      <c r="E7273" s="52" t="s">
        <v>25</v>
      </c>
      <c r="F7273" s="52" t="s">
        <v>26</v>
      </c>
      <c r="G7273" s="53"/>
    </row>
    <row r="7274">
      <c r="A7274" s="49">
        <v>44589.4574003125</v>
      </c>
      <c r="B7274" s="50">
        <v>44589.5823689351</v>
      </c>
      <c r="C7274" s="51">
        <v>1.005</v>
      </c>
      <c r="D7274" s="51">
        <v>67.0</v>
      </c>
      <c r="E7274" s="52" t="s">
        <v>25</v>
      </c>
      <c r="F7274" s="52" t="s">
        <v>26</v>
      </c>
      <c r="G7274" s="53"/>
    </row>
    <row r="7275">
      <c r="A7275" s="49">
        <v>44589.467823796294</v>
      </c>
      <c r="B7275" s="50">
        <v>44589.5927899768</v>
      </c>
      <c r="C7275" s="51">
        <v>1.005</v>
      </c>
      <c r="D7275" s="51">
        <v>67.0</v>
      </c>
      <c r="E7275" s="52" t="s">
        <v>25</v>
      </c>
      <c r="F7275" s="52" t="s">
        <v>26</v>
      </c>
      <c r="G7275" s="53"/>
    </row>
    <row r="7276">
      <c r="A7276" s="49">
        <v>44589.47824297454</v>
      </c>
      <c r="B7276" s="50">
        <v>44589.6032122106</v>
      </c>
      <c r="C7276" s="51">
        <v>1.005</v>
      </c>
      <c r="D7276" s="51">
        <v>67.0</v>
      </c>
      <c r="E7276" s="52" t="s">
        <v>25</v>
      </c>
      <c r="F7276" s="52" t="s">
        <v>26</v>
      </c>
      <c r="G7276" s="53"/>
    </row>
    <row r="7277">
      <c r="A7277" s="49">
        <v>44589.48866423611</v>
      </c>
      <c r="B7277" s="50">
        <v>44589.613634618</v>
      </c>
      <c r="C7277" s="51">
        <v>1.004</v>
      </c>
      <c r="D7277" s="51">
        <v>67.0</v>
      </c>
      <c r="E7277" s="52" t="s">
        <v>25</v>
      </c>
      <c r="F7277" s="52" t="s">
        <v>26</v>
      </c>
      <c r="G7277" s="53"/>
    </row>
    <row r="7278">
      <c r="A7278" s="49">
        <v>44589.499098078704</v>
      </c>
      <c r="B7278" s="50">
        <v>44589.6240666898</v>
      </c>
      <c r="C7278" s="51">
        <v>1.005</v>
      </c>
      <c r="D7278" s="51">
        <v>66.0</v>
      </c>
      <c r="E7278" s="52" t="s">
        <v>25</v>
      </c>
      <c r="F7278" s="52" t="s">
        <v>26</v>
      </c>
      <c r="G7278" s="53"/>
    </row>
    <row r="7279">
      <c r="A7279" s="49">
        <v>44589.50955471065</v>
      </c>
      <c r="B7279" s="50">
        <v>44589.6345230324</v>
      </c>
      <c r="C7279" s="51">
        <v>1.005</v>
      </c>
      <c r="D7279" s="51">
        <v>66.0</v>
      </c>
      <c r="E7279" s="52" t="s">
        <v>25</v>
      </c>
      <c r="F7279" s="52" t="s">
        <v>26</v>
      </c>
      <c r="G7279" s="53"/>
    </row>
    <row r="7280">
      <c r="A7280" s="49">
        <v>44589.519987141204</v>
      </c>
      <c r="B7280" s="50">
        <v>44589.6449555671</v>
      </c>
      <c r="C7280" s="51">
        <v>1.004</v>
      </c>
      <c r="D7280" s="51">
        <v>66.0</v>
      </c>
      <c r="E7280" s="52" t="s">
        <v>25</v>
      </c>
      <c r="F7280" s="52" t="s">
        <v>26</v>
      </c>
      <c r="G7280" s="53"/>
    </row>
    <row r="7281">
      <c r="A7281" s="49">
        <v>44589.530406817124</v>
      </c>
      <c r="B7281" s="50">
        <v>44589.6553785995</v>
      </c>
      <c r="C7281" s="51">
        <v>1.005</v>
      </c>
      <c r="D7281" s="51">
        <v>66.0</v>
      </c>
      <c r="E7281" s="52" t="s">
        <v>25</v>
      </c>
      <c r="F7281" s="52" t="s">
        <v>26</v>
      </c>
      <c r="G7281" s="53"/>
    </row>
    <row r="7282">
      <c r="A7282" s="49">
        <v>44589.54082685185</v>
      </c>
      <c r="B7282" s="50">
        <v>44589.6658004629</v>
      </c>
      <c r="C7282" s="51">
        <v>1.004</v>
      </c>
      <c r="D7282" s="51">
        <v>66.0</v>
      </c>
      <c r="E7282" s="52" t="s">
        <v>25</v>
      </c>
      <c r="F7282" s="52" t="s">
        <v>26</v>
      </c>
      <c r="G7282" s="53"/>
    </row>
    <row r="7283">
      <c r="A7283" s="49">
        <v>44589.55124606482</v>
      </c>
      <c r="B7283" s="50">
        <v>44589.6762218287</v>
      </c>
      <c r="C7283" s="51">
        <v>1.005</v>
      </c>
      <c r="D7283" s="51">
        <v>66.0</v>
      </c>
      <c r="E7283" s="52" t="s">
        <v>25</v>
      </c>
      <c r="F7283" s="52" t="s">
        <v>26</v>
      </c>
      <c r="G7283" s="53"/>
    </row>
    <row r="7284">
      <c r="A7284" s="49">
        <v>44589.56166850694</v>
      </c>
      <c r="B7284" s="50">
        <v>44589.6866435879</v>
      </c>
      <c r="C7284" s="51">
        <v>1.005</v>
      </c>
      <c r="D7284" s="51">
        <v>66.0</v>
      </c>
      <c r="E7284" s="52" t="s">
        <v>25</v>
      </c>
      <c r="F7284" s="52" t="s">
        <v>26</v>
      </c>
      <c r="G7284" s="53"/>
    </row>
    <row r="7285">
      <c r="A7285" s="49">
        <v>44589.572080555554</v>
      </c>
      <c r="B7285" s="50">
        <v>44589.6970632407</v>
      </c>
      <c r="C7285" s="51">
        <v>1.004</v>
      </c>
      <c r="D7285" s="51">
        <v>66.0</v>
      </c>
      <c r="E7285" s="52" t="s">
        <v>25</v>
      </c>
      <c r="F7285" s="52" t="s">
        <v>26</v>
      </c>
      <c r="G7285" s="53"/>
    </row>
    <row r="7286">
      <c r="A7286" s="49">
        <v>44589.5825165162</v>
      </c>
      <c r="B7286" s="50">
        <v>44589.7074833217</v>
      </c>
      <c r="C7286" s="51">
        <v>1.005</v>
      </c>
      <c r="D7286" s="51">
        <v>66.0</v>
      </c>
      <c r="E7286" s="52" t="s">
        <v>25</v>
      </c>
      <c r="F7286" s="52" t="s">
        <v>26</v>
      </c>
      <c r="G7286" s="53"/>
    </row>
    <row r="7287">
      <c r="A7287" s="49">
        <v>44589.592934722226</v>
      </c>
      <c r="B7287" s="50">
        <v>44589.7179027546</v>
      </c>
      <c r="C7287" s="51">
        <v>1.005</v>
      </c>
      <c r="D7287" s="51">
        <v>66.0</v>
      </c>
      <c r="E7287" s="52" t="s">
        <v>25</v>
      </c>
      <c r="F7287" s="52" t="s">
        <v>26</v>
      </c>
      <c r="G7287" s="53"/>
    </row>
    <row r="7288">
      <c r="A7288" s="49">
        <v>44589.60339762732</v>
      </c>
      <c r="B7288" s="50">
        <v>44589.728369456</v>
      </c>
      <c r="C7288" s="51">
        <v>1.005</v>
      </c>
      <c r="D7288" s="51">
        <v>66.0</v>
      </c>
      <c r="E7288" s="52" t="s">
        <v>25</v>
      </c>
      <c r="F7288" s="52" t="s">
        <v>26</v>
      </c>
      <c r="G7288" s="53"/>
    </row>
    <row r="7289">
      <c r="A7289" s="49">
        <v>44589.6138195949</v>
      </c>
      <c r="B7289" s="50">
        <v>44589.7387928009</v>
      </c>
      <c r="C7289" s="51">
        <v>1.005</v>
      </c>
      <c r="D7289" s="51">
        <v>66.0</v>
      </c>
      <c r="E7289" s="52" t="s">
        <v>25</v>
      </c>
      <c r="F7289" s="52" t="s">
        <v>26</v>
      </c>
      <c r="G7289" s="53"/>
    </row>
    <row r="7290">
      <c r="A7290" s="49">
        <v>44589.62423969907</v>
      </c>
      <c r="B7290" s="50">
        <v>44589.7492144328</v>
      </c>
      <c r="C7290" s="51">
        <v>1.005</v>
      </c>
      <c r="D7290" s="51">
        <v>66.0</v>
      </c>
      <c r="E7290" s="52" t="s">
        <v>25</v>
      </c>
      <c r="F7290" s="52" t="s">
        <v>26</v>
      </c>
      <c r="G7290" s="53"/>
    </row>
    <row r="7291">
      <c r="A7291" s="49">
        <v>44589.634662349534</v>
      </c>
      <c r="B7291" s="50">
        <v>44589.759634537</v>
      </c>
      <c r="C7291" s="51">
        <v>1.005</v>
      </c>
      <c r="D7291" s="51">
        <v>66.0</v>
      </c>
      <c r="E7291" s="52" t="s">
        <v>25</v>
      </c>
      <c r="F7291" s="52" t="s">
        <v>26</v>
      </c>
      <c r="G7291" s="53"/>
    </row>
    <row r="7292">
      <c r="A7292" s="49">
        <v>44589.64508178241</v>
      </c>
      <c r="B7292" s="50">
        <v>44589.7700550578</v>
      </c>
      <c r="C7292" s="51">
        <v>1.005</v>
      </c>
      <c r="D7292" s="51">
        <v>66.0</v>
      </c>
      <c r="E7292" s="52" t="s">
        <v>25</v>
      </c>
      <c r="F7292" s="52" t="s">
        <v>26</v>
      </c>
      <c r="G7292" s="53"/>
    </row>
    <row r="7293">
      <c r="A7293" s="49">
        <v>44589.65549736111</v>
      </c>
      <c r="B7293" s="50">
        <v>44589.7804749884</v>
      </c>
      <c r="C7293" s="51">
        <v>1.005</v>
      </c>
      <c r="D7293" s="51">
        <v>66.0</v>
      </c>
      <c r="E7293" s="52" t="s">
        <v>25</v>
      </c>
      <c r="F7293" s="52" t="s">
        <v>26</v>
      </c>
      <c r="G7293" s="53"/>
    </row>
    <row r="7294">
      <c r="A7294" s="49">
        <v>44589.665921064814</v>
      </c>
      <c r="B7294" s="50">
        <v>44589.790896493</v>
      </c>
      <c r="C7294" s="51">
        <v>1.005</v>
      </c>
      <c r="D7294" s="51">
        <v>66.0</v>
      </c>
      <c r="E7294" s="52" t="s">
        <v>25</v>
      </c>
      <c r="F7294" s="52" t="s">
        <v>26</v>
      </c>
      <c r="G7294" s="53"/>
    </row>
    <row r="7295">
      <c r="A7295" s="49">
        <v>44589.67634237268</v>
      </c>
      <c r="B7295" s="50">
        <v>44589.801318831</v>
      </c>
      <c r="C7295" s="51">
        <v>1.005</v>
      </c>
      <c r="D7295" s="51">
        <v>66.0</v>
      </c>
      <c r="E7295" s="52" t="s">
        <v>25</v>
      </c>
      <c r="F7295" s="52" t="s">
        <v>26</v>
      </c>
      <c r="G7295" s="53"/>
    </row>
    <row r="7296">
      <c r="A7296" s="49">
        <v>44589.68678743056</v>
      </c>
      <c r="B7296" s="50">
        <v>44589.8117638657</v>
      </c>
      <c r="C7296" s="51">
        <v>1.005</v>
      </c>
      <c r="D7296" s="51">
        <v>66.0</v>
      </c>
      <c r="E7296" s="52" t="s">
        <v>25</v>
      </c>
      <c r="F7296" s="52" t="s">
        <v>26</v>
      </c>
      <c r="G7296" s="53"/>
    </row>
    <row r="7297">
      <c r="A7297" s="49">
        <v>44589.697212175925</v>
      </c>
      <c r="B7297" s="50">
        <v>44589.8221848148</v>
      </c>
      <c r="C7297" s="51">
        <v>1.005</v>
      </c>
      <c r="D7297" s="51">
        <v>66.0</v>
      </c>
      <c r="E7297" s="52" t="s">
        <v>25</v>
      </c>
      <c r="F7297" s="52" t="s">
        <v>26</v>
      </c>
      <c r="G7297" s="53"/>
    </row>
    <row r="7298">
      <c r="A7298" s="49">
        <v>44589.70762591435</v>
      </c>
      <c r="B7298" s="50">
        <v>44589.8326068171</v>
      </c>
      <c r="C7298" s="51">
        <v>1.005</v>
      </c>
      <c r="D7298" s="51">
        <v>66.0</v>
      </c>
      <c r="E7298" s="52" t="s">
        <v>25</v>
      </c>
      <c r="F7298" s="52" t="s">
        <v>26</v>
      </c>
      <c r="G7298" s="53"/>
    </row>
    <row r="7299">
      <c r="A7299" s="49">
        <v>44589.71806709491</v>
      </c>
      <c r="B7299" s="50">
        <v>44589.8430388773</v>
      </c>
      <c r="C7299" s="51">
        <v>1.005</v>
      </c>
      <c r="D7299" s="51">
        <v>66.0</v>
      </c>
      <c r="E7299" s="52" t="s">
        <v>25</v>
      </c>
      <c r="F7299" s="52" t="s">
        <v>26</v>
      </c>
      <c r="G7299" s="53"/>
    </row>
    <row r="7300">
      <c r="A7300" s="49">
        <v>44589.72849291666</v>
      </c>
      <c r="B7300" s="50">
        <v>44589.8534722685</v>
      </c>
      <c r="C7300" s="51">
        <v>1.005</v>
      </c>
      <c r="D7300" s="51">
        <v>66.0</v>
      </c>
      <c r="E7300" s="52" t="s">
        <v>25</v>
      </c>
      <c r="F7300" s="52" t="s">
        <v>26</v>
      </c>
      <c r="G7300" s="53"/>
    </row>
    <row r="7301">
      <c r="A7301" s="49">
        <v>44589.73892642361</v>
      </c>
      <c r="B7301" s="50">
        <v>44589.8639048379</v>
      </c>
      <c r="C7301" s="51">
        <v>1.004</v>
      </c>
      <c r="D7301" s="51">
        <v>66.0</v>
      </c>
      <c r="E7301" s="52" t="s">
        <v>25</v>
      </c>
      <c r="F7301" s="52" t="s">
        <v>26</v>
      </c>
      <c r="G7301" s="53"/>
    </row>
    <row r="7302">
      <c r="A7302" s="49">
        <v>44589.74934596065</v>
      </c>
      <c r="B7302" s="50">
        <v>44589.8743263078</v>
      </c>
      <c r="C7302" s="51">
        <v>1.005</v>
      </c>
      <c r="D7302" s="51">
        <v>66.0</v>
      </c>
      <c r="E7302" s="52" t="s">
        <v>25</v>
      </c>
      <c r="F7302" s="52" t="s">
        <v>26</v>
      </c>
      <c r="G7302" s="53"/>
    </row>
    <row r="7303">
      <c r="A7303" s="49">
        <v>44589.75976784722</v>
      </c>
      <c r="B7303" s="50">
        <v>44589.8847459953</v>
      </c>
      <c r="C7303" s="51">
        <v>1.005</v>
      </c>
      <c r="D7303" s="51">
        <v>66.0</v>
      </c>
      <c r="E7303" s="52" t="s">
        <v>25</v>
      </c>
      <c r="F7303" s="52" t="s">
        <v>26</v>
      </c>
      <c r="G7303" s="53"/>
    </row>
    <row r="7304">
      <c r="A7304" s="49">
        <v>44589.770211006944</v>
      </c>
      <c r="B7304" s="50">
        <v>44589.8951786921</v>
      </c>
      <c r="C7304" s="51">
        <v>1.005</v>
      </c>
      <c r="D7304" s="51">
        <v>65.0</v>
      </c>
      <c r="E7304" s="52" t="s">
        <v>25</v>
      </c>
      <c r="F7304" s="52" t="s">
        <v>26</v>
      </c>
      <c r="G7304" s="53"/>
    </row>
    <row r="7305">
      <c r="A7305" s="49">
        <v>44589.780628148146</v>
      </c>
      <c r="B7305" s="50">
        <v>44589.9055993865</v>
      </c>
      <c r="C7305" s="51">
        <v>1.005</v>
      </c>
      <c r="D7305" s="51">
        <v>65.0</v>
      </c>
      <c r="E7305" s="52" t="s">
        <v>25</v>
      </c>
      <c r="F7305" s="52" t="s">
        <v>26</v>
      </c>
      <c r="G7305" s="53"/>
    </row>
    <row r="7306">
      <c r="A7306" s="49">
        <v>44589.791048831015</v>
      </c>
      <c r="B7306" s="50">
        <v>44589.9160210416</v>
      </c>
      <c r="C7306" s="51">
        <v>1.005</v>
      </c>
      <c r="D7306" s="51">
        <v>65.0</v>
      </c>
      <c r="E7306" s="52" t="s">
        <v>25</v>
      </c>
      <c r="F7306" s="52" t="s">
        <v>26</v>
      </c>
      <c r="G7306" s="53"/>
    </row>
    <row r="7307">
      <c r="A7307" s="49">
        <v>44589.80147074074</v>
      </c>
      <c r="B7307" s="50">
        <v>44589.9264426388</v>
      </c>
      <c r="C7307" s="51">
        <v>1.005</v>
      </c>
      <c r="D7307" s="51">
        <v>65.0</v>
      </c>
      <c r="E7307" s="52" t="s">
        <v>25</v>
      </c>
      <c r="F7307" s="52" t="s">
        <v>26</v>
      </c>
      <c r="G7307" s="53"/>
    </row>
    <row r="7308">
      <c r="A7308" s="49">
        <v>44589.81190630787</v>
      </c>
      <c r="B7308" s="50">
        <v>44589.9368762152</v>
      </c>
      <c r="C7308" s="51">
        <v>1.004</v>
      </c>
      <c r="D7308" s="51">
        <v>65.0</v>
      </c>
      <c r="E7308" s="52" t="s">
        <v>25</v>
      </c>
      <c r="F7308" s="52" t="s">
        <v>26</v>
      </c>
      <c r="G7308" s="53"/>
    </row>
    <row r="7309">
      <c r="A7309" s="49">
        <v>44589.822316226855</v>
      </c>
      <c r="B7309" s="50">
        <v>44589.9472987152</v>
      </c>
      <c r="C7309" s="51">
        <v>1.005</v>
      </c>
      <c r="D7309" s="51">
        <v>65.0</v>
      </c>
      <c r="E7309" s="52" t="s">
        <v>25</v>
      </c>
      <c r="F7309" s="52" t="s">
        <v>26</v>
      </c>
      <c r="G7309" s="53"/>
    </row>
    <row r="7310">
      <c r="A7310" s="49">
        <v>44589.83274730324</v>
      </c>
      <c r="B7310" s="50">
        <v>44589.9577197337</v>
      </c>
      <c r="C7310" s="51">
        <v>1.005</v>
      </c>
      <c r="D7310" s="51">
        <v>65.0</v>
      </c>
      <c r="E7310" s="52" t="s">
        <v>25</v>
      </c>
      <c r="F7310" s="52" t="s">
        <v>26</v>
      </c>
      <c r="G7310" s="53"/>
    </row>
    <row r="7311">
      <c r="A7311" s="49">
        <v>44589.843170821754</v>
      </c>
      <c r="B7311" s="50">
        <v>44589.9681405092</v>
      </c>
      <c r="C7311" s="51">
        <v>1.004</v>
      </c>
      <c r="D7311" s="51">
        <v>65.0</v>
      </c>
      <c r="E7311" s="52" t="s">
        <v>25</v>
      </c>
      <c r="F7311" s="52" t="s">
        <v>26</v>
      </c>
      <c r="G7311" s="53"/>
    </row>
    <row r="7312">
      <c r="A7312" s="49">
        <v>44589.85359116898</v>
      </c>
      <c r="B7312" s="50">
        <v>44589.9785614351</v>
      </c>
      <c r="C7312" s="51">
        <v>1.005</v>
      </c>
      <c r="D7312" s="51">
        <v>65.0</v>
      </c>
      <c r="E7312" s="52" t="s">
        <v>25</v>
      </c>
      <c r="F7312" s="52" t="s">
        <v>26</v>
      </c>
      <c r="G7312" s="53"/>
    </row>
    <row r="7313">
      <c r="A7313" s="49">
        <v>44589.8640102662</v>
      </c>
      <c r="B7313" s="50">
        <v>44589.9889841898</v>
      </c>
      <c r="C7313" s="51">
        <v>1.005</v>
      </c>
      <c r="D7313" s="51">
        <v>65.0</v>
      </c>
      <c r="E7313" s="52" t="s">
        <v>25</v>
      </c>
      <c r="F7313" s="52" t="s">
        <v>26</v>
      </c>
      <c r="G7313" s="53"/>
    </row>
    <row r="7314">
      <c r="A7314" s="49">
        <v>44589.87443271991</v>
      </c>
      <c r="B7314" s="50">
        <v>44589.9994166203</v>
      </c>
      <c r="C7314" s="51">
        <v>1.004</v>
      </c>
      <c r="D7314" s="51">
        <v>65.0</v>
      </c>
      <c r="E7314" s="52" t="s">
        <v>25</v>
      </c>
      <c r="F7314" s="52" t="s">
        <v>26</v>
      </c>
      <c r="G7314" s="53"/>
    </row>
    <row r="7315">
      <c r="A7315" s="49">
        <v>44589.88486333333</v>
      </c>
      <c r="B7315" s="50">
        <v>44590.0098365972</v>
      </c>
      <c r="C7315" s="51">
        <v>1.005</v>
      </c>
      <c r="D7315" s="51">
        <v>65.0</v>
      </c>
      <c r="E7315" s="52" t="s">
        <v>25</v>
      </c>
      <c r="F7315" s="52" t="s">
        <v>26</v>
      </c>
      <c r="G7315" s="53"/>
    </row>
    <row r="7316">
      <c r="A7316" s="49">
        <v>44589.89529032407</v>
      </c>
      <c r="B7316" s="50">
        <v>44590.0202587615</v>
      </c>
      <c r="C7316" s="51">
        <v>1.005</v>
      </c>
      <c r="D7316" s="51">
        <v>65.0</v>
      </c>
      <c r="E7316" s="52" t="s">
        <v>25</v>
      </c>
      <c r="F7316" s="52" t="s">
        <v>26</v>
      </c>
      <c r="G7316" s="53"/>
    </row>
    <row r="7317">
      <c r="A7317" s="49">
        <v>44589.9057040162</v>
      </c>
      <c r="B7317" s="50">
        <v>44590.0306779745</v>
      </c>
      <c r="C7317" s="51">
        <v>1.005</v>
      </c>
      <c r="D7317" s="51">
        <v>65.0</v>
      </c>
      <c r="E7317" s="52" t="s">
        <v>25</v>
      </c>
      <c r="F7317" s="52" t="s">
        <v>26</v>
      </c>
      <c r="G7317" s="53"/>
    </row>
    <row r="7318">
      <c r="A7318" s="49">
        <v>44589.91613709491</v>
      </c>
      <c r="B7318" s="50">
        <v>44590.0411102083</v>
      </c>
      <c r="C7318" s="51">
        <v>1.005</v>
      </c>
      <c r="D7318" s="51">
        <v>65.0</v>
      </c>
      <c r="E7318" s="52" t="s">
        <v>25</v>
      </c>
      <c r="F7318" s="52" t="s">
        <v>26</v>
      </c>
      <c r="G7318" s="53"/>
    </row>
    <row r="7319">
      <c r="A7319" s="49">
        <v>44589.92655462963</v>
      </c>
      <c r="B7319" s="50">
        <v>44590.051531493</v>
      </c>
      <c r="C7319" s="51">
        <v>1.004</v>
      </c>
      <c r="D7319" s="51">
        <v>65.0</v>
      </c>
      <c r="E7319" s="52" t="s">
        <v>25</v>
      </c>
      <c r="F7319" s="52" t="s">
        <v>26</v>
      </c>
      <c r="G7319" s="53"/>
    </row>
    <row r="7320">
      <c r="A7320" s="49">
        <v>44589.93698083333</v>
      </c>
      <c r="B7320" s="50">
        <v>44590.0619533333</v>
      </c>
      <c r="C7320" s="51">
        <v>1.005</v>
      </c>
      <c r="D7320" s="51">
        <v>65.0</v>
      </c>
      <c r="E7320" s="52" t="s">
        <v>25</v>
      </c>
      <c r="F7320" s="52" t="s">
        <v>26</v>
      </c>
      <c r="G7320" s="53"/>
    </row>
    <row r="7321">
      <c r="A7321" s="49">
        <v>44589.94741212963</v>
      </c>
      <c r="B7321" s="50">
        <v>44590.0723868402</v>
      </c>
      <c r="C7321" s="51">
        <v>1.005</v>
      </c>
      <c r="D7321" s="51">
        <v>65.0</v>
      </c>
      <c r="E7321" s="52" t="s">
        <v>25</v>
      </c>
      <c r="F7321" s="52" t="s">
        <v>26</v>
      </c>
      <c r="G7321" s="53"/>
    </row>
    <row r="7322">
      <c r="A7322" s="49">
        <v>44589.95790354167</v>
      </c>
      <c r="B7322" s="50">
        <v>44590.0828779745</v>
      </c>
      <c r="C7322" s="51">
        <v>1.005</v>
      </c>
      <c r="D7322" s="51">
        <v>65.0</v>
      </c>
      <c r="E7322" s="52" t="s">
        <v>25</v>
      </c>
      <c r="F7322" s="52" t="s">
        <v>26</v>
      </c>
      <c r="G7322" s="53"/>
    </row>
    <row r="7323">
      <c r="A7323" s="49">
        <v>44589.96831873842</v>
      </c>
      <c r="B7323" s="50">
        <v>44590.0933004398</v>
      </c>
      <c r="C7323" s="51">
        <v>1.005</v>
      </c>
      <c r="D7323" s="51">
        <v>65.0</v>
      </c>
      <c r="E7323" s="52" t="s">
        <v>25</v>
      </c>
      <c r="F7323" s="52" t="s">
        <v>26</v>
      </c>
      <c r="G7323" s="53"/>
    </row>
    <row r="7324">
      <c r="A7324" s="49">
        <v>44589.97876224537</v>
      </c>
      <c r="B7324" s="50">
        <v>44590.1037440509</v>
      </c>
      <c r="C7324" s="51">
        <v>1.005</v>
      </c>
      <c r="D7324" s="51">
        <v>65.0</v>
      </c>
      <c r="E7324" s="52" t="s">
        <v>25</v>
      </c>
      <c r="F7324" s="52" t="s">
        <v>26</v>
      </c>
      <c r="G7324" s="53"/>
    </row>
    <row r="7325">
      <c r="A7325" s="49">
        <v>44589.989188182866</v>
      </c>
      <c r="B7325" s="50">
        <v>44590.1141645254</v>
      </c>
      <c r="C7325" s="51">
        <v>1.005</v>
      </c>
      <c r="D7325" s="51">
        <v>65.0</v>
      </c>
      <c r="E7325" s="52" t="s">
        <v>25</v>
      </c>
      <c r="F7325" s="52" t="s">
        <v>26</v>
      </c>
      <c r="G7325" s="53"/>
    </row>
    <row r="7326">
      <c r="A7326" s="49">
        <v>44589.999613796295</v>
      </c>
      <c r="B7326" s="50">
        <v>44590.1245865162</v>
      </c>
      <c r="C7326" s="51">
        <v>1.005</v>
      </c>
      <c r="D7326" s="51">
        <v>65.0</v>
      </c>
      <c r="E7326" s="52" t="s">
        <v>25</v>
      </c>
      <c r="F7326" s="52" t="s">
        <v>26</v>
      </c>
      <c r="G7326" s="53"/>
    </row>
    <row r="7327">
      <c r="A7327" s="49">
        <v>44590.01002994213</v>
      </c>
      <c r="B7327" s="50">
        <v>44590.1350083796</v>
      </c>
      <c r="C7327" s="51">
        <v>1.005</v>
      </c>
      <c r="D7327" s="51">
        <v>65.0</v>
      </c>
      <c r="E7327" s="52" t="s">
        <v>25</v>
      </c>
      <c r="F7327" s="52" t="s">
        <v>26</v>
      </c>
      <c r="G7327" s="53"/>
    </row>
    <row r="7328">
      <c r="A7328" s="49">
        <v>44590.020457824074</v>
      </c>
      <c r="B7328" s="50">
        <v>44590.1454412268</v>
      </c>
      <c r="C7328" s="51">
        <v>1.005</v>
      </c>
      <c r="D7328" s="51">
        <v>65.0</v>
      </c>
      <c r="E7328" s="52" t="s">
        <v>25</v>
      </c>
      <c r="F7328" s="52" t="s">
        <v>26</v>
      </c>
      <c r="G7328" s="53"/>
    </row>
    <row r="7329">
      <c r="A7329" s="49">
        <v>44590.0308868287</v>
      </c>
      <c r="B7329" s="50">
        <v>44590.1558643981</v>
      </c>
      <c r="C7329" s="51">
        <v>1.005</v>
      </c>
      <c r="D7329" s="51">
        <v>65.0</v>
      </c>
      <c r="E7329" s="52" t="s">
        <v>25</v>
      </c>
      <c r="F7329" s="52" t="s">
        <v>26</v>
      </c>
      <c r="G7329" s="53"/>
    </row>
    <row r="7330">
      <c r="A7330" s="49">
        <v>44590.04132769676</v>
      </c>
      <c r="B7330" s="50">
        <v>44590.1663102314</v>
      </c>
      <c r="C7330" s="51">
        <v>1.005</v>
      </c>
      <c r="D7330" s="51">
        <v>64.0</v>
      </c>
      <c r="E7330" s="52" t="s">
        <v>25</v>
      </c>
      <c r="F7330" s="52" t="s">
        <v>26</v>
      </c>
      <c r="G7330" s="53"/>
    </row>
    <row r="7331">
      <c r="A7331" s="49">
        <v>44590.05178085648</v>
      </c>
      <c r="B7331" s="50">
        <v>44590.1767561342</v>
      </c>
      <c r="C7331" s="51">
        <v>1.005</v>
      </c>
      <c r="D7331" s="51">
        <v>64.0</v>
      </c>
      <c r="E7331" s="52" t="s">
        <v>25</v>
      </c>
      <c r="F7331" s="52" t="s">
        <v>26</v>
      </c>
      <c r="G7331" s="53"/>
    </row>
    <row r="7332">
      <c r="A7332" s="49">
        <v>44590.06219752315</v>
      </c>
      <c r="B7332" s="50">
        <v>44590.1871777199</v>
      </c>
      <c r="C7332" s="51">
        <v>1.005</v>
      </c>
      <c r="D7332" s="51">
        <v>64.0</v>
      </c>
      <c r="E7332" s="52" t="s">
        <v>25</v>
      </c>
      <c r="F7332" s="52" t="s">
        <v>26</v>
      </c>
      <c r="G7332" s="53"/>
    </row>
    <row r="7333">
      <c r="A7333" s="49">
        <v>44590.07262693287</v>
      </c>
      <c r="B7333" s="50">
        <v>44590.197598287</v>
      </c>
      <c r="C7333" s="51">
        <v>1.005</v>
      </c>
      <c r="D7333" s="51">
        <v>64.0</v>
      </c>
      <c r="E7333" s="52" t="s">
        <v>25</v>
      </c>
      <c r="F7333" s="52" t="s">
        <v>26</v>
      </c>
      <c r="G7333" s="53"/>
    </row>
    <row r="7334">
      <c r="A7334" s="49">
        <v>44590.083052939815</v>
      </c>
      <c r="B7334" s="50">
        <v>44590.2080278587</v>
      </c>
      <c r="C7334" s="51">
        <v>1.005</v>
      </c>
      <c r="D7334" s="51">
        <v>64.0</v>
      </c>
      <c r="E7334" s="52" t="s">
        <v>25</v>
      </c>
      <c r="F7334" s="52" t="s">
        <v>26</v>
      </c>
      <c r="G7334" s="53"/>
    </row>
    <row r="7335">
      <c r="A7335" s="49">
        <v>44590.0935202199</v>
      </c>
      <c r="B7335" s="50">
        <v>44590.218495405</v>
      </c>
      <c r="C7335" s="51">
        <v>1.005</v>
      </c>
      <c r="D7335" s="51">
        <v>64.0</v>
      </c>
      <c r="E7335" s="52" t="s">
        <v>25</v>
      </c>
      <c r="F7335" s="52" t="s">
        <v>26</v>
      </c>
      <c r="G7335" s="53"/>
    </row>
    <row r="7336">
      <c r="A7336" s="49">
        <v>44590.10394347222</v>
      </c>
      <c r="B7336" s="50">
        <v>44590.2289174305</v>
      </c>
      <c r="C7336" s="51">
        <v>1.005</v>
      </c>
      <c r="D7336" s="51">
        <v>64.0</v>
      </c>
      <c r="E7336" s="52" t="s">
        <v>25</v>
      </c>
      <c r="F7336" s="52" t="s">
        <v>26</v>
      </c>
      <c r="G7336" s="53"/>
    </row>
    <row r="7337">
      <c r="A7337" s="49">
        <v>44590.11436280093</v>
      </c>
      <c r="B7337" s="50">
        <v>44590.2393393171</v>
      </c>
      <c r="C7337" s="51">
        <v>1.005</v>
      </c>
      <c r="D7337" s="51">
        <v>64.0</v>
      </c>
      <c r="E7337" s="52" t="s">
        <v>25</v>
      </c>
      <c r="F7337" s="52" t="s">
        <v>26</v>
      </c>
      <c r="G7337" s="53"/>
    </row>
    <row r="7338">
      <c r="A7338" s="49">
        <v>44590.12478414352</v>
      </c>
      <c r="B7338" s="50">
        <v>44590.2497593287</v>
      </c>
      <c r="C7338" s="51">
        <v>1.005</v>
      </c>
      <c r="D7338" s="51">
        <v>64.0</v>
      </c>
      <c r="E7338" s="52" t="s">
        <v>25</v>
      </c>
      <c r="F7338" s="52" t="s">
        <v>26</v>
      </c>
      <c r="G7338" s="53"/>
    </row>
    <row r="7339">
      <c r="A7339" s="49">
        <v>44590.135201736106</v>
      </c>
      <c r="B7339" s="50">
        <v>44590.2601795486</v>
      </c>
      <c r="C7339" s="51">
        <v>1.005</v>
      </c>
      <c r="D7339" s="51">
        <v>64.0</v>
      </c>
      <c r="E7339" s="52" t="s">
        <v>25</v>
      </c>
      <c r="F7339" s="52" t="s">
        <v>26</v>
      </c>
      <c r="G7339" s="53"/>
    </row>
    <row r="7340">
      <c r="A7340" s="49">
        <v>44590.145634155095</v>
      </c>
      <c r="B7340" s="50">
        <v>44590.2706117245</v>
      </c>
      <c r="C7340" s="51">
        <v>1.005</v>
      </c>
      <c r="D7340" s="51">
        <v>64.0</v>
      </c>
      <c r="E7340" s="52" t="s">
        <v>25</v>
      </c>
      <c r="F7340" s="52" t="s">
        <v>26</v>
      </c>
      <c r="G7340" s="53"/>
    </row>
    <row r="7341">
      <c r="A7341" s="49">
        <v>44590.15605994213</v>
      </c>
      <c r="B7341" s="50">
        <v>44590.2810326967</v>
      </c>
      <c r="C7341" s="51">
        <v>1.005</v>
      </c>
      <c r="D7341" s="51">
        <v>64.0</v>
      </c>
      <c r="E7341" s="52" t="s">
        <v>25</v>
      </c>
      <c r="F7341" s="52" t="s">
        <v>26</v>
      </c>
      <c r="G7341" s="53"/>
    </row>
    <row r="7342">
      <c r="A7342" s="49">
        <v>44590.16648078704</v>
      </c>
      <c r="B7342" s="50">
        <v>44590.291454074</v>
      </c>
      <c r="C7342" s="51">
        <v>1.005</v>
      </c>
      <c r="D7342" s="51">
        <v>64.0</v>
      </c>
      <c r="E7342" s="52" t="s">
        <v>25</v>
      </c>
      <c r="F7342" s="52" t="s">
        <v>26</v>
      </c>
      <c r="G7342" s="53"/>
    </row>
    <row r="7343">
      <c r="A7343" s="49">
        <v>44590.17690736111</v>
      </c>
      <c r="B7343" s="50">
        <v>44590.3018753935</v>
      </c>
      <c r="C7343" s="51">
        <v>1.005</v>
      </c>
      <c r="D7343" s="51">
        <v>64.0</v>
      </c>
      <c r="E7343" s="52" t="s">
        <v>25</v>
      </c>
      <c r="F7343" s="52" t="s">
        <v>26</v>
      </c>
      <c r="G7343" s="53"/>
    </row>
    <row r="7344">
      <c r="A7344" s="49">
        <v>44590.18733270833</v>
      </c>
      <c r="B7344" s="50">
        <v>44590.3123097106</v>
      </c>
      <c r="C7344" s="51">
        <v>1.005</v>
      </c>
      <c r="D7344" s="51">
        <v>64.0</v>
      </c>
      <c r="E7344" s="52" t="s">
        <v>25</v>
      </c>
      <c r="F7344" s="52" t="s">
        <v>26</v>
      </c>
      <c r="G7344" s="53"/>
    </row>
    <row r="7345">
      <c r="A7345" s="49">
        <v>44590.197759386574</v>
      </c>
      <c r="B7345" s="50">
        <v>44590.3227299189</v>
      </c>
      <c r="C7345" s="51">
        <v>1.005</v>
      </c>
      <c r="D7345" s="51">
        <v>64.0</v>
      </c>
      <c r="E7345" s="52" t="s">
        <v>25</v>
      </c>
      <c r="F7345" s="52" t="s">
        <v>26</v>
      </c>
      <c r="G7345" s="53"/>
    </row>
    <row r="7346">
      <c r="A7346" s="49">
        <v>44590.208174375</v>
      </c>
      <c r="B7346" s="50">
        <v>44590.3331510879</v>
      </c>
      <c r="C7346" s="51">
        <v>1.004</v>
      </c>
      <c r="D7346" s="51">
        <v>64.0</v>
      </c>
      <c r="E7346" s="52" t="s">
        <v>25</v>
      </c>
      <c r="F7346" s="52" t="s">
        <v>26</v>
      </c>
      <c r="G7346" s="53"/>
    </row>
    <row r="7347">
      <c r="A7347" s="49">
        <v>44590.21860766204</v>
      </c>
      <c r="B7347" s="50">
        <v>44590.3435745601</v>
      </c>
      <c r="C7347" s="51">
        <v>1.005</v>
      </c>
      <c r="D7347" s="51">
        <v>64.0</v>
      </c>
      <c r="E7347" s="52" t="s">
        <v>25</v>
      </c>
      <c r="F7347" s="52" t="s">
        <v>26</v>
      </c>
      <c r="G7347" s="53"/>
    </row>
    <row r="7348">
      <c r="A7348" s="49">
        <v>44590.22903127315</v>
      </c>
      <c r="B7348" s="50">
        <v>44590.3540073379</v>
      </c>
      <c r="C7348" s="51">
        <v>1.005</v>
      </c>
      <c r="D7348" s="51">
        <v>64.0</v>
      </c>
      <c r="E7348" s="52" t="s">
        <v>25</v>
      </c>
      <c r="F7348" s="52" t="s">
        <v>26</v>
      </c>
      <c r="G7348" s="53"/>
    </row>
    <row r="7349">
      <c r="A7349" s="49">
        <v>44590.23945217593</v>
      </c>
      <c r="B7349" s="50">
        <v>44590.3644290393</v>
      </c>
      <c r="C7349" s="51">
        <v>1.005</v>
      </c>
      <c r="D7349" s="51">
        <v>64.0</v>
      </c>
      <c r="E7349" s="52" t="s">
        <v>25</v>
      </c>
      <c r="F7349" s="52" t="s">
        <v>26</v>
      </c>
      <c r="G7349" s="53"/>
    </row>
    <row r="7350">
      <c r="A7350" s="49">
        <v>44590.24989578704</v>
      </c>
      <c r="B7350" s="50">
        <v>44590.3748617592</v>
      </c>
      <c r="C7350" s="51">
        <v>1.005</v>
      </c>
      <c r="D7350" s="51">
        <v>64.0</v>
      </c>
      <c r="E7350" s="52" t="s">
        <v>25</v>
      </c>
      <c r="F7350" s="52" t="s">
        <v>26</v>
      </c>
      <c r="G7350" s="53"/>
    </row>
    <row r="7351">
      <c r="A7351" s="49">
        <v>44590.26031091435</v>
      </c>
      <c r="B7351" s="50">
        <v>44590.3852820601</v>
      </c>
      <c r="C7351" s="51">
        <v>1.005</v>
      </c>
      <c r="D7351" s="51">
        <v>64.0</v>
      </c>
      <c r="E7351" s="52" t="s">
        <v>25</v>
      </c>
      <c r="F7351" s="52" t="s">
        <v>26</v>
      </c>
      <c r="G7351" s="53"/>
    </row>
    <row r="7352">
      <c r="A7352" s="49">
        <v>44590.27072675926</v>
      </c>
      <c r="B7352" s="50">
        <v>44590.3957035532</v>
      </c>
      <c r="C7352" s="51">
        <v>1.005</v>
      </c>
      <c r="D7352" s="51">
        <v>64.0</v>
      </c>
      <c r="E7352" s="52" t="s">
        <v>25</v>
      </c>
      <c r="F7352" s="52" t="s">
        <v>26</v>
      </c>
      <c r="G7352" s="53"/>
    </row>
    <row r="7353">
      <c r="A7353" s="49">
        <v>44590.28114782408</v>
      </c>
      <c r="B7353" s="50">
        <v>44590.4061250925</v>
      </c>
      <c r="C7353" s="51">
        <v>1.005</v>
      </c>
      <c r="D7353" s="51">
        <v>64.0</v>
      </c>
      <c r="E7353" s="52" t="s">
        <v>25</v>
      </c>
      <c r="F7353" s="52" t="s">
        <v>26</v>
      </c>
      <c r="G7353" s="53"/>
    </row>
    <row r="7354">
      <c r="A7354" s="49">
        <v>44590.2915974537</v>
      </c>
      <c r="B7354" s="50">
        <v>44590.4165707291</v>
      </c>
      <c r="C7354" s="51">
        <v>1.005</v>
      </c>
      <c r="D7354" s="51">
        <v>64.0</v>
      </c>
      <c r="E7354" s="52" t="s">
        <v>25</v>
      </c>
      <c r="F7354" s="52" t="s">
        <v>26</v>
      </c>
      <c r="G7354" s="53"/>
    </row>
    <row r="7355">
      <c r="A7355" s="49">
        <v>44590.30201480324</v>
      </c>
      <c r="B7355" s="50">
        <v>44590.4269911226</v>
      </c>
      <c r="C7355" s="51">
        <v>1.005</v>
      </c>
      <c r="D7355" s="51">
        <v>64.0</v>
      </c>
      <c r="E7355" s="52" t="s">
        <v>25</v>
      </c>
      <c r="F7355" s="52" t="s">
        <v>26</v>
      </c>
      <c r="G7355" s="53"/>
    </row>
    <row r="7356">
      <c r="A7356" s="49">
        <v>44590.31244328704</v>
      </c>
      <c r="B7356" s="50">
        <v>44590.4374217939</v>
      </c>
      <c r="C7356" s="51">
        <v>1.005</v>
      </c>
      <c r="D7356" s="51">
        <v>64.0</v>
      </c>
      <c r="E7356" s="52" t="s">
        <v>25</v>
      </c>
      <c r="F7356" s="52" t="s">
        <v>26</v>
      </c>
      <c r="G7356" s="53"/>
    </row>
    <row r="7357">
      <c r="A7357" s="49">
        <v>44590.322869375</v>
      </c>
      <c r="B7357" s="50">
        <v>44590.4478429513</v>
      </c>
      <c r="C7357" s="51">
        <v>1.005</v>
      </c>
      <c r="D7357" s="51">
        <v>64.0</v>
      </c>
      <c r="E7357" s="52" t="s">
        <v>25</v>
      </c>
      <c r="F7357" s="52" t="s">
        <v>26</v>
      </c>
      <c r="G7357" s="53"/>
    </row>
    <row r="7358">
      <c r="A7358" s="49">
        <v>44590.33328586805</v>
      </c>
      <c r="B7358" s="50">
        <v>44590.4582630902</v>
      </c>
      <c r="C7358" s="51">
        <v>1.005</v>
      </c>
      <c r="D7358" s="51">
        <v>64.0</v>
      </c>
      <c r="E7358" s="52" t="s">
        <v>25</v>
      </c>
      <c r="F7358" s="52" t="s">
        <v>26</v>
      </c>
      <c r="G7358" s="53"/>
    </row>
    <row r="7359">
      <c r="A7359" s="49">
        <v>44590.3437040162</v>
      </c>
      <c r="B7359" s="50">
        <v>44590.468685</v>
      </c>
      <c r="C7359" s="51">
        <v>1.005</v>
      </c>
      <c r="D7359" s="51">
        <v>64.0</v>
      </c>
      <c r="E7359" s="52" t="s">
        <v>25</v>
      </c>
      <c r="F7359" s="52" t="s">
        <v>26</v>
      </c>
      <c r="G7359" s="53"/>
    </row>
    <row r="7360">
      <c r="A7360" s="49">
        <v>44590.354131921296</v>
      </c>
      <c r="B7360" s="50">
        <v>44590.4791061111</v>
      </c>
      <c r="C7360" s="51">
        <v>1.005</v>
      </c>
      <c r="D7360" s="51">
        <v>63.0</v>
      </c>
      <c r="E7360" s="52" t="s">
        <v>25</v>
      </c>
      <c r="F7360" s="52" t="s">
        <v>26</v>
      </c>
      <c r="G7360" s="53"/>
    </row>
    <row r="7361">
      <c r="A7361" s="49">
        <v>44590.36455849537</v>
      </c>
      <c r="B7361" s="50">
        <v>44590.489527824</v>
      </c>
      <c r="C7361" s="51">
        <v>1.005</v>
      </c>
      <c r="D7361" s="51">
        <v>64.0</v>
      </c>
      <c r="E7361" s="52" t="s">
        <v>25</v>
      </c>
      <c r="F7361" s="52" t="s">
        <v>26</v>
      </c>
      <c r="G7361" s="53"/>
    </row>
    <row r="7362">
      <c r="A7362" s="49">
        <v>44590.37496971065</v>
      </c>
      <c r="B7362" s="50">
        <v>44590.4999475115</v>
      </c>
      <c r="C7362" s="51">
        <v>1.005</v>
      </c>
      <c r="D7362" s="51">
        <v>63.0</v>
      </c>
      <c r="E7362" s="52" t="s">
        <v>25</v>
      </c>
      <c r="F7362" s="52" t="s">
        <v>26</v>
      </c>
      <c r="G7362" s="53"/>
    </row>
    <row r="7363">
      <c r="A7363" s="49">
        <v>44590.38539914352</v>
      </c>
      <c r="B7363" s="50">
        <v>44590.5103807407</v>
      </c>
      <c r="C7363" s="51">
        <v>1.005</v>
      </c>
      <c r="D7363" s="51">
        <v>63.0</v>
      </c>
      <c r="E7363" s="52" t="s">
        <v>25</v>
      </c>
      <c r="F7363" s="52" t="s">
        <v>26</v>
      </c>
      <c r="G7363" s="53"/>
    </row>
    <row r="7364">
      <c r="A7364" s="49">
        <v>44590.39582706019</v>
      </c>
      <c r="B7364" s="50">
        <v>44590.5208023148</v>
      </c>
      <c r="C7364" s="51">
        <v>1.005</v>
      </c>
      <c r="D7364" s="51">
        <v>63.0</v>
      </c>
      <c r="E7364" s="52" t="s">
        <v>25</v>
      </c>
      <c r="F7364" s="52" t="s">
        <v>26</v>
      </c>
      <c r="G7364" s="53"/>
    </row>
    <row r="7365">
      <c r="A7365" s="49">
        <v>44590.40624943287</v>
      </c>
      <c r="B7365" s="50">
        <v>44590.5312243634</v>
      </c>
      <c r="C7365" s="51">
        <v>1.005</v>
      </c>
      <c r="D7365" s="51">
        <v>63.0</v>
      </c>
      <c r="E7365" s="52" t="s">
        <v>25</v>
      </c>
      <c r="F7365" s="52" t="s">
        <v>26</v>
      </c>
      <c r="G7365" s="53"/>
    </row>
    <row r="7366">
      <c r="A7366" s="49">
        <v>44590.416788229166</v>
      </c>
      <c r="B7366" s="50">
        <v>44590.5417612731</v>
      </c>
      <c r="C7366" s="51">
        <v>1.005</v>
      </c>
      <c r="D7366" s="51">
        <v>63.0</v>
      </c>
      <c r="E7366" s="52" t="s">
        <v>25</v>
      </c>
      <c r="F7366" s="52" t="s">
        <v>26</v>
      </c>
      <c r="G7366" s="53"/>
    </row>
    <row r="7367">
      <c r="A7367" s="49">
        <v>44590.42721112269</v>
      </c>
      <c r="B7367" s="50">
        <v>44590.5521826736</v>
      </c>
      <c r="C7367" s="51">
        <v>1.005</v>
      </c>
      <c r="D7367" s="51">
        <v>63.0</v>
      </c>
      <c r="E7367" s="52" t="s">
        <v>25</v>
      </c>
      <c r="F7367" s="52" t="s">
        <v>26</v>
      </c>
      <c r="G7367" s="53"/>
    </row>
    <row r="7368">
      <c r="A7368" s="49">
        <v>44590.4376406713</v>
      </c>
      <c r="B7368" s="50">
        <v>44590.5626148263</v>
      </c>
      <c r="C7368" s="51">
        <v>1.005</v>
      </c>
      <c r="D7368" s="51">
        <v>63.0</v>
      </c>
      <c r="E7368" s="52" t="s">
        <v>25</v>
      </c>
      <c r="F7368" s="52" t="s">
        <v>26</v>
      </c>
      <c r="G7368" s="53"/>
    </row>
    <row r="7369">
      <c r="A7369" s="49">
        <v>44590.44806778935</v>
      </c>
      <c r="B7369" s="50">
        <v>44590.5730368171</v>
      </c>
      <c r="C7369" s="51">
        <v>1.005</v>
      </c>
      <c r="D7369" s="51">
        <v>63.0</v>
      </c>
      <c r="E7369" s="52" t="s">
        <v>25</v>
      </c>
      <c r="F7369" s="52" t="s">
        <v>26</v>
      </c>
      <c r="G7369" s="53"/>
    </row>
    <row r="7370">
      <c r="A7370" s="49">
        <v>44590.45852072917</v>
      </c>
      <c r="B7370" s="50">
        <v>44590.5834951157</v>
      </c>
      <c r="C7370" s="51">
        <v>1.005</v>
      </c>
      <c r="D7370" s="51">
        <v>63.0</v>
      </c>
      <c r="E7370" s="52" t="s">
        <v>25</v>
      </c>
      <c r="F7370" s="52" t="s">
        <v>26</v>
      </c>
      <c r="G7370" s="53"/>
    </row>
    <row r="7371">
      <c r="A7371" s="49">
        <v>44590.4689524537</v>
      </c>
      <c r="B7371" s="50">
        <v>44590.5939278009</v>
      </c>
      <c r="C7371" s="51">
        <v>1.005</v>
      </c>
      <c r="D7371" s="51">
        <v>63.0</v>
      </c>
      <c r="E7371" s="52" t="s">
        <v>25</v>
      </c>
      <c r="F7371" s="52" t="s">
        <v>26</v>
      </c>
      <c r="G7371" s="53"/>
    </row>
    <row r="7372">
      <c r="A7372" s="49">
        <v>44590.47937047454</v>
      </c>
      <c r="B7372" s="50">
        <v>44590.6043491782</v>
      </c>
      <c r="C7372" s="51">
        <v>1.005</v>
      </c>
      <c r="D7372" s="51">
        <v>63.0</v>
      </c>
      <c r="E7372" s="52" t="s">
        <v>25</v>
      </c>
      <c r="F7372" s="52" t="s">
        <v>26</v>
      </c>
      <c r="G7372" s="53"/>
    </row>
    <row r="7373">
      <c r="A7373" s="49">
        <v>44590.48980513889</v>
      </c>
      <c r="B7373" s="50">
        <v>44590.6147813773</v>
      </c>
      <c r="C7373" s="51">
        <v>1.005</v>
      </c>
      <c r="D7373" s="51">
        <v>63.0</v>
      </c>
      <c r="E7373" s="52" t="s">
        <v>25</v>
      </c>
      <c r="F7373" s="52" t="s">
        <v>26</v>
      </c>
      <c r="G7373" s="53"/>
    </row>
    <row r="7374">
      <c r="A7374" s="49">
        <v>44590.50026233796</v>
      </c>
      <c r="B7374" s="50">
        <v>44590.6252388888</v>
      </c>
      <c r="C7374" s="51">
        <v>1.005</v>
      </c>
      <c r="D7374" s="51">
        <v>63.0</v>
      </c>
      <c r="E7374" s="52" t="s">
        <v>25</v>
      </c>
      <c r="F7374" s="52" t="s">
        <v>26</v>
      </c>
      <c r="G7374" s="53"/>
    </row>
    <row r="7375">
      <c r="A7375" s="49">
        <v>44590.51071243055</v>
      </c>
      <c r="B7375" s="50">
        <v>44590.6356845138</v>
      </c>
      <c r="C7375" s="51">
        <v>1.005</v>
      </c>
      <c r="D7375" s="51">
        <v>63.0</v>
      </c>
      <c r="E7375" s="52" t="s">
        <v>25</v>
      </c>
      <c r="F7375" s="52" t="s">
        <v>26</v>
      </c>
      <c r="G7375" s="53"/>
    </row>
    <row r="7376">
      <c r="A7376" s="49">
        <v>44590.52114440972</v>
      </c>
      <c r="B7376" s="50">
        <v>44590.6461181828</v>
      </c>
      <c r="C7376" s="51">
        <v>1.005</v>
      </c>
      <c r="D7376" s="51">
        <v>63.0</v>
      </c>
      <c r="E7376" s="52" t="s">
        <v>25</v>
      </c>
      <c r="F7376" s="52" t="s">
        <v>26</v>
      </c>
      <c r="G7376" s="53"/>
    </row>
    <row r="7377">
      <c r="A7377" s="49">
        <v>44590.53156506944</v>
      </c>
      <c r="B7377" s="50">
        <v>44590.6565391898</v>
      </c>
      <c r="C7377" s="51">
        <v>1.005</v>
      </c>
      <c r="D7377" s="51">
        <v>63.0</v>
      </c>
      <c r="E7377" s="52" t="s">
        <v>25</v>
      </c>
      <c r="F7377" s="52" t="s">
        <v>26</v>
      </c>
      <c r="G7377" s="53"/>
    </row>
    <row r="7378">
      <c r="A7378" s="49">
        <v>44590.541984571755</v>
      </c>
      <c r="B7378" s="50">
        <v>44590.6669603819</v>
      </c>
      <c r="C7378" s="51">
        <v>1.005</v>
      </c>
      <c r="D7378" s="51">
        <v>63.0</v>
      </c>
      <c r="E7378" s="52" t="s">
        <v>25</v>
      </c>
      <c r="F7378" s="52" t="s">
        <v>26</v>
      </c>
      <c r="G7378" s="53"/>
    </row>
    <row r="7379">
      <c r="A7379" s="49">
        <v>44590.55240939815</v>
      </c>
      <c r="B7379" s="50">
        <v>44590.6773810532</v>
      </c>
      <c r="C7379" s="51">
        <v>1.005</v>
      </c>
      <c r="D7379" s="51">
        <v>63.0</v>
      </c>
      <c r="E7379" s="52" t="s">
        <v>25</v>
      </c>
      <c r="F7379" s="52" t="s">
        <v>26</v>
      </c>
      <c r="G7379" s="53"/>
    </row>
    <row r="7380">
      <c r="A7380" s="49">
        <v>44590.56284012731</v>
      </c>
      <c r="B7380" s="50">
        <v>44590.6878141319</v>
      </c>
      <c r="C7380" s="51">
        <v>1.005</v>
      </c>
      <c r="D7380" s="51">
        <v>63.0</v>
      </c>
      <c r="E7380" s="52" t="s">
        <v>25</v>
      </c>
      <c r="F7380" s="52" t="s">
        <v>26</v>
      </c>
      <c r="G7380" s="53"/>
    </row>
    <row r="7381">
      <c r="A7381" s="49">
        <v>44590.573295243055</v>
      </c>
      <c r="B7381" s="50">
        <v>44590.6982707523</v>
      </c>
      <c r="C7381" s="51">
        <v>1.005</v>
      </c>
      <c r="D7381" s="51">
        <v>63.0</v>
      </c>
      <c r="E7381" s="52" t="s">
        <v>25</v>
      </c>
      <c r="F7381" s="52" t="s">
        <v>26</v>
      </c>
      <c r="G7381" s="53"/>
    </row>
    <row r="7382">
      <c r="A7382" s="49">
        <v>44590.58371972222</v>
      </c>
      <c r="B7382" s="50">
        <v>44590.7086913657</v>
      </c>
      <c r="C7382" s="51">
        <v>1.005</v>
      </c>
      <c r="D7382" s="51">
        <v>63.0</v>
      </c>
      <c r="E7382" s="52" t="s">
        <v>25</v>
      </c>
      <c r="F7382" s="52" t="s">
        <v>26</v>
      </c>
      <c r="G7382" s="53"/>
    </row>
    <row r="7383">
      <c r="A7383" s="49">
        <v>44590.59414109954</v>
      </c>
      <c r="B7383" s="50">
        <v>44590.7191118865</v>
      </c>
      <c r="C7383" s="51">
        <v>1.005</v>
      </c>
      <c r="D7383" s="51">
        <v>63.0</v>
      </c>
      <c r="E7383" s="52" t="s">
        <v>25</v>
      </c>
      <c r="F7383" s="52" t="s">
        <v>26</v>
      </c>
      <c r="G7383" s="53"/>
    </row>
    <row r="7384">
      <c r="A7384" s="49">
        <v>44590.604553564815</v>
      </c>
      <c r="B7384" s="50">
        <v>44590.729531412</v>
      </c>
      <c r="C7384" s="51">
        <v>1.005</v>
      </c>
      <c r="D7384" s="51">
        <v>63.0</v>
      </c>
      <c r="E7384" s="52" t="s">
        <v>25</v>
      </c>
      <c r="F7384" s="52" t="s">
        <v>26</v>
      </c>
      <c r="G7384" s="53"/>
    </row>
    <row r="7385">
      <c r="A7385" s="49">
        <v>44590.6149875</v>
      </c>
      <c r="B7385" s="50">
        <v>44590.7399632291</v>
      </c>
      <c r="C7385" s="51">
        <v>1.005</v>
      </c>
      <c r="D7385" s="51">
        <v>63.0</v>
      </c>
      <c r="E7385" s="52" t="s">
        <v>25</v>
      </c>
      <c r="F7385" s="52" t="s">
        <v>26</v>
      </c>
      <c r="G7385" s="53"/>
    </row>
    <row r="7386">
      <c r="A7386" s="49">
        <v>44590.625408692125</v>
      </c>
      <c r="B7386" s="50">
        <v>44590.7503842245</v>
      </c>
      <c r="C7386" s="51">
        <v>1.005</v>
      </c>
      <c r="D7386" s="51">
        <v>63.0</v>
      </c>
      <c r="E7386" s="52" t="s">
        <v>25</v>
      </c>
      <c r="F7386" s="52" t="s">
        <v>26</v>
      </c>
      <c r="G7386" s="53"/>
    </row>
    <row r="7387">
      <c r="A7387" s="49">
        <v>44590.63586627315</v>
      </c>
      <c r="B7387" s="50">
        <v>44590.7608409837</v>
      </c>
      <c r="C7387" s="51">
        <v>1.005</v>
      </c>
      <c r="D7387" s="51">
        <v>63.0</v>
      </c>
      <c r="E7387" s="52" t="s">
        <v>25</v>
      </c>
      <c r="F7387" s="52" t="s">
        <v>26</v>
      </c>
      <c r="G7387" s="53"/>
    </row>
    <row r="7388">
      <c r="A7388" s="49">
        <v>44590.64630125</v>
      </c>
      <c r="B7388" s="50">
        <v>44590.7712748263</v>
      </c>
      <c r="C7388" s="51">
        <v>1.005</v>
      </c>
      <c r="D7388" s="51">
        <v>63.0</v>
      </c>
      <c r="E7388" s="52" t="s">
        <v>25</v>
      </c>
      <c r="F7388" s="52" t="s">
        <v>26</v>
      </c>
      <c r="G7388" s="53"/>
    </row>
    <row r="7389">
      <c r="A7389" s="49">
        <v>44590.65672425926</v>
      </c>
      <c r="B7389" s="50">
        <v>44590.7816967476</v>
      </c>
      <c r="C7389" s="51">
        <v>1.005</v>
      </c>
      <c r="D7389" s="51">
        <v>63.0</v>
      </c>
      <c r="E7389" s="52" t="s">
        <v>25</v>
      </c>
      <c r="F7389" s="52" t="s">
        <v>26</v>
      </c>
      <c r="G7389" s="53"/>
    </row>
    <row r="7390">
      <c r="A7390" s="49">
        <v>44590.66713966435</v>
      </c>
      <c r="B7390" s="50">
        <v>44590.7921164004</v>
      </c>
      <c r="C7390" s="51">
        <v>1.005</v>
      </c>
      <c r="D7390" s="51">
        <v>63.0</v>
      </c>
      <c r="E7390" s="52" t="s">
        <v>25</v>
      </c>
      <c r="F7390" s="52" t="s">
        <v>26</v>
      </c>
      <c r="G7390" s="53"/>
    </row>
    <row r="7391">
      <c r="A7391" s="49">
        <v>44590.67758079861</v>
      </c>
      <c r="B7391" s="50">
        <v>44590.8025498842</v>
      </c>
      <c r="C7391" s="51">
        <v>1.005</v>
      </c>
      <c r="D7391" s="51">
        <v>63.0</v>
      </c>
      <c r="E7391" s="52" t="s">
        <v>25</v>
      </c>
      <c r="F7391" s="52" t="s">
        <v>26</v>
      </c>
      <c r="G7391" s="53"/>
    </row>
    <row r="7392">
      <c r="A7392" s="49">
        <v>44590.68799723379</v>
      </c>
      <c r="B7392" s="50">
        <v>44590.8129707523</v>
      </c>
      <c r="C7392" s="51">
        <v>1.005</v>
      </c>
      <c r="D7392" s="51">
        <v>63.0</v>
      </c>
      <c r="E7392" s="52" t="s">
        <v>25</v>
      </c>
      <c r="F7392" s="52" t="s">
        <v>26</v>
      </c>
      <c r="G7392" s="53"/>
    </row>
    <row r="7393">
      <c r="A7393" s="49">
        <v>44590.69841878473</v>
      </c>
      <c r="B7393" s="50">
        <v>44590.8234021296</v>
      </c>
      <c r="C7393" s="51">
        <v>1.005</v>
      </c>
      <c r="D7393" s="51">
        <v>63.0</v>
      </c>
      <c r="E7393" s="52" t="s">
        <v>25</v>
      </c>
      <c r="F7393" s="52" t="s">
        <v>26</v>
      </c>
      <c r="G7393" s="53"/>
    </row>
    <row r="7394">
      <c r="A7394" s="49">
        <v>44590.70884277778</v>
      </c>
      <c r="B7394" s="50">
        <v>44590.8338237037</v>
      </c>
      <c r="C7394" s="51">
        <v>1.005</v>
      </c>
      <c r="D7394" s="51">
        <v>63.0</v>
      </c>
      <c r="E7394" s="52" t="s">
        <v>25</v>
      </c>
      <c r="F7394" s="52" t="s">
        <v>26</v>
      </c>
      <c r="G7394" s="53"/>
    </row>
    <row r="7395">
      <c r="A7395" s="49">
        <v>44590.7192712963</v>
      </c>
      <c r="B7395" s="50">
        <v>44590.844245868</v>
      </c>
      <c r="C7395" s="51">
        <v>1.005</v>
      </c>
      <c r="D7395" s="51">
        <v>63.0</v>
      </c>
      <c r="E7395" s="52" t="s">
        <v>25</v>
      </c>
      <c r="F7395" s="52" t="s">
        <v>26</v>
      </c>
      <c r="G7395" s="53"/>
    </row>
    <row r="7396">
      <c r="A7396" s="49">
        <v>44590.72970181713</v>
      </c>
      <c r="B7396" s="50">
        <v>44590.8546771412</v>
      </c>
      <c r="C7396" s="51">
        <v>1.005</v>
      </c>
      <c r="D7396" s="51">
        <v>63.0</v>
      </c>
      <c r="E7396" s="52" t="s">
        <v>25</v>
      </c>
      <c r="F7396" s="52" t="s">
        <v>26</v>
      </c>
      <c r="G7396" s="53"/>
    </row>
    <row r="7397">
      <c r="A7397" s="49">
        <v>44590.74013255787</v>
      </c>
      <c r="B7397" s="50">
        <v>44590.8651117361</v>
      </c>
      <c r="C7397" s="51">
        <v>1.005</v>
      </c>
      <c r="D7397" s="51">
        <v>63.0</v>
      </c>
      <c r="E7397" s="52" t="s">
        <v>25</v>
      </c>
      <c r="F7397" s="52" t="s">
        <v>26</v>
      </c>
      <c r="G7397" s="53"/>
    </row>
    <row r="7398">
      <c r="A7398" s="49">
        <v>44590.75056170139</v>
      </c>
      <c r="B7398" s="50">
        <v>44590.8755330902</v>
      </c>
      <c r="C7398" s="51">
        <v>1.005</v>
      </c>
      <c r="D7398" s="51">
        <v>63.0</v>
      </c>
      <c r="E7398" s="52" t="s">
        <v>25</v>
      </c>
      <c r="F7398" s="52" t="s">
        <v>26</v>
      </c>
      <c r="G7398" s="53"/>
    </row>
    <row r="7399">
      <c r="A7399" s="49">
        <v>44590.7609865625</v>
      </c>
      <c r="B7399" s="50">
        <v>44590.8859540972</v>
      </c>
      <c r="C7399" s="51">
        <v>1.005</v>
      </c>
      <c r="D7399" s="51">
        <v>63.0</v>
      </c>
      <c r="E7399" s="52" t="s">
        <v>25</v>
      </c>
      <c r="F7399" s="52" t="s">
        <v>26</v>
      </c>
      <c r="G7399" s="53"/>
    </row>
    <row r="7400">
      <c r="A7400" s="49">
        <v>44590.77139863426</v>
      </c>
      <c r="B7400" s="50">
        <v>44590.8963758796</v>
      </c>
      <c r="C7400" s="51">
        <v>1.005</v>
      </c>
      <c r="D7400" s="51">
        <v>63.0</v>
      </c>
      <c r="E7400" s="52" t="s">
        <v>25</v>
      </c>
      <c r="F7400" s="52" t="s">
        <v>26</v>
      </c>
      <c r="G7400" s="53"/>
    </row>
    <row r="7401">
      <c r="A7401" s="49">
        <v>44590.78181763889</v>
      </c>
      <c r="B7401" s="50">
        <v>44590.9067977893</v>
      </c>
      <c r="C7401" s="51">
        <v>1.005</v>
      </c>
      <c r="D7401" s="51">
        <v>64.0</v>
      </c>
      <c r="E7401" s="52" t="s">
        <v>25</v>
      </c>
      <c r="F7401" s="52" t="s">
        <v>26</v>
      </c>
      <c r="G7401" s="53"/>
    </row>
    <row r="7402">
      <c r="A7402" s="49">
        <v>44590.79224171296</v>
      </c>
      <c r="B7402" s="50">
        <v>44590.9172168287</v>
      </c>
      <c r="C7402" s="51">
        <v>1.004</v>
      </c>
      <c r="D7402" s="51">
        <v>64.0</v>
      </c>
      <c r="E7402" s="52" t="s">
        <v>25</v>
      </c>
      <c r="F7402" s="52" t="s">
        <v>26</v>
      </c>
      <c r="G7402" s="53"/>
    </row>
    <row r="7403">
      <c r="A7403" s="49">
        <v>44590.80266149306</v>
      </c>
      <c r="B7403" s="50">
        <v>44590.9276390162</v>
      </c>
      <c r="C7403" s="51">
        <v>1.005</v>
      </c>
      <c r="D7403" s="51">
        <v>65.0</v>
      </c>
      <c r="E7403" s="52" t="s">
        <v>25</v>
      </c>
      <c r="F7403" s="52" t="s">
        <v>26</v>
      </c>
      <c r="G7403" s="53"/>
    </row>
    <row r="7404">
      <c r="A7404" s="49">
        <v>44590.813088634255</v>
      </c>
      <c r="B7404" s="50">
        <v>44590.9380617361</v>
      </c>
      <c r="C7404" s="51">
        <v>1.004</v>
      </c>
      <c r="D7404" s="51">
        <v>65.0</v>
      </c>
      <c r="E7404" s="52" t="s">
        <v>25</v>
      </c>
      <c r="F7404" s="52" t="s">
        <v>26</v>
      </c>
      <c r="G7404" s="53"/>
    </row>
    <row r="7405">
      <c r="A7405" s="49">
        <v>44590.82351033565</v>
      </c>
      <c r="B7405" s="50">
        <v>44590.9484843981</v>
      </c>
      <c r="C7405" s="51">
        <v>1.004</v>
      </c>
      <c r="D7405" s="51">
        <v>66.0</v>
      </c>
      <c r="E7405" s="52" t="s">
        <v>25</v>
      </c>
      <c r="F7405" s="52" t="s">
        <v>26</v>
      </c>
      <c r="G7405" s="53"/>
    </row>
    <row r="7406">
      <c r="A7406" s="49">
        <v>44590.83394069444</v>
      </c>
      <c r="B7406" s="50">
        <v>44590.9589183217</v>
      </c>
      <c r="C7406" s="51">
        <v>1.005</v>
      </c>
      <c r="D7406" s="51">
        <v>66.0</v>
      </c>
      <c r="E7406" s="52" t="s">
        <v>25</v>
      </c>
      <c r="F7406" s="52" t="s">
        <v>26</v>
      </c>
      <c r="G7406" s="53"/>
    </row>
    <row r="7407">
      <c r="A7407" s="49">
        <v>44590.844367199075</v>
      </c>
      <c r="B7407" s="50">
        <v>44590.9693400231</v>
      </c>
      <c r="C7407" s="51">
        <v>1.005</v>
      </c>
      <c r="D7407" s="51">
        <v>66.0</v>
      </c>
      <c r="E7407" s="52" t="s">
        <v>25</v>
      </c>
      <c r="F7407" s="52" t="s">
        <v>26</v>
      </c>
      <c r="G7407" s="53"/>
    </row>
    <row r="7408">
      <c r="A7408" s="49">
        <v>44590.8547991088</v>
      </c>
      <c r="B7408" s="50">
        <v>44590.9797742129</v>
      </c>
      <c r="C7408" s="51">
        <v>1.004</v>
      </c>
      <c r="D7408" s="51">
        <v>67.0</v>
      </c>
      <c r="E7408" s="52" t="s">
        <v>25</v>
      </c>
      <c r="F7408" s="52" t="s">
        <v>26</v>
      </c>
      <c r="G7408" s="53"/>
    </row>
    <row r="7409">
      <c r="A7409" s="49">
        <v>44590.86522211805</v>
      </c>
      <c r="B7409" s="50">
        <v>44590.9901927083</v>
      </c>
      <c r="C7409" s="51">
        <v>1.004</v>
      </c>
      <c r="D7409" s="51">
        <v>67.0</v>
      </c>
      <c r="E7409" s="52" t="s">
        <v>25</v>
      </c>
      <c r="F7409" s="52" t="s">
        <v>26</v>
      </c>
      <c r="G7409" s="53"/>
    </row>
    <row r="7410">
      <c r="A7410" s="49">
        <v>44590.8756395949</v>
      </c>
      <c r="B7410" s="50">
        <v>44591.0006149999</v>
      </c>
      <c r="C7410" s="51">
        <v>1.004</v>
      </c>
      <c r="D7410" s="51">
        <v>68.0</v>
      </c>
      <c r="E7410" s="52" t="s">
        <v>25</v>
      </c>
      <c r="F7410" s="52" t="s">
        <v>26</v>
      </c>
      <c r="G7410" s="53"/>
    </row>
    <row r="7411">
      <c r="A7411" s="49">
        <v>44590.88606258102</v>
      </c>
      <c r="B7411" s="50">
        <v>44591.0110354629</v>
      </c>
      <c r="C7411" s="51">
        <v>1.004</v>
      </c>
      <c r="D7411" s="51">
        <v>68.0</v>
      </c>
      <c r="E7411" s="52" t="s">
        <v>25</v>
      </c>
      <c r="F7411" s="52" t="s">
        <v>26</v>
      </c>
      <c r="G7411" s="53"/>
    </row>
    <row r="7412">
      <c r="A7412" s="49">
        <v>44590.89648743055</v>
      </c>
      <c r="B7412" s="50">
        <v>44591.0214678125</v>
      </c>
      <c r="C7412" s="51">
        <v>1.004</v>
      </c>
      <c r="D7412" s="51">
        <v>68.0</v>
      </c>
      <c r="E7412" s="52" t="s">
        <v>25</v>
      </c>
      <c r="F7412" s="52" t="s">
        <v>26</v>
      </c>
      <c r="G7412" s="53"/>
    </row>
    <row r="7413">
      <c r="A7413" s="49">
        <v>44590.90691366898</v>
      </c>
      <c r="B7413" s="50">
        <v>44591.0318891087</v>
      </c>
      <c r="C7413" s="51">
        <v>1.004</v>
      </c>
      <c r="D7413" s="51">
        <v>68.0</v>
      </c>
      <c r="E7413" s="52" t="s">
        <v>25</v>
      </c>
      <c r="F7413" s="52" t="s">
        <v>26</v>
      </c>
      <c r="G7413" s="53"/>
    </row>
    <row r="7414">
      <c r="A7414" s="49">
        <v>44590.9173375463</v>
      </c>
      <c r="B7414" s="50">
        <v>44591.0423096064</v>
      </c>
      <c r="C7414" s="51">
        <v>1.004</v>
      </c>
      <c r="D7414" s="51">
        <v>68.0</v>
      </c>
      <c r="E7414" s="52" t="s">
        <v>25</v>
      </c>
      <c r="F7414" s="52" t="s">
        <v>26</v>
      </c>
      <c r="G7414" s="53"/>
    </row>
    <row r="7415">
      <c r="A7415" s="49">
        <v>44590.92778244213</v>
      </c>
      <c r="B7415" s="50">
        <v>44591.052754155</v>
      </c>
      <c r="C7415" s="51">
        <v>1.004</v>
      </c>
      <c r="D7415" s="51">
        <v>68.0</v>
      </c>
      <c r="E7415" s="52" t="s">
        <v>25</v>
      </c>
      <c r="F7415" s="52" t="s">
        <v>26</v>
      </c>
      <c r="G7415" s="53"/>
    </row>
    <row r="7416">
      <c r="A7416" s="49">
        <v>44590.9382314699</v>
      </c>
      <c r="B7416" s="50">
        <v>44591.0632002199</v>
      </c>
      <c r="C7416" s="51">
        <v>1.004</v>
      </c>
      <c r="D7416" s="51">
        <v>68.0</v>
      </c>
      <c r="E7416" s="52" t="s">
        <v>25</v>
      </c>
      <c r="F7416" s="52" t="s">
        <v>26</v>
      </c>
      <c r="G7416" s="53"/>
    </row>
    <row r="7417">
      <c r="A7417" s="49">
        <v>44590.94865047454</v>
      </c>
      <c r="B7417" s="50">
        <v>44591.073620081</v>
      </c>
      <c r="C7417" s="51">
        <v>1.004</v>
      </c>
      <c r="D7417" s="51">
        <v>68.0</v>
      </c>
      <c r="E7417" s="52" t="s">
        <v>25</v>
      </c>
      <c r="F7417" s="52" t="s">
        <v>26</v>
      </c>
      <c r="G7417" s="53"/>
    </row>
    <row r="7418">
      <c r="A7418" s="49">
        <v>44590.95906833334</v>
      </c>
      <c r="B7418" s="50">
        <v>44591.0840403587</v>
      </c>
      <c r="C7418" s="51">
        <v>1.004</v>
      </c>
      <c r="D7418" s="51">
        <v>68.0</v>
      </c>
      <c r="E7418" s="52" t="s">
        <v>25</v>
      </c>
      <c r="F7418" s="52" t="s">
        <v>26</v>
      </c>
      <c r="G7418" s="53"/>
    </row>
    <row r="7419">
      <c r="A7419" s="49">
        <v>44590.96949747685</v>
      </c>
      <c r="B7419" s="50">
        <v>44591.094472037</v>
      </c>
      <c r="C7419" s="51">
        <v>1.004</v>
      </c>
      <c r="D7419" s="51">
        <v>68.0</v>
      </c>
      <c r="E7419" s="52" t="s">
        <v>25</v>
      </c>
      <c r="F7419" s="52" t="s">
        <v>26</v>
      </c>
      <c r="G7419" s="53"/>
    </row>
    <row r="7420">
      <c r="A7420" s="49">
        <v>44590.990428923615</v>
      </c>
      <c r="B7420" s="50">
        <v>44591.1153949999</v>
      </c>
      <c r="C7420" s="51">
        <v>1.004</v>
      </c>
      <c r="D7420" s="51">
        <v>68.0</v>
      </c>
      <c r="E7420" s="52" t="s">
        <v>25</v>
      </c>
      <c r="F7420" s="52" t="s">
        <v>26</v>
      </c>
      <c r="G7420" s="53"/>
    </row>
    <row r="7421">
      <c r="A7421" s="49">
        <v>44591.00086015047</v>
      </c>
      <c r="B7421" s="50">
        <v>44591.1258278819</v>
      </c>
      <c r="C7421" s="51">
        <v>1.005</v>
      </c>
      <c r="D7421" s="51">
        <v>67.0</v>
      </c>
      <c r="E7421" s="52" t="s">
        <v>25</v>
      </c>
      <c r="F7421" s="52" t="s">
        <v>26</v>
      </c>
      <c r="G7421" s="53"/>
    </row>
    <row r="7422">
      <c r="A7422" s="49">
        <v>44591.01128037037</v>
      </c>
      <c r="B7422" s="50">
        <v>44591.1362500462</v>
      </c>
      <c r="C7422" s="51">
        <v>1.004</v>
      </c>
      <c r="D7422" s="51">
        <v>67.0</v>
      </c>
      <c r="E7422" s="52" t="s">
        <v>25</v>
      </c>
      <c r="F7422" s="52" t="s">
        <v>26</v>
      </c>
      <c r="G7422" s="53"/>
    </row>
    <row r="7423">
      <c r="A7423" s="49">
        <v>44591.02172694444</v>
      </c>
      <c r="B7423" s="50">
        <v>44591.14669625</v>
      </c>
      <c r="C7423" s="51">
        <v>1.004</v>
      </c>
      <c r="D7423" s="51">
        <v>67.0</v>
      </c>
      <c r="E7423" s="52" t="s">
        <v>25</v>
      </c>
      <c r="F7423" s="52" t="s">
        <v>26</v>
      </c>
      <c r="G7423" s="53"/>
    </row>
    <row r="7424">
      <c r="A7424" s="49">
        <v>44591.03215321759</v>
      </c>
      <c r="B7424" s="50">
        <v>44591.1571189351</v>
      </c>
      <c r="C7424" s="51">
        <v>1.004</v>
      </c>
      <c r="D7424" s="51">
        <v>67.0</v>
      </c>
      <c r="E7424" s="52" t="s">
        <v>25</v>
      </c>
      <c r="F7424" s="52" t="s">
        <v>26</v>
      </c>
      <c r="G7424" s="53"/>
    </row>
    <row r="7425">
      <c r="A7425" s="49">
        <v>44591.04259537037</v>
      </c>
      <c r="B7425" s="50">
        <v>44591.1675632407</v>
      </c>
      <c r="C7425" s="51">
        <v>1.004</v>
      </c>
      <c r="D7425" s="51">
        <v>67.0</v>
      </c>
      <c r="E7425" s="52" t="s">
        <v>25</v>
      </c>
      <c r="F7425" s="52" t="s">
        <v>26</v>
      </c>
      <c r="G7425" s="53"/>
    </row>
    <row r="7426">
      <c r="A7426" s="49">
        <v>44591.05302732639</v>
      </c>
      <c r="B7426" s="50">
        <v>44591.1779965509</v>
      </c>
      <c r="C7426" s="51">
        <v>1.004</v>
      </c>
      <c r="D7426" s="51">
        <v>67.0</v>
      </c>
      <c r="E7426" s="52" t="s">
        <v>25</v>
      </c>
      <c r="F7426" s="52" t="s">
        <v>26</v>
      </c>
      <c r="G7426" s="53"/>
    </row>
    <row r="7427">
      <c r="A7427" s="49">
        <v>44591.06349489583</v>
      </c>
      <c r="B7427" s="50">
        <v>44591.1884645138</v>
      </c>
      <c r="C7427" s="51">
        <v>1.004</v>
      </c>
      <c r="D7427" s="51">
        <v>67.0</v>
      </c>
      <c r="E7427" s="52" t="s">
        <v>25</v>
      </c>
      <c r="F7427" s="52" t="s">
        <v>26</v>
      </c>
      <c r="G7427" s="53"/>
    </row>
    <row r="7428">
      <c r="A7428" s="49">
        <v>44591.07393915509</v>
      </c>
      <c r="B7428" s="50">
        <v>44591.1989097106</v>
      </c>
      <c r="C7428" s="51">
        <v>1.004</v>
      </c>
      <c r="D7428" s="51">
        <v>67.0</v>
      </c>
      <c r="E7428" s="52" t="s">
        <v>25</v>
      </c>
      <c r="F7428" s="52" t="s">
        <v>26</v>
      </c>
      <c r="G7428" s="53"/>
    </row>
    <row r="7429">
      <c r="A7429" s="49">
        <v>44591.08440753473</v>
      </c>
      <c r="B7429" s="50">
        <v>44591.2093776273</v>
      </c>
      <c r="C7429" s="51">
        <v>1.004</v>
      </c>
      <c r="D7429" s="51">
        <v>67.0</v>
      </c>
      <c r="E7429" s="52" t="s">
        <v>25</v>
      </c>
      <c r="F7429" s="52" t="s">
        <v>26</v>
      </c>
      <c r="G7429" s="53"/>
    </row>
    <row r="7430">
      <c r="A7430" s="49">
        <v>44591.09483248842</v>
      </c>
      <c r="B7430" s="50">
        <v>44591.2197991898</v>
      </c>
      <c r="C7430" s="51">
        <v>1.005</v>
      </c>
      <c r="D7430" s="51">
        <v>67.0</v>
      </c>
      <c r="E7430" s="52" t="s">
        <v>25</v>
      </c>
      <c r="F7430" s="52" t="s">
        <v>26</v>
      </c>
      <c r="G7430" s="53"/>
    </row>
    <row r="7431">
      <c r="A7431" s="49">
        <v>44591.10528179398</v>
      </c>
      <c r="B7431" s="50">
        <v>44591.2302552546</v>
      </c>
      <c r="C7431" s="51">
        <v>1.004</v>
      </c>
      <c r="D7431" s="51">
        <v>67.0</v>
      </c>
      <c r="E7431" s="52" t="s">
        <v>25</v>
      </c>
      <c r="F7431" s="52" t="s">
        <v>26</v>
      </c>
      <c r="G7431" s="53"/>
    </row>
    <row r="7432">
      <c r="A7432" s="49">
        <v>44591.115709537036</v>
      </c>
      <c r="B7432" s="50">
        <v>44591.2406750115</v>
      </c>
      <c r="C7432" s="51">
        <v>1.004</v>
      </c>
      <c r="D7432" s="51">
        <v>67.0</v>
      </c>
      <c r="E7432" s="52" t="s">
        <v>25</v>
      </c>
      <c r="F7432" s="52" t="s">
        <v>26</v>
      </c>
      <c r="G7432" s="53"/>
    </row>
    <row r="7433">
      <c r="A7433" s="49">
        <v>44591.12614719907</v>
      </c>
      <c r="B7433" s="50">
        <v>44591.2511193402</v>
      </c>
      <c r="C7433" s="51">
        <v>1.004</v>
      </c>
      <c r="D7433" s="51">
        <v>67.0</v>
      </c>
      <c r="E7433" s="52" t="s">
        <v>25</v>
      </c>
      <c r="F7433" s="52" t="s">
        <v>26</v>
      </c>
      <c r="G7433" s="53"/>
    </row>
    <row r="7434">
      <c r="A7434" s="49">
        <v>44591.13657607639</v>
      </c>
      <c r="B7434" s="50">
        <v>44591.2615395601</v>
      </c>
      <c r="C7434" s="51">
        <v>1.004</v>
      </c>
      <c r="D7434" s="51">
        <v>67.0</v>
      </c>
      <c r="E7434" s="52" t="s">
        <v>25</v>
      </c>
      <c r="F7434" s="52" t="s">
        <v>26</v>
      </c>
      <c r="G7434" s="53"/>
    </row>
    <row r="7435">
      <c r="A7435" s="49">
        <v>44591.14698789352</v>
      </c>
      <c r="B7435" s="50">
        <v>44591.2719593055</v>
      </c>
      <c r="C7435" s="51">
        <v>1.004</v>
      </c>
      <c r="D7435" s="51">
        <v>67.0</v>
      </c>
      <c r="E7435" s="52" t="s">
        <v>25</v>
      </c>
      <c r="F7435" s="52" t="s">
        <v>26</v>
      </c>
      <c r="G7435" s="53"/>
    </row>
    <row r="7436">
      <c r="A7436" s="49">
        <v>44591.15742420139</v>
      </c>
      <c r="B7436" s="50">
        <v>44591.2823932523</v>
      </c>
      <c r="C7436" s="51">
        <v>1.004</v>
      </c>
      <c r="D7436" s="51">
        <v>67.0</v>
      </c>
      <c r="E7436" s="52" t="s">
        <v>25</v>
      </c>
      <c r="F7436" s="52" t="s">
        <v>26</v>
      </c>
      <c r="G7436" s="53"/>
    </row>
    <row r="7437">
      <c r="A7437" s="49">
        <v>44591.16786208333</v>
      </c>
      <c r="B7437" s="50">
        <v>44591.2928240277</v>
      </c>
      <c r="C7437" s="51">
        <v>1.005</v>
      </c>
      <c r="D7437" s="51">
        <v>67.0</v>
      </c>
      <c r="E7437" s="52" t="s">
        <v>25</v>
      </c>
      <c r="F7437" s="52" t="s">
        <v>26</v>
      </c>
      <c r="G7437" s="53"/>
    </row>
    <row r="7438">
      <c r="A7438" s="49">
        <v>44591.17827841435</v>
      </c>
      <c r="B7438" s="50">
        <v>44591.303246331</v>
      </c>
      <c r="C7438" s="51">
        <v>1.004</v>
      </c>
      <c r="D7438" s="51">
        <v>67.0</v>
      </c>
      <c r="E7438" s="52" t="s">
        <v>25</v>
      </c>
      <c r="F7438" s="52" t="s">
        <v>26</v>
      </c>
      <c r="G7438" s="53"/>
    </row>
    <row r="7439">
      <c r="A7439" s="49">
        <v>44591.188697777776</v>
      </c>
      <c r="B7439" s="50">
        <v>44591.3136662847</v>
      </c>
      <c r="C7439" s="51">
        <v>1.005</v>
      </c>
      <c r="D7439" s="51">
        <v>67.0</v>
      </c>
      <c r="E7439" s="52" t="s">
        <v>25</v>
      </c>
      <c r="F7439" s="52" t="s">
        <v>26</v>
      </c>
      <c r="G7439" s="53"/>
    </row>
    <row r="7440">
      <c r="A7440" s="49">
        <v>44591.1991487037</v>
      </c>
      <c r="B7440" s="50">
        <v>44591.3241230787</v>
      </c>
      <c r="C7440" s="51">
        <v>1.004</v>
      </c>
      <c r="D7440" s="51">
        <v>67.0</v>
      </c>
      <c r="E7440" s="52" t="s">
        <v>25</v>
      </c>
      <c r="F7440" s="52" t="s">
        <v>26</v>
      </c>
      <c r="G7440" s="53"/>
    </row>
    <row r="7441">
      <c r="A7441" s="49">
        <v>44591.2095735301</v>
      </c>
      <c r="B7441" s="50">
        <v>44591.3345443055</v>
      </c>
      <c r="C7441" s="51">
        <v>1.004</v>
      </c>
      <c r="D7441" s="51">
        <v>67.0</v>
      </c>
      <c r="E7441" s="52" t="s">
        <v>25</v>
      </c>
      <c r="F7441" s="52" t="s">
        <v>26</v>
      </c>
      <c r="G7441" s="53"/>
    </row>
    <row r="7442">
      <c r="A7442" s="49">
        <v>44591.220024016206</v>
      </c>
      <c r="B7442" s="50">
        <v>44591.3449992476</v>
      </c>
      <c r="C7442" s="51">
        <v>1.004</v>
      </c>
      <c r="D7442" s="51">
        <v>67.0</v>
      </c>
      <c r="E7442" s="52" t="s">
        <v>25</v>
      </c>
      <c r="F7442" s="52" t="s">
        <v>26</v>
      </c>
      <c r="G7442" s="53"/>
    </row>
    <row r="7443">
      <c r="A7443" s="49">
        <v>44591.230448622686</v>
      </c>
      <c r="B7443" s="50">
        <v>44591.3554203935</v>
      </c>
      <c r="C7443" s="51">
        <v>1.004</v>
      </c>
      <c r="D7443" s="51">
        <v>67.0</v>
      </c>
      <c r="E7443" s="52" t="s">
        <v>25</v>
      </c>
      <c r="F7443" s="52" t="s">
        <v>26</v>
      </c>
      <c r="G7443" s="53"/>
    </row>
    <row r="7444">
      <c r="A7444" s="49">
        <v>44591.240879143515</v>
      </c>
      <c r="B7444" s="50">
        <v>44591.3658530208</v>
      </c>
      <c r="C7444" s="51">
        <v>1.005</v>
      </c>
      <c r="D7444" s="51">
        <v>66.0</v>
      </c>
      <c r="E7444" s="52" t="s">
        <v>25</v>
      </c>
      <c r="F7444" s="52" t="s">
        <v>26</v>
      </c>
      <c r="G7444" s="53"/>
    </row>
    <row r="7445">
      <c r="A7445" s="49">
        <v>44591.25131497685</v>
      </c>
      <c r="B7445" s="50">
        <v>44591.3762877777</v>
      </c>
      <c r="C7445" s="51">
        <v>1.004</v>
      </c>
      <c r="D7445" s="51">
        <v>66.0</v>
      </c>
      <c r="E7445" s="52" t="s">
        <v>25</v>
      </c>
      <c r="F7445" s="52" t="s">
        <v>26</v>
      </c>
      <c r="G7445" s="53"/>
    </row>
    <row r="7446">
      <c r="A7446" s="49">
        <v>44591.26173385417</v>
      </c>
      <c r="B7446" s="50">
        <v>44591.3867090972</v>
      </c>
      <c r="C7446" s="51">
        <v>1.004</v>
      </c>
      <c r="D7446" s="51">
        <v>66.0</v>
      </c>
      <c r="E7446" s="52" t="s">
        <v>25</v>
      </c>
      <c r="F7446" s="52" t="s">
        <v>26</v>
      </c>
      <c r="G7446" s="53"/>
    </row>
    <row r="7447">
      <c r="A7447" s="49">
        <v>44591.27216341435</v>
      </c>
      <c r="B7447" s="50">
        <v>44591.3971409953</v>
      </c>
      <c r="C7447" s="51">
        <v>1.004</v>
      </c>
      <c r="D7447" s="51">
        <v>66.0</v>
      </c>
      <c r="E7447" s="52" t="s">
        <v>25</v>
      </c>
      <c r="F7447" s="52" t="s">
        <v>26</v>
      </c>
      <c r="G7447" s="53"/>
    </row>
    <row r="7448">
      <c r="A7448" s="49">
        <v>44591.282582534724</v>
      </c>
      <c r="B7448" s="50">
        <v>44591.4075613657</v>
      </c>
      <c r="C7448" s="51">
        <v>1.005</v>
      </c>
      <c r="D7448" s="51">
        <v>66.0</v>
      </c>
      <c r="E7448" s="52" t="s">
        <v>25</v>
      </c>
      <c r="F7448" s="52" t="s">
        <v>26</v>
      </c>
      <c r="G7448" s="53"/>
    </row>
    <row r="7449">
      <c r="A7449" s="49">
        <v>44591.2930040162</v>
      </c>
      <c r="B7449" s="50">
        <v>44591.4179832175</v>
      </c>
      <c r="C7449" s="51">
        <v>1.004</v>
      </c>
      <c r="D7449" s="51">
        <v>66.0</v>
      </c>
      <c r="E7449" s="52" t="s">
        <v>25</v>
      </c>
      <c r="F7449" s="52" t="s">
        <v>26</v>
      </c>
      <c r="G7449" s="53"/>
    </row>
    <row r="7450">
      <c r="A7450" s="49">
        <v>44591.30343809028</v>
      </c>
      <c r="B7450" s="50">
        <v>44591.4284172106</v>
      </c>
      <c r="C7450" s="51">
        <v>1.005</v>
      </c>
      <c r="D7450" s="51">
        <v>66.0</v>
      </c>
      <c r="E7450" s="52" t="s">
        <v>25</v>
      </c>
      <c r="F7450" s="52" t="s">
        <v>26</v>
      </c>
      <c r="G7450" s="53"/>
    </row>
    <row r="7451">
      <c r="A7451" s="49">
        <v>44591.3138565625</v>
      </c>
      <c r="B7451" s="50">
        <v>44591.4388385185</v>
      </c>
      <c r="C7451" s="51">
        <v>1.005</v>
      </c>
      <c r="D7451" s="51">
        <v>66.0</v>
      </c>
      <c r="E7451" s="52" t="s">
        <v>25</v>
      </c>
      <c r="F7451" s="52" t="s">
        <v>26</v>
      </c>
      <c r="G7451" s="53"/>
    </row>
    <row r="7452">
      <c r="A7452" s="49">
        <v>44591.32430288194</v>
      </c>
      <c r="B7452" s="50">
        <v>44591.449280868</v>
      </c>
      <c r="C7452" s="51">
        <v>1.005</v>
      </c>
      <c r="D7452" s="51">
        <v>66.0</v>
      </c>
      <c r="E7452" s="52" t="s">
        <v>25</v>
      </c>
      <c r="F7452" s="52" t="s">
        <v>26</v>
      </c>
      <c r="G7452" s="53"/>
    </row>
    <row r="7453">
      <c r="A7453" s="49">
        <v>44591.33473674768</v>
      </c>
      <c r="B7453" s="50">
        <v>44591.4597163425</v>
      </c>
      <c r="C7453" s="51">
        <v>1.004</v>
      </c>
      <c r="D7453" s="51">
        <v>66.0</v>
      </c>
      <c r="E7453" s="52" t="s">
        <v>25</v>
      </c>
      <c r="F7453" s="52" t="s">
        <v>26</v>
      </c>
      <c r="G7453" s="53"/>
    </row>
    <row r="7454">
      <c r="A7454" s="49">
        <v>44591.345155636576</v>
      </c>
      <c r="B7454" s="50">
        <v>44591.4701375231</v>
      </c>
      <c r="C7454" s="51">
        <v>1.005</v>
      </c>
      <c r="D7454" s="51">
        <v>66.0</v>
      </c>
      <c r="E7454" s="52" t="s">
        <v>25</v>
      </c>
      <c r="F7454" s="52" t="s">
        <v>26</v>
      </c>
      <c r="G7454" s="53"/>
    </row>
    <row r="7455">
      <c r="A7455" s="49">
        <v>44591.355588252314</v>
      </c>
      <c r="B7455" s="50">
        <v>44591.4805604513</v>
      </c>
      <c r="C7455" s="51">
        <v>1.004</v>
      </c>
      <c r="D7455" s="51">
        <v>66.0</v>
      </c>
      <c r="E7455" s="52" t="s">
        <v>25</v>
      </c>
      <c r="F7455" s="52" t="s">
        <v>26</v>
      </c>
      <c r="G7455" s="53"/>
    </row>
    <row r="7456">
      <c r="A7456" s="49">
        <v>44591.36601056713</v>
      </c>
      <c r="B7456" s="50">
        <v>44591.4909819097</v>
      </c>
      <c r="C7456" s="51">
        <v>1.004</v>
      </c>
      <c r="D7456" s="51">
        <v>66.0</v>
      </c>
      <c r="E7456" s="52" t="s">
        <v>25</v>
      </c>
      <c r="F7456" s="52" t="s">
        <v>26</v>
      </c>
      <c r="G7456" s="53"/>
    </row>
    <row r="7457">
      <c r="A7457" s="49">
        <v>44591.376426863426</v>
      </c>
      <c r="B7457" s="50">
        <v>44591.5014036689</v>
      </c>
      <c r="C7457" s="51">
        <v>1.005</v>
      </c>
      <c r="D7457" s="51">
        <v>66.0</v>
      </c>
      <c r="E7457" s="52" t="s">
        <v>25</v>
      </c>
      <c r="F7457" s="52" t="s">
        <v>26</v>
      </c>
      <c r="G7457" s="53"/>
    </row>
    <row r="7458">
      <c r="A7458" s="49">
        <v>44591.38685946759</v>
      </c>
      <c r="B7458" s="50">
        <v>44591.5118350115</v>
      </c>
      <c r="C7458" s="51">
        <v>1.004</v>
      </c>
      <c r="D7458" s="51">
        <v>66.0</v>
      </c>
      <c r="E7458" s="52" t="s">
        <v>25</v>
      </c>
      <c r="F7458" s="52" t="s">
        <v>26</v>
      </c>
      <c r="G7458" s="53"/>
    </row>
    <row r="7459">
      <c r="A7459" s="49">
        <v>44591.39730045139</v>
      </c>
      <c r="B7459" s="50">
        <v>44591.5222811342</v>
      </c>
      <c r="C7459" s="51">
        <v>1.005</v>
      </c>
      <c r="D7459" s="51">
        <v>66.0</v>
      </c>
      <c r="E7459" s="52" t="s">
        <v>25</v>
      </c>
      <c r="F7459" s="52" t="s">
        <v>26</v>
      </c>
      <c r="G7459" s="53"/>
    </row>
    <row r="7460">
      <c r="A7460" s="49">
        <v>44591.40773293981</v>
      </c>
      <c r="B7460" s="50">
        <v>44591.5327129976</v>
      </c>
      <c r="C7460" s="51">
        <v>1.005</v>
      </c>
      <c r="D7460" s="51">
        <v>66.0</v>
      </c>
      <c r="E7460" s="52" t="s">
        <v>25</v>
      </c>
      <c r="F7460" s="52" t="s">
        <v>26</v>
      </c>
      <c r="G7460" s="53"/>
    </row>
    <row r="7461">
      <c r="A7461" s="49">
        <v>44591.4181689699</v>
      </c>
      <c r="B7461" s="50">
        <v>44591.5431453819</v>
      </c>
      <c r="C7461" s="51">
        <v>1.004</v>
      </c>
      <c r="D7461" s="51">
        <v>66.0</v>
      </c>
      <c r="E7461" s="52" t="s">
        <v>25</v>
      </c>
      <c r="F7461" s="52" t="s">
        <v>26</v>
      </c>
      <c r="G7461" s="53"/>
    </row>
    <row r="7462">
      <c r="A7462" s="49">
        <v>44591.42858962963</v>
      </c>
      <c r="B7462" s="50">
        <v>44591.5535685069</v>
      </c>
      <c r="C7462" s="51">
        <v>1.005</v>
      </c>
      <c r="D7462" s="51">
        <v>66.0</v>
      </c>
      <c r="E7462" s="52" t="s">
        <v>25</v>
      </c>
      <c r="F7462" s="52" t="s">
        <v>26</v>
      </c>
      <c r="G7462" s="53"/>
    </row>
    <row r="7463">
      <c r="A7463" s="49">
        <v>44591.439018460645</v>
      </c>
      <c r="B7463" s="50">
        <v>44591.5640019328</v>
      </c>
      <c r="C7463" s="51">
        <v>1.005</v>
      </c>
      <c r="D7463" s="51">
        <v>66.0</v>
      </c>
      <c r="E7463" s="52" t="s">
        <v>25</v>
      </c>
      <c r="F7463" s="52" t="s">
        <v>26</v>
      </c>
      <c r="G7463" s="53"/>
    </row>
    <row r="7464">
      <c r="A7464" s="49">
        <v>44591.44944765046</v>
      </c>
      <c r="B7464" s="50">
        <v>44591.5744236921</v>
      </c>
      <c r="C7464" s="51">
        <v>1.005</v>
      </c>
      <c r="D7464" s="51">
        <v>66.0</v>
      </c>
      <c r="E7464" s="52" t="s">
        <v>25</v>
      </c>
      <c r="F7464" s="52" t="s">
        <v>26</v>
      </c>
      <c r="G7464" s="53"/>
    </row>
    <row r="7465">
      <c r="A7465" s="49">
        <v>44591.45987283565</v>
      </c>
      <c r="B7465" s="50">
        <v>44591.5848456365</v>
      </c>
      <c r="C7465" s="51">
        <v>1.005</v>
      </c>
      <c r="D7465" s="51">
        <v>66.0</v>
      </c>
      <c r="E7465" s="52" t="s">
        <v>25</v>
      </c>
      <c r="F7465" s="52" t="s">
        <v>26</v>
      </c>
      <c r="G7465" s="53"/>
    </row>
    <row r="7466">
      <c r="A7466" s="49">
        <v>44591.4702912037</v>
      </c>
      <c r="B7466" s="50">
        <v>44591.5952672222</v>
      </c>
      <c r="C7466" s="51">
        <v>1.005</v>
      </c>
      <c r="D7466" s="51">
        <v>66.0</v>
      </c>
      <c r="E7466" s="52" t="s">
        <v>25</v>
      </c>
      <c r="F7466" s="52" t="s">
        <v>26</v>
      </c>
      <c r="G7466" s="53"/>
    </row>
    <row r="7467">
      <c r="A7467" s="49">
        <v>44591.480717060185</v>
      </c>
      <c r="B7467" s="50">
        <v>44591.6056878703</v>
      </c>
      <c r="C7467" s="51">
        <v>1.004</v>
      </c>
      <c r="D7467" s="51">
        <v>65.0</v>
      </c>
      <c r="E7467" s="52" t="s">
        <v>25</v>
      </c>
      <c r="F7467" s="52" t="s">
        <v>26</v>
      </c>
      <c r="G7467" s="53"/>
    </row>
    <row r="7468">
      <c r="A7468" s="49">
        <v>44591.49117862269</v>
      </c>
      <c r="B7468" s="50">
        <v>44591.6161452199</v>
      </c>
      <c r="C7468" s="51">
        <v>1.004</v>
      </c>
      <c r="D7468" s="51">
        <v>65.0</v>
      </c>
      <c r="E7468" s="52" t="s">
        <v>25</v>
      </c>
      <c r="F7468" s="52" t="s">
        <v>26</v>
      </c>
      <c r="G7468" s="53"/>
    </row>
    <row r="7469">
      <c r="A7469" s="49">
        <v>44591.501612465276</v>
      </c>
      <c r="B7469" s="50">
        <v>44591.626578912</v>
      </c>
      <c r="C7469" s="51">
        <v>1.005</v>
      </c>
      <c r="D7469" s="51">
        <v>65.0</v>
      </c>
      <c r="E7469" s="52" t="s">
        <v>25</v>
      </c>
      <c r="F7469" s="52" t="s">
        <v>26</v>
      </c>
      <c r="G7469" s="53"/>
    </row>
    <row r="7470">
      <c r="A7470" s="49">
        <v>44591.512035057865</v>
      </c>
      <c r="B7470" s="50">
        <v>44591.6370135185</v>
      </c>
      <c r="C7470" s="51">
        <v>1.005</v>
      </c>
      <c r="D7470" s="51">
        <v>65.0</v>
      </c>
      <c r="E7470" s="52" t="s">
        <v>25</v>
      </c>
      <c r="F7470" s="52" t="s">
        <v>26</v>
      </c>
      <c r="G7470" s="53"/>
    </row>
    <row r="7471">
      <c r="A7471" s="49">
        <v>44591.52253740741</v>
      </c>
      <c r="B7471" s="50">
        <v>44591.6474341435</v>
      </c>
      <c r="C7471" s="51">
        <v>1.005</v>
      </c>
      <c r="D7471" s="51">
        <v>65.0</v>
      </c>
      <c r="E7471" s="52" t="s">
        <v>25</v>
      </c>
      <c r="F7471" s="52" t="s">
        <v>26</v>
      </c>
      <c r="G7471" s="53"/>
    </row>
    <row r="7472">
      <c r="A7472" s="49">
        <v>44591.532890752314</v>
      </c>
      <c r="B7472" s="50">
        <v>44591.6578571064</v>
      </c>
      <c r="C7472" s="51">
        <v>1.004</v>
      </c>
      <c r="D7472" s="51">
        <v>65.0</v>
      </c>
      <c r="E7472" s="52" t="s">
        <v>25</v>
      </c>
      <c r="F7472" s="52" t="s">
        <v>26</v>
      </c>
      <c r="G7472" s="53"/>
    </row>
    <row r="7473">
      <c r="A7473" s="49">
        <v>44591.54331104166</v>
      </c>
      <c r="B7473" s="50">
        <v>44591.6682787615</v>
      </c>
      <c r="C7473" s="51">
        <v>1.005</v>
      </c>
      <c r="D7473" s="51">
        <v>65.0</v>
      </c>
      <c r="E7473" s="52" t="s">
        <v>25</v>
      </c>
      <c r="F7473" s="52" t="s">
        <v>26</v>
      </c>
      <c r="G7473" s="53"/>
    </row>
    <row r="7474">
      <c r="A7474" s="49">
        <v>44591.55372826389</v>
      </c>
      <c r="B7474" s="50">
        <v>44591.67869978</v>
      </c>
      <c r="C7474" s="51">
        <v>1.005</v>
      </c>
      <c r="D7474" s="51">
        <v>65.0</v>
      </c>
      <c r="E7474" s="52" t="s">
        <v>25</v>
      </c>
      <c r="F7474" s="52" t="s">
        <v>26</v>
      </c>
      <c r="G7474" s="53"/>
    </row>
    <row r="7475">
      <c r="A7475" s="49">
        <v>44591.56415582176</v>
      </c>
      <c r="B7475" s="50">
        <v>44591.6891213425</v>
      </c>
      <c r="C7475" s="51">
        <v>1.005</v>
      </c>
      <c r="D7475" s="51">
        <v>65.0</v>
      </c>
      <c r="E7475" s="52" t="s">
        <v>25</v>
      </c>
      <c r="F7475" s="52" t="s">
        <v>26</v>
      </c>
      <c r="G7475" s="53"/>
    </row>
    <row r="7476">
      <c r="A7476" s="49">
        <v>44591.574567557866</v>
      </c>
      <c r="B7476" s="50">
        <v>44591.6995426851</v>
      </c>
      <c r="C7476" s="51">
        <v>1.005</v>
      </c>
      <c r="D7476" s="51">
        <v>65.0</v>
      </c>
      <c r="E7476" s="52" t="s">
        <v>25</v>
      </c>
      <c r="F7476" s="52" t="s">
        <v>26</v>
      </c>
      <c r="G7476" s="53"/>
    </row>
    <row r="7477">
      <c r="A7477" s="49">
        <v>44591.58498983797</v>
      </c>
      <c r="B7477" s="50">
        <v>44591.7099645254</v>
      </c>
      <c r="C7477" s="51">
        <v>1.004</v>
      </c>
      <c r="D7477" s="51">
        <v>65.0</v>
      </c>
      <c r="E7477" s="52" t="s">
        <v>25</v>
      </c>
      <c r="F7477" s="52" t="s">
        <v>26</v>
      </c>
      <c r="G7477" s="53"/>
    </row>
    <row r="7478">
      <c r="A7478" s="49">
        <v>44591.5954287037</v>
      </c>
      <c r="B7478" s="50">
        <v>44591.7203947106</v>
      </c>
      <c r="C7478" s="51">
        <v>1.005</v>
      </c>
      <c r="D7478" s="51">
        <v>65.0</v>
      </c>
      <c r="E7478" s="52" t="s">
        <v>25</v>
      </c>
      <c r="F7478" s="52" t="s">
        <v>26</v>
      </c>
      <c r="G7478" s="53"/>
    </row>
    <row r="7479">
      <c r="A7479" s="49">
        <v>44591.60584265046</v>
      </c>
      <c r="B7479" s="50">
        <v>44591.7308176736</v>
      </c>
      <c r="C7479" s="51">
        <v>1.004</v>
      </c>
      <c r="D7479" s="51">
        <v>65.0</v>
      </c>
      <c r="E7479" s="52" t="s">
        <v>25</v>
      </c>
      <c r="F7479" s="52" t="s">
        <v>26</v>
      </c>
      <c r="G7479" s="53"/>
    </row>
    <row r="7480">
      <c r="A7480" s="49">
        <v>44591.61626480324</v>
      </c>
      <c r="B7480" s="50">
        <v>44591.7412393518</v>
      </c>
      <c r="C7480" s="51">
        <v>1.005</v>
      </c>
      <c r="D7480" s="51">
        <v>65.0</v>
      </c>
      <c r="E7480" s="52" t="s">
        <v>25</v>
      </c>
      <c r="F7480" s="52" t="s">
        <v>26</v>
      </c>
      <c r="G7480" s="53"/>
    </row>
    <row r="7481">
      <c r="A7481" s="49">
        <v>44591.62668497685</v>
      </c>
      <c r="B7481" s="50">
        <v>44591.7516600578</v>
      </c>
      <c r="C7481" s="51">
        <v>1.005</v>
      </c>
      <c r="D7481" s="51">
        <v>65.0</v>
      </c>
      <c r="E7481" s="52" t="s">
        <v>25</v>
      </c>
      <c r="F7481" s="52" t="s">
        <v>26</v>
      </c>
      <c r="G7481" s="53"/>
    </row>
    <row r="7482">
      <c r="A7482" s="49">
        <v>44591.63710545139</v>
      </c>
      <c r="B7482" s="50">
        <v>44591.7620805787</v>
      </c>
      <c r="C7482" s="51">
        <v>1.005</v>
      </c>
      <c r="D7482" s="51">
        <v>65.0</v>
      </c>
      <c r="E7482" s="52" t="s">
        <v>25</v>
      </c>
      <c r="F7482" s="52" t="s">
        <v>26</v>
      </c>
      <c r="G7482" s="53"/>
    </row>
    <row r="7483">
      <c r="A7483" s="49">
        <v>44591.64753760416</v>
      </c>
      <c r="B7483" s="50">
        <v>44591.7725032291</v>
      </c>
      <c r="C7483" s="51">
        <v>1.005</v>
      </c>
      <c r="D7483" s="51">
        <v>65.0</v>
      </c>
      <c r="E7483" s="52" t="s">
        <v>25</v>
      </c>
      <c r="F7483" s="52" t="s">
        <v>26</v>
      </c>
      <c r="G7483" s="53"/>
    </row>
    <row r="7484">
      <c r="A7484" s="49">
        <v>44591.657983784724</v>
      </c>
      <c r="B7484" s="50">
        <v>44591.782947662</v>
      </c>
      <c r="C7484" s="51">
        <v>1.005</v>
      </c>
      <c r="D7484" s="51">
        <v>65.0</v>
      </c>
      <c r="E7484" s="52" t="s">
        <v>25</v>
      </c>
      <c r="F7484" s="52" t="s">
        <v>26</v>
      </c>
      <c r="G7484" s="53"/>
    </row>
    <row r="7485">
      <c r="A7485" s="49">
        <v>44591.66840700232</v>
      </c>
      <c r="B7485" s="50">
        <v>44591.7933805786</v>
      </c>
      <c r="C7485" s="51">
        <v>1.005</v>
      </c>
      <c r="D7485" s="51">
        <v>65.0</v>
      </c>
      <c r="E7485" s="52" t="s">
        <v>25</v>
      </c>
      <c r="F7485" s="52" t="s">
        <v>26</v>
      </c>
      <c r="G7485" s="53"/>
    </row>
    <row r="7486">
      <c r="A7486" s="49">
        <v>44591.678827766205</v>
      </c>
      <c r="B7486" s="50">
        <v>44591.8038025231</v>
      </c>
      <c r="C7486" s="51">
        <v>1.005</v>
      </c>
      <c r="D7486" s="51">
        <v>65.0</v>
      </c>
      <c r="E7486" s="52" t="s">
        <v>25</v>
      </c>
      <c r="F7486" s="52" t="s">
        <v>26</v>
      </c>
      <c r="G7486" s="53"/>
    </row>
    <row r="7487">
      <c r="A7487" s="49">
        <v>44591.68928121528</v>
      </c>
      <c r="B7487" s="50">
        <v>44591.8142474074</v>
      </c>
      <c r="C7487" s="51">
        <v>1.005</v>
      </c>
      <c r="D7487" s="51">
        <v>65.0</v>
      </c>
      <c r="E7487" s="52" t="s">
        <v>25</v>
      </c>
      <c r="F7487" s="52" t="s">
        <v>26</v>
      </c>
      <c r="G7487" s="53"/>
    </row>
    <row r="7488">
      <c r="A7488" s="49">
        <v>44591.69971644676</v>
      </c>
      <c r="B7488" s="50">
        <v>44591.8246791898</v>
      </c>
      <c r="C7488" s="51">
        <v>1.004</v>
      </c>
      <c r="D7488" s="51">
        <v>65.0</v>
      </c>
      <c r="E7488" s="52" t="s">
        <v>25</v>
      </c>
      <c r="F7488" s="52" t="s">
        <v>26</v>
      </c>
      <c r="G7488" s="53"/>
    </row>
    <row r="7489">
      <c r="A7489" s="49">
        <v>44591.7101452662</v>
      </c>
      <c r="B7489" s="50">
        <v>44591.835111956</v>
      </c>
      <c r="C7489" s="51">
        <v>1.004</v>
      </c>
      <c r="D7489" s="51">
        <v>65.0</v>
      </c>
      <c r="E7489" s="52" t="s">
        <v>25</v>
      </c>
      <c r="F7489" s="52" t="s">
        <v>26</v>
      </c>
      <c r="G7489" s="53"/>
    </row>
    <row r="7490">
      <c r="A7490" s="49">
        <v>44591.72056086805</v>
      </c>
      <c r="B7490" s="50">
        <v>44591.8455325694</v>
      </c>
      <c r="C7490" s="51">
        <v>1.004</v>
      </c>
      <c r="D7490" s="51">
        <v>65.0</v>
      </c>
      <c r="E7490" s="52" t="s">
        <v>25</v>
      </c>
      <c r="F7490" s="52" t="s">
        <v>26</v>
      </c>
      <c r="G7490" s="53"/>
    </row>
    <row r="7491">
      <c r="A7491" s="49">
        <v>44591.73099138889</v>
      </c>
      <c r="B7491" s="50">
        <v>44591.8559549305</v>
      </c>
      <c r="C7491" s="51">
        <v>1.004</v>
      </c>
      <c r="D7491" s="51">
        <v>65.0</v>
      </c>
      <c r="E7491" s="52" t="s">
        <v>25</v>
      </c>
      <c r="F7491" s="52" t="s">
        <v>26</v>
      </c>
      <c r="G7491" s="53"/>
    </row>
    <row r="7492">
      <c r="A7492" s="49">
        <v>44591.74142186342</v>
      </c>
      <c r="B7492" s="50">
        <v>44591.866388831</v>
      </c>
      <c r="C7492" s="51">
        <v>1.004</v>
      </c>
      <c r="D7492" s="51">
        <v>64.0</v>
      </c>
      <c r="E7492" s="52" t="s">
        <v>25</v>
      </c>
      <c r="F7492" s="52" t="s">
        <v>26</v>
      </c>
      <c r="G7492" s="53"/>
    </row>
    <row r="7493">
      <c r="A7493" s="49">
        <v>44591.75185144676</v>
      </c>
      <c r="B7493" s="50">
        <v>44591.8768196412</v>
      </c>
      <c r="C7493" s="51">
        <v>1.005</v>
      </c>
      <c r="D7493" s="51">
        <v>64.0</v>
      </c>
      <c r="E7493" s="52" t="s">
        <v>25</v>
      </c>
      <c r="F7493" s="52" t="s">
        <v>26</v>
      </c>
      <c r="G7493" s="53"/>
    </row>
    <row r="7494">
      <c r="A7494" s="49">
        <v>44591.76233835648</v>
      </c>
      <c r="B7494" s="50">
        <v>44591.8873099768</v>
      </c>
      <c r="C7494" s="51">
        <v>1.005</v>
      </c>
      <c r="D7494" s="51">
        <v>64.0</v>
      </c>
      <c r="E7494" s="52" t="s">
        <v>25</v>
      </c>
      <c r="F7494" s="52" t="s">
        <v>26</v>
      </c>
      <c r="G7494" s="53"/>
    </row>
    <row r="7495">
      <c r="A7495" s="49">
        <v>44591.7727928588</v>
      </c>
      <c r="B7495" s="50">
        <v>44591.8977554398</v>
      </c>
      <c r="C7495" s="51">
        <v>1.005</v>
      </c>
      <c r="D7495" s="51">
        <v>64.0</v>
      </c>
      <c r="E7495" s="52" t="s">
        <v>25</v>
      </c>
      <c r="F7495" s="52" t="s">
        <v>26</v>
      </c>
      <c r="G7495" s="53"/>
    </row>
    <row r="7496">
      <c r="A7496" s="49">
        <v>44591.78324983796</v>
      </c>
      <c r="B7496" s="50">
        <v>44591.9082243634</v>
      </c>
      <c r="C7496" s="51">
        <v>1.005</v>
      </c>
      <c r="D7496" s="51">
        <v>64.0</v>
      </c>
      <c r="E7496" s="52" t="s">
        <v>25</v>
      </c>
      <c r="F7496" s="52" t="s">
        <v>26</v>
      </c>
      <c r="G7496" s="53"/>
    </row>
    <row r="7497">
      <c r="A7497" s="49">
        <v>44591.793716458335</v>
      </c>
      <c r="B7497" s="50">
        <v>44591.9186934027</v>
      </c>
      <c r="C7497" s="51">
        <v>1.005</v>
      </c>
      <c r="D7497" s="51">
        <v>64.0</v>
      </c>
      <c r="E7497" s="52" t="s">
        <v>25</v>
      </c>
      <c r="F7497" s="52" t="s">
        <v>26</v>
      </c>
      <c r="G7497" s="53"/>
    </row>
    <row r="7498">
      <c r="A7498" s="49">
        <v>44591.80415115741</v>
      </c>
      <c r="B7498" s="50">
        <v>44591.9291164699</v>
      </c>
      <c r="C7498" s="51">
        <v>1.005</v>
      </c>
      <c r="D7498" s="51">
        <v>64.0</v>
      </c>
      <c r="E7498" s="52" t="s">
        <v>25</v>
      </c>
      <c r="F7498" s="52" t="s">
        <v>26</v>
      </c>
      <c r="G7498" s="53"/>
    </row>
    <row r="7499">
      <c r="A7499" s="49">
        <v>44591.814573298616</v>
      </c>
      <c r="B7499" s="50">
        <v>44591.939548368</v>
      </c>
      <c r="C7499" s="51">
        <v>1.005</v>
      </c>
      <c r="D7499" s="51">
        <v>64.0</v>
      </c>
      <c r="E7499" s="52" t="s">
        <v>25</v>
      </c>
      <c r="F7499" s="52" t="s">
        <v>26</v>
      </c>
      <c r="G7499" s="53"/>
    </row>
    <row r="7500">
      <c r="A7500" s="49">
        <v>44591.82500333333</v>
      </c>
      <c r="B7500" s="50">
        <v>44591.9499814583</v>
      </c>
      <c r="C7500" s="51">
        <v>1.005</v>
      </c>
      <c r="D7500" s="51">
        <v>64.0</v>
      </c>
      <c r="E7500" s="52" t="s">
        <v>25</v>
      </c>
      <c r="F7500" s="52" t="s">
        <v>26</v>
      </c>
      <c r="G7500" s="53"/>
    </row>
    <row r="7501">
      <c r="A7501" s="49">
        <v>44591.83542594907</v>
      </c>
      <c r="B7501" s="50">
        <v>44591.9604043981</v>
      </c>
      <c r="C7501" s="51">
        <v>1.005</v>
      </c>
      <c r="D7501" s="51">
        <v>64.0</v>
      </c>
      <c r="E7501" s="52" t="s">
        <v>25</v>
      </c>
      <c r="F7501" s="52" t="s">
        <v>26</v>
      </c>
      <c r="G7501" s="53"/>
    </row>
    <row r="7502">
      <c r="A7502" s="49">
        <v>44591.84585704861</v>
      </c>
      <c r="B7502" s="50">
        <v>44591.9708369097</v>
      </c>
      <c r="C7502" s="51">
        <v>1.005</v>
      </c>
      <c r="D7502" s="51">
        <v>64.0</v>
      </c>
      <c r="E7502" s="52" t="s">
        <v>25</v>
      </c>
      <c r="F7502" s="52" t="s">
        <v>26</v>
      </c>
      <c r="G7502" s="53"/>
    </row>
    <row r="7503">
      <c r="A7503" s="49">
        <v>44591.856286180555</v>
      </c>
      <c r="B7503" s="50">
        <v>44591.9812692939</v>
      </c>
      <c r="C7503" s="51">
        <v>1.005</v>
      </c>
      <c r="D7503" s="51">
        <v>64.0</v>
      </c>
      <c r="E7503" s="52" t="s">
        <v>25</v>
      </c>
      <c r="F7503" s="52" t="s">
        <v>26</v>
      </c>
      <c r="G7503" s="53"/>
    </row>
    <row r="7504">
      <c r="A7504" s="49">
        <v>44591.86674153935</v>
      </c>
      <c r="B7504" s="50">
        <v>44591.9917135763</v>
      </c>
      <c r="C7504" s="51">
        <v>1.005</v>
      </c>
      <c r="D7504" s="51">
        <v>64.0</v>
      </c>
      <c r="E7504" s="52" t="s">
        <v>25</v>
      </c>
      <c r="F7504" s="52" t="s">
        <v>26</v>
      </c>
      <c r="G7504" s="53"/>
    </row>
    <row r="7505">
      <c r="A7505" s="49">
        <v>44591.877159375</v>
      </c>
      <c r="B7505" s="50">
        <v>44592.0021342361</v>
      </c>
      <c r="C7505" s="51">
        <v>1.005</v>
      </c>
      <c r="D7505" s="51">
        <v>64.0</v>
      </c>
      <c r="E7505" s="52" t="s">
        <v>25</v>
      </c>
      <c r="F7505" s="52" t="s">
        <v>26</v>
      </c>
      <c r="G7505" s="53"/>
    </row>
    <row r="7506">
      <c r="A7506" s="49">
        <v>44591.887585185184</v>
      </c>
      <c r="B7506" s="50">
        <v>44592.0125572569</v>
      </c>
      <c r="C7506" s="51">
        <v>1.005</v>
      </c>
      <c r="D7506" s="51">
        <v>64.0</v>
      </c>
      <c r="E7506" s="52" t="s">
        <v>25</v>
      </c>
      <c r="F7506" s="52" t="s">
        <v>26</v>
      </c>
      <c r="G7506" s="53"/>
    </row>
    <row r="7507">
      <c r="A7507" s="49">
        <v>44591.89800393519</v>
      </c>
      <c r="B7507" s="50">
        <v>44592.0229783449</v>
      </c>
      <c r="C7507" s="51">
        <v>1.005</v>
      </c>
      <c r="D7507" s="51">
        <v>64.0</v>
      </c>
      <c r="E7507" s="52" t="s">
        <v>25</v>
      </c>
      <c r="F7507" s="52" t="s">
        <v>26</v>
      </c>
      <c r="G7507" s="53"/>
    </row>
    <row r="7508">
      <c r="A7508" s="49">
        <v>44591.90841908565</v>
      </c>
      <c r="B7508" s="50">
        <v>44592.0333999537</v>
      </c>
      <c r="C7508" s="51">
        <v>1.005</v>
      </c>
      <c r="D7508" s="51">
        <v>64.0</v>
      </c>
      <c r="E7508" s="52" t="s">
        <v>25</v>
      </c>
      <c r="F7508" s="52" t="s">
        <v>26</v>
      </c>
      <c r="G7508" s="53"/>
    </row>
    <row r="7509">
      <c r="A7509" s="49">
        <v>44591.91883928241</v>
      </c>
      <c r="B7509" s="50">
        <v>44592.0438198148</v>
      </c>
      <c r="C7509" s="51">
        <v>1.005</v>
      </c>
      <c r="D7509" s="51">
        <v>64.0</v>
      </c>
      <c r="E7509" s="52" t="s">
        <v>25</v>
      </c>
      <c r="F7509" s="52" t="s">
        <v>26</v>
      </c>
      <c r="G7509" s="53"/>
    </row>
    <row r="7510">
      <c r="A7510" s="49">
        <v>44591.929283136575</v>
      </c>
      <c r="B7510" s="50">
        <v>44592.0542515625</v>
      </c>
      <c r="C7510" s="51">
        <v>1.005</v>
      </c>
      <c r="D7510" s="51">
        <v>64.0</v>
      </c>
      <c r="E7510" s="52" t="s">
        <v>25</v>
      </c>
      <c r="F7510" s="52" t="s">
        <v>26</v>
      </c>
      <c r="G7510" s="53"/>
    </row>
    <row r="7511">
      <c r="A7511" s="49">
        <v>44591.939713217595</v>
      </c>
      <c r="B7511" s="50">
        <v>44592.0646952083</v>
      </c>
      <c r="C7511" s="51">
        <v>1.005</v>
      </c>
      <c r="D7511" s="51">
        <v>64.0</v>
      </c>
      <c r="E7511" s="52" t="s">
        <v>25</v>
      </c>
      <c r="F7511" s="52" t="s">
        <v>26</v>
      </c>
      <c r="G7511" s="53"/>
    </row>
    <row r="7512">
      <c r="A7512" s="49">
        <v>44591.950162928246</v>
      </c>
      <c r="B7512" s="50">
        <v>44592.0751301388</v>
      </c>
      <c r="C7512" s="51">
        <v>1.005</v>
      </c>
      <c r="D7512" s="51">
        <v>64.0</v>
      </c>
      <c r="E7512" s="52" t="s">
        <v>25</v>
      </c>
      <c r="F7512" s="52" t="s">
        <v>26</v>
      </c>
      <c r="G7512" s="53"/>
    </row>
    <row r="7513">
      <c r="A7513" s="49">
        <v>44591.96058305555</v>
      </c>
      <c r="B7513" s="50">
        <v>44592.0855518981</v>
      </c>
      <c r="C7513" s="51">
        <v>1.004</v>
      </c>
      <c r="D7513" s="51">
        <v>64.0</v>
      </c>
      <c r="E7513" s="52" t="s">
        <v>25</v>
      </c>
      <c r="F7513" s="52" t="s">
        <v>26</v>
      </c>
      <c r="G7513" s="53"/>
    </row>
    <row r="7514">
      <c r="A7514" s="49">
        <v>44591.971000324076</v>
      </c>
      <c r="B7514" s="50">
        <v>44592.0959728588</v>
      </c>
      <c r="C7514" s="51">
        <v>1.005</v>
      </c>
      <c r="D7514" s="51">
        <v>64.0</v>
      </c>
      <c r="E7514" s="52" t="s">
        <v>25</v>
      </c>
      <c r="F7514" s="52" t="s">
        <v>26</v>
      </c>
      <c r="G7514" s="53"/>
    </row>
    <row r="7515">
      <c r="A7515" s="49">
        <v>44591.9814296875</v>
      </c>
      <c r="B7515" s="50">
        <v>44592.1064056597</v>
      </c>
      <c r="C7515" s="51">
        <v>1.005</v>
      </c>
      <c r="D7515" s="51">
        <v>64.0</v>
      </c>
      <c r="E7515" s="52" t="s">
        <v>25</v>
      </c>
      <c r="F7515" s="52" t="s">
        <v>26</v>
      </c>
      <c r="G7515" s="53"/>
    </row>
    <row r="7516">
      <c r="A7516" s="49">
        <v>44591.99184646991</v>
      </c>
      <c r="B7516" s="50">
        <v>44592.1168265162</v>
      </c>
      <c r="C7516" s="51">
        <v>1.004</v>
      </c>
      <c r="D7516" s="51">
        <v>64.0</v>
      </c>
      <c r="E7516" s="52" t="s">
        <v>25</v>
      </c>
      <c r="F7516" s="52" t="s">
        <v>26</v>
      </c>
      <c r="G7516" s="53"/>
    </row>
    <row r="7517">
      <c r="A7517" s="49">
        <v>44592.00227166667</v>
      </c>
      <c r="B7517" s="50">
        <v>44592.1272475578</v>
      </c>
      <c r="C7517" s="51">
        <v>1.004</v>
      </c>
      <c r="D7517" s="51">
        <v>63.0</v>
      </c>
      <c r="E7517" s="52" t="s">
        <v>25</v>
      </c>
      <c r="F7517" s="52" t="s">
        <v>26</v>
      </c>
      <c r="G7517" s="53"/>
    </row>
    <row r="7518">
      <c r="A7518" s="49">
        <v>44592.01271142361</v>
      </c>
      <c r="B7518" s="50">
        <v>44592.1376904282</v>
      </c>
      <c r="C7518" s="51">
        <v>1.005</v>
      </c>
      <c r="D7518" s="51">
        <v>63.0</v>
      </c>
      <c r="E7518" s="52" t="s">
        <v>25</v>
      </c>
      <c r="F7518" s="52" t="s">
        <v>26</v>
      </c>
      <c r="G7518" s="53"/>
    </row>
    <row r="7519">
      <c r="A7519" s="49">
        <v>44592.02313267361</v>
      </c>
      <c r="B7519" s="50">
        <v>44592.1481114004</v>
      </c>
      <c r="C7519" s="51">
        <v>1.005</v>
      </c>
      <c r="D7519" s="51">
        <v>63.0</v>
      </c>
      <c r="E7519" s="52" t="s">
        <v>25</v>
      </c>
      <c r="F7519" s="52" t="s">
        <v>26</v>
      </c>
      <c r="G7519" s="53"/>
    </row>
    <row r="7520">
      <c r="A7520" s="49">
        <v>44592.033551886576</v>
      </c>
      <c r="B7520" s="50">
        <v>44592.1585324537</v>
      </c>
      <c r="C7520" s="51">
        <v>1.004</v>
      </c>
      <c r="D7520" s="51">
        <v>63.0</v>
      </c>
      <c r="E7520" s="52" t="s">
        <v>25</v>
      </c>
      <c r="F7520" s="52" t="s">
        <v>26</v>
      </c>
      <c r="G7520" s="53"/>
    </row>
    <row r="7521">
      <c r="A7521" s="49">
        <v>44592.0440174074</v>
      </c>
      <c r="B7521" s="50">
        <v>44592.1689903125</v>
      </c>
      <c r="C7521" s="51">
        <v>1.004</v>
      </c>
      <c r="D7521" s="51">
        <v>63.0</v>
      </c>
      <c r="E7521" s="52" t="s">
        <v>25</v>
      </c>
      <c r="F7521" s="52" t="s">
        <v>26</v>
      </c>
      <c r="G7521" s="53"/>
    </row>
    <row r="7522">
      <c r="A7522" s="49">
        <v>44592.05444190972</v>
      </c>
      <c r="B7522" s="50">
        <v>44592.1794120717</v>
      </c>
      <c r="C7522" s="51">
        <v>1.005</v>
      </c>
      <c r="D7522" s="51">
        <v>63.0</v>
      </c>
      <c r="E7522" s="52" t="s">
        <v>25</v>
      </c>
      <c r="F7522" s="52" t="s">
        <v>26</v>
      </c>
      <c r="G7522" s="53"/>
    </row>
    <row r="7523">
      <c r="A7523" s="49">
        <v>44592.06485579861</v>
      </c>
      <c r="B7523" s="50">
        <v>44592.189834375</v>
      </c>
      <c r="C7523" s="51">
        <v>1.004</v>
      </c>
      <c r="D7523" s="51">
        <v>63.0</v>
      </c>
      <c r="E7523" s="52" t="s">
        <v>25</v>
      </c>
      <c r="F7523" s="52" t="s">
        <v>26</v>
      </c>
      <c r="G7523" s="53"/>
    </row>
    <row r="7524">
      <c r="A7524" s="49">
        <v>44592.07528847222</v>
      </c>
      <c r="B7524" s="50">
        <v>44592.2002668518</v>
      </c>
      <c r="C7524" s="51">
        <v>1.004</v>
      </c>
      <c r="D7524" s="51">
        <v>63.0</v>
      </c>
      <c r="E7524" s="52" t="s">
        <v>25</v>
      </c>
      <c r="F7524" s="52" t="s">
        <v>26</v>
      </c>
      <c r="G7524" s="53"/>
    </row>
    <row r="7525">
      <c r="A7525" s="49">
        <v>44592.08576353009</v>
      </c>
      <c r="B7525" s="50">
        <v>44592.2107346875</v>
      </c>
      <c r="C7525" s="51">
        <v>1.005</v>
      </c>
      <c r="D7525" s="51">
        <v>63.0</v>
      </c>
      <c r="E7525" s="52" t="s">
        <v>25</v>
      </c>
      <c r="F7525" s="52" t="s">
        <v>26</v>
      </c>
      <c r="G7525" s="53"/>
    </row>
    <row r="7526">
      <c r="A7526" s="49">
        <v>44592.096187557865</v>
      </c>
      <c r="B7526" s="50">
        <v>44592.2211549768</v>
      </c>
      <c r="C7526" s="51">
        <v>1.004</v>
      </c>
      <c r="D7526" s="51">
        <v>63.0</v>
      </c>
      <c r="E7526" s="52" t="s">
        <v>25</v>
      </c>
      <c r="F7526" s="52" t="s">
        <v>26</v>
      </c>
      <c r="G7526" s="53"/>
    </row>
    <row r="7527">
      <c r="A7527" s="49">
        <v>44592.10659377315</v>
      </c>
      <c r="B7527" s="50">
        <v>44592.2315751041</v>
      </c>
      <c r="C7527" s="51">
        <v>1.005</v>
      </c>
      <c r="D7527" s="51">
        <v>63.0</v>
      </c>
      <c r="E7527" s="52" t="s">
        <v>25</v>
      </c>
      <c r="F7527" s="52" t="s">
        <v>26</v>
      </c>
      <c r="G7527" s="53"/>
    </row>
    <row r="7528">
      <c r="A7528" s="49">
        <v>44592.11701662037</v>
      </c>
      <c r="B7528" s="50">
        <v>44592.2419965162</v>
      </c>
      <c r="C7528" s="51">
        <v>1.005</v>
      </c>
      <c r="D7528" s="51">
        <v>63.0</v>
      </c>
      <c r="E7528" s="52" t="s">
        <v>25</v>
      </c>
      <c r="F7528" s="52" t="s">
        <v>26</v>
      </c>
      <c r="G7528" s="53"/>
    </row>
    <row r="7529">
      <c r="A7529" s="49">
        <v>44592.127440682874</v>
      </c>
      <c r="B7529" s="50">
        <v>44592.2524190856</v>
      </c>
      <c r="C7529" s="51">
        <v>1.004</v>
      </c>
      <c r="D7529" s="51">
        <v>63.0</v>
      </c>
      <c r="E7529" s="52" t="s">
        <v>25</v>
      </c>
      <c r="F7529" s="52" t="s">
        <v>26</v>
      </c>
      <c r="G7529" s="53"/>
    </row>
    <row r="7530">
      <c r="A7530" s="49">
        <v>44592.137869143524</v>
      </c>
      <c r="B7530" s="50">
        <v>44592.2628385069</v>
      </c>
      <c r="C7530" s="51">
        <v>1.005</v>
      </c>
      <c r="D7530" s="51">
        <v>63.0</v>
      </c>
      <c r="E7530" s="52" t="s">
        <v>25</v>
      </c>
      <c r="F7530" s="52" t="s">
        <v>26</v>
      </c>
      <c r="G7530" s="53"/>
    </row>
    <row r="7531">
      <c r="A7531" s="49">
        <v>44592.148332199075</v>
      </c>
      <c r="B7531" s="50">
        <v>44592.2733046296</v>
      </c>
      <c r="C7531" s="51">
        <v>1.004</v>
      </c>
      <c r="D7531" s="51">
        <v>63.0</v>
      </c>
      <c r="E7531" s="52" t="s">
        <v>25</v>
      </c>
      <c r="F7531" s="52" t="s">
        <v>26</v>
      </c>
      <c r="G7531" s="53"/>
    </row>
    <row r="7532">
      <c r="A7532" s="49">
        <v>44592.1587644213</v>
      </c>
      <c r="B7532" s="50">
        <v>44592.2837386574</v>
      </c>
      <c r="C7532" s="51">
        <v>1.005</v>
      </c>
      <c r="D7532" s="51">
        <v>63.0</v>
      </c>
      <c r="E7532" s="52" t="s">
        <v>25</v>
      </c>
      <c r="F7532" s="52" t="s">
        <v>26</v>
      </c>
      <c r="G7532" s="53"/>
    </row>
    <row r="7533">
      <c r="A7533" s="49">
        <v>44592.16920447917</v>
      </c>
      <c r="B7533" s="50">
        <v>44592.2941847453</v>
      </c>
      <c r="C7533" s="51">
        <v>1.004</v>
      </c>
      <c r="D7533" s="51">
        <v>63.0</v>
      </c>
      <c r="E7533" s="52" t="s">
        <v>25</v>
      </c>
      <c r="F7533" s="52" t="s">
        <v>26</v>
      </c>
      <c r="G7533" s="53"/>
    </row>
    <row r="7534">
      <c r="A7534" s="49">
        <v>44592.1796737963</v>
      </c>
      <c r="B7534" s="50">
        <v>44592.3046511458</v>
      </c>
      <c r="C7534" s="51">
        <v>1.004</v>
      </c>
      <c r="D7534" s="51">
        <v>63.0</v>
      </c>
      <c r="E7534" s="52" t="s">
        <v>25</v>
      </c>
      <c r="F7534" s="52" t="s">
        <v>26</v>
      </c>
      <c r="G7534" s="53"/>
    </row>
    <row r="7535">
      <c r="A7535" s="49">
        <v>44592.19015471065</v>
      </c>
      <c r="B7535" s="50">
        <v>44592.3151301504</v>
      </c>
      <c r="C7535" s="51">
        <v>1.004</v>
      </c>
      <c r="D7535" s="51">
        <v>63.0</v>
      </c>
      <c r="E7535" s="52" t="s">
        <v>25</v>
      </c>
      <c r="F7535" s="52" t="s">
        <v>26</v>
      </c>
      <c r="G7535" s="53"/>
    </row>
    <row r="7536">
      <c r="A7536" s="49">
        <v>44592.20057325231</v>
      </c>
      <c r="B7536" s="50">
        <v>44592.3255509953</v>
      </c>
      <c r="C7536" s="51">
        <v>1.004</v>
      </c>
      <c r="D7536" s="51">
        <v>63.0</v>
      </c>
      <c r="E7536" s="52" t="s">
        <v>25</v>
      </c>
      <c r="F7536" s="52" t="s">
        <v>26</v>
      </c>
      <c r="G7536" s="53"/>
    </row>
    <row r="7537">
      <c r="A7537" s="49">
        <v>44592.21107898148</v>
      </c>
      <c r="B7537" s="50">
        <v>44592.3360525347</v>
      </c>
      <c r="C7537" s="51">
        <v>1.005</v>
      </c>
      <c r="D7537" s="51">
        <v>63.0</v>
      </c>
      <c r="E7537" s="52" t="s">
        <v>25</v>
      </c>
      <c r="F7537" s="52" t="s">
        <v>26</v>
      </c>
      <c r="G7537" s="53"/>
    </row>
    <row r="7538">
      <c r="A7538" s="49">
        <v>44592.22153028935</v>
      </c>
      <c r="B7538" s="50">
        <v>44592.3464735532</v>
      </c>
      <c r="C7538" s="51">
        <v>1.004</v>
      </c>
      <c r="D7538" s="51">
        <v>63.0</v>
      </c>
      <c r="E7538" s="52" t="s">
        <v>25</v>
      </c>
      <c r="F7538" s="52" t="s">
        <v>26</v>
      </c>
      <c r="G7538" s="53"/>
    </row>
    <row r="7539">
      <c r="A7539" s="49">
        <v>44592.2319209375</v>
      </c>
      <c r="B7539" s="50">
        <v>44592.3568952199</v>
      </c>
      <c r="C7539" s="51">
        <v>1.005</v>
      </c>
      <c r="D7539" s="51">
        <v>63.0</v>
      </c>
      <c r="E7539" s="52" t="s">
        <v>25</v>
      </c>
      <c r="F7539" s="52" t="s">
        <v>26</v>
      </c>
      <c r="G7539" s="53"/>
    </row>
    <row r="7540">
      <c r="A7540" s="49">
        <v>44592.24236563657</v>
      </c>
      <c r="B7540" s="50">
        <v>44592.3673393171</v>
      </c>
      <c r="C7540" s="51">
        <v>1.005</v>
      </c>
      <c r="D7540" s="51">
        <v>63.0</v>
      </c>
      <c r="E7540" s="52" t="s">
        <v>25</v>
      </c>
      <c r="F7540" s="52" t="s">
        <v>26</v>
      </c>
      <c r="G7540" s="53"/>
    </row>
    <row r="7541">
      <c r="A7541" s="49">
        <v>44592.252814074076</v>
      </c>
      <c r="B7541" s="50">
        <v>44592.3777838773</v>
      </c>
      <c r="C7541" s="51">
        <v>1.005</v>
      </c>
      <c r="D7541" s="51">
        <v>63.0</v>
      </c>
      <c r="E7541" s="52" t="s">
        <v>25</v>
      </c>
      <c r="F7541" s="52" t="s">
        <v>26</v>
      </c>
      <c r="G7541" s="53"/>
    </row>
    <row r="7542">
      <c r="A7542" s="49">
        <v>44592.26326068287</v>
      </c>
      <c r="B7542" s="50">
        <v>44592.3882277546</v>
      </c>
      <c r="C7542" s="51">
        <v>1.005</v>
      </c>
      <c r="D7542" s="51">
        <v>63.0</v>
      </c>
      <c r="E7542" s="52" t="s">
        <v>25</v>
      </c>
      <c r="F7542" s="52" t="s">
        <v>26</v>
      </c>
      <c r="G7542" s="53"/>
    </row>
    <row r="7543">
      <c r="A7543" s="49">
        <v>44592.27367995371</v>
      </c>
      <c r="B7543" s="50">
        <v>44592.3986500463</v>
      </c>
      <c r="C7543" s="51">
        <v>1.005</v>
      </c>
      <c r="D7543" s="51">
        <v>63.0</v>
      </c>
      <c r="E7543" s="52" t="s">
        <v>25</v>
      </c>
      <c r="F7543" s="52" t="s">
        <v>26</v>
      </c>
      <c r="G7543" s="53"/>
    </row>
    <row r="7544">
      <c r="A7544" s="49">
        <v>44592.28409986111</v>
      </c>
      <c r="B7544" s="50">
        <v>44592.4090699189</v>
      </c>
      <c r="C7544" s="51">
        <v>1.005</v>
      </c>
      <c r="D7544" s="51">
        <v>63.0</v>
      </c>
      <c r="E7544" s="52" t="s">
        <v>25</v>
      </c>
      <c r="F7544" s="52" t="s">
        <v>26</v>
      </c>
      <c r="G7544" s="53"/>
    </row>
    <row r="7545">
      <c r="A7545" s="49">
        <v>44592.29455827546</v>
      </c>
      <c r="B7545" s="50">
        <v>44592.4195257754</v>
      </c>
      <c r="C7545" s="51">
        <v>1.005</v>
      </c>
      <c r="D7545" s="51">
        <v>63.0</v>
      </c>
      <c r="E7545" s="52" t="s">
        <v>25</v>
      </c>
      <c r="F7545" s="52" t="s">
        <v>26</v>
      </c>
      <c r="G7545" s="53"/>
    </row>
    <row r="7546">
      <c r="A7546" s="49">
        <v>44592.30497627315</v>
      </c>
      <c r="B7546" s="50">
        <v>44592.4299467939</v>
      </c>
      <c r="C7546" s="51">
        <v>1.005</v>
      </c>
      <c r="D7546" s="51">
        <v>63.0</v>
      </c>
      <c r="E7546" s="52" t="s">
        <v>25</v>
      </c>
      <c r="F7546" s="52" t="s">
        <v>26</v>
      </c>
      <c r="G7546" s="53"/>
    </row>
    <row r="7547">
      <c r="A7547" s="49">
        <v>44592.31542060185</v>
      </c>
      <c r="B7547" s="50">
        <v>44592.4403927662</v>
      </c>
      <c r="C7547" s="51">
        <v>1.005</v>
      </c>
      <c r="D7547" s="51">
        <v>63.0</v>
      </c>
      <c r="E7547" s="52" t="s">
        <v>25</v>
      </c>
      <c r="F7547" s="52" t="s">
        <v>26</v>
      </c>
      <c r="G7547" s="53"/>
    </row>
    <row r="7548">
      <c r="A7548" s="49">
        <v>44592.32584474537</v>
      </c>
      <c r="B7548" s="50">
        <v>44592.4508136574</v>
      </c>
      <c r="C7548" s="51">
        <v>1.005</v>
      </c>
      <c r="D7548" s="51">
        <v>63.0</v>
      </c>
      <c r="E7548" s="52" t="s">
        <v>25</v>
      </c>
      <c r="F7548" s="52" t="s">
        <v>26</v>
      </c>
      <c r="G7548" s="53"/>
    </row>
    <row r="7549">
      <c r="A7549" s="49">
        <v>44592.33626517361</v>
      </c>
      <c r="B7549" s="50">
        <v>44592.4612346527</v>
      </c>
      <c r="C7549" s="51">
        <v>1.005</v>
      </c>
      <c r="D7549" s="51">
        <v>63.0</v>
      </c>
      <c r="E7549" s="52" t="s">
        <v>25</v>
      </c>
      <c r="F7549" s="52" t="s">
        <v>26</v>
      </c>
      <c r="G7549" s="53"/>
    </row>
    <row r="7550">
      <c r="A7550" s="49">
        <v>44592.34671835648</v>
      </c>
      <c r="B7550" s="50">
        <v>44592.4716894328</v>
      </c>
      <c r="C7550" s="51">
        <v>1.004</v>
      </c>
      <c r="D7550" s="51">
        <v>63.0</v>
      </c>
      <c r="E7550" s="52" t="s">
        <v>25</v>
      </c>
      <c r="F7550" s="52" t="s">
        <v>26</v>
      </c>
      <c r="G7550" s="53"/>
    </row>
    <row r="7551">
      <c r="A7551" s="49">
        <v>44592.3571609375</v>
      </c>
      <c r="B7551" s="50">
        <v>44592.4821312731</v>
      </c>
      <c r="C7551" s="51">
        <v>1.005</v>
      </c>
      <c r="D7551" s="51">
        <v>64.0</v>
      </c>
      <c r="E7551" s="52" t="s">
        <v>25</v>
      </c>
      <c r="F7551" s="52" t="s">
        <v>26</v>
      </c>
      <c r="G7551" s="53"/>
    </row>
    <row r="7552">
      <c r="A7552" s="49">
        <v>44592.36758607639</v>
      </c>
      <c r="B7552" s="50">
        <v>44592.4925531481</v>
      </c>
      <c r="C7552" s="51">
        <v>1.004</v>
      </c>
      <c r="D7552" s="51">
        <v>64.0</v>
      </c>
      <c r="E7552" s="52" t="s">
        <v>25</v>
      </c>
      <c r="F7552" s="52" t="s">
        <v>26</v>
      </c>
      <c r="G7552" s="53"/>
    </row>
    <row r="7553">
      <c r="A7553" s="49">
        <v>44592.37801490741</v>
      </c>
      <c r="B7553" s="50">
        <v>44592.502987118</v>
      </c>
      <c r="C7553" s="51">
        <v>1.005</v>
      </c>
      <c r="D7553" s="51">
        <v>65.0</v>
      </c>
      <c r="E7553" s="52" t="s">
        <v>25</v>
      </c>
      <c r="F7553" s="52" t="s">
        <v>26</v>
      </c>
      <c r="G7553" s="53"/>
    </row>
    <row r="7554">
      <c r="A7554" s="49">
        <v>44592.38844621528</v>
      </c>
      <c r="B7554" s="50">
        <v>44592.5134187615</v>
      </c>
      <c r="C7554" s="51">
        <v>1.004</v>
      </c>
      <c r="D7554" s="51">
        <v>65.0</v>
      </c>
      <c r="E7554" s="52" t="s">
        <v>25</v>
      </c>
      <c r="F7554" s="52" t="s">
        <v>26</v>
      </c>
      <c r="G7554" s="53"/>
    </row>
    <row r="7555">
      <c r="A7555" s="49">
        <v>44592.39886452546</v>
      </c>
      <c r="B7555" s="50">
        <v>44592.5238403935</v>
      </c>
      <c r="C7555" s="51">
        <v>1.004</v>
      </c>
      <c r="D7555" s="51">
        <v>65.0</v>
      </c>
      <c r="E7555" s="52" t="s">
        <v>25</v>
      </c>
      <c r="F7555" s="52" t="s">
        <v>26</v>
      </c>
      <c r="G7555" s="53"/>
    </row>
    <row r="7556">
      <c r="A7556" s="49">
        <v>44592.40928533565</v>
      </c>
      <c r="B7556" s="50">
        <v>44592.5342623495</v>
      </c>
      <c r="C7556" s="51">
        <v>1.004</v>
      </c>
      <c r="D7556" s="51">
        <v>66.0</v>
      </c>
      <c r="E7556" s="52" t="s">
        <v>25</v>
      </c>
      <c r="F7556" s="52" t="s">
        <v>26</v>
      </c>
      <c r="G7556" s="53"/>
    </row>
    <row r="7557">
      <c r="A7557" s="49">
        <v>44592.4197603125</v>
      </c>
      <c r="B7557" s="50">
        <v>44592.544683206</v>
      </c>
      <c r="C7557" s="51">
        <v>1.004</v>
      </c>
      <c r="D7557" s="51">
        <v>66.0</v>
      </c>
      <c r="E7557" s="52" t="s">
        <v>25</v>
      </c>
      <c r="F7557" s="52" t="s">
        <v>26</v>
      </c>
      <c r="G7557" s="53"/>
    </row>
    <row r="7558">
      <c r="A7558" s="49">
        <v>44592.43014019676</v>
      </c>
      <c r="B7558" s="50">
        <v>44592.5551162615</v>
      </c>
      <c r="C7558" s="51">
        <v>1.004</v>
      </c>
      <c r="D7558" s="51">
        <v>67.0</v>
      </c>
      <c r="E7558" s="52" t="s">
        <v>25</v>
      </c>
      <c r="F7558" s="52" t="s">
        <v>26</v>
      </c>
      <c r="G7558" s="53"/>
    </row>
    <row r="7559">
      <c r="A7559" s="49">
        <v>44592.44055856482</v>
      </c>
      <c r="B7559" s="50">
        <v>44592.5655362847</v>
      </c>
      <c r="C7559" s="51">
        <v>1.004</v>
      </c>
      <c r="D7559" s="51">
        <v>67.0</v>
      </c>
      <c r="E7559" s="52" t="s">
        <v>25</v>
      </c>
      <c r="F7559" s="52" t="s">
        <v>26</v>
      </c>
      <c r="G7559" s="53"/>
    </row>
    <row r="7560">
      <c r="A7560" s="49">
        <v>44592.45098559027</v>
      </c>
      <c r="B7560" s="50">
        <v>44592.5759580902</v>
      </c>
      <c r="C7560" s="51">
        <v>1.004</v>
      </c>
      <c r="D7560" s="51">
        <v>67.0</v>
      </c>
      <c r="E7560" s="52" t="s">
        <v>25</v>
      </c>
      <c r="F7560" s="52" t="s">
        <v>26</v>
      </c>
      <c r="G7560" s="53"/>
    </row>
    <row r="7561">
      <c r="A7561" s="49">
        <v>44592.46142554398</v>
      </c>
      <c r="B7561" s="50">
        <v>44592.5863788425</v>
      </c>
      <c r="C7561" s="51">
        <v>1.004</v>
      </c>
      <c r="D7561" s="51">
        <v>68.0</v>
      </c>
      <c r="E7561" s="52" t="s">
        <v>25</v>
      </c>
      <c r="F7561" s="52" t="s">
        <v>26</v>
      </c>
      <c r="G7561" s="53"/>
    </row>
    <row r="7562">
      <c r="A7562" s="49">
        <v>44592.47186474537</v>
      </c>
      <c r="B7562" s="50">
        <v>44592.5968341435</v>
      </c>
      <c r="C7562" s="51">
        <v>1.004</v>
      </c>
      <c r="D7562" s="51">
        <v>68.0</v>
      </c>
      <c r="E7562" s="52" t="s">
        <v>25</v>
      </c>
      <c r="F7562" s="52" t="s">
        <v>26</v>
      </c>
      <c r="G7562" s="53"/>
    </row>
    <row r="7563">
      <c r="A7563" s="49">
        <v>44592.48230261574</v>
      </c>
      <c r="B7563" s="50">
        <v>44592.6072775462</v>
      </c>
      <c r="C7563" s="51">
        <v>1.004</v>
      </c>
      <c r="D7563" s="51">
        <v>68.0</v>
      </c>
      <c r="E7563" s="52" t="s">
        <v>25</v>
      </c>
      <c r="F7563" s="52" t="s">
        <v>26</v>
      </c>
      <c r="G7563" s="53"/>
    </row>
    <row r="7564">
      <c r="A7564" s="49">
        <v>44592.4927237963</v>
      </c>
      <c r="B7564" s="50">
        <v>44592.6177007754</v>
      </c>
      <c r="C7564" s="51">
        <v>1.004</v>
      </c>
      <c r="D7564" s="51">
        <v>68.0</v>
      </c>
      <c r="E7564" s="52" t="s">
        <v>25</v>
      </c>
      <c r="F7564" s="52" t="s">
        <v>26</v>
      </c>
      <c r="G7564" s="53"/>
    </row>
    <row r="7565">
      <c r="A7565" s="49">
        <v>44592.50319675926</v>
      </c>
      <c r="B7565" s="50">
        <v>44592.6281668402</v>
      </c>
      <c r="C7565" s="51">
        <v>1.004</v>
      </c>
      <c r="D7565" s="51">
        <v>68.0</v>
      </c>
      <c r="E7565" s="52" t="s">
        <v>25</v>
      </c>
      <c r="F7565" s="52" t="s">
        <v>26</v>
      </c>
      <c r="G7565" s="53"/>
    </row>
    <row r="7566">
      <c r="A7566" s="49">
        <v>44592.51364644676</v>
      </c>
      <c r="B7566" s="50">
        <v>44592.6386118402</v>
      </c>
      <c r="C7566" s="51">
        <v>1.004</v>
      </c>
      <c r="D7566" s="51">
        <v>68.0</v>
      </c>
      <c r="E7566" s="52" t="s">
        <v>25</v>
      </c>
      <c r="F7566" s="52" t="s">
        <v>26</v>
      </c>
      <c r="G7566" s="53"/>
    </row>
    <row r="7567">
      <c r="A7567" s="49">
        <v>44592.52414342592</v>
      </c>
      <c r="B7567" s="50">
        <v>44592.6491161342</v>
      </c>
      <c r="C7567" s="51">
        <v>1.004</v>
      </c>
      <c r="D7567" s="51">
        <v>68.0</v>
      </c>
      <c r="E7567" s="52" t="s">
        <v>25</v>
      </c>
      <c r="F7567" s="52" t="s">
        <v>26</v>
      </c>
      <c r="G7567" s="53"/>
    </row>
    <row r="7568">
      <c r="A7568" s="49">
        <v>44592.534560520835</v>
      </c>
      <c r="B7568" s="50">
        <v>44592.6595366203</v>
      </c>
      <c r="C7568" s="51">
        <v>1.004</v>
      </c>
      <c r="D7568" s="51">
        <v>68.0</v>
      </c>
      <c r="E7568" s="52" t="s">
        <v>25</v>
      </c>
      <c r="F7568" s="52" t="s">
        <v>26</v>
      </c>
      <c r="G7568" s="53"/>
    </row>
    <row r="7569">
      <c r="A7569" s="49">
        <v>44592.54500322917</v>
      </c>
      <c r="B7569" s="50">
        <v>44592.6699821759</v>
      </c>
      <c r="C7569" s="51">
        <v>1.004</v>
      </c>
      <c r="D7569" s="51">
        <v>68.0</v>
      </c>
      <c r="E7569" s="52" t="s">
        <v>25</v>
      </c>
      <c r="F7569" s="52" t="s">
        <v>26</v>
      </c>
      <c r="G7569" s="53"/>
    </row>
    <row r="7570">
      <c r="A7570" s="49">
        <v>44592.555460821764</v>
      </c>
      <c r="B7570" s="50">
        <v>44592.6804391319</v>
      </c>
      <c r="C7570" s="51">
        <v>1.004</v>
      </c>
      <c r="D7570" s="51">
        <v>68.0</v>
      </c>
      <c r="E7570" s="52" t="s">
        <v>25</v>
      </c>
      <c r="F7570" s="52" t="s">
        <v>26</v>
      </c>
      <c r="G7570" s="53"/>
    </row>
    <row r="7571">
      <c r="A7571" s="49">
        <v>44592.56589125</v>
      </c>
      <c r="B7571" s="50">
        <v>44592.690871956</v>
      </c>
      <c r="C7571" s="51">
        <v>1.004</v>
      </c>
      <c r="D7571" s="51">
        <v>68.0</v>
      </c>
      <c r="E7571" s="52" t="s">
        <v>25</v>
      </c>
      <c r="F7571" s="52" t="s">
        <v>26</v>
      </c>
      <c r="G7571" s="53"/>
    </row>
    <row r="7572">
      <c r="A7572" s="49">
        <v>44592.57631520834</v>
      </c>
      <c r="B7572" s="50">
        <v>44592.7012923611</v>
      </c>
      <c r="C7572" s="51">
        <v>1.004</v>
      </c>
      <c r="D7572" s="51">
        <v>68.0</v>
      </c>
      <c r="E7572" s="52" t="s">
        <v>25</v>
      </c>
      <c r="F7572" s="52" t="s">
        <v>26</v>
      </c>
      <c r="G7572" s="53"/>
    </row>
    <row r="7573">
      <c r="A7573" s="49">
        <v>44592.586781018515</v>
      </c>
      <c r="B7573" s="50">
        <v>44592.7117606365</v>
      </c>
      <c r="C7573" s="51">
        <v>1.004</v>
      </c>
      <c r="D7573" s="51">
        <v>67.0</v>
      </c>
      <c r="E7573" s="52" t="s">
        <v>25</v>
      </c>
      <c r="F7573" s="52" t="s">
        <v>26</v>
      </c>
      <c r="G7573" s="53"/>
    </row>
    <row r="7574">
      <c r="A7574" s="49">
        <v>44592.5972759375</v>
      </c>
      <c r="B7574" s="50">
        <v>44592.7222506828</v>
      </c>
      <c r="C7574" s="51">
        <v>1.004</v>
      </c>
      <c r="D7574" s="51">
        <v>67.0</v>
      </c>
      <c r="E7574" s="52" t="s">
        <v>25</v>
      </c>
      <c r="F7574" s="52" t="s">
        <v>26</v>
      </c>
      <c r="G7574" s="53"/>
    </row>
    <row r="7575">
      <c r="A7575" s="49">
        <v>44592.60771917824</v>
      </c>
      <c r="B7575" s="50">
        <v>44592.7326719097</v>
      </c>
      <c r="C7575" s="51">
        <v>1.004</v>
      </c>
      <c r="D7575" s="51">
        <v>67.0</v>
      </c>
      <c r="E7575" s="52" t="s">
        <v>25</v>
      </c>
      <c r="F7575" s="52" t="s">
        <v>26</v>
      </c>
      <c r="G7575" s="53"/>
    </row>
    <row r="7576">
      <c r="A7576" s="49">
        <v>44592.61814222222</v>
      </c>
      <c r="B7576" s="50">
        <v>44592.7431175462</v>
      </c>
      <c r="C7576" s="51">
        <v>1.004</v>
      </c>
      <c r="D7576" s="51">
        <v>67.0</v>
      </c>
      <c r="E7576" s="52" t="s">
        <v>25</v>
      </c>
      <c r="F7576" s="52" t="s">
        <v>26</v>
      </c>
      <c r="G7576" s="53"/>
    </row>
    <row r="7577">
      <c r="A7577" s="49">
        <v>44592.6285778125</v>
      </c>
      <c r="B7577" s="50">
        <v>44592.7535492361</v>
      </c>
      <c r="C7577" s="51">
        <v>1.004</v>
      </c>
      <c r="D7577" s="51">
        <v>67.0</v>
      </c>
      <c r="E7577" s="52" t="s">
        <v>25</v>
      </c>
      <c r="F7577" s="52" t="s">
        <v>26</v>
      </c>
      <c r="G7577" s="53"/>
    </row>
    <row r="7578">
      <c r="A7578" s="49">
        <v>44592.63900491898</v>
      </c>
      <c r="B7578" s="50">
        <v>44592.7639722453</v>
      </c>
      <c r="C7578" s="51">
        <v>1.004</v>
      </c>
      <c r="D7578" s="51">
        <v>67.0</v>
      </c>
      <c r="E7578" s="52" t="s">
        <v>25</v>
      </c>
      <c r="F7578" s="52" t="s">
        <v>26</v>
      </c>
      <c r="G7578" s="53"/>
    </row>
    <row r="7579">
      <c r="A7579" s="49">
        <v>44592.64941241898</v>
      </c>
      <c r="B7579" s="50">
        <v>44592.7743936458</v>
      </c>
      <c r="C7579" s="51">
        <v>1.004</v>
      </c>
      <c r="D7579" s="51">
        <v>67.0</v>
      </c>
      <c r="E7579" s="52" t="s">
        <v>25</v>
      </c>
      <c r="F7579" s="52" t="s">
        <v>26</v>
      </c>
      <c r="G7579" s="53"/>
    </row>
    <row r="7580">
      <c r="A7580" s="49">
        <v>44592.6598447338</v>
      </c>
      <c r="B7580" s="50">
        <v>44592.784815868</v>
      </c>
      <c r="C7580" s="51">
        <v>1.004</v>
      </c>
      <c r="D7580" s="51">
        <v>67.0</v>
      </c>
      <c r="E7580" s="52" t="s">
        <v>25</v>
      </c>
      <c r="F7580" s="52" t="s">
        <v>26</v>
      </c>
      <c r="G7580" s="53"/>
    </row>
    <row r="7581">
      <c r="A7581" s="49">
        <v>44592.670258391205</v>
      </c>
      <c r="B7581" s="50">
        <v>44592.7952374421</v>
      </c>
      <c r="C7581" s="51">
        <v>1.004</v>
      </c>
      <c r="D7581" s="51">
        <v>67.0</v>
      </c>
      <c r="E7581" s="52" t="s">
        <v>25</v>
      </c>
      <c r="F7581" s="52" t="s">
        <v>26</v>
      </c>
      <c r="G7581" s="53"/>
    </row>
    <row r="7582">
      <c r="A7582" s="49">
        <v>44592.68068310185</v>
      </c>
      <c r="B7582" s="50">
        <v>44592.8056594212</v>
      </c>
      <c r="C7582" s="51">
        <v>1.004</v>
      </c>
      <c r="D7582" s="51">
        <v>67.0</v>
      </c>
      <c r="E7582" s="52" t="s">
        <v>25</v>
      </c>
      <c r="F7582" s="52" t="s">
        <v>26</v>
      </c>
      <c r="G7582" s="53"/>
    </row>
    <row r="7583">
      <c r="A7583" s="49">
        <v>44592.69111886574</v>
      </c>
      <c r="B7583" s="50">
        <v>44592.8160918865</v>
      </c>
      <c r="C7583" s="51">
        <v>1.004</v>
      </c>
      <c r="D7583" s="51">
        <v>67.0</v>
      </c>
      <c r="E7583" s="52" t="s">
        <v>25</v>
      </c>
      <c r="F7583" s="52" t="s">
        <v>26</v>
      </c>
      <c r="G7583" s="53"/>
    </row>
    <row r="7584">
      <c r="A7584" s="49">
        <v>44592.70156318287</v>
      </c>
      <c r="B7584" s="50">
        <v>44592.8265354861</v>
      </c>
      <c r="C7584" s="51">
        <v>1.004</v>
      </c>
      <c r="D7584" s="51">
        <v>67.0</v>
      </c>
      <c r="E7584" s="52" t="s">
        <v>25</v>
      </c>
      <c r="F7584" s="52" t="s">
        <v>26</v>
      </c>
      <c r="G7584" s="53"/>
    </row>
    <row r="7585">
      <c r="A7585" s="49">
        <v>44592.712030532406</v>
      </c>
      <c r="B7585" s="50">
        <v>44592.8370042245</v>
      </c>
      <c r="C7585" s="51">
        <v>1.004</v>
      </c>
      <c r="D7585" s="51">
        <v>67.0</v>
      </c>
      <c r="E7585" s="52" t="s">
        <v>25</v>
      </c>
      <c r="F7585" s="52" t="s">
        <v>26</v>
      </c>
      <c r="G7585" s="53"/>
    </row>
    <row r="7586">
      <c r="A7586" s="49">
        <v>44592.722458425924</v>
      </c>
      <c r="B7586" s="50">
        <v>44592.8474367361</v>
      </c>
      <c r="C7586" s="51">
        <v>1.004</v>
      </c>
      <c r="D7586" s="51">
        <v>67.0</v>
      </c>
      <c r="E7586" s="52" t="s">
        <v>25</v>
      </c>
      <c r="F7586" s="52" t="s">
        <v>26</v>
      </c>
      <c r="G7586" s="53"/>
    </row>
    <row r="7587">
      <c r="A7587" s="49">
        <v>44592.732885000005</v>
      </c>
      <c r="B7587" s="50">
        <v>44592.8578587037</v>
      </c>
      <c r="C7587" s="51">
        <v>1.004</v>
      </c>
      <c r="D7587" s="51">
        <v>67.0</v>
      </c>
      <c r="E7587" s="52" t="s">
        <v>25</v>
      </c>
      <c r="F7587" s="52" t="s">
        <v>26</v>
      </c>
      <c r="G7587" s="53"/>
    </row>
    <row r="7588">
      <c r="A7588" s="49">
        <v>44592.743315694446</v>
      </c>
      <c r="B7588" s="50">
        <v>44592.8682909027</v>
      </c>
      <c r="C7588" s="51">
        <v>1.004</v>
      </c>
      <c r="D7588" s="51">
        <v>67.0</v>
      </c>
      <c r="E7588" s="52" t="s">
        <v>25</v>
      </c>
      <c r="F7588" s="52" t="s">
        <v>26</v>
      </c>
      <c r="G7588" s="53"/>
    </row>
    <row r="7589">
      <c r="A7589" s="49">
        <v>44592.753751192125</v>
      </c>
      <c r="B7589" s="50">
        <v>44592.8787237152</v>
      </c>
      <c r="C7589" s="51">
        <v>1.004</v>
      </c>
      <c r="D7589" s="51">
        <v>67.0</v>
      </c>
      <c r="E7589" s="52" t="s">
        <v>25</v>
      </c>
      <c r="F7589" s="52" t="s">
        <v>26</v>
      </c>
      <c r="G7589" s="53"/>
    </row>
    <row r="7590">
      <c r="A7590" s="49">
        <v>44592.76416414352</v>
      </c>
      <c r="B7590" s="50">
        <v>44592.8891437152</v>
      </c>
      <c r="C7590" s="51">
        <v>1.004</v>
      </c>
      <c r="D7590" s="51">
        <v>67.0</v>
      </c>
      <c r="E7590" s="52" t="s">
        <v>25</v>
      </c>
      <c r="F7590" s="52" t="s">
        <v>26</v>
      </c>
      <c r="G7590" s="53"/>
    </row>
    <row r="7591">
      <c r="A7591" s="49">
        <v>44592.77461719907</v>
      </c>
      <c r="B7591" s="50">
        <v>44592.8995865046</v>
      </c>
      <c r="C7591" s="51">
        <v>1.004</v>
      </c>
      <c r="D7591" s="51">
        <v>67.0</v>
      </c>
      <c r="E7591" s="52" t="s">
        <v>25</v>
      </c>
      <c r="F7591" s="52" t="s">
        <v>26</v>
      </c>
      <c r="G7591" s="53"/>
    </row>
    <row r="7592">
      <c r="A7592" s="49">
        <v>44592.785033148146</v>
      </c>
      <c r="B7592" s="50">
        <v>44592.9100072569</v>
      </c>
      <c r="C7592" s="51">
        <v>1.004</v>
      </c>
      <c r="D7592" s="51">
        <v>67.0</v>
      </c>
      <c r="E7592" s="52" t="s">
        <v>25</v>
      </c>
      <c r="F7592" s="52" t="s">
        <v>26</v>
      </c>
      <c r="G7592" s="53"/>
    </row>
    <row r="7593">
      <c r="A7593" s="49">
        <v>44592.7954540625</v>
      </c>
      <c r="B7593" s="50">
        <v>44592.9204272685</v>
      </c>
      <c r="C7593" s="51">
        <v>1.004</v>
      </c>
      <c r="D7593" s="51">
        <v>67.0</v>
      </c>
      <c r="E7593" s="52" t="s">
        <v>25</v>
      </c>
      <c r="F7593" s="52" t="s">
        <v>26</v>
      </c>
      <c r="G7593" s="53"/>
    </row>
    <row r="7594">
      <c r="A7594" s="49">
        <v>44592.805867152776</v>
      </c>
      <c r="B7594" s="50">
        <v>44592.9308471875</v>
      </c>
      <c r="C7594" s="51">
        <v>1.004</v>
      </c>
      <c r="D7594" s="51">
        <v>67.0</v>
      </c>
      <c r="E7594" s="52" t="s">
        <v>25</v>
      </c>
      <c r="F7594" s="52" t="s">
        <v>26</v>
      </c>
      <c r="G7594" s="53"/>
    </row>
    <row r="7595">
      <c r="A7595" s="49">
        <v>44592.81629608796</v>
      </c>
      <c r="B7595" s="50">
        <v>44592.9412684837</v>
      </c>
      <c r="C7595" s="51">
        <v>1.004</v>
      </c>
      <c r="D7595" s="51">
        <v>67.0</v>
      </c>
      <c r="E7595" s="52" t="s">
        <v>25</v>
      </c>
      <c r="F7595" s="52" t="s">
        <v>26</v>
      </c>
      <c r="G7595" s="53"/>
    </row>
    <row r="7596">
      <c r="A7596" s="49">
        <v>44592.82672258102</v>
      </c>
      <c r="B7596" s="50">
        <v>44592.9517015277</v>
      </c>
      <c r="C7596" s="51">
        <v>1.004</v>
      </c>
      <c r="D7596" s="51">
        <v>66.0</v>
      </c>
      <c r="E7596" s="52" t="s">
        <v>25</v>
      </c>
      <c r="F7596" s="52" t="s">
        <v>26</v>
      </c>
      <c r="G7596" s="53"/>
    </row>
    <row r="7597">
      <c r="A7597" s="49">
        <v>44592.83714096065</v>
      </c>
      <c r="B7597" s="50">
        <v>44592.9621228009</v>
      </c>
      <c r="C7597" s="51">
        <v>1.004</v>
      </c>
      <c r="D7597" s="51">
        <v>66.0</v>
      </c>
      <c r="E7597" s="52" t="s">
        <v>25</v>
      </c>
      <c r="F7597" s="52" t="s">
        <v>26</v>
      </c>
      <c r="G7597" s="53"/>
    </row>
    <row r="7598">
      <c r="A7598" s="49">
        <v>44592.84766475695</v>
      </c>
      <c r="B7598" s="50">
        <v>44592.9726376041</v>
      </c>
      <c r="C7598" s="51">
        <v>1.004</v>
      </c>
      <c r="D7598" s="51">
        <v>66.0</v>
      </c>
      <c r="E7598" s="52" t="s">
        <v>25</v>
      </c>
      <c r="F7598" s="52" t="s">
        <v>26</v>
      </c>
      <c r="G7598" s="53"/>
    </row>
    <row r="7599">
      <c r="A7599" s="49">
        <v>44592.85809001158</v>
      </c>
      <c r="B7599" s="50">
        <v>44592.9830587847</v>
      </c>
      <c r="C7599" s="51">
        <v>1.004</v>
      </c>
      <c r="D7599" s="51">
        <v>66.0</v>
      </c>
      <c r="E7599" s="52" t="s">
        <v>25</v>
      </c>
      <c r="F7599" s="52" t="s">
        <v>26</v>
      </c>
      <c r="G7599" s="53"/>
    </row>
    <row r="7600">
      <c r="A7600" s="49">
        <v>44592.86857543982</v>
      </c>
      <c r="B7600" s="50">
        <v>44592.9935494328</v>
      </c>
      <c r="C7600" s="51">
        <v>1.004</v>
      </c>
      <c r="D7600" s="51">
        <v>66.0</v>
      </c>
      <c r="E7600" s="52" t="s">
        <v>25</v>
      </c>
      <c r="F7600" s="52" t="s">
        <v>26</v>
      </c>
      <c r="G7600" s="53"/>
    </row>
    <row r="7601">
      <c r="A7601" s="49">
        <v>44592.8790089699</v>
      </c>
      <c r="B7601" s="50">
        <v>44593.0039824768</v>
      </c>
      <c r="C7601" s="51">
        <v>1.004</v>
      </c>
      <c r="D7601" s="51">
        <v>66.0</v>
      </c>
      <c r="E7601" s="52" t="s">
        <v>25</v>
      </c>
      <c r="F7601" s="52" t="s">
        <v>26</v>
      </c>
      <c r="G7601" s="53"/>
    </row>
    <row r="7602">
      <c r="A7602" s="49">
        <v>44592.889439618055</v>
      </c>
      <c r="B7602" s="50">
        <v>44593.0144129513</v>
      </c>
      <c r="C7602" s="51">
        <v>1.004</v>
      </c>
      <c r="D7602" s="51">
        <v>66.0</v>
      </c>
      <c r="E7602" s="52" t="s">
        <v>25</v>
      </c>
      <c r="F7602" s="52" t="s">
        <v>26</v>
      </c>
      <c r="G7602" s="53"/>
    </row>
    <row r="7603">
      <c r="A7603" s="49">
        <v>44592.89988814815</v>
      </c>
      <c r="B7603" s="50">
        <v>44593.0248556944</v>
      </c>
      <c r="C7603" s="51">
        <v>1.004</v>
      </c>
      <c r="D7603" s="51">
        <v>66.0</v>
      </c>
      <c r="E7603" s="52" t="s">
        <v>25</v>
      </c>
      <c r="F7603" s="52" t="s">
        <v>26</v>
      </c>
      <c r="G7603" s="53"/>
    </row>
    <row r="7604">
      <c r="A7604" s="49">
        <v>44592.910310543986</v>
      </c>
      <c r="B7604" s="50">
        <v>44593.0352758564</v>
      </c>
      <c r="C7604" s="51">
        <v>1.004</v>
      </c>
      <c r="D7604" s="51">
        <v>66.0</v>
      </c>
      <c r="E7604" s="52" t="s">
        <v>25</v>
      </c>
      <c r="F7604" s="52" t="s">
        <v>26</v>
      </c>
      <c r="G7604" s="53"/>
    </row>
    <row r="7605">
      <c r="A7605" s="49">
        <v>44592.92078153935</v>
      </c>
      <c r="B7605" s="50">
        <v>44593.0457544675</v>
      </c>
      <c r="C7605" s="51">
        <v>1.004</v>
      </c>
      <c r="D7605" s="51">
        <v>66.0</v>
      </c>
      <c r="E7605" s="52" t="s">
        <v>25</v>
      </c>
      <c r="F7605" s="52" t="s">
        <v>26</v>
      </c>
      <c r="G7605" s="53"/>
    </row>
    <row r="7606">
      <c r="A7606" s="49">
        <v>44592.93121238426</v>
      </c>
      <c r="B7606" s="50">
        <v>44593.0561868402</v>
      </c>
      <c r="C7606" s="51">
        <v>1.004</v>
      </c>
      <c r="D7606" s="51">
        <v>66.0</v>
      </c>
      <c r="E7606" s="52" t="s">
        <v>25</v>
      </c>
      <c r="F7606" s="52" t="s">
        <v>26</v>
      </c>
      <c r="G7606" s="53"/>
    </row>
    <row r="7607">
      <c r="A7607" s="49">
        <v>44592.9416371875</v>
      </c>
      <c r="B7607" s="50">
        <v>44593.0666096064</v>
      </c>
      <c r="C7607" s="51">
        <v>1.004</v>
      </c>
      <c r="D7607" s="51">
        <v>66.0</v>
      </c>
      <c r="E7607" s="52" t="s">
        <v>25</v>
      </c>
      <c r="F7607" s="52" t="s">
        <v>26</v>
      </c>
      <c r="G7607" s="53"/>
    </row>
    <row r="7608">
      <c r="A7608" s="49">
        <v>44592.95205212963</v>
      </c>
      <c r="B7608" s="50">
        <v>44593.077032037</v>
      </c>
      <c r="C7608" s="51">
        <v>1.004</v>
      </c>
      <c r="D7608" s="51">
        <v>66.0</v>
      </c>
      <c r="E7608" s="52" t="s">
        <v>25</v>
      </c>
      <c r="F7608" s="52" t="s">
        <v>26</v>
      </c>
      <c r="G7608" s="53"/>
    </row>
    <row r="7609">
      <c r="A7609" s="49">
        <v>44592.962495381944</v>
      </c>
      <c r="B7609" s="50">
        <v>44593.08745353</v>
      </c>
      <c r="C7609" s="51">
        <v>1.004</v>
      </c>
      <c r="D7609" s="51">
        <v>66.0</v>
      </c>
      <c r="E7609" s="52" t="s">
        <v>25</v>
      </c>
      <c r="F7609" s="52" t="s">
        <v>26</v>
      </c>
      <c r="G7609" s="53"/>
    </row>
    <row r="7610">
      <c r="A7610" s="49">
        <v>44592.972903807866</v>
      </c>
      <c r="B7610" s="50">
        <v>44593.0978853356</v>
      </c>
      <c r="C7610" s="51">
        <v>1.004</v>
      </c>
      <c r="D7610" s="51">
        <v>66.0</v>
      </c>
      <c r="E7610" s="52" t="s">
        <v>25</v>
      </c>
      <c r="F7610" s="52" t="s">
        <v>26</v>
      </c>
      <c r="G7610" s="53"/>
    </row>
    <row r="7611">
      <c r="A7611" s="49">
        <v>44592.98333416667</v>
      </c>
      <c r="B7611" s="50">
        <v>44593.1083053935</v>
      </c>
      <c r="C7611" s="51">
        <v>1.004</v>
      </c>
      <c r="D7611" s="51">
        <v>66.0</v>
      </c>
      <c r="E7611" s="52" t="s">
        <v>25</v>
      </c>
      <c r="F7611" s="52" t="s">
        <v>26</v>
      </c>
      <c r="G7611" s="53"/>
    </row>
    <row r="7612">
      <c r="A7612" s="49">
        <v>44592.99379975694</v>
      </c>
      <c r="B7612" s="50">
        <v>44593.1187734722</v>
      </c>
      <c r="C7612" s="51">
        <v>1.004</v>
      </c>
      <c r="D7612" s="51">
        <v>66.0</v>
      </c>
      <c r="E7612" s="52" t="s">
        <v>25</v>
      </c>
      <c r="F7612" s="52" t="s">
        <v>26</v>
      </c>
      <c r="G7612" s="53"/>
    </row>
    <row r="7613">
      <c r="A7613" s="49">
        <v>44593.00422086805</v>
      </c>
      <c r="B7613" s="50">
        <v>44593.1291929629</v>
      </c>
      <c r="C7613" s="51">
        <v>1.004</v>
      </c>
      <c r="D7613" s="51">
        <v>66.0</v>
      </c>
      <c r="E7613" s="52" t="s">
        <v>25</v>
      </c>
      <c r="F7613" s="52" t="s">
        <v>26</v>
      </c>
      <c r="G7613" s="53"/>
    </row>
    <row r="7614">
      <c r="A7614" s="49">
        <v>44593.01463991898</v>
      </c>
      <c r="B7614" s="50">
        <v>44593.1396147569</v>
      </c>
      <c r="C7614" s="51">
        <v>1.004</v>
      </c>
      <c r="D7614" s="51">
        <v>66.0</v>
      </c>
      <c r="E7614" s="52" t="s">
        <v>25</v>
      </c>
      <c r="F7614" s="52" t="s">
        <v>26</v>
      </c>
      <c r="G7614" s="53"/>
    </row>
    <row r="7615">
      <c r="A7615" s="49">
        <v>44593.02506459491</v>
      </c>
      <c r="B7615" s="50">
        <v>44593.1500375231</v>
      </c>
      <c r="C7615" s="51">
        <v>1.004</v>
      </c>
      <c r="D7615" s="51">
        <v>66.0</v>
      </c>
      <c r="E7615" s="52" t="s">
        <v>25</v>
      </c>
      <c r="F7615" s="52" t="s">
        <v>26</v>
      </c>
      <c r="G7615" s="53"/>
    </row>
    <row r="7616">
      <c r="A7616" s="49">
        <v>44593.0354853125</v>
      </c>
      <c r="B7616" s="50">
        <v>44593.1604576273</v>
      </c>
      <c r="C7616" s="51">
        <v>1.004</v>
      </c>
      <c r="D7616" s="51">
        <v>65.0</v>
      </c>
      <c r="E7616" s="52" t="s">
        <v>25</v>
      </c>
      <c r="F7616" s="52" t="s">
        <v>26</v>
      </c>
      <c r="G7616" s="53"/>
    </row>
    <row r="7617">
      <c r="A7617" s="49">
        <v>44593.04593064815</v>
      </c>
      <c r="B7617" s="50">
        <v>44593.17089978</v>
      </c>
      <c r="C7617" s="51">
        <v>1.004</v>
      </c>
      <c r="D7617" s="51">
        <v>65.0</v>
      </c>
      <c r="E7617" s="52" t="s">
        <v>25</v>
      </c>
      <c r="F7617" s="52" t="s">
        <v>26</v>
      </c>
      <c r="G7617" s="53"/>
    </row>
    <row r="7618">
      <c r="A7618" s="49">
        <v>44593.05636181713</v>
      </c>
      <c r="B7618" s="50">
        <v>44593.1813317245</v>
      </c>
      <c r="C7618" s="51">
        <v>1.004</v>
      </c>
      <c r="D7618" s="51">
        <v>65.0</v>
      </c>
      <c r="E7618" s="52" t="s">
        <v>25</v>
      </c>
      <c r="F7618" s="52" t="s">
        <v>26</v>
      </c>
      <c r="G7618" s="53"/>
    </row>
    <row r="7619">
      <c r="A7619" s="49">
        <v>44593.066779305555</v>
      </c>
      <c r="B7619" s="50">
        <v>44593.1917539004</v>
      </c>
      <c r="C7619" s="51">
        <v>1.004</v>
      </c>
      <c r="D7619" s="51">
        <v>65.0</v>
      </c>
      <c r="E7619" s="52" t="s">
        <v>25</v>
      </c>
      <c r="F7619" s="52" t="s">
        <v>26</v>
      </c>
      <c r="G7619" s="53"/>
    </row>
    <row r="7620">
      <c r="A7620" s="49">
        <v>44593.07720893518</v>
      </c>
      <c r="B7620" s="50">
        <v>44593.2021853935</v>
      </c>
      <c r="C7620" s="51">
        <v>1.004</v>
      </c>
      <c r="D7620" s="51">
        <v>65.0</v>
      </c>
      <c r="E7620" s="52" t="s">
        <v>25</v>
      </c>
      <c r="F7620" s="52" t="s">
        <v>26</v>
      </c>
      <c r="G7620" s="53"/>
    </row>
    <row r="7621">
      <c r="A7621" s="49">
        <v>44593.087628379624</v>
      </c>
      <c r="B7621" s="50">
        <v>44593.2126086342</v>
      </c>
      <c r="C7621" s="51">
        <v>1.004</v>
      </c>
      <c r="D7621" s="51">
        <v>65.0</v>
      </c>
      <c r="E7621" s="52" t="s">
        <v>25</v>
      </c>
      <c r="F7621" s="52" t="s">
        <v>26</v>
      </c>
      <c r="G7621" s="53"/>
    </row>
    <row r="7622">
      <c r="A7622" s="49">
        <v>44593.09808740741</v>
      </c>
      <c r="B7622" s="50">
        <v>44593.2230556134</v>
      </c>
      <c r="C7622" s="51">
        <v>1.005</v>
      </c>
      <c r="D7622" s="51">
        <v>65.0</v>
      </c>
      <c r="E7622" s="52" t="s">
        <v>25</v>
      </c>
      <c r="F7622" s="52" t="s">
        <v>26</v>
      </c>
      <c r="G7622" s="53"/>
    </row>
    <row r="7623">
      <c r="A7623" s="49">
        <v>44593.10850623842</v>
      </c>
      <c r="B7623" s="50">
        <v>44593.2334758912</v>
      </c>
      <c r="C7623" s="51">
        <v>1.004</v>
      </c>
      <c r="D7623" s="51">
        <v>65.0</v>
      </c>
      <c r="E7623" s="52" t="s">
        <v>25</v>
      </c>
      <c r="F7623" s="52" t="s">
        <v>26</v>
      </c>
      <c r="G7623" s="53"/>
    </row>
    <row r="7624">
      <c r="A7624" s="49">
        <v>44593.11892057871</v>
      </c>
      <c r="B7624" s="50">
        <v>44593.2438968055</v>
      </c>
      <c r="C7624" s="51">
        <v>1.004</v>
      </c>
      <c r="D7624" s="51">
        <v>65.0</v>
      </c>
      <c r="E7624" s="52" t="s">
        <v>25</v>
      </c>
      <c r="F7624" s="52" t="s">
        <v>26</v>
      </c>
      <c r="G7624" s="53"/>
    </row>
    <row r="7625">
      <c r="A7625" s="49">
        <v>44593.12935870371</v>
      </c>
      <c r="B7625" s="50">
        <v>44593.2543292824</v>
      </c>
      <c r="C7625" s="51">
        <v>1.004</v>
      </c>
      <c r="D7625" s="51">
        <v>65.0</v>
      </c>
      <c r="E7625" s="52" t="s">
        <v>25</v>
      </c>
      <c r="F7625" s="52" t="s">
        <v>26</v>
      </c>
      <c r="G7625" s="53"/>
    </row>
    <row r="7626">
      <c r="A7626" s="49">
        <v>44593.13978092592</v>
      </c>
      <c r="B7626" s="50">
        <v>44593.2647606828</v>
      </c>
      <c r="C7626" s="51">
        <v>1.004</v>
      </c>
      <c r="D7626" s="51">
        <v>65.0</v>
      </c>
      <c r="E7626" s="52" t="s">
        <v>25</v>
      </c>
      <c r="F7626" s="52" t="s">
        <v>26</v>
      </c>
      <c r="G7626" s="53"/>
    </row>
    <row r="7627">
      <c r="A7627" s="49">
        <v>44593.1502080787</v>
      </c>
      <c r="B7627" s="50">
        <v>44593.2751805092</v>
      </c>
      <c r="C7627" s="51">
        <v>1.004</v>
      </c>
      <c r="D7627" s="51">
        <v>65.0</v>
      </c>
      <c r="E7627" s="52" t="s">
        <v>25</v>
      </c>
      <c r="F7627" s="52" t="s">
        <v>26</v>
      </c>
      <c r="G7627" s="53"/>
    </row>
    <row r="7628">
      <c r="A7628" s="49">
        <v>44593.16064043982</v>
      </c>
      <c r="B7628" s="50">
        <v>44593.2856142592</v>
      </c>
      <c r="C7628" s="51">
        <v>1.004</v>
      </c>
      <c r="D7628" s="51">
        <v>65.0</v>
      </c>
      <c r="E7628" s="52" t="s">
        <v>25</v>
      </c>
      <c r="F7628" s="52" t="s">
        <v>26</v>
      </c>
      <c r="G7628" s="53"/>
    </row>
    <row r="7629">
      <c r="A7629" s="49">
        <v>44593.17109914352</v>
      </c>
      <c r="B7629" s="50">
        <v>44593.296036574</v>
      </c>
      <c r="C7629" s="51">
        <v>1.004</v>
      </c>
      <c r="D7629" s="51">
        <v>65.0</v>
      </c>
      <c r="E7629" s="52" t="s">
        <v>25</v>
      </c>
      <c r="F7629" s="52" t="s">
        <v>26</v>
      </c>
      <c r="G7629" s="53"/>
    </row>
    <row r="7630">
      <c r="A7630" s="49">
        <v>44593.18148849537</v>
      </c>
      <c r="B7630" s="50">
        <v>44593.3064590277</v>
      </c>
      <c r="C7630" s="51">
        <v>1.004</v>
      </c>
      <c r="D7630" s="51">
        <v>65.0</v>
      </c>
      <c r="E7630" s="52" t="s">
        <v>25</v>
      </c>
      <c r="F7630" s="52" t="s">
        <v>26</v>
      </c>
      <c r="G7630" s="53"/>
    </row>
    <row r="7631">
      <c r="A7631" s="49">
        <v>44593.19194804398</v>
      </c>
      <c r="B7631" s="50">
        <v>44593.3169173032</v>
      </c>
      <c r="C7631" s="51">
        <v>1.004</v>
      </c>
      <c r="D7631" s="51">
        <v>65.0</v>
      </c>
      <c r="E7631" s="52" t="s">
        <v>25</v>
      </c>
      <c r="F7631" s="52" t="s">
        <v>26</v>
      </c>
      <c r="G7631" s="53"/>
    </row>
    <row r="7632">
      <c r="A7632" s="49">
        <v>44593.20238888889</v>
      </c>
      <c r="B7632" s="50">
        <v>44593.3273390509</v>
      </c>
      <c r="C7632" s="51">
        <v>1.004</v>
      </c>
      <c r="D7632" s="51">
        <v>65.0</v>
      </c>
      <c r="E7632" s="52" t="s">
        <v>25</v>
      </c>
      <c r="F7632" s="52" t="s">
        <v>26</v>
      </c>
      <c r="G7632" s="53"/>
    </row>
    <row r="7633">
      <c r="A7633" s="49">
        <v>44593.212785358795</v>
      </c>
      <c r="B7633" s="50">
        <v>44593.3377595717</v>
      </c>
      <c r="C7633" s="51">
        <v>1.004</v>
      </c>
      <c r="D7633" s="51">
        <v>65.0</v>
      </c>
      <c r="E7633" s="52" t="s">
        <v>25</v>
      </c>
      <c r="F7633" s="52" t="s">
        <v>26</v>
      </c>
      <c r="G7633" s="53"/>
    </row>
    <row r="7634">
      <c r="A7634" s="49">
        <v>44593.22320071759</v>
      </c>
      <c r="B7634" s="50">
        <v>44593.3481815393</v>
      </c>
      <c r="C7634" s="51">
        <v>1.004</v>
      </c>
      <c r="D7634" s="51">
        <v>65.0</v>
      </c>
      <c r="E7634" s="52" t="s">
        <v>25</v>
      </c>
      <c r="F7634" s="52" t="s">
        <v>26</v>
      </c>
      <c r="G7634" s="53"/>
    </row>
    <row r="7635">
      <c r="A7635" s="49">
        <v>44593.23362370371</v>
      </c>
      <c r="B7635" s="50">
        <v>44593.3586035763</v>
      </c>
      <c r="C7635" s="51">
        <v>1.004</v>
      </c>
      <c r="D7635" s="51">
        <v>65.0</v>
      </c>
      <c r="E7635" s="52" t="s">
        <v>25</v>
      </c>
      <c r="F7635" s="52" t="s">
        <v>26</v>
      </c>
      <c r="G7635" s="53"/>
    </row>
    <row r="7636">
      <c r="A7636" s="49">
        <v>44593.24405780093</v>
      </c>
      <c r="B7636" s="50">
        <v>44593.3690246527</v>
      </c>
      <c r="C7636" s="51">
        <v>1.004</v>
      </c>
      <c r="D7636" s="51">
        <v>65.0</v>
      </c>
      <c r="E7636" s="52" t="s">
        <v>25</v>
      </c>
      <c r="F7636" s="52" t="s">
        <v>26</v>
      </c>
      <c r="G7636" s="53"/>
    </row>
    <row r="7637">
      <c r="A7637" s="49">
        <v>44593.254483275465</v>
      </c>
      <c r="B7637" s="50">
        <v>44593.3794446412</v>
      </c>
      <c r="C7637" s="51">
        <v>1.004</v>
      </c>
      <c r="D7637" s="51">
        <v>65.0</v>
      </c>
      <c r="E7637" s="52" t="s">
        <v>25</v>
      </c>
      <c r="F7637" s="52" t="s">
        <v>26</v>
      </c>
      <c r="G7637" s="53"/>
    </row>
    <row r="7638">
      <c r="A7638" s="49">
        <v>44593.26489572917</v>
      </c>
      <c r="B7638" s="50">
        <v>44593.3898667476</v>
      </c>
      <c r="C7638" s="51">
        <v>1.004</v>
      </c>
      <c r="D7638" s="51">
        <v>65.0</v>
      </c>
      <c r="E7638" s="52" t="s">
        <v>25</v>
      </c>
      <c r="F7638" s="52" t="s">
        <v>26</v>
      </c>
      <c r="G7638" s="53"/>
    </row>
    <row r="7639">
      <c r="A7639" s="49">
        <v>44593.27532180556</v>
      </c>
      <c r="B7639" s="50">
        <v>44593.4002873379</v>
      </c>
      <c r="C7639" s="51">
        <v>1.004</v>
      </c>
      <c r="D7639" s="51">
        <v>65.0</v>
      </c>
      <c r="E7639" s="52" t="s">
        <v>25</v>
      </c>
      <c r="F7639" s="52" t="s">
        <v>26</v>
      </c>
      <c r="G7639" s="53"/>
    </row>
    <row r="7640">
      <c r="A7640" s="49">
        <v>44593.285737881946</v>
      </c>
      <c r="B7640" s="50">
        <v>44593.4107078356</v>
      </c>
      <c r="C7640" s="51">
        <v>1.004</v>
      </c>
      <c r="D7640" s="51">
        <v>65.0</v>
      </c>
      <c r="E7640" s="52" t="s">
        <v>25</v>
      </c>
      <c r="F7640" s="52" t="s">
        <v>26</v>
      </c>
      <c r="G7640" s="53"/>
    </row>
    <row r="7641">
      <c r="A7641" s="49">
        <v>44593.296184074075</v>
      </c>
      <c r="B7641" s="50">
        <v>44593.4211406249</v>
      </c>
      <c r="C7641" s="51">
        <v>1.004</v>
      </c>
      <c r="D7641" s="51">
        <v>65.0</v>
      </c>
      <c r="E7641" s="52" t="s">
        <v>25</v>
      </c>
      <c r="F7641" s="52" t="s">
        <v>26</v>
      </c>
      <c r="G7641" s="53"/>
    </row>
    <row r="7642">
      <c r="A7642" s="49">
        <v>44593.30661555556</v>
      </c>
      <c r="B7642" s="50">
        <v>44593.4315737384</v>
      </c>
      <c r="C7642" s="51">
        <v>1.004</v>
      </c>
      <c r="D7642" s="51">
        <v>65.0</v>
      </c>
      <c r="E7642" s="52" t="s">
        <v>25</v>
      </c>
      <c r="F7642" s="52" t="s">
        <v>26</v>
      </c>
      <c r="G7642" s="53"/>
    </row>
    <row r="7643">
      <c r="A7643" s="49">
        <v>44593.31705046297</v>
      </c>
      <c r="B7643" s="50">
        <v>44593.4420168865</v>
      </c>
      <c r="C7643" s="51">
        <v>1.004</v>
      </c>
      <c r="D7643" s="51">
        <v>65.0</v>
      </c>
      <c r="E7643" s="52" t="s">
        <v>25</v>
      </c>
      <c r="F7643" s="52" t="s">
        <v>26</v>
      </c>
      <c r="G7643" s="53"/>
    </row>
    <row r="7644">
      <c r="A7644" s="49">
        <v>44593.3274637963</v>
      </c>
      <c r="B7644" s="50">
        <v>44593.4524385995</v>
      </c>
      <c r="C7644" s="51">
        <v>1.004</v>
      </c>
      <c r="D7644" s="51">
        <v>64.0</v>
      </c>
      <c r="E7644" s="52" t="s">
        <v>25</v>
      </c>
      <c r="F7644" s="52" t="s">
        <v>26</v>
      </c>
      <c r="G7644" s="53"/>
    </row>
    <row r="7645">
      <c r="A7645" s="49">
        <v>44593.33790326389</v>
      </c>
      <c r="B7645" s="50">
        <v>44593.46287228</v>
      </c>
      <c r="C7645" s="51">
        <v>1.004</v>
      </c>
      <c r="D7645" s="51">
        <v>64.0</v>
      </c>
      <c r="E7645" s="52" t="s">
        <v>25</v>
      </c>
      <c r="F7645" s="52" t="s">
        <v>26</v>
      </c>
      <c r="G7645" s="53"/>
    </row>
    <row r="7646">
      <c r="A7646" s="49">
        <v>44593.348410011575</v>
      </c>
      <c r="B7646" s="50">
        <v>44593.4733654166</v>
      </c>
      <c r="C7646" s="51">
        <v>1.004</v>
      </c>
      <c r="D7646" s="51">
        <v>64.0</v>
      </c>
      <c r="E7646" s="52" t="s">
        <v>25</v>
      </c>
      <c r="F7646" s="52" t="s">
        <v>26</v>
      </c>
      <c r="G7646" s="53"/>
    </row>
    <row r="7647">
      <c r="A7647" s="49">
        <v>44593.3588537037</v>
      </c>
      <c r="B7647" s="50">
        <v>44593.4838210532</v>
      </c>
      <c r="C7647" s="51">
        <v>1.004</v>
      </c>
      <c r="D7647" s="51">
        <v>64.0</v>
      </c>
      <c r="E7647" s="52" t="s">
        <v>25</v>
      </c>
      <c r="F7647" s="52" t="s">
        <v>26</v>
      </c>
      <c r="G7647" s="53"/>
    </row>
    <row r="7648">
      <c r="A7648" s="49">
        <v>44593.36927805556</v>
      </c>
      <c r="B7648" s="50">
        <v>44593.4942441435</v>
      </c>
      <c r="C7648" s="51">
        <v>1.004</v>
      </c>
      <c r="D7648" s="51">
        <v>64.0</v>
      </c>
      <c r="E7648" s="52" t="s">
        <v>25</v>
      </c>
      <c r="F7648" s="52" t="s">
        <v>26</v>
      </c>
      <c r="G7648" s="53"/>
    </row>
    <row r="7649">
      <c r="A7649" s="49">
        <v>44593.37977244213</v>
      </c>
      <c r="B7649" s="50">
        <v>44593.5047343865</v>
      </c>
      <c r="C7649" s="51">
        <v>1.004</v>
      </c>
      <c r="D7649" s="51">
        <v>64.0</v>
      </c>
      <c r="E7649" s="52" t="s">
        <v>25</v>
      </c>
      <c r="F7649" s="52" t="s">
        <v>26</v>
      </c>
      <c r="G7649" s="53"/>
    </row>
    <row r="7650">
      <c r="A7650" s="49">
        <v>44593.39022267361</v>
      </c>
      <c r="B7650" s="50">
        <v>44593.5151894907</v>
      </c>
      <c r="C7650" s="51">
        <v>1.004</v>
      </c>
      <c r="D7650" s="51">
        <v>64.0</v>
      </c>
      <c r="E7650" s="52" t="s">
        <v>25</v>
      </c>
      <c r="F7650" s="52" t="s">
        <v>26</v>
      </c>
      <c r="G7650" s="53"/>
    </row>
    <row r="7651">
      <c r="A7651" s="49">
        <v>44593.40065568287</v>
      </c>
      <c r="B7651" s="50">
        <v>44593.5256213888</v>
      </c>
      <c r="C7651" s="51">
        <v>1.004</v>
      </c>
      <c r="D7651" s="51">
        <v>64.0</v>
      </c>
      <c r="E7651" s="52" t="s">
        <v>25</v>
      </c>
      <c r="F7651" s="52" t="s">
        <v>26</v>
      </c>
      <c r="G7651" s="53"/>
    </row>
    <row r="7652">
      <c r="A7652" s="49">
        <v>44593.411078125</v>
      </c>
      <c r="B7652" s="50">
        <v>44593.5360415509</v>
      </c>
      <c r="C7652" s="51">
        <v>1.005</v>
      </c>
      <c r="D7652" s="51">
        <v>64.0</v>
      </c>
      <c r="E7652" s="52" t="s">
        <v>25</v>
      </c>
      <c r="F7652" s="52" t="s">
        <v>26</v>
      </c>
      <c r="G7652" s="53"/>
    </row>
    <row r="7653">
      <c r="A7653" s="49">
        <v>44593.42152106481</v>
      </c>
      <c r="B7653" s="50">
        <v>44593.5464845949</v>
      </c>
      <c r="C7653" s="51">
        <v>1.004</v>
      </c>
      <c r="D7653" s="51">
        <v>64.0</v>
      </c>
      <c r="E7653" s="52" t="s">
        <v>25</v>
      </c>
      <c r="F7653" s="52" t="s">
        <v>26</v>
      </c>
      <c r="G7653" s="53"/>
    </row>
    <row r="7654">
      <c r="A7654" s="49">
        <v>44593.431968159726</v>
      </c>
      <c r="B7654" s="50">
        <v>44593.5569405324</v>
      </c>
      <c r="C7654" s="51">
        <v>1.004</v>
      </c>
      <c r="D7654" s="51">
        <v>64.0</v>
      </c>
      <c r="E7654" s="52" t="s">
        <v>25</v>
      </c>
      <c r="F7654" s="52" t="s">
        <v>26</v>
      </c>
      <c r="G7654" s="53"/>
    </row>
    <row r="7655">
      <c r="A7655" s="49">
        <v>44593.44238787037</v>
      </c>
      <c r="B7655" s="50">
        <v>44593.5673607638</v>
      </c>
      <c r="C7655" s="51">
        <v>1.004</v>
      </c>
      <c r="D7655" s="51">
        <v>64.0</v>
      </c>
      <c r="E7655" s="52" t="s">
        <v>25</v>
      </c>
      <c r="F7655" s="52" t="s">
        <v>26</v>
      </c>
      <c r="G7655" s="53"/>
    </row>
    <row r="7656">
      <c r="A7656" s="49">
        <v>44593.45280893518</v>
      </c>
      <c r="B7656" s="50">
        <v>44593.5777820833</v>
      </c>
      <c r="C7656" s="51">
        <v>1.004</v>
      </c>
      <c r="D7656" s="51">
        <v>64.0</v>
      </c>
      <c r="E7656" s="52" t="s">
        <v>25</v>
      </c>
      <c r="F7656" s="52" t="s">
        <v>26</v>
      </c>
      <c r="G7656" s="53"/>
    </row>
    <row r="7657">
      <c r="A7657" s="49">
        <v>44593.463229699075</v>
      </c>
      <c r="B7657" s="50">
        <v>44593.5882031018</v>
      </c>
      <c r="C7657" s="51">
        <v>1.004</v>
      </c>
      <c r="D7657" s="51">
        <v>64.0</v>
      </c>
      <c r="E7657" s="52" t="s">
        <v>25</v>
      </c>
      <c r="F7657" s="52" t="s">
        <v>26</v>
      </c>
      <c r="G7657" s="53"/>
    </row>
    <row r="7658">
      <c r="A7658" s="49">
        <v>44593.47368333333</v>
      </c>
      <c r="B7658" s="50">
        <v>44593.5986479166</v>
      </c>
      <c r="C7658" s="51">
        <v>1.004</v>
      </c>
      <c r="D7658" s="51">
        <v>64.0</v>
      </c>
      <c r="E7658" s="52" t="s">
        <v>25</v>
      </c>
      <c r="F7658" s="52" t="s">
        <v>26</v>
      </c>
      <c r="G7658" s="53"/>
    </row>
    <row r="7659">
      <c r="A7659" s="49">
        <v>44593.4841015162</v>
      </c>
      <c r="B7659" s="50">
        <v>44593.6090688773</v>
      </c>
      <c r="C7659" s="51">
        <v>1.005</v>
      </c>
      <c r="D7659" s="51">
        <v>64.0</v>
      </c>
      <c r="E7659" s="52" t="s">
        <v>25</v>
      </c>
      <c r="F7659" s="52" t="s">
        <v>26</v>
      </c>
      <c r="G7659" s="53"/>
    </row>
    <row r="7660">
      <c r="A7660" s="49">
        <v>44593.49451616898</v>
      </c>
      <c r="B7660" s="50">
        <v>44593.6194912615</v>
      </c>
      <c r="C7660" s="51">
        <v>1.004</v>
      </c>
      <c r="D7660" s="51">
        <v>64.0</v>
      </c>
      <c r="E7660" s="52" t="s">
        <v>25</v>
      </c>
      <c r="F7660" s="52" t="s">
        <v>26</v>
      </c>
      <c r="G7660" s="53"/>
    </row>
    <row r="7661">
      <c r="A7661" s="49">
        <v>44593.50494939815</v>
      </c>
      <c r="B7661" s="50">
        <v>44593.6299230324</v>
      </c>
      <c r="C7661" s="51">
        <v>1.004</v>
      </c>
      <c r="D7661" s="51">
        <v>64.0</v>
      </c>
      <c r="E7661" s="52" t="s">
        <v>25</v>
      </c>
      <c r="F7661" s="52" t="s">
        <v>26</v>
      </c>
      <c r="G7661" s="53"/>
    </row>
    <row r="7662">
      <c r="A7662" s="49">
        <v>44593.51537127315</v>
      </c>
      <c r="B7662" s="50">
        <v>44593.6403448148</v>
      </c>
      <c r="C7662" s="51">
        <v>1.004</v>
      </c>
      <c r="D7662" s="51">
        <v>64.0</v>
      </c>
      <c r="E7662" s="52" t="s">
        <v>25</v>
      </c>
      <c r="F7662" s="52" t="s">
        <v>26</v>
      </c>
      <c r="G7662" s="53"/>
    </row>
    <row r="7663">
      <c r="A7663" s="49">
        <v>44593.525802013886</v>
      </c>
      <c r="B7663" s="50">
        <v>44593.6507753935</v>
      </c>
      <c r="C7663" s="51">
        <v>1.004</v>
      </c>
      <c r="D7663" s="51">
        <v>64.0</v>
      </c>
      <c r="E7663" s="52" t="s">
        <v>25</v>
      </c>
      <c r="F7663" s="52" t="s">
        <v>26</v>
      </c>
      <c r="G7663" s="53"/>
    </row>
    <row r="7664">
      <c r="A7664" s="49">
        <v>44593.53627552083</v>
      </c>
      <c r="B7664" s="50">
        <v>44593.6612206134</v>
      </c>
      <c r="C7664" s="51">
        <v>1.004</v>
      </c>
      <c r="D7664" s="51">
        <v>64.0</v>
      </c>
      <c r="E7664" s="52" t="s">
        <v>25</v>
      </c>
      <c r="F7664" s="52" t="s">
        <v>26</v>
      </c>
      <c r="G7664" s="53"/>
    </row>
    <row r="7665">
      <c r="A7665" s="49">
        <v>44593.54667844907</v>
      </c>
      <c r="B7665" s="50">
        <v>44593.6716543981</v>
      </c>
      <c r="C7665" s="51">
        <v>1.004</v>
      </c>
      <c r="D7665" s="51">
        <v>64.0</v>
      </c>
      <c r="E7665" s="52" t="s">
        <v>25</v>
      </c>
      <c r="F7665" s="52" t="s">
        <v>26</v>
      </c>
      <c r="G7665" s="53"/>
    </row>
    <row r="7666">
      <c r="A7666" s="49">
        <v>44593.5571040162</v>
      </c>
      <c r="B7666" s="50">
        <v>44593.6820756134</v>
      </c>
      <c r="C7666" s="51">
        <v>1.005</v>
      </c>
      <c r="D7666" s="51">
        <v>64.0</v>
      </c>
      <c r="E7666" s="52" t="s">
        <v>25</v>
      </c>
      <c r="F7666" s="52" t="s">
        <v>26</v>
      </c>
      <c r="G7666" s="53"/>
    </row>
    <row r="7667">
      <c r="A7667" s="49">
        <v>44593.567515092596</v>
      </c>
      <c r="B7667" s="50">
        <v>44593.6924949421</v>
      </c>
      <c r="C7667" s="51">
        <v>1.005</v>
      </c>
      <c r="D7667" s="51">
        <v>64.0</v>
      </c>
      <c r="E7667" s="52" t="s">
        <v>25</v>
      </c>
      <c r="F7667" s="52" t="s">
        <v>26</v>
      </c>
      <c r="G7667" s="53"/>
    </row>
    <row r="7668">
      <c r="A7668" s="49">
        <v>44593.577957002315</v>
      </c>
      <c r="B7668" s="50">
        <v>44593.7029264351</v>
      </c>
      <c r="C7668" s="51">
        <v>1.005</v>
      </c>
      <c r="D7668" s="51">
        <v>64.0</v>
      </c>
      <c r="E7668" s="52" t="s">
        <v>25</v>
      </c>
      <c r="F7668" s="52" t="s">
        <v>26</v>
      </c>
      <c r="G7668" s="53"/>
    </row>
    <row r="7669">
      <c r="A7669" s="49">
        <v>44593.58837509259</v>
      </c>
      <c r="B7669" s="50">
        <v>44593.7133479745</v>
      </c>
      <c r="C7669" s="51">
        <v>1.004</v>
      </c>
      <c r="D7669" s="51">
        <v>64.0</v>
      </c>
      <c r="E7669" s="52" t="s">
        <v>25</v>
      </c>
      <c r="F7669" s="52" t="s">
        <v>26</v>
      </c>
      <c r="G7669" s="53"/>
    </row>
    <row r="7670">
      <c r="A7670" s="49">
        <v>44593.59879596064</v>
      </c>
      <c r="B7670" s="50">
        <v>44593.7237688888</v>
      </c>
      <c r="C7670" s="51">
        <v>1.004</v>
      </c>
      <c r="D7670" s="51">
        <v>64.0</v>
      </c>
      <c r="E7670" s="52" t="s">
        <v>25</v>
      </c>
      <c r="F7670" s="52" t="s">
        <v>26</v>
      </c>
      <c r="G7670" s="53"/>
    </row>
    <row r="7671">
      <c r="A7671" s="49">
        <v>44593.609224687505</v>
      </c>
      <c r="B7671" s="50">
        <v>44593.7342033449</v>
      </c>
      <c r="C7671" s="51">
        <v>1.004</v>
      </c>
      <c r="D7671" s="51">
        <v>64.0</v>
      </c>
      <c r="E7671" s="52" t="s">
        <v>25</v>
      </c>
      <c r="F7671" s="52" t="s">
        <v>26</v>
      </c>
      <c r="G7671" s="53"/>
    </row>
    <row r="7672">
      <c r="A7672" s="49">
        <v>44593.61965126157</v>
      </c>
      <c r="B7672" s="50">
        <v>44593.7446217361</v>
      </c>
      <c r="C7672" s="51">
        <v>1.005</v>
      </c>
      <c r="D7672" s="51">
        <v>63.0</v>
      </c>
      <c r="E7672" s="52" t="s">
        <v>25</v>
      </c>
      <c r="F7672" s="52" t="s">
        <v>26</v>
      </c>
      <c r="G7672" s="53"/>
    </row>
    <row r="7673">
      <c r="A7673" s="49">
        <v>44593.630068680555</v>
      </c>
      <c r="B7673" s="50">
        <v>44593.7550434953</v>
      </c>
      <c r="C7673" s="51">
        <v>1.004</v>
      </c>
      <c r="D7673" s="51">
        <v>63.0</v>
      </c>
      <c r="E7673" s="52" t="s">
        <v>25</v>
      </c>
      <c r="F7673" s="52" t="s">
        <v>26</v>
      </c>
      <c r="G7673" s="53"/>
    </row>
    <row r="7674">
      <c r="A7674" s="49">
        <v>44593.64048700231</v>
      </c>
      <c r="B7674" s="50">
        <v>44593.7654637037</v>
      </c>
      <c r="C7674" s="51">
        <v>1.004</v>
      </c>
      <c r="D7674" s="51">
        <v>63.0</v>
      </c>
      <c r="E7674" s="52" t="s">
        <v>25</v>
      </c>
      <c r="F7674" s="52" t="s">
        <v>26</v>
      </c>
      <c r="G7674" s="53"/>
    </row>
    <row r="7675">
      <c r="A7675" s="49">
        <v>44593.65091296296</v>
      </c>
      <c r="B7675" s="50">
        <v>44593.7758846875</v>
      </c>
      <c r="C7675" s="51">
        <v>1.004</v>
      </c>
      <c r="D7675" s="51">
        <v>63.0</v>
      </c>
      <c r="E7675" s="52" t="s">
        <v>25</v>
      </c>
      <c r="F7675" s="52" t="s">
        <v>26</v>
      </c>
      <c r="G7675" s="53"/>
    </row>
    <row r="7676">
      <c r="A7676" s="49">
        <v>44593.66134810185</v>
      </c>
      <c r="B7676" s="50">
        <v>44593.7863280555</v>
      </c>
      <c r="C7676" s="51">
        <v>1.005</v>
      </c>
      <c r="D7676" s="51">
        <v>63.0</v>
      </c>
      <c r="E7676" s="52" t="s">
        <v>25</v>
      </c>
      <c r="F7676" s="52" t="s">
        <v>26</v>
      </c>
      <c r="G7676" s="53"/>
    </row>
    <row r="7677">
      <c r="A7677" s="49">
        <v>44593.67179168982</v>
      </c>
      <c r="B7677" s="50">
        <v>44593.796760787</v>
      </c>
      <c r="C7677" s="51">
        <v>1.004</v>
      </c>
      <c r="D7677" s="51">
        <v>63.0</v>
      </c>
      <c r="E7677" s="52" t="s">
        <v>25</v>
      </c>
      <c r="F7677" s="52" t="s">
        <v>26</v>
      </c>
      <c r="G7677" s="53"/>
    </row>
    <row r="7678">
      <c r="A7678" s="49">
        <v>44593.682213645836</v>
      </c>
      <c r="B7678" s="50">
        <v>44593.8071932291</v>
      </c>
      <c r="C7678" s="51">
        <v>1.004</v>
      </c>
      <c r="D7678" s="51">
        <v>63.0</v>
      </c>
      <c r="E7678" s="52" t="s">
        <v>25</v>
      </c>
      <c r="F7678" s="52" t="s">
        <v>26</v>
      </c>
      <c r="G7678" s="53"/>
    </row>
    <row r="7679">
      <c r="A7679" s="49">
        <v>44593.692646655094</v>
      </c>
      <c r="B7679" s="50">
        <v>44593.8176258796</v>
      </c>
      <c r="C7679" s="51">
        <v>1.005</v>
      </c>
      <c r="D7679" s="51">
        <v>63.0</v>
      </c>
      <c r="E7679" s="52" t="s">
        <v>25</v>
      </c>
      <c r="F7679" s="52" t="s">
        <v>26</v>
      </c>
      <c r="G7679" s="53"/>
    </row>
    <row r="7680">
      <c r="A7680" s="49">
        <v>44593.70309321759</v>
      </c>
      <c r="B7680" s="50">
        <v>44593.8280704745</v>
      </c>
      <c r="C7680" s="51">
        <v>1.004</v>
      </c>
      <c r="D7680" s="51">
        <v>63.0</v>
      </c>
      <c r="E7680" s="52" t="s">
        <v>25</v>
      </c>
      <c r="F7680" s="52" t="s">
        <v>26</v>
      </c>
      <c r="G7680" s="53"/>
    </row>
    <row r="7681">
      <c r="A7681" s="49">
        <v>44593.71351082176</v>
      </c>
      <c r="B7681" s="50">
        <v>44593.8384923842</v>
      </c>
      <c r="C7681" s="51">
        <v>1.004</v>
      </c>
      <c r="D7681" s="51">
        <v>63.0</v>
      </c>
      <c r="E7681" s="52" t="s">
        <v>25</v>
      </c>
      <c r="F7681" s="52" t="s">
        <v>26</v>
      </c>
      <c r="G7681" s="53"/>
    </row>
    <row r="7682">
      <c r="A7682" s="49">
        <v>44593.7239515625</v>
      </c>
      <c r="B7682" s="50">
        <v>44593.8489132407</v>
      </c>
      <c r="C7682" s="51">
        <v>1.005</v>
      </c>
      <c r="D7682" s="51">
        <v>63.0</v>
      </c>
      <c r="E7682" s="52" t="s">
        <v>25</v>
      </c>
      <c r="F7682" s="52" t="s">
        <v>26</v>
      </c>
      <c r="G7682" s="53"/>
    </row>
    <row r="7683">
      <c r="A7683" s="49">
        <v>44593.73436240741</v>
      </c>
      <c r="B7683" s="50">
        <v>44593.8593355208</v>
      </c>
      <c r="C7683" s="51">
        <v>1.004</v>
      </c>
      <c r="D7683" s="51">
        <v>63.0</v>
      </c>
      <c r="E7683" s="52" t="s">
        <v>25</v>
      </c>
      <c r="F7683" s="52" t="s">
        <v>26</v>
      </c>
      <c r="G7683" s="53"/>
    </row>
    <row r="7684">
      <c r="A7684" s="49">
        <v>44593.744802905094</v>
      </c>
      <c r="B7684" s="50">
        <v>44593.8697689583</v>
      </c>
      <c r="C7684" s="51">
        <v>1.004</v>
      </c>
      <c r="D7684" s="51">
        <v>63.0</v>
      </c>
      <c r="E7684" s="52" t="s">
        <v>25</v>
      </c>
      <c r="F7684" s="52" t="s">
        <v>26</v>
      </c>
      <c r="G7684" s="53"/>
    </row>
    <row r="7685">
      <c r="A7685" s="49">
        <v>44593.75524993056</v>
      </c>
      <c r="B7685" s="50">
        <v>44593.8802231597</v>
      </c>
      <c r="C7685" s="51">
        <v>1.004</v>
      </c>
      <c r="D7685" s="51">
        <v>63.0</v>
      </c>
      <c r="E7685" s="52" t="s">
        <v>25</v>
      </c>
      <c r="F7685" s="52" t="s">
        <v>26</v>
      </c>
      <c r="G7685" s="53"/>
    </row>
    <row r="7686">
      <c r="A7686" s="49">
        <v>44593.7656737037</v>
      </c>
      <c r="B7686" s="50">
        <v>44593.8906457407</v>
      </c>
      <c r="C7686" s="51">
        <v>1.004</v>
      </c>
      <c r="D7686" s="51">
        <v>63.0</v>
      </c>
      <c r="E7686" s="52" t="s">
        <v>25</v>
      </c>
      <c r="F7686" s="52" t="s">
        <v>26</v>
      </c>
      <c r="G7686" s="53"/>
    </row>
    <row r="7687">
      <c r="A7687" s="49">
        <v>44593.776095740744</v>
      </c>
      <c r="B7687" s="50">
        <v>44593.9010670254</v>
      </c>
      <c r="C7687" s="51">
        <v>1.005</v>
      </c>
      <c r="D7687" s="51">
        <v>63.0</v>
      </c>
      <c r="E7687" s="52" t="s">
        <v>25</v>
      </c>
      <c r="F7687" s="52" t="s">
        <v>26</v>
      </c>
      <c r="G7687" s="53"/>
    </row>
    <row r="7688">
      <c r="A7688" s="49">
        <v>44593.78651204861</v>
      </c>
      <c r="B7688" s="50">
        <v>44593.9114879282</v>
      </c>
      <c r="C7688" s="51">
        <v>1.004</v>
      </c>
      <c r="D7688" s="51">
        <v>63.0</v>
      </c>
      <c r="E7688" s="52" t="s">
        <v>25</v>
      </c>
      <c r="F7688" s="52" t="s">
        <v>26</v>
      </c>
      <c r="G7688" s="53"/>
    </row>
    <row r="7689">
      <c r="A7689" s="49">
        <v>44593.79692857639</v>
      </c>
      <c r="B7689" s="50">
        <v>44593.9219090856</v>
      </c>
      <c r="C7689" s="51">
        <v>1.004</v>
      </c>
      <c r="D7689" s="51">
        <v>63.0</v>
      </c>
      <c r="E7689" s="52" t="s">
        <v>25</v>
      </c>
      <c r="F7689" s="52" t="s">
        <v>26</v>
      </c>
      <c r="G7689" s="53"/>
    </row>
    <row r="7690">
      <c r="A7690" s="49">
        <v>44593.80735710648</v>
      </c>
      <c r="B7690" s="50">
        <v>44593.9323303356</v>
      </c>
      <c r="C7690" s="51">
        <v>1.004</v>
      </c>
      <c r="D7690" s="51">
        <v>63.0</v>
      </c>
      <c r="E7690" s="52" t="s">
        <v>25</v>
      </c>
      <c r="F7690" s="52" t="s">
        <v>26</v>
      </c>
      <c r="G7690" s="53"/>
    </row>
    <row r="7691">
      <c r="A7691" s="49">
        <v>44593.81777170139</v>
      </c>
      <c r="B7691" s="50">
        <v>44593.9427519444</v>
      </c>
      <c r="C7691" s="51">
        <v>1.004</v>
      </c>
      <c r="D7691" s="51">
        <v>63.0</v>
      </c>
      <c r="E7691" s="52" t="s">
        <v>25</v>
      </c>
      <c r="F7691" s="52" t="s">
        <v>26</v>
      </c>
      <c r="G7691" s="53"/>
    </row>
    <row r="7692">
      <c r="A7692" s="49">
        <v>44593.828197662035</v>
      </c>
      <c r="B7692" s="50">
        <v>44593.9531732175</v>
      </c>
      <c r="C7692" s="51">
        <v>1.005</v>
      </c>
      <c r="D7692" s="51">
        <v>63.0</v>
      </c>
      <c r="E7692" s="52" t="s">
        <v>25</v>
      </c>
      <c r="F7692" s="52" t="s">
        <v>26</v>
      </c>
      <c r="G7692" s="53"/>
    </row>
    <row r="7693">
      <c r="A7693" s="49">
        <v>44593.838692881945</v>
      </c>
      <c r="B7693" s="50">
        <v>44593.9636638773</v>
      </c>
      <c r="C7693" s="51">
        <v>1.004</v>
      </c>
      <c r="D7693" s="51">
        <v>63.0</v>
      </c>
      <c r="E7693" s="52" t="s">
        <v>25</v>
      </c>
      <c r="F7693" s="52" t="s">
        <v>26</v>
      </c>
      <c r="G7693" s="53"/>
    </row>
    <row r="7694">
      <c r="A7694" s="49">
        <v>44593.849139467595</v>
      </c>
      <c r="B7694" s="50">
        <v>44593.9741094675</v>
      </c>
      <c r="C7694" s="51">
        <v>1.004</v>
      </c>
      <c r="D7694" s="51">
        <v>63.0</v>
      </c>
      <c r="E7694" s="52" t="s">
        <v>25</v>
      </c>
      <c r="F7694" s="52" t="s">
        <v>26</v>
      </c>
      <c r="G7694" s="53"/>
    </row>
    <row r="7695">
      <c r="A7695" s="49">
        <v>44593.85955414352</v>
      </c>
      <c r="B7695" s="50">
        <v>44593.9845311921</v>
      </c>
      <c r="C7695" s="51">
        <v>1.005</v>
      </c>
      <c r="D7695" s="51">
        <v>63.0</v>
      </c>
      <c r="E7695" s="52" t="s">
        <v>25</v>
      </c>
      <c r="F7695" s="52" t="s">
        <v>26</v>
      </c>
      <c r="G7695" s="53"/>
    </row>
    <row r="7696">
      <c r="A7696" s="49">
        <v>44593.8700114699</v>
      </c>
      <c r="B7696" s="50">
        <v>44593.9949869444</v>
      </c>
      <c r="C7696" s="51">
        <v>1.004</v>
      </c>
      <c r="D7696" s="51">
        <v>63.0</v>
      </c>
      <c r="E7696" s="52" t="s">
        <v>25</v>
      </c>
      <c r="F7696" s="52" t="s">
        <v>26</v>
      </c>
      <c r="G7696" s="53"/>
    </row>
    <row r="7697">
      <c r="A7697" s="49">
        <v>44593.880434652776</v>
      </c>
      <c r="B7697" s="50">
        <v>44594.0054070833</v>
      </c>
      <c r="C7697" s="51">
        <v>1.004</v>
      </c>
      <c r="D7697" s="51">
        <v>63.0</v>
      </c>
      <c r="E7697" s="52" t="s">
        <v>25</v>
      </c>
      <c r="F7697" s="52" t="s">
        <v>26</v>
      </c>
      <c r="G7697" s="53"/>
    </row>
    <row r="7698">
      <c r="A7698" s="49">
        <v>44593.89085957176</v>
      </c>
      <c r="B7698" s="50">
        <v>44594.0158391088</v>
      </c>
      <c r="C7698" s="51">
        <v>1.004</v>
      </c>
      <c r="D7698" s="51">
        <v>63.0</v>
      </c>
      <c r="E7698" s="52" t="s">
        <v>25</v>
      </c>
      <c r="F7698" s="52" t="s">
        <v>26</v>
      </c>
      <c r="G7698" s="53"/>
    </row>
    <row r="7699">
      <c r="A7699" s="49">
        <v>44593.90129376158</v>
      </c>
      <c r="B7699" s="50">
        <v>44594.0262606597</v>
      </c>
      <c r="C7699" s="51">
        <v>1.005</v>
      </c>
      <c r="D7699" s="51">
        <v>63.0</v>
      </c>
      <c r="E7699" s="52" t="s">
        <v>25</v>
      </c>
      <c r="F7699" s="52" t="s">
        <v>26</v>
      </c>
      <c r="G7699" s="53"/>
    </row>
    <row r="7700">
      <c r="A7700" s="49">
        <v>44593.9117200926</v>
      </c>
      <c r="B7700" s="50">
        <v>44594.0366951504</v>
      </c>
      <c r="C7700" s="51">
        <v>1.005</v>
      </c>
      <c r="D7700" s="51">
        <v>63.0</v>
      </c>
      <c r="E7700" s="52" t="s">
        <v>25</v>
      </c>
      <c r="F7700" s="52" t="s">
        <v>26</v>
      </c>
      <c r="G7700" s="53"/>
    </row>
    <row r="7701">
      <c r="A7701" s="49">
        <v>44593.922148067126</v>
      </c>
      <c r="B7701" s="50">
        <v>44594.0471277314</v>
      </c>
      <c r="C7701" s="51">
        <v>1.004</v>
      </c>
      <c r="D7701" s="51">
        <v>63.0</v>
      </c>
      <c r="E7701" s="52" t="s">
        <v>25</v>
      </c>
      <c r="F7701" s="52" t="s">
        <v>26</v>
      </c>
      <c r="G7701" s="53"/>
    </row>
    <row r="7702">
      <c r="A7702" s="49">
        <v>44593.932582291665</v>
      </c>
      <c r="B7702" s="50">
        <v>44594.0575608217</v>
      </c>
      <c r="C7702" s="51">
        <v>1.004</v>
      </c>
      <c r="D7702" s="51">
        <v>63.0</v>
      </c>
      <c r="E7702" s="52" t="s">
        <v>25</v>
      </c>
      <c r="F7702" s="52" t="s">
        <v>26</v>
      </c>
      <c r="G7702" s="53"/>
    </row>
    <row r="7703">
      <c r="A7703" s="49">
        <v>44593.943007222224</v>
      </c>
      <c r="B7703" s="50">
        <v>44594.0679824537</v>
      </c>
      <c r="C7703" s="51">
        <v>1.004</v>
      </c>
      <c r="D7703" s="51">
        <v>63.0</v>
      </c>
      <c r="E7703" s="52" t="s">
        <v>25</v>
      </c>
      <c r="F7703" s="52" t="s">
        <v>26</v>
      </c>
      <c r="G7703" s="53"/>
    </row>
    <row r="7704">
      <c r="A7704" s="49">
        <v>44593.95343039352</v>
      </c>
      <c r="B7704" s="50">
        <v>44594.0784135532</v>
      </c>
      <c r="C7704" s="51">
        <v>1.005</v>
      </c>
      <c r="D7704" s="51">
        <v>63.0</v>
      </c>
      <c r="E7704" s="52" t="s">
        <v>25</v>
      </c>
      <c r="F7704" s="52" t="s">
        <v>26</v>
      </c>
      <c r="G7704" s="53"/>
    </row>
    <row r="7705">
      <c r="A7705" s="49">
        <v>44593.9638616088</v>
      </c>
      <c r="B7705" s="50">
        <v>44594.0888353125</v>
      </c>
      <c r="C7705" s="51">
        <v>1.004</v>
      </c>
      <c r="D7705" s="51">
        <v>63.0</v>
      </c>
      <c r="E7705" s="52" t="s">
        <v>25</v>
      </c>
      <c r="F7705" s="52" t="s">
        <v>26</v>
      </c>
      <c r="G7705" s="53"/>
    </row>
    <row r="7706">
      <c r="A7706" s="49">
        <v>44593.974285034725</v>
      </c>
      <c r="B7706" s="50">
        <v>44594.0992578009</v>
      </c>
      <c r="C7706" s="51">
        <v>1.004</v>
      </c>
      <c r="D7706" s="51">
        <v>63.0</v>
      </c>
      <c r="E7706" s="52" t="s">
        <v>25</v>
      </c>
      <c r="F7706" s="52" t="s">
        <v>26</v>
      </c>
      <c r="G7706" s="53"/>
    </row>
    <row r="7707">
      <c r="A7707" s="49">
        <v>44593.98471444444</v>
      </c>
      <c r="B7707" s="50">
        <v>44594.109689375</v>
      </c>
      <c r="C7707" s="51">
        <v>1.005</v>
      </c>
      <c r="D7707" s="51">
        <v>63.0</v>
      </c>
      <c r="E7707" s="52" t="s">
        <v>25</v>
      </c>
      <c r="F7707" s="52" t="s">
        <v>26</v>
      </c>
      <c r="G7707" s="53"/>
    </row>
    <row r="7708">
      <c r="A7708" s="49">
        <v>44593.995148263886</v>
      </c>
      <c r="B7708" s="50">
        <v>44594.1201082523</v>
      </c>
      <c r="C7708" s="51">
        <v>1.005</v>
      </c>
      <c r="D7708" s="51">
        <v>63.0</v>
      </c>
      <c r="E7708" s="52" t="s">
        <v>25</v>
      </c>
      <c r="F7708" s="52" t="s">
        <v>26</v>
      </c>
      <c r="G7708" s="53"/>
    </row>
    <row r="7709">
      <c r="A7709" s="49">
        <v>44594.00556934028</v>
      </c>
      <c r="B7709" s="50">
        <v>44594.1305422222</v>
      </c>
      <c r="C7709" s="51">
        <v>1.004</v>
      </c>
      <c r="D7709" s="51">
        <v>63.0</v>
      </c>
      <c r="E7709" s="52" t="s">
        <v>25</v>
      </c>
      <c r="F7709" s="52" t="s">
        <v>26</v>
      </c>
      <c r="G7709" s="53"/>
    </row>
    <row r="7710">
      <c r="A7710" s="49">
        <v>44594.01600118056</v>
      </c>
      <c r="B7710" s="50">
        <v>44594.1409742476</v>
      </c>
      <c r="C7710" s="51">
        <v>1.004</v>
      </c>
      <c r="D7710" s="51">
        <v>63.0</v>
      </c>
      <c r="E7710" s="52" t="s">
        <v>25</v>
      </c>
      <c r="F7710" s="52" t="s">
        <v>26</v>
      </c>
      <c r="G7710" s="53"/>
    </row>
    <row r="7711">
      <c r="A7711" s="49">
        <v>44594.02642458334</v>
      </c>
      <c r="B7711" s="50">
        <v>44594.1513956365</v>
      </c>
      <c r="C7711" s="51">
        <v>1.004</v>
      </c>
      <c r="D7711" s="51">
        <v>64.0</v>
      </c>
      <c r="E7711" s="52" t="s">
        <v>25</v>
      </c>
      <c r="F7711" s="52" t="s">
        <v>26</v>
      </c>
      <c r="G7711" s="53"/>
    </row>
    <row r="7712">
      <c r="A7712" s="49">
        <v>44594.03683859954</v>
      </c>
      <c r="B7712" s="50">
        <v>44594.1618152314</v>
      </c>
      <c r="C7712" s="51">
        <v>1.004</v>
      </c>
      <c r="D7712" s="51">
        <v>64.0</v>
      </c>
      <c r="E7712" s="52" t="s">
        <v>25</v>
      </c>
      <c r="F7712" s="52" t="s">
        <v>26</v>
      </c>
      <c r="G7712" s="53"/>
    </row>
    <row r="7713">
      <c r="A7713" s="49">
        <v>44594.047264374996</v>
      </c>
      <c r="B7713" s="50">
        <v>44594.1722371527</v>
      </c>
      <c r="C7713" s="51">
        <v>1.004</v>
      </c>
      <c r="D7713" s="51">
        <v>64.0</v>
      </c>
      <c r="E7713" s="52" t="s">
        <v>25</v>
      </c>
      <c r="F7713" s="52" t="s">
        <v>26</v>
      </c>
      <c r="G7713" s="53"/>
    </row>
    <row r="7714">
      <c r="A7714" s="49">
        <v>44594.057689050926</v>
      </c>
      <c r="B7714" s="50">
        <v>44594.182658993</v>
      </c>
      <c r="C7714" s="51">
        <v>1.004</v>
      </c>
      <c r="D7714" s="51">
        <v>65.0</v>
      </c>
      <c r="E7714" s="52" t="s">
        <v>25</v>
      </c>
      <c r="F7714" s="52" t="s">
        <v>26</v>
      </c>
      <c r="G7714" s="53"/>
    </row>
    <row r="7715">
      <c r="A7715" s="49">
        <v>44594.06811465278</v>
      </c>
      <c r="B7715" s="50">
        <v>44594.1930920949</v>
      </c>
      <c r="C7715" s="51">
        <v>1.004</v>
      </c>
      <c r="D7715" s="51">
        <v>65.0</v>
      </c>
      <c r="E7715" s="52" t="s">
        <v>25</v>
      </c>
      <c r="F7715" s="52" t="s">
        <v>26</v>
      </c>
      <c r="G7715" s="53"/>
    </row>
    <row r="7716">
      <c r="A7716" s="49">
        <v>44594.07854043982</v>
      </c>
      <c r="B7716" s="50">
        <v>44594.2035117129</v>
      </c>
      <c r="C7716" s="51">
        <v>1.004</v>
      </c>
      <c r="D7716" s="51">
        <v>65.0</v>
      </c>
      <c r="E7716" s="52" t="s">
        <v>25</v>
      </c>
      <c r="F7716" s="52" t="s">
        <v>26</v>
      </c>
      <c r="G7716" s="53"/>
    </row>
    <row r="7717">
      <c r="A7717" s="49">
        <v>44594.088962615744</v>
      </c>
      <c r="B7717" s="50">
        <v>44594.2139332175</v>
      </c>
      <c r="C7717" s="51">
        <v>1.004</v>
      </c>
      <c r="D7717" s="51">
        <v>66.0</v>
      </c>
      <c r="E7717" s="52" t="s">
        <v>25</v>
      </c>
      <c r="F7717" s="52" t="s">
        <v>26</v>
      </c>
      <c r="G7717" s="53"/>
    </row>
    <row r="7718">
      <c r="A7718" s="49">
        <v>44594.099383912035</v>
      </c>
      <c r="B7718" s="50">
        <v>44594.2243547337</v>
      </c>
      <c r="C7718" s="51">
        <v>1.004</v>
      </c>
      <c r="D7718" s="51">
        <v>66.0</v>
      </c>
      <c r="E7718" s="52" t="s">
        <v>25</v>
      </c>
      <c r="F7718" s="52" t="s">
        <v>26</v>
      </c>
      <c r="G7718" s="53"/>
    </row>
    <row r="7719">
      <c r="A7719" s="49">
        <v>44594.109798460646</v>
      </c>
      <c r="B7719" s="50">
        <v>44594.2347774074</v>
      </c>
      <c r="C7719" s="51">
        <v>1.004</v>
      </c>
      <c r="D7719" s="51">
        <v>67.0</v>
      </c>
      <c r="E7719" s="52" t="s">
        <v>25</v>
      </c>
      <c r="F7719" s="52" t="s">
        <v>26</v>
      </c>
      <c r="G7719" s="53"/>
    </row>
    <row r="7720">
      <c r="A7720" s="49">
        <v>44594.12023306713</v>
      </c>
      <c r="B7720" s="50">
        <v>44594.2452103935</v>
      </c>
      <c r="C7720" s="51">
        <v>1.004</v>
      </c>
      <c r="D7720" s="51">
        <v>67.0</v>
      </c>
      <c r="E7720" s="52" t="s">
        <v>25</v>
      </c>
      <c r="F7720" s="52" t="s">
        <v>26</v>
      </c>
      <c r="G7720" s="53"/>
    </row>
    <row r="7721">
      <c r="A7721" s="49">
        <v>44594.13066954861</v>
      </c>
      <c r="B7721" s="50">
        <v>44594.2556434027</v>
      </c>
      <c r="C7721" s="51">
        <v>1.004</v>
      </c>
      <c r="D7721" s="51">
        <v>68.0</v>
      </c>
      <c r="E7721" s="52" t="s">
        <v>25</v>
      </c>
      <c r="F7721" s="52" t="s">
        <v>26</v>
      </c>
      <c r="G7721" s="53"/>
    </row>
    <row r="7722">
      <c r="A7722" s="49">
        <v>44594.1411155324</v>
      </c>
      <c r="B7722" s="50">
        <v>44594.2660877083</v>
      </c>
      <c r="C7722" s="51">
        <v>1.004</v>
      </c>
      <c r="D7722" s="51">
        <v>68.0</v>
      </c>
      <c r="E7722" s="52" t="s">
        <v>25</v>
      </c>
      <c r="F7722" s="52" t="s">
        <v>26</v>
      </c>
      <c r="G7722" s="53"/>
    </row>
    <row r="7723">
      <c r="A7723" s="49">
        <v>44594.151552152776</v>
      </c>
      <c r="B7723" s="50">
        <v>44594.2765196064</v>
      </c>
      <c r="C7723" s="51">
        <v>1.004</v>
      </c>
      <c r="D7723" s="51">
        <v>68.0</v>
      </c>
      <c r="E7723" s="52" t="s">
        <v>25</v>
      </c>
      <c r="F7723" s="52" t="s">
        <v>26</v>
      </c>
      <c r="G7723" s="53"/>
    </row>
    <row r="7724">
      <c r="A7724" s="49">
        <v>44594.16198097222</v>
      </c>
      <c r="B7724" s="50">
        <v>44594.2869533333</v>
      </c>
      <c r="C7724" s="51">
        <v>1.004</v>
      </c>
      <c r="D7724" s="51">
        <v>68.0</v>
      </c>
      <c r="E7724" s="52" t="s">
        <v>25</v>
      </c>
      <c r="F7724" s="52" t="s">
        <v>26</v>
      </c>
      <c r="G7724" s="53"/>
    </row>
    <row r="7725">
      <c r="A7725" s="49">
        <v>44594.172406944446</v>
      </c>
      <c r="B7725" s="50">
        <v>44594.2973739467</v>
      </c>
      <c r="C7725" s="51">
        <v>1.004</v>
      </c>
      <c r="D7725" s="51">
        <v>68.0</v>
      </c>
      <c r="E7725" s="52" t="s">
        <v>25</v>
      </c>
      <c r="F7725" s="52" t="s">
        <v>26</v>
      </c>
      <c r="G7725" s="53"/>
    </row>
    <row r="7726">
      <c r="A7726" s="49">
        <v>44594.18283748842</v>
      </c>
      <c r="B7726" s="50">
        <v>44594.3077939699</v>
      </c>
      <c r="C7726" s="51">
        <v>1.004</v>
      </c>
      <c r="D7726" s="51">
        <v>68.0</v>
      </c>
      <c r="E7726" s="52" t="s">
        <v>25</v>
      </c>
      <c r="F7726" s="52" t="s">
        <v>26</v>
      </c>
      <c r="G7726" s="53"/>
    </row>
    <row r="7727">
      <c r="A7727" s="49">
        <v>44594.19324741898</v>
      </c>
      <c r="B7727" s="50">
        <v>44594.3182156481</v>
      </c>
      <c r="C7727" s="51">
        <v>1.004</v>
      </c>
      <c r="D7727" s="51">
        <v>68.0</v>
      </c>
      <c r="E7727" s="52" t="s">
        <v>25</v>
      </c>
      <c r="F7727" s="52" t="s">
        <v>26</v>
      </c>
      <c r="G7727" s="53"/>
    </row>
    <row r="7728">
      <c r="A7728" s="49">
        <v>44594.2036777662</v>
      </c>
      <c r="B7728" s="50">
        <v>44594.3286485995</v>
      </c>
      <c r="C7728" s="51">
        <v>1.004</v>
      </c>
      <c r="D7728" s="51">
        <v>68.0</v>
      </c>
      <c r="E7728" s="52" t="s">
        <v>25</v>
      </c>
      <c r="F7728" s="52" t="s">
        <v>26</v>
      </c>
      <c r="G7728" s="53"/>
    </row>
    <row r="7729">
      <c r="A7729" s="49">
        <v>44594.21410696759</v>
      </c>
      <c r="B7729" s="50">
        <v>44594.3390708217</v>
      </c>
      <c r="C7729" s="51">
        <v>1.004</v>
      </c>
      <c r="D7729" s="51">
        <v>68.0</v>
      </c>
      <c r="E7729" s="52" t="s">
        <v>25</v>
      </c>
      <c r="F7729" s="52" t="s">
        <v>26</v>
      </c>
      <c r="G7729" s="53"/>
    </row>
    <row r="7730">
      <c r="A7730" s="49">
        <v>44594.224514745365</v>
      </c>
      <c r="B7730" s="50">
        <v>44594.3494904745</v>
      </c>
      <c r="C7730" s="51">
        <v>1.004</v>
      </c>
      <c r="D7730" s="51">
        <v>68.0</v>
      </c>
      <c r="E7730" s="52" t="s">
        <v>25</v>
      </c>
      <c r="F7730" s="52" t="s">
        <v>26</v>
      </c>
      <c r="G7730" s="53"/>
    </row>
    <row r="7731">
      <c r="A7731" s="49">
        <v>44594.234954583335</v>
      </c>
      <c r="B7731" s="50">
        <v>44594.3599230787</v>
      </c>
      <c r="C7731" s="51">
        <v>1.004</v>
      </c>
      <c r="D7731" s="51">
        <v>68.0</v>
      </c>
      <c r="E7731" s="52" t="s">
        <v>25</v>
      </c>
      <c r="F7731" s="52" t="s">
        <v>26</v>
      </c>
      <c r="G7731" s="53"/>
    </row>
    <row r="7732">
      <c r="A7732" s="49">
        <v>44594.24543167824</v>
      </c>
      <c r="B7732" s="50">
        <v>44594.3704023379</v>
      </c>
      <c r="C7732" s="51">
        <v>1.004</v>
      </c>
      <c r="D7732" s="51">
        <v>68.0</v>
      </c>
      <c r="E7732" s="52" t="s">
        <v>25</v>
      </c>
      <c r="F7732" s="52" t="s">
        <v>26</v>
      </c>
      <c r="G7732" s="53"/>
    </row>
    <row r="7733">
      <c r="A7733" s="49">
        <v>44594.255857118056</v>
      </c>
      <c r="B7733" s="50">
        <v>44594.3808222453</v>
      </c>
      <c r="C7733" s="51">
        <v>1.004</v>
      </c>
      <c r="D7733" s="51">
        <v>68.0</v>
      </c>
      <c r="E7733" s="52" t="s">
        <v>25</v>
      </c>
      <c r="F7733" s="52" t="s">
        <v>26</v>
      </c>
      <c r="G7733" s="53"/>
    </row>
    <row r="7734">
      <c r="A7734" s="49">
        <v>44594.26628091435</v>
      </c>
      <c r="B7734" s="50">
        <v>44594.3912541203</v>
      </c>
      <c r="C7734" s="51">
        <v>1.004</v>
      </c>
      <c r="D7734" s="51">
        <v>67.0</v>
      </c>
      <c r="E7734" s="52" t="s">
        <v>25</v>
      </c>
      <c r="F7734" s="52" t="s">
        <v>26</v>
      </c>
      <c r="G7734" s="53"/>
    </row>
    <row r="7735">
      <c r="A7735" s="49">
        <v>44594.27671853009</v>
      </c>
      <c r="B7735" s="50">
        <v>44594.4016890046</v>
      </c>
      <c r="C7735" s="51">
        <v>1.004</v>
      </c>
      <c r="D7735" s="51">
        <v>67.0</v>
      </c>
      <c r="E7735" s="52" t="s">
        <v>25</v>
      </c>
      <c r="F7735" s="52" t="s">
        <v>26</v>
      </c>
      <c r="G7735" s="53"/>
    </row>
    <row r="7736">
      <c r="A7736" s="49">
        <v>44594.287154861115</v>
      </c>
      <c r="B7736" s="50">
        <v>44594.4121223263</v>
      </c>
      <c r="C7736" s="51">
        <v>1.004</v>
      </c>
      <c r="D7736" s="51">
        <v>67.0</v>
      </c>
      <c r="E7736" s="52" t="s">
        <v>25</v>
      </c>
      <c r="F7736" s="52" t="s">
        <v>26</v>
      </c>
      <c r="G7736" s="53"/>
    </row>
    <row r="7737">
      <c r="A7737" s="49">
        <v>44594.297564560184</v>
      </c>
      <c r="B7737" s="50">
        <v>44594.4225432407</v>
      </c>
      <c r="C7737" s="51">
        <v>1.004</v>
      </c>
      <c r="D7737" s="51">
        <v>67.0</v>
      </c>
      <c r="E7737" s="52" t="s">
        <v>25</v>
      </c>
      <c r="F7737" s="52" t="s">
        <v>26</v>
      </c>
      <c r="G7737" s="53"/>
    </row>
    <row r="7738">
      <c r="A7738" s="49">
        <v>44594.30799282408</v>
      </c>
      <c r="B7738" s="50">
        <v>44594.4329639467</v>
      </c>
      <c r="C7738" s="51">
        <v>1.004</v>
      </c>
      <c r="D7738" s="51">
        <v>67.0</v>
      </c>
      <c r="E7738" s="52" t="s">
        <v>25</v>
      </c>
      <c r="F7738" s="52" t="s">
        <v>26</v>
      </c>
      <c r="G7738" s="53"/>
    </row>
    <row r="7739">
      <c r="A7739" s="49">
        <v>44594.31841034722</v>
      </c>
      <c r="B7739" s="50">
        <v>44594.4433855555</v>
      </c>
      <c r="C7739" s="51">
        <v>1.004</v>
      </c>
      <c r="D7739" s="51">
        <v>67.0</v>
      </c>
      <c r="E7739" s="52" t="s">
        <v>25</v>
      </c>
      <c r="F7739" s="52" t="s">
        <v>26</v>
      </c>
      <c r="G7739" s="53"/>
    </row>
    <row r="7740">
      <c r="A7740" s="49">
        <v>44594.32885292824</v>
      </c>
      <c r="B7740" s="50">
        <v>44594.4538291435</v>
      </c>
      <c r="C7740" s="51">
        <v>1.004</v>
      </c>
      <c r="D7740" s="51">
        <v>67.0</v>
      </c>
      <c r="E7740" s="52" t="s">
        <v>25</v>
      </c>
      <c r="F7740" s="52" t="s">
        <v>26</v>
      </c>
      <c r="G7740" s="53"/>
    </row>
    <row r="7741">
      <c r="A7741" s="49">
        <v>44594.33927298611</v>
      </c>
      <c r="B7741" s="50">
        <v>44594.4642497916</v>
      </c>
      <c r="C7741" s="51">
        <v>1.004</v>
      </c>
      <c r="D7741" s="51">
        <v>67.0</v>
      </c>
      <c r="E7741" s="52" t="s">
        <v>25</v>
      </c>
      <c r="F7741" s="52" t="s">
        <v>26</v>
      </c>
      <c r="G7741" s="53"/>
    </row>
    <row r="7742">
      <c r="A7742" s="49">
        <v>44594.34969513889</v>
      </c>
      <c r="B7742" s="50">
        <v>44594.4746698032</v>
      </c>
      <c r="C7742" s="51">
        <v>1.004</v>
      </c>
      <c r="D7742" s="51">
        <v>67.0</v>
      </c>
      <c r="E7742" s="52" t="s">
        <v>25</v>
      </c>
      <c r="F7742" s="52" t="s">
        <v>26</v>
      </c>
      <c r="G7742" s="53"/>
    </row>
    <row r="7743">
      <c r="A7743" s="49">
        <v>44594.360132500005</v>
      </c>
      <c r="B7743" s="50">
        <v>44594.4851042592</v>
      </c>
      <c r="C7743" s="51">
        <v>1.004</v>
      </c>
      <c r="D7743" s="51">
        <v>67.0</v>
      </c>
      <c r="E7743" s="52" t="s">
        <v>25</v>
      </c>
      <c r="F7743" s="52" t="s">
        <v>26</v>
      </c>
      <c r="G7743" s="53"/>
    </row>
    <row r="7744">
      <c r="A7744" s="49">
        <v>44594.37055553241</v>
      </c>
      <c r="B7744" s="50">
        <v>44594.4955254861</v>
      </c>
      <c r="C7744" s="51">
        <v>1.004</v>
      </c>
      <c r="D7744" s="51">
        <v>67.0</v>
      </c>
      <c r="E7744" s="52" t="s">
        <v>25</v>
      </c>
      <c r="F7744" s="52" t="s">
        <v>26</v>
      </c>
      <c r="G7744" s="53"/>
    </row>
    <row r="7745">
      <c r="A7745" s="49">
        <v>44594.380986874996</v>
      </c>
      <c r="B7745" s="50">
        <v>44594.5059581481</v>
      </c>
      <c r="C7745" s="51">
        <v>1.004</v>
      </c>
      <c r="D7745" s="51">
        <v>67.0</v>
      </c>
      <c r="E7745" s="52" t="s">
        <v>25</v>
      </c>
      <c r="F7745" s="52" t="s">
        <v>26</v>
      </c>
      <c r="G7745" s="53"/>
    </row>
    <row r="7746">
      <c r="A7746" s="49">
        <v>44594.39141045139</v>
      </c>
      <c r="B7746" s="50">
        <v>44594.5163806134</v>
      </c>
      <c r="C7746" s="51">
        <v>1.004</v>
      </c>
      <c r="D7746" s="51">
        <v>67.0</v>
      </c>
      <c r="E7746" s="52" t="s">
        <v>25</v>
      </c>
      <c r="F7746" s="52" t="s">
        <v>26</v>
      </c>
      <c r="G7746" s="53"/>
    </row>
    <row r="7747">
      <c r="A7747" s="49">
        <v>44594.40184002314</v>
      </c>
      <c r="B7747" s="50">
        <v>44594.5268144213</v>
      </c>
      <c r="C7747" s="51">
        <v>1.004</v>
      </c>
      <c r="D7747" s="51">
        <v>67.0</v>
      </c>
      <c r="E7747" s="52" t="s">
        <v>25</v>
      </c>
      <c r="F7747" s="52" t="s">
        <v>26</v>
      </c>
      <c r="G7747" s="53"/>
    </row>
    <row r="7748">
      <c r="A7748" s="49">
        <v>44594.41225847222</v>
      </c>
      <c r="B7748" s="50">
        <v>44594.5372363194</v>
      </c>
      <c r="C7748" s="51">
        <v>1.004</v>
      </c>
      <c r="D7748" s="51">
        <v>67.0</v>
      </c>
      <c r="E7748" s="52" t="s">
        <v>25</v>
      </c>
      <c r="F7748" s="52" t="s">
        <v>26</v>
      </c>
      <c r="G7748" s="53"/>
    </row>
    <row r="7749">
      <c r="A7749" s="49">
        <v>44594.42268225695</v>
      </c>
      <c r="B7749" s="50">
        <v>44594.5476571064</v>
      </c>
      <c r="C7749" s="51">
        <v>1.004</v>
      </c>
      <c r="D7749" s="51">
        <v>67.0</v>
      </c>
      <c r="E7749" s="52" t="s">
        <v>25</v>
      </c>
      <c r="F7749" s="52" t="s">
        <v>26</v>
      </c>
      <c r="G7749" s="53"/>
    </row>
    <row r="7750">
      <c r="A7750" s="49">
        <v>44594.43311239583</v>
      </c>
      <c r="B7750" s="50">
        <v>44594.558090706</v>
      </c>
      <c r="C7750" s="51">
        <v>1.004</v>
      </c>
      <c r="D7750" s="51">
        <v>67.0</v>
      </c>
      <c r="E7750" s="52" t="s">
        <v>25</v>
      </c>
      <c r="F7750" s="52" t="s">
        <v>26</v>
      </c>
      <c r="G7750" s="53"/>
    </row>
    <row r="7751">
      <c r="A7751" s="49">
        <v>44594.44353878472</v>
      </c>
      <c r="B7751" s="50">
        <v>44594.5685104282</v>
      </c>
      <c r="C7751" s="51">
        <v>1.004</v>
      </c>
      <c r="D7751" s="51">
        <v>67.0</v>
      </c>
      <c r="E7751" s="52" t="s">
        <v>25</v>
      </c>
      <c r="F7751" s="52" t="s">
        <v>26</v>
      </c>
      <c r="G7751" s="53"/>
    </row>
    <row r="7752">
      <c r="A7752" s="49">
        <v>44594.453981377315</v>
      </c>
      <c r="B7752" s="50">
        <v>44594.5789434259</v>
      </c>
      <c r="C7752" s="51">
        <v>1.004</v>
      </c>
      <c r="D7752" s="51">
        <v>67.0</v>
      </c>
      <c r="E7752" s="52" t="s">
        <v>25</v>
      </c>
      <c r="F7752" s="52" t="s">
        <v>26</v>
      </c>
      <c r="G7752" s="53"/>
    </row>
    <row r="7753">
      <c r="A7753" s="49">
        <v>44594.46443115741</v>
      </c>
      <c r="B7753" s="50">
        <v>44594.5894126736</v>
      </c>
      <c r="C7753" s="51">
        <v>1.004</v>
      </c>
      <c r="D7753" s="51">
        <v>67.0</v>
      </c>
      <c r="E7753" s="52" t="s">
        <v>25</v>
      </c>
      <c r="F7753" s="52" t="s">
        <v>26</v>
      </c>
      <c r="G7753" s="53"/>
    </row>
    <row r="7754">
      <c r="A7754" s="49">
        <v>44594.474912164354</v>
      </c>
      <c r="B7754" s="50">
        <v>44594.5998459259</v>
      </c>
      <c r="C7754" s="51">
        <v>1.004</v>
      </c>
      <c r="D7754" s="51">
        <v>66.0</v>
      </c>
      <c r="E7754" s="52" t="s">
        <v>25</v>
      </c>
      <c r="F7754" s="52" t="s">
        <v>26</v>
      </c>
      <c r="G7754" s="53"/>
    </row>
    <row r="7755">
      <c r="A7755" s="49">
        <v>44594.48529892361</v>
      </c>
      <c r="B7755" s="50">
        <v>44594.6102682523</v>
      </c>
      <c r="C7755" s="51">
        <v>1.004</v>
      </c>
      <c r="D7755" s="51">
        <v>67.0</v>
      </c>
      <c r="E7755" s="52" t="s">
        <v>25</v>
      </c>
      <c r="F7755" s="52" t="s">
        <v>26</v>
      </c>
      <c r="G7755" s="53"/>
    </row>
    <row r="7756">
      <c r="A7756" s="49">
        <v>44594.49571863426</v>
      </c>
      <c r="B7756" s="50">
        <v>44594.620687118</v>
      </c>
      <c r="C7756" s="51">
        <v>1.004</v>
      </c>
      <c r="D7756" s="51">
        <v>66.0</v>
      </c>
      <c r="E7756" s="52" t="s">
        <v>25</v>
      </c>
      <c r="F7756" s="52" t="s">
        <v>26</v>
      </c>
      <c r="G7756" s="53"/>
    </row>
    <row r="7757">
      <c r="A7757" s="49">
        <v>44594.50615015047</v>
      </c>
      <c r="B7757" s="50">
        <v>44594.6311092939</v>
      </c>
      <c r="C7757" s="51">
        <v>1.004</v>
      </c>
      <c r="D7757" s="51">
        <v>66.0</v>
      </c>
      <c r="E7757" s="52" t="s">
        <v>25</v>
      </c>
      <c r="F7757" s="52" t="s">
        <v>26</v>
      </c>
      <c r="G7757" s="53"/>
    </row>
    <row r="7758">
      <c r="A7758" s="49">
        <v>44594.51658844907</v>
      </c>
      <c r="B7758" s="50">
        <v>44594.6415666319</v>
      </c>
      <c r="C7758" s="51">
        <v>1.004</v>
      </c>
      <c r="D7758" s="51">
        <v>66.0</v>
      </c>
      <c r="E7758" s="52" t="s">
        <v>25</v>
      </c>
      <c r="F7758" s="52" t="s">
        <v>26</v>
      </c>
      <c r="G7758" s="53"/>
    </row>
    <row r="7759">
      <c r="A7759" s="49">
        <v>44594.527016631946</v>
      </c>
      <c r="B7759" s="50">
        <v>44594.6519886342</v>
      </c>
      <c r="C7759" s="51">
        <v>1.004</v>
      </c>
      <c r="D7759" s="51">
        <v>66.0</v>
      </c>
      <c r="E7759" s="52" t="s">
        <v>25</v>
      </c>
      <c r="F7759" s="52" t="s">
        <v>26</v>
      </c>
      <c r="G7759" s="53"/>
    </row>
    <row r="7760">
      <c r="A7760" s="49">
        <v>44594.537440706015</v>
      </c>
      <c r="B7760" s="50">
        <v>44594.662410868</v>
      </c>
      <c r="C7760" s="51">
        <v>1.004</v>
      </c>
      <c r="D7760" s="51">
        <v>66.0</v>
      </c>
      <c r="E7760" s="52" t="s">
        <v>25</v>
      </c>
      <c r="F7760" s="52" t="s">
        <v>26</v>
      </c>
      <c r="G7760" s="53"/>
    </row>
    <row r="7761">
      <c r="A7761" s="49">
        <v>44594.54786253472</v>
      </c>
      <c r="B7761" s="50">
        <v>44594.6728334722</v>
      </c>
      <c r="C7761" s="51">
        <v>1.004</v>
      </c>
      <c r="D7761" s="51">
        <v>66.0</v>
      </c>
      <c r="E7761" s="52" t="s">
        <v>25</v>
      </c>
      <c r="F7761" s="52" t="s">
        <v>26</v>
      </c>
      <c r="G7761" s="53"/>
    </row>
    <row r="7762">
      <c r="A7762" s="49">
        <v>44594.558280729165</v>
      </c>
      <c r="B7762" s="50">
        <v>44594.6832548263</v>
      </c>
      <c r="C7762" s="51">
        <v>1.004</v>
      </c>
      <c r="D7762" s="51">
        <v>66.0</v>
      </c>
      <c r="E7762" s="52" t="s">
        <v>25</v>
      </c>
      <c r="F7762" s="52" t="s">
        <v>26</v>
      </c>
      <c r="G7762" s="53"/>
    </row>
    <row r="7763">
      <c r="A7763" s="49">
        <v>44594.568705763886</v>
      </c>
      <c r="B7763" s="50">
        <v>44594.6936762962</v>
      </c>
      <c r="C7763" s="51">
        <v>1.004</v>
      </c>
      <c r="D7763" s="51">
        <v>66.0</v>
      </c>
      <c r="E7763" s="52" t="s">
        <v>25</v>
      </c>
      <c r="F7763" s="52" t="s">
        <v>26</v>
      </c>
      <c r="G7763" s="53"/>
    </row>
    <row r="7764">
      <c r="A7764" s="49">
        <v>44594.579138483794</v>
      </c>
      <c r="B7764" s="50">
        <v>44594.7041088773</v>
      </c>
      <c r="C7764" s="51">
        <v>1.004</v>
      </c>
      <c r="D7764" s="51">
        <v>66.0</v>
      </c>
      <c r="E7764" s="52" t="s">
        <v>25</v>
      </c>
      <c r="F7764" s="52" t="s">
        <v>26</v>
      </c>
      <c r="G7764" s="53"/>
    </row>
    <row r="7765">
      <c r="A7765" s="49">
        <v>44594.589553321755</v>
      </c>
      <c r="B7765" s="50">
        <v>44594.7145288541</v>
      </c>
      <c r="C7765" s="51">
        <v>1.004</v>
      </c>
      <c r="D7765" s="51">
        <v>66.0</v>
      </c>
      <c r="E7765" s="52" t="s">
        <v>25</v>
      </c>
      <c r="F7765" s="52" t="s">
        <v>26</v>
      </c>
      <c r="G7765" s="53"/>
    </row>
    <row r="7766">
      <c r="A7766" s="49">
        <v>44594.59999269676</v>
      </c>
      <c r="B7766" s="50">
        <v>44594.7249620254</v>
      </c>
      <c r="C7766" s="51">
        <v>1.004</v>
      </c>
      <c r="D7766" s="51">
        <v>66.0</v>
      </c>
      <c r="E7766" s="52" t="s">
        <v>25</v>
      </c>
      <c r="F7766" s="52" t="s">
        <v>26</v>
      </c>
      <c r="G7766" s="53"/>
    </row>
    <row r="7767">
      <c r="A7767" s="49">
        <v>44594.610410520836</v>
      </c>
      <c r="B7767" s="50">
        <v>44594.7353833101</v>
      </c>
      <c r="C7767" s="51">
        <v>1.004</v>
      </c>
      <c r="D7767" s="51">
        <v>66.0</v>
      </c>
      <c r="E7767" s="52" t="s">
        <v>25</v>
      </c>
      <c r="F7767" s="52" t="s">
        <v>26</v>
      </c>
      <c r="G7767" s="53"/>
    </row>
    <row r="7768">
      <c r="A7768" s="49">
        <v>44594.62082260416</v>
      </c>
      <c r="B7768" s="50">
        <v>44594.7458036111</v>
      </c>
      <c r="C7768" s="51">
        <v>1.004</v>
      </c>
      <c r="D7768" s="51">
        <v>66.0</v>
      </c>
      <c r="E7768" s="52" t="s">
        <v>25</v>
      </c>
      <c r="F7768" s="52" t="s">
        <v>26</v>
      </c>
      <c r="G7768" s="53"/>
    </row>
    <row r="7769">
      <c r="A7769" s="49">
        <v>44594.631262627314</v>
      </c>
      <c r="B7769" s="50">
        <v>44594.7562349652</v>
      </c>
      <c r="C7769" s="51">
        <v>1.004</v>
      </c>
      <c r="D7769" s="51">
        <v>66.0</v>
      </c>
      <c r="E7769" s="52" t="s">
        <v>25</v>
      </c>
      <c r="F7769" s="52" t="s">
        <v>26</v>
      </c>
      <c r="G7769" s="53"/>
    </row>
    <row r="7770">
      <c r="A7770" s="49">
        <v>44594.641696701394</v>
      </c>
      <c r="B7770" s="50">
        <v>44594.7666676967</v>
      </c>
      <c r="C7770" s="51">
        <v>1.004</v>
      </c>
      <c r="D7770" s="51">
        <v>66.0</v>
      </c>
      <c r="E7770" s="52" t="s">
        <v>25</v>
      </c>
      <c r="F7770" s="52" t="s">
        <v>26</v>
      </c>
      <c r="G7770" s="53"/>
    </row>
    <row r="7771">
      <c r="A7771" s="49">
        <v>44594.65211362268</v>
      </c>
      <c r="B7771" s="50">
        <v>44594.7770889583</v>
      </c>
      <c r="C7771" s="51">
        <v>1.004</v>
      </c>
      <c r="D7771" s="51">
        <v>66.0</v>
      </c>
      <c r="E7771" s="52" t="s">
        <v>25</v>
      </c>
      <c r="F7771" s="52" t="s">
        <v>26</v>
      </c>
      <c r="G7771" s="53"/>
    </row>
    <row r="7772">
      <c r="A7772" s="49">
        <v>44594.662569884254</v>
      </c>
      <c r="B7772" s="50">
        <v>44594.7875456597</v>
      </c>
      <c r="C7772" s="51">
        <v>1.004</v>
      </c>
      <c r="D7772" s="51">
        <v>66.0</v>
      </c>
      <c r="E7772" s="52" t="s">
        <v>25</v>
      </c>
      <c r="F7772" s="52" t="s">
        <v>26</v>
      </c>
      <c r="G7772" s="53"/>
    </row>
    <row r="7773">
      <c r="A7773" s="49">
        <v>44594.67306354167</v>
      </c>
      <c r="B7773" s="50">
        <v>44594.7980370949</v>
      </c>
      <c r="C7773" s="51">
        <v>1.004</v>
      </c>
      <c r="D7773" s="51">
        <v>66.0</v>
      </c>
      <c r="E7773" s="52" t="s">
        <v>25</v>
      </c>
      <c r="F7773" s="52" t="s">
        <v>26</v>
      </c>
      <c r="G7773" s="53"/>
    </row>
    <row r="7774">
      <c r="A7774" s="49">
        <v>44594.68348706019</v>
      </c>
      <c r="B7774" s="50">
        <v>44594.8084575231</v>
      </c>
      <c r="C7774" s="51">
        <v>1.004</v>
      </c>
      <c r="D7774" s="51">
        <v>66.0</v>
      </c>
      <c r="E7774" s="52" t="s">
        <v>25</v>
      </c>
      <c r="F7774" s="52" t="s">
        <v>26</v>
      </c>
      <c r="G7774" s="53"/>
    </row>
    <row r="7775">
      <c r="A7775" s="49">
        <v>44594.6939319213</v>
      </c>
      <c r="B7775" s="50">
        <v>44594.8189131944</v>
      </c>
      <c r="C7775" s="51">
        <v>1.004</v>
      </c>
      <c r="D7775" s="51">
        <v>66.0</v>
      </c>
      <c r="E7775" s="52" t="s">
        <v>25</v>
      </c>
      <c r="F7775" s="52" t="s">
        <v>26</v>
      </c>
      <c r="G7775" s="53"/>
    </row>
    <row r="7776">
      <c r="A7776" s="49">
        <v>44594.704360104166</v>
      </c>
      <c r="B7776" s="50">
        <v>44594.8293352314</v>
      </c>
      <c r="C7776" s="51">
        <v>1.004</v>
      </c>
      <c r="D7776" s="51">
        <v>66.0</v>
      </c>
      <c r="E7776" s="52" t="s">
        <v>25</v>
      </c>
      <c r="F7776" s="52" t="s">
        <v>26</v>
      </c>
      <c r="G7776" s="53"/>
    </row>
    <row r="7777">
      <c r="A7777" s="49">
        <v>44594.71478005787</v>
      </c>
      <c r="B7777" s="50">
        <v>44594.8397559953</v>
      </c>
      <c r="C7777" s="51">
        <v>1.004</v>
      </c>
      <c r="D7777" s="51">
        <v>66.0</v>
      </c>
      <c r="E7777" s="52" t="s">
        <v>25</v>
      </c>
      <c r="F7777" s="52" t="s">
        <v>26</v>
      </c>
      <c r="G7777" s="53"/>
    </row>
    <row r="7778">
      <c r="A7778" s="49">
        <v>44594.72523964121</v>
      </c>
      <c r="B7778" s="50">
        <v>44594.8501899652</v>
      </c>
      <c r="C7778" s="51">
        <v>1.004</v>
      </c>
      <c r="D7778" s="51">
        <v>66.0</v>
      </c>
      <c r="E7778" s="52" t="s">
        <v>25</v>
      </c>
      <c r="F7778" s="52" t="s">
        <v>26</v>
      </c>
      <c r="G7778" s="53"/>
    </row>
    <row r="7779">
      <c r="A7779" s="49">
        <v>44594.73564670139</v>
      </c>
      <c r="B7779" s="50">
        <v>44594.8606216898</v>
      </c>
      <c r="C7779" s="51">
        <v>1.004</v>
      </c>
      <c r="D7779" s="51">
        <v>66.0</v>
      </c>
      <c r="E7779" s="52" t="s">
        <v>25</v>
      </c>
      <c r="F7779" s="52" t="s">
        <v>26</v>
      </c>
      <c r="G7779" s="53"/>
    </row>
    <row r="7780">
      <c r="A7780" s="49">
        <v>44594.746072511574</v>
      </c>
      <c r="B7780" s="50">
        <v>44594.8710437847</v>
      </c>
      <c r="C7780" s="51">
        <v>1.004</v>
      </c>
      <c r="D7780" s="51">
        <v>66.0</v>
      </c>
      <c r="E7780" s="52" t="s">
        <v>25</v>
      </c>
      <c r="F7780" s="52" t="s">
        <v>26</v>
      </c>
      <c r="G7780" s="53"/>
    </row>
    <row r="7781">
      <c r="A7781" s="49">
        <v>44594.75655122685</v>
      </c>
      <c r="B7781" s="50">
        <v>44594.8815243402</v>
      </c>
      <c r="C7781" s="51">
        <v>1.004</v>
      </c>
      <c r="D7781" s="51">
        <v>65.0</v>
      </c>
      <c r="E7781" s="52" t="s">
        <v>25</v>
      </c>
      <c r="F7781" s="52" t="s">
        <v>26</v>
      </c>
      <c r="G7781" s="53"/>
    </row>
    <row r="7782">
      <c r="A7782" s="49">
        <v>44594.766965312505</v>
      </c>
      <c r="B7782" s="50">
        <v>44594.8919449074</v>
      </c>
      <c r="C7782" s="51">
        <v>1.004</v>
      </c>
      <c r="D7782" s="51">
        <v>65.0</v>
      </c>
      <c r="E7782" s="52" t="s">
        <v>25</v>
      </c>
      <c r="F7782" s="52" t="s">
        <v>26</v>
      </c>
      <c r="G7782" s="53"/>
    </row>
    <row r="7783">
      <c r="A7783" s="49">
        <v>44594.77743585648</v>
      </c>
      <c r="B7783" s="50">
        <v>44594.9024023611</v>
      </c>
      <c r="C7783" s="51">
        <v>1.004</v>
      </c>
      <c r="D7783" s="51">
        <v>65.0</v>
      </c>
      <c r="E7783" s="52" t="s">
        <v>25</v>
      </c>
      <c r="F7783" s="52" t="s">
        <v>26</v>
      </c>
      <c r="G7783" s="53"/>
    </row>
    <row r="7784">
      <c r="A7784" s="49">
        <v>44594.787850740744</v>
      </c>
      <c r="B7784" s="50">
        <v>44594.9128226504</v>
      </c>
      <c r="C7784" s="51">
        <v>1.004</v>
      </c>
      <c r="D7784" s="51">
        <v>65.0</v>
      </c>
      <c r="E7784" s="52" t="s">
        <v>25</v>
      </c>
      <c r="F7784" s="52" t="s">
        <v>26</v>
      </c>
      <c r="G7784" s="53"/>
    </row>
    <row r="7785">
      <c r="A7785" s="49">
        <v>44594.798282557866</v>
      </c>
      <c r="B7785" s="50">
        <v>44594.9232561226</v>
      </c>
      <c r="C7785" s="51">
        <v>1.004</v>
      </c>
      <c r="D7785" s="51">
        <v>65.0</v>
      </c>
      <c r="E7785" s="52" t="s">
        <v>25</v>
      </c>
      <c r="F7785" s="52" t="s">
        <v>26</v>
      </c>
      <c r="G7785" s="53"/>
    </row>
    <row r="7786">
      <c r="A7786" s="49">
        <v>44594.80870224537</v>
      </c>
      <c r="B7786" s="50">
        <v>44594.9336766319</v>
      </c>
      <c r="C7786" s="51">
        <v>1.004</v>
      </c>
      <c r="D7786" s="51">
        <v>65.0</v>
      </c>
      <c r="E7786" s="52" t="s">
        <v>25</v>
      </c>
      <c r="F7786" s="52" t="s">
        <v>26</v>
      </c>
      <c r="G7786" s="53"/>
    </row>
    <row r="7787">
      <c r="A7787" s="49">
        <v>44594.819131192125</v>
      </c>
      <c r="B7787" s="50">
        <v>44594.9440976736</v>
      </c>
      <c r="C7787" s="51">
        <v>1.004</v>
      </c>
      <c r="D7787" s="51">
        <v>65.0</v>
      </c>
      <c r="E7787" s="52" t="s">
        <v>25</v>
      </c>
      <c r="F7787" s="52" t="s">
        <v>26</v>
      </c>
      <c r="G7787" s="53"/>
    </row>
    <row r="7788">
      <c r="A7788" s="49">
        <v>44594.829546203706</v>
      </c>
      <c r="B7788" s="50">
        <v>44594.9545179513</v>
      </c>
      <c r="C7788" s="51">
        <v>1.004</v>
      </c>
      <c r="D7788" s="51">
        <v>65.0</v>
      </c>
      <c r="E7788" s="52" t="s">
        <v>25</v>
      </c>
      <c r="F7788" s="52" t="s">
        <v>26</v>
      </c>
      <c r="G7788" s="53"/>
    </row>
    <row r="7789">
      <c r="A7789" s="49">
        <v>44594.839967928245</v>
      </c>
      <c r="B7789" s="50">
        <v>44594.9649383449</v>
      </c>
      <c r="C7789" s="51">
        <v>1.004</v>
      </c>
      <c r="D7789" s="51">
        <v>65.0</v>
      </c>
      <c r="E7789" s="52" t="s">
        <v>25</v>
      </c>
      <c r="F7789" s="52" t="s">
        <v>26</v>
      </c>
      <c r="G7789" s="53"/>
    </row>
    <row r="7790">
      <c r="A7790" s="49">
        <v>44594.850384895835</v>
      </c>
      <c r="B7790" s="50">
        <v>44594.9753592592</v>
      </c>
      <c r="C7790" s="51">
        <v>1.004</v>
      </c>
      <c r="D7790" s="51">
        <v>65.0</v>
      </c>
      <c r="E7790" s="52" t="s">
        <v>25</v>
      </c>
      <c r="F7790" s="52" t="s">
        <v>26</v>
      </c>
      <c r="G7790" s="53"/>
    </row>
    <row r="7791">
      <c r="A7791" s="49">
        <v>44594.86080487269</v>
      </c>
      <c r="B7791" s="50">
        <v>44594.9857805555</v>
      </c>
      <c r="C7791" s="51">
        <v>1.004</v>
      </c>
      <c r="D7791" s="51">
        <v>65.0</v>
      </c>
      <c r="E7791" s="52" t="s">
        <v>25</v>
      </c>
      <c r="F7791" s="52" t="s">
        <v>26</v>
      </c>
      <c r="G7791" s="53"/>
    </row>
    <row r="7792">
      <c r="A7792" s="49">
        <v>44594.87123480324</v>
      </c>
      <c r="B7792" s="50">
        <v>44594.9962020138</v>
      </c>
      <c r="C7792" s="51">
        <v>1.004</v>
      </c>
      <c r="D7792" s="51">
        <v>65.0</v>
      </c>
      <c r="E7792" s="52" t="s">
        <v>25</v>
      </c>
      <c r="F7792" s="52" t="s">
        <v>26</v>
      </c>
      <c r="G7792" s="53"/>
    </row>
    <row r="7793">
      <c r="A7793" s="49">
        <v>44594.88165037037</v>
      </c>
      <c r="B7793" s="50">
        <v>44595.0066243171</v>
      </c>
      <c r="C7793" s="51">
        <v>1.004</v>
      </c>
      <c r="D7793" s="51">
        <v>65.0</v>
      </c>
      <c r="E7793" s="52" t="s">
        <v>25</v>
      </c>
      <c r="F7793" s="52" t="s">
        <v>26</v>
      </c>
      <c r="G7793" s="53"/>
    </row>
    <row r="7794">
      <c r="A7794" s="49">
        <v>44594.892078530094</v>
      </c>
      <c r="B7794" s="50">
        <v>44595.0170569212</v>
      </c>
      <c r="C7794" s="51">
        <v>1.004</v>
      </c>
      <c r="D7794" s="51">
        <v>65.0</v>
      </c>
      <c r="E7794" s="52" t="s">
        <v>25</v>
      </c>
      <c r="F7794" s="52" t="s">
        <v>26</v>
      </c>
      <c r="G7794" s="53"/>
    </row>
    <row r="7795">
      <c r="A7795" s="49">
        <v>44594.90252138889</v>
      </c>
      <c r="B7795" s="50">
        <v>44595.0274907523</v>
      </c>
      <c r="C7795" s="51">
        <v>1.004</v>
      </c>
      <c r="D7795" s="51">
        <v>65.0</v>
      </c>
      <c r="E7795" s="52" t="s">
        <v>25</v>
      </c>
      <c r="F7795" s="52" t="s">
        <v>26</v>
      </c>
      <c r="G7795" s="53"/>
    </row>
    <row r="7796">
      <c r="A7796" s="49">
        <v>44594.91295745371</v>
      </c>
      <c r="B7796" s="50">
        <v>44595.037934375</v>
      </c>
      <c r="C7796" s="51">
        <v>1.004</v>
      </c>
      <c r="D7796" s="51">
        <v>65.0</v>
      </c>
      <c r="E7796" s="52" t="s">
        <v>25</v>
      </c>
      <c r="F7796" s="52" t="s">
        <v>26</v>
      </c>
      <c r="G7796" s="53"/>
    </row>
    <row r="7797">
      <c r="A7797" s="49">
        <v>44594.92338912037</v>
      </c>
      <c r="B7797" s="50">
        <v>44595.0483658912</v>
      </c>
      <c r="C7797" s="51">
        <v>1.004</v>
      </c>
      <c r="D7797" s="51">
        <v>65.0</v>
      </c>
      <c r="E7797" s="52" t="s">
        <v>25</v>
      </c>
      <c r="F7797" s="52" t="s">
        <v>26</v>
      </c>
      <c r="G7797" s="53"/>
    </row>
    <row r="7798">
      <c r="A7798" s="49">
        <v>44594.9338106713</v>
      </c>
      <c r="B7798" s="50">
        <v>44595.0587861574</v>
      </c>
      <c r="C7798" s="51">
        <v>1.004</v>
      </c>
      <c r="D7798" s="51">
        <v>65.0</v>
      </c>
      <c r="E7798" s="52" t="s">
        <v>25</v>
      </c>
      <c r="F7798" s="52" t="s">
        <v>26</v>
      </c>
      <c r="G7798" s="53"/>
    </row>
    <row r="7799">
      <c r="A7799" s="49">
        <v>44594.944232152775</v>
      </c>
      <c r="B7799" s="50">
        <v>44595.0692078009</v>
      </c>
      <c r="C7799" s="51">
        <v>1.004</v>
      </c>
      <c r="D7799" s="51">
        <v>65.0</v>
      </c>
      <c r="E7799" s="52" t="s">
        <v>25</v>
      </c>
      <c r="F7799" s="52" t="s">
        <v>26</v>
      </c>
      <c r="G7799" s="53"/>
    </row>
    <row r="7800">
      <c r="A7800" s="49">
        <v>44594.95466905093</v>
      </c>
      <c r="B7800" s="50">
        <v>44595.0796396412</v>
      </c>
      <c r="C7800" s="51">
        <v>1.004</v>
      </c>
      <c r="D7800" s="51">
        <v>65.0</v>
      </c>
      <c r="E7800" s="52" t="s">
        <v>25</v>
      </c>
      <c r="F7800" s="52" t="s">
        <v>26</v>
      </c>
      <c r="G7800" s="53"/>
    </row>
    <row r="7801">
      <c r="A7801" s="49">
        <v>44594.965083773146</v>
      </c>
      <c r="B7801" s="50">
        <v>44595.0900624537</v>
      </c>
      <c r="C7801" s="51">
        <v>1.004</v>
      </c>
      <c r="D7801" s="51">
        <v>65.0</v>
      </c>
      <c r="E7801" s="52" t="s">
        <v>25</v>
      </c>
      <c r="F7801" s="52" t="s">
        <v>26</v>
      </c>
      <c r="G7801" s="53"/>
    </row>
    <row r="7802">
      <c r="A7802" s="49">
        <v>44594.975530752316</v>
      </c>
      <c r="B7802" s="50">
        <v>44595.1005060995</v>
      </c>
      <c r="C7802" s="51">
        <v>1.004</v>
      </c>
      <c r="D7802" s="51">
        <v>65.0</v>
      </c>
      <c r="E7802" s="52" t="s">
        <v>25</v>
      </c>
      <c r="F7802" s="52" t="s">
        <v>26</v>
      </c>
      <c r="G7802" s="53"/>
    </row>
    <row r="7803">
      <c r="A7803" s="49">
        <v>44594.98595012732</v>
      </c>
      <c r="B7803" s="50">
        <v>44595.1109268865</v>
      </c>
      <c r="C7803" s="51">
        <v>1.004</v>
      </c>
      <c r="D7803" s="51">
        <v>65.0</v>
      </c>
      <c r="E7803" s="52" t="s">
        <v>25</v>
      </c>
      <c r="F7803" s="52" t="s">
        <v>26</v>
      </c>
      <c r="G7803" s="53"/>
    </row>
    <row r="7804">
      <c r="A7804" s="49">
        <v>44594.99637422454</v>
      </c>
      <c r="B7804" s="50">
        <v>44595.1213479282</v>
      </c>
      <c r="C7804" s="51">
        <v>1.004</v>
      </c>
      <c r="D7804" s="51">
        <v>65.0</v>
      </c>
      <c r="E7804" s="52" t="s">
        <v>25</v>
      </c>
      <c r="F7804" s="52" t="s">
        <v>26</v>
      </c>
      <c r="G7804" s="53"/>
    </row>
    <row r="7805">
      <c r="A7805" s="49">
        <v>44595.00680413195</v>
      </c>
      <c r="B7805" s="50">
        <v>44595.1317818981</v>
      </c>
      <c r="C7805" s="51">
        <v>1.004</v>
      </c>
      <c r="D7805" s="51">
        <v>65.0</v>
      </c>
      <c r="E7805" s="52" t="s">
        <v>25</v>
      </c>
      <c r="F7805" s="52" t="s">
        <v>26</v>
      </c>
      <c r="G7805" s="53"/>
    </row>
    <row r="7806">
      <c r="A7806" s="49">
        <v>44595.017277499996</v>
      </c>
      <c r="B7806" s="50">
        <v>44595.1422508449</v>
      </c>
      <c r="C7806" s="51">
        <v>1.004</v>
      </c>
      <c r="D7806" s="51">
        <v>65.0</v>
      </c>
      <c r="E7806" s="52" t="s">
        <v>25</v>
      </c>
      <c r="F7806" s="52" t="s">
        <v>26</v>
      </c>
      <c r="G7806" s="53"/>
    </row>
    <row r="7807">
      <c r="A7807" s="49">
        <v>44595.0276984838</v>
      </c>
      <c r="B7807" s="50">
        <v>44595.1526703472</v>
      </c>
      <c r="C7807" s="51">
        <v>1.004</v>
      </c>
      <c r="D7807" s="51">
        <v>65.0</v>
      </c>
      <c r="E7807" s="52" t="s">
        <v>25</v>
      </c>
      <c r="F7807" s="52" t="s">
        <v>26</v>
      </c>
      <c r="G7807" s="53"/>
    </row>
    <row r="7808">
      <c r="A7808" s="49">
        <v>44595.03812550926</v>
      </c>
      <c r="B7808" s="50">
        <v>44595.1631023379</v>
      </c>
      <c r="C7808" s="51">
        <v>1.004</v>
      </c>
      <c r="D7808" s="51">
        <v>65.0</v>
      </c>
      <c r="E7808" s="52" t="s">
        <v>25</v>
      </c>
      <c r="F7808" s="52" t="s">
        <v>26</v>
      </c>
      <c r="G7808" s="53"/>
    </row>
    <row r="7809">
      <c r="A7809" s="49">
        <v>44595.048576898145</v>
      </c>
      <c r="B7809" s="50">
        <v>44595.1735464583</v>
      </c>
      <c r="C7809" s="51">
        <v>1.004</v>
      </c>
      <c r="D7809" s="51">
        <v>64.0</v>
      </c>
      <c r="E7809" s="52" t="s">
        <v>25</v>
      </c>
      <c r="F7809" s="52" t="s">
        <v>26</v>
      </c>
      <c r="G7809" s="53"/>
    </row>
    <row r="7810">
      <c r="A7810" s="49">
        <v>44595.05902140046</v>
      </c>
      <c r="B7810" s="50">
        <v>44595.1839912499</v>
      </c>
      <c r="C7810" s="51">
        <v>1.004</v>
      </c>
      <c r="D7810" s="51">
        <v>64.0</v>
      </c>
      <c r="E7810" s="52" t="s">
        <v>25</v>
      </c>
      <c r="F7810" s="52" t="s">
        <v>26</v>
      </c>
      <c r="G7810" s="53"/>
    </row>
    <row r="7811">
      <c r="A7811" s="49">
        <v>44595.0694537963</v>
      </c>
      <c r="B7811" s="50">
        <v>44595.1944111805</v>
      </c>
      <c r="C7811" s="51">
        <v>1.004</v>
      </c>
      <c r="D7811" s="51">
        <v>64.0</v>
      </c>
      <c r="E7811" s="52" t="s">
        <v>25</v>
      </c>
      <c r="F7811" s="52" t="s">
        <v>26</v>
      </c>
      <c r="G7811" s="53"/>
    </row>
    <row r="7812">
      <c r="A7812" s="49">
        <v>44595.07985637731</v>
      </c>
      <c r="B7812" s="50">
        <v>44595.2048323842</v>
      </c>
      <c r="C7812" s="51">
        <v>1.004</v>
      </c>
      <c r="D7812" s="51">
        <v>64.0</v>
      </c>
      <c r="E7812" s="52" t="s">
        <v>25</v>
      </c>
      <c r="F7812" s="52" t="s">
        <v>26</v>
      </c>
      <c r="G7812" s="53"/>
    </row>
    <row r="7813">
      <c r="A7813" s="49">
        <v>44595.09029324074</v>
      </c>
      <c r="B7813" s="50">
        <v>44595.2152648495</v>
      </c>
      <c r="C7813" s="51">
        <v>1.004</v>
      </c>
      <c r="D7813" s="51">
        <v>64.0</v>
      </c>
      <c r="E7813" s="52" t="s">
        <v>25</v>
      </c>
      <c r="F7813" s="52" t="s">
        <v>26</v>
      </c>
      <c r="G7813" s="53"/>
    </row>
    <row r="7814">
      <c r="A7814" s="49">
        <v>44595.100731597224</v>
      </c>
      <c r="B7814" s="50">
        <v>44595.2256976851</v>
      </c>
      <c r="C7814" s="51">
        <v>1.004</v>
      </c>
      <c r="D7814" s="51">
        <v>64.0</v>
      </c>
      <c r="E7814" s="52" t="s">
        <v>25</v>
      </c>
      <c r="F7814" s="52" t="s">
        <v>26</v>
      </c>
      <c r="G7814" s="53"/>
    </row>
    <row r="7815">
      <c r="A7815" s="49">
        <v>44595.11115025463</v>
      </c>
      <c r="B7815" s="50">
        <v>44595.2361191319</v>
      </c>
      <c r="C7815" s="51">
        <v>1.004</v>
      </c>
      <c r="D7815" s="51">
        <v>64.0</v>
      </c>
      <c r="E7815" s="52" t="s">
        <v>25</v>
      </c>
      <c r="F7815" s="52" t="s">
        <v>26</v>
      </c>
      <c r="G7815" s="53"/>
    </row>
    <row r="7816">
      <c r="A7816" s="49">
        <v>44595.12156494213</v>
      </c>
      <c r="B7816" s="50">
        <v>44595.2465401736</v>
      </c>
      <c r="C7816" s="51">
        <v>1.004</v>
      </c>
      <c r="D7816" s="51">
        <v>64.0</v>
      </c>
      <c r="E7816" s="52" t="s">
        <v>25</v>
      </c>
      <c r="F7816" s="52" t="s">
        <v>26</v>
      </c>
      <c r="G7816" s="53"/>
    </row>
    <row r="7817">
      <c r="A7817" s="49">
        <v>44595.13198185185</v>
      </c>
      <c r="B7817" s="50">
        <v>44595.2569610763</v>
      </c>
      <c r="C7817" s="51">
        <v>1.004</v>
      </c>
      <c r="D7817" s="51">
        <v>64.0</v>
      </c>
      <c r="E7817" s="52" t="s">
        <v>25</v>
      </c>
      <c r="F7817" s="52" t="s">
        <v>26</v>
      </c>
      <c r="G7817" s="53"/>
    </row>
    <row r="7818">
      <c r="A7818" s="49">
        <v>44595.14242689815</v>
      </c>
      <c r="B7818" s="50">
        <v>44595.2674034722</v>
      </c>
      <c r="C7818" s="51">
        <v>1.004</v>
      </c>
      <c r="D7818" s="51">
        <v>64.0</v>
      </c>
      <c r="E7818" s="52" t="s">
        <v>25</v>
      </c>
      <c r="F7818" s="52" t="s">
        <v>26</v>
      </c>
      <c r="G7818" s="53"/>
    </row>
    <row r="7819">
      <c r="A7819" s="49">
        <v>44595.15286541666</v>
      </c>
      <c r="B7819" s="50">
        <v>44595.2778355787</v>
      </c>
      <c r="C7819" s="51">
        <v>1.004</v>
      </c>
      <c r="D7819" s="51">
        <v>64.0</v>
      </c>
      <c r="E7819" s="52" t="s">
        <v>25</v>
      </c>
      <c r="F7819" s="52" t="s">
        <v>26</v>
      </c>
      <c r="G7819" s="53"/>
    </row>
    <row r="7820">
      <c r="A7820" s="49">
        <v>44595.16328488426</v>
      </c>
      <c r="B7820" s="50">
        <v>44595.2882569907</v>
      </c>
      <c r="C7820" s="51">
        <v>1.004</v>
      </c>
      <c r="D7820" s="51">
        <v>64.0</v>
      </c>
      <c r="E7820" s="52" t="s">
        <v>25</v>
      </c>
      <c r="F7820" s="52" t="s">
        <v>26</v>
      </c>
      <c r="G7820" s="53"/>
    </row>
    <row r="7821">
      <c r="A7821" s="49">
        <v>44595.17370609954</v>
      </c>
      <c r="B7821" s="50">
        <v>44595.2986766435</v>
      </c>
      <c r="C7821" s="51">
        <v>1.004</v>
      </c>
      <c r="D7821" s="51">
        <v>64.0</v>
      </c>
      <c r="E7821" s="52" t="s">
        <v>25</v>
      </c>
      <c r="F7821" s="52" t="s">
        <v>26</v>
      </c>
      <c r="G7821" s="53"/>
    </row>
    <row r="7822">
      <c r="A7822" s="49">
        <v>44595.184135497686</v>
      </c>
      <c r="B7822" s="50">
        <v>44595.3091075578</v>
      </c>
      <c r="C7822" s="51">
        <v>1.004</v>
      </c>
      <c r="D7822" s="51">
        <v>64.0</v>
      </c>
      <c r="E7822" s="52" t="s">
        <v>25</v>
      </c>
      <c r="F7822" s="52" t="s">
        <v>26</v>
      </c>
      <c r="G7822" s="53"/>
    </row>
    <row r="7823">
      <c r="A7823" s="49">
        <v>44595.19455226852</v>
      </c>
      <c r="B7823" s="50">
        <v>44595.3195253472</v>
      </c>
      <c r="C7823" s="51">
        <v>1.004</v>
      </c>
      <c r="D7823" s="51">
        <v>64.0</v>
      </c>
      <c r="E7823" s="52" t="s">
        <v>25</v>
      </c>
      <c r="F7823" s="52" t="s">
        <v>26</v>
      </c>
      <c r="G7823" s="53"/>
    </row>
    <row r="7824">
      <c r="A7824" s="49">
        <v>44595.20497521991</v>
      </c>
      <c r="B7824" s="50">
        <v>44595.3299474074</v>
      </c>
      <c r="C7824" s="51">
        <v>1.004</v>
      </c>
      <c r="D7824" s="51">
        <v>64.0</v>
      </c>
      <c r="E7824" s="52" t="s">
        <v>25</v>
      </c>
      <c r="F7824" s="52" t="s">
        <v>26</v>
      </c>
      <c r="G7824" s="53"/>
    </row>
    <row r="7825">
      <c r="A7825" s="49">
        <v>44595.21539846065</v>
      </c>
      <c r="B7825" s="50">
        <v>44595.340369074</v>
      </c>
      <c r="C7825" s="51">
        <v>1.004</v>
      </c>
      <c r="D7825" s="51">
        <v>64.0</v>
      </c>
      <c r="E7825" s="52" t="s">
        <v>25</v>
      </c>
      <c r="F7825" s="52" t="s">
        <v>26</v>
      </c>
      <c r="G7825" s="53"/>
    </row>
    <row r="7826">
      <c r="A7826" s="49">
        <v>44595.22585824074</v>
      </c>
      <c r="B7826" s="50">
        <v>44595.3508254282</v>
      </c>
      <c r="C7826" s="51">
        <v>1.004</v>
      </c>
      <c r="D7826" s="51">
        <v>64.0</v>
      </c>
      <c r="E7826" s="52" t="s">
        <v>25</v>
      </c>
      <c r="F7826" s="52" t="s">
        <v>26</v>
      </c>
      <c r="G7826" s="53"/>
    </row>
    <row r="7827">
      <c r="A7827" s="49">
        <v>44595.23627841435</v>
      </c>
      <c r="B7827" s="50">
        <v>44595.3612477777</v>
      </c>
      <c r="C7827" s="51">
        <v>1.004</v>
      </c>
      <c r="D7827" s="51">
        <v>64.0</v>
      </c>
      <c r="E7827" s="52" t="s">
        <v>25</v>
      </c>
      <c r="F7827" s="52" t="s">
        <v>26</v>
      </c>
      <c r="G7827" s="53"/>
    </row>
    <row r="7828">
      <c r="A7828" s="49">
        <v>44595.246704930556</v>
      </c>
      <c r="B7828" s="50">
        <v>44595.3716805671</v>
      </c>
      <c r="C7828" s="51">
        <v>1.004</v>
      </c>
      <c r="D7828" s="51">
        <v>64.0</v>
      </c>
      <c r="E7828" s="52" t="s">
        <v>25</v>
      </c>
      <c r="F7828" s="52" t="s">
        <v>26</v>
      </c>
      <c r="G7828" s="53"/>
    </row>
    <row r="7829">
      <c r="A7829" s="49">
        <v>44595.25713295139</v>
      </c>
      <c r="B7829" s="50">
        <v>44595.3821037731</v>
      </c>
      <c r="C7829" s="51">
        <v>1.004</v>
      </c>
      <c r="D7829" s="51">
        <v>64.0</v>
      </c>
      <c r="E7829" s="52" t="s">
        <v>25</v>
      </c>
      <c r="F7829" s="52" t="s">
        <v>26</v>
      </c>
      <c r="G7829" s="53"/>
    </row>
    <row r="7830">
      <c r="A7830" s="49">
        <v>44595.26754555556</v>
      </c>
      <c r="B7830" s="50">
        <v>44595.3925221759</v>
      </c>
      <c r="C7830" s="51">
        <v>1.004</v>
      </c>
      <c r="D7830" s="51">
        <v>64.0</v>
      </c>
      <c r="E7830" s="52" t="s">
        <v>25</v>
      </c>
      <c r="F7830" s="52" t="s">
        <v>26</v>
      </c>
      <c r="G7830" s="53"/>
    </row>
    <row r="7831">
      <c r="A7831" s="49">
        <v>44595.27796997685</v>
      </c>
      <c r="B7831" s="50">
        <v>44595.402944155</v>
      </c>
      <c r="C7831" s="51">
        <v>1.004</v>
      </c>
      <c r="D7831" s="51">
        <v>64.0</v>
      </c>
      <c r="E7831" s="52" t="s">
        <v>25</v>
      </c>
      <c r="F7831" s="52" t="s">
        <v>26</v>
      </c>
      <c r="G7831" s="53"/>
    </row>
    <row r="7832">
      <c r="A7832" s="49">
        <v>44595.28839287037</v>
      </c>
      <c r="B7832" s="50">
        <v>44595.4133641319</v>
      </c>
      <c r="C7832" s="51">
        <v>1.004</v>
      </c>
      <c r="D7832" s="51">
        <v>64.0</v>
      </c>
      <c r="E7832" s="52" t="s">
        <v>25</v>
      </c>
      <c r="F7832" s="52" t="s">
        <v>26</v>
      </c>
      <c r="G7832" s="53"/>
    </row>
    <row r="7833">
      <c r="A7833" s="49">
        <v>44595.29882681713</v>
      </c>
      <c r="B7833" s="50">
        <v>44595.4237985185</v>
      </c>
      <c r="C7833" s="51">
        <v>1.004</v>
      </c>
      <c r="D7833" s="51">
        <v>64.0</v>
      </c>
      <c r="E7833" s="52" t="s">
        <v>25</v>
      </c>
      <c r="F7833" s="52" t="s">
        <v>26</v>
      </c>
      <c r="G7833" s="53"/>
    </row>
    <row r="7834">
      <c r="A7834" s="49">
        <v>44595.30924256945</v>
      </c>
      <c r="B7834" s="50">
        <v>44595.434219537</v>
      </c>
      <c r="C7834" s="51">
        <v>1.004</v>
      </c>
      <c r="D7834" s="51">
        <v>64.0</v>
      </c>
      <c r="E7834" s="52" t="s">
        <v>25</v>
      </c>
      <c r="F7834" s="52" t="s">
        <v>26</v>
      </c>
      <c r="G7834" s="53"/>
    </row>
    <row r="7835">
      <c r="A7835" s="49">
        <v>44595.31967966435</v>
      </c>
      <c r="B7835" s="50">
        <v>44595.4446522338</v>
      </c>
      <c r="C7835" s="51">
        <v>1.004</v>
      </c>
      <c r="D7835" s="51">
        <v>64.0</v>
      </c>
      <c r="E7835" s="52" t="s">
        <v>25</v>
      </c>
      <c r="F7835" s="52" t="s">
        <v>26</v>
      </c>
      <c r="G7835" s="53"/>
    </row>
    <row r="7836">
      <c r="A7836" s="49">
        <v>44595.330116655095</v>
      </c>
      <c r="B7836" s="50">
        <v>44595.4550853703</v>
      </c>
      <c r="C7836" s="51">
        <v>1.004</v>
      </c>
      <c r="D7836" s="51">
        <v>64.0</v>
      </c>
      <c r="E7836" s="52" t="s">
        <v>25</v>
      </c>
      <c r="F7836" s="52" t="s">
        <v>26</v>
      </c>
      <c r="G7836" s="53"/>
    </row>
    <row r="7837">
      <c r="A7837" s="49">
        <v>44595.34053721065</v>
      </c>
      <c r="B7837" s="50">
        <v>44595.4655171759</v>
      </c>
      <c r="C7837" s="51">
        <v>1.004</v>
      </c>
      <c r="D7837" s="51">
        <v>64.0</v>
      </c>
      <c r="E7837" s="52" t="s">
        <v>25</v>
      </c>
      <c r="F7837" s="52" t="s">
        <v>26</v>
      </c>
      <c r="G7837" s="53"/>
    </row>
    <row r="7838">
      <c r="A7838" s="49">
        <v>44595.35095709491</v>
      </c>
      <c r="B7838" s="50">
        <v>44595.4759383564</v>
      </c>
      <c r="C7838" s="51">
        <v>1.004</v>
      </c>
      <c r="D7838" s="51">
        <v>64.0</v>
      </c>
      <c r="E7838" s="52" t="s">
        <v>25</v>
      </c>
      <c r="F7838" s="52" t="s">
        <v>26</v>
      </c>
      <c r="G7838" s="53"/>
    </row>
    <row r="7839">
      <c r="A7839" s="49">
        <v>44595.361406516204</v>
      </c>
      <c r="B7839" s="50">
        <v>44595.4863820601</v>
      </c>
      <c r="C7839" s="51">
        <v>1.004</v>
      </c>
      <c r="D7839" s="51">
        <v>64.0</v>
      </c>
      <c r="E7839" s="52" t="s">
        <v>25</v>
      </c>
      <c r="F7839" s="52" t="s">
        <v>26</v>
      </c>
      <c r="G7839" s="53"/>
    </row>
    <row r="7840">
      <c r="A7840" s="49">
        <v>44595.37182393519</v>
      </c>
      <c r="B7840" s="50">
        <v>44595.4968035648</v>
      </c>
      <c r="C7840" s="51">
        <v>1.004</v>
      </c>
      <c r="D7840" s="51">
        <v>64.0</v>
      </c>
      <c r="E7840" s="52" t="s">
        <v>25</v>
      </c>
      <c r="F7840" s="52" t="s">
        <v>26</v>
      </c>
      <c r="G7840" s="53"/>
    </row>
    <row r="7841">
      <c r="A7841" s="49">
        <v>44595.38225042824</v>
      </c>
      <c r="B7841" s="50">
        <v>44595.5072246875</v>
      </c>
      <c r="C7841" s="51">
        <v>1.004</v>
      </c>
      <c r="D7841" s="51">
        <v>64.0</v>
      </c>
      <c r="E7841" s="52" t="s">
        <v>25</v>
      </c>
      <c r="F7841" s="52" t="s">
        <v>26</v>
      </c>
      <c r="G7841" s="53"/>
    </row>
    <row r="7842">
      <c r="A7842" s="49">
        <v>44595.39267961806</v>
      </c>
      <c r="B7842" s="50">
        <v>44595.517645949</v>
      </c>
      <c r="C7842" s="51">
        <v>1.004</v>
      </c>
      <c r="D7842" s="51">
        <v>64.0</v>
      </c>
      <c r="E7842" s="52" t="s">
        <v>25</v>
      </c>
      <c r="F7842" s="52" t="s">
        <v>26</v>
      </c>
      <c r="G7842" s="53"/>
    </row>
    <row r="7843">
      <c r="A7843" s="49">
        <v>44595.403089768515</v>
      </c>
      <c r="B7843" s="50">
        <v>44595.5280671064</v>
      </c>
      <c r="C7843" s="51">
        <v>1.004</v>
      </c>
      <c r="D7843" s="51">
        <v>63.0</v>
      </c>
      <c r="E7843" s="52" t="s">
        <v>25</v>
      </c>
      <c r="F7843" s="52" t="s">
        <v>26</v>
      </c>
      <c r="G7843" s="53"/>
    </row>
    <row r="7844">
      <c r="A7844" s="49">
        <v>44595.413524710646</v>
      </c>
      <c r="B7844" s="50">
        <v>44595.5384991666</v>
      </c>
      <c r="C7844" s="51">
        <v>1.004</v>
      </c>
      <c r="D7844" s="51">
        <v>64.0</v>
      </c>
      <c r="E7844" s="52" t="s">
        <v>25</v>
      </c>
      <c r="F7844" s="52" t="s">
        <v>26</v>
      </c>
      <c r="G7844" s="53"/>
    </row>
    <row r="7845">
      <c r="A7845" s="49">
        <v>44595.423936203704</v>
      </c>
      <c r="B7845" s="50">
        <v>44595.5489185879</v>
      </c>
      <c r="C7845" s="51">
        <v>1.004</v>
      </c>
      <c r="D7845" s="51">
        <v>64.0</v>
      </c>
      <c r="E7845" s="52" t="s">
        <v>25</v>
      </c>
      <c r="F7845" s="52" t="s">
        <v>26</v>
      </c>
      <c r="G7845" s="53"/>
    </row>
    <row r="7846">
      <c r="A7846" s="49">
        <v>44595.4343691088</v>
      </c>
      <c r="B7846" s="50">
        <v>44595.5593395833</v>
      </c>
      <c r="C7846" s="51">
        <v>1.004</v>
      </c>
      <c r="D7846" s="51">
        <v>63.0</v>
      </c>
      <c r="E7846" s="52" t="s">
        <v>25</v>
      </c>
      <c r="F7846" s="52" t="s">
        <v>26</v>
      </c>
      <c r="G7846" s="53"/>
    </row>
    <row r="7847">
      <c r="A7847" s="49">
        <v>44595.44482549769</v>
      </c>
      <c r="B7847" s="50">
        <v>44595.5697952314</v>
      </c>
      <c r="C7847" s="51">
        <v>1.004</v>
      </c>
      <c r="D7847" s="51">
        <v>63.0</v>
      </c>
      <c r="E7847" s="52" t="s">
        <v>25</v>
      </c>
      <c r="F7847" s="52" t="s">
        <v>26</v>
      </c>
      <c r="G7847" s="53"/>
    </row>
    <row r="7848">
      <c r="A7848" s="49">
        <v>44595.45523457176</v>
      </c>
      <c r="B7848" s="50">
        <v>44595.580215706</v>
      </c>
      <c r="C7848" s="51">
        <v>1.004</v>
      </c>
      <c r="D7848" s="51">
        <v>63.0</v>
      </c>
      <c r="E7848" s="52" t="s">
        <v>25</v>
      </c>
      <c r="F7848" s="52" t="s">
        <v>26</v>
      </c>
      <c r="G7848" s="53"/>
    </row>
    <row r="7849">
      <c r="A7849" s="49">
        <v>44595.46567644676</v>
      </c>
      <c r="B7849" s="50">
        <v>44595.59065</v>
      </c>
      <c r="C7849" s="51">
        <v>1.004</v>
      </c>
      <c r="D7849" s="51">
        <v>63.0</v>
      </c>
      <c r="E7849" s="52" t="s">
        <v>25</v>
      </c>
      <c r="F7849" s="52" t="s">
        <v>26</v>
      </c>
      <c r="G7849" s="53"/>
    </row>
    <row r="7850">
      <c r="A7850" s="49">
        <v>44595.47613872685</v>
      </c>
      <c r="B7850" s="50">
        <v>44595.6011176504</v>
      </c>
      <c r="C7850" s="51">
        <v>1.004</v>
      </c>
      <c r="D7850" s="51">
        <v>63.0</v>
      </c>
      <c r="E7850" s="52" t="s">
        <v>25</v>
      </c>
      <c r="F7850" s="52" t="s">
        <v>26</v>
      </c>
      <c r="G7850" s="53"/>
    </row>
    <row r="7851">
      <c r="A7851" s="49">
        <v>44595.486570277775</v>
      </c>
      <c r="B7851" s="50">
        <v>44595.6115390972</v>
      </c>
      <c r="C7851" s="51">
        <v>1.004</v>
      </c>
      <c r="D7851" s="51">
        <v>63.0</v>
      </c>
      <c r="E7851" s="52" t="s">
        <v>25</v>
      </c>
      <c r="F7851" s="52" t="s">
        <v>26</v>
      </c>
      <c r="G7851" s="53"/>
    </row>
    <row r="7852">
      <c r="A7852" s="49">
        <v>44595.497055092594</v>
      </c>
      <c r="B7852" s="50">
        <v>44595.6219834837</v>
      </c>
      <c r="C7852" s="51">
        <v>1.004</v>
      </c>
      <c r="D7852" s="51">
        <v>63.0</v>
      </c>
      <c r="E7852" s="52" t="s">
        <v>25</v>
      </c>
      <c r="F7852" s="52" t="s">
        <v>26</v>
      </c>
      <c r="G7852" s="53"/>
    </row>
    <row r="7853">
      <c r="A7853" s="49">
        <v>44595.507428136574</v>
      </c>
      <c r="B7853" s="50">
        <v>44595.6324052083</v>
      </c>
      <c r="C7853" s="51">
        <v>1.004</v>
      </c>
      <c r="D7853" s="51">
        <v>63.0</v>
      </c>
      <c r="E7853" s="52" t="s">
        <v>25</v>
      </c>
      <c r="F7853" s="52" t="s">
        <v>26</v>
      </c>
      <c r="G7853" s="53"/>
    </row>
    <row r="7854">
      <c r="A7854" s="49">
        <v>44595.517909780094</v>
      </c>
      <c r="B7854" s="50">
        <v>44595.6428367708</v>
      </c>
      <c r="C7854" s="51">
        <v>1.004</v>
      </c>
      <c r="D7854" s="51">
        <v>63.0</v>
      </c>
      <c r="E7854" s="52" t="s">
        <v>25</v>
      </c>
      <c r="F7854" s="52" t="s">
        <v>26</v>
      </c>
      <c r="G7854" s="53"/>
    </row>
    <row r="7855">
      <c r="A7855" s="49">
        <v>44595.528324224535</v>
      </c>
      <c r="B7855" s="50">
        <v>44595.6532583217</v>
      </c>
      <c r="C7855" s="51">
        <v>1.004</v>
      </c>
      <c r="D7855" s="51">
        <v>63.0</v>
      </c>
      <c r="E7855" s="52" t="s">
        <v>25</v>
      </c>
      <c r="F7855" s="52" t="s">
        <v>26</v>
      </c>
      <c r="G7855" s="53"/>
    </row>
    <row r="7856">
      <c r="A7856" s="49">
        <v>44595.53874137731</v>
      </c>
      <c r="B7856" s="50">
        <v>44595.6636784374</v>
      </c>
      <c r="C7856" s="51">
        <v>1.004</v>
      </c>
      <c r="D7856" s="51">
        <v>63.0</v>
      </c>
      <c r="E7856" s="52" t="s">
        <v>25</v>
      </c>
      <c r="F7856" s="52" t="s">
        <v>26</v>
      </c>
      <c r="G7856" s="53"/>
    </row>
    <row r="7857">
      <c r="A7857" s="49">
        <v>44595.54912408565</v>
      </c>
      <c r="B7857" s="50">
        <v>44595.6740996412</v>
      </c>
      <c r="C7857" s="51">
        <v>1.004</v>
      </c>
      <c r="D7857" s="51">
        <v>63.0</v>
      </c>
      <c r="E7857" s="52" t="s">
        <v>25</v>
      </c>
      <c r="F7857" s="52" t="s">
        <v>26</v>
      </c>
      <c r="G7857" s="53"/>
    </row>
    <row r="7858">
      <c r="A7858" s="49">
        <v>44595.559544062504</v>
      </c>
      <c r="B7858" s="50">
        <v>44595.6845186458</v>
      </c>
      <c r="C7858" s="51">
        <v>1.004</v>
      </c>
      <c r="D7858" s="51">
        <v>63.0</v>
      </c>
      <c r="E7858" s="52" t="s">
        <v>25</v>
      </c>
      <c r="F7858" s="52" t="s">
        <v>26</v>
      </c>
      <c r="G7858" s="53"/>
    </row>
    <row r="7859">
      <c r="A7859" s="49">
        <v>44595.569967372685</v>
      </c>
      <c r="B7859" s="50">
        <v>44595.6949391782</v>
      </c>
      <c r="C7859" s="51">
        <v>1.004</v>
      </c>
      <c r="D7859" s="51">
        <v>63.0</v>
      </c>
      <c r="E7859" s="52" t="s">
        <v>25</v>
      </c>
      <c r="F7859" s="52" t="s">
        <v>26</v>
      </c>
      <c r="G7859" s="53"/>
    </row>
    <row r="7860">
      <c r="A7860" s="49">
        <v>44595.58038859954</v>
      </c>
      <c r="B7860" s="50">
        <v>44595.7053615625</v>
      </c>
      <c r="C7860" s="51">
        <v>1.004</v>
      </c>
      <c r="D7860" s="51">
        <v>63.0</v>
      </c>
      <c r="E7860" s="52" t="s">
        <v>25</v>
      </c>
      <c r="F7860" s="52" t="s">
        <v>26</v>
      </c>
      <c r="G7860" s="53"/>
    </row>
    <row r="7861">
      <c r="A7861" s="49">
        <v>44595.590808877314</v>
      </c>
      <c r="B7861" s="50">
        <v>44595.7157832638</v>
      </c>
      <c r="C7861" s="51">
        <v>1.004</v>
      </c>
      <c r="D7861" s="51">
        <v>63.0</v>
      </c>
      <c r="E7861" s="52" t="s">
        <v>25</v>
      </c>
      <c r="F7861" s="52" t="s">
        <v>26</v>
      </c>
      <c r="G7861" s="53"/>
    </row>
    <row r="7862">
      <c r="A7862" s="49">
        <v>44595.60130097222</v>
      </c>
      <c r="B7862" s="50">
        <v>44595.726249155</v>
      </c>
      <c r="C7862" s="51">
        <v>1.004</v>
      </c>
      <c r="D7862" s="51">
        <v>63.0</v>
      </c>
      <c r="E7862" s="52" t="s">
        <v>25</v>
      </c>
      <c r="F7862" s="52" t="s">
        <v>26</v>
      </c>
      <c r="G7862" s="53"/>
    </row>
    <row r="7863">
      <c r="A7863" s="49">
        <v>44595.611717141204</v>
      </c>
      <c r="B7863" s="50">
        <v>44595.7366811342</v>
      </c>
      <c r="C7863" s="51">
        <v>1.004</v>
      </c>
      <c r="D7863" s="51">
        <v>63.0</v>
      </c>
      <c r="E7863" s="52" t="s">
        <v>25</v>
      </c>
      <c r="F7863" s="52" t="s">
        <v>26</v>
      </c>
      <c r="G7863" s="53"/>
    </row>
    <row r="7864">
      <c r="A7864" s="49">
        <v>44595.62214515047</v>
      </c>
      <c r="B7864" s="50">
        <v>44595.7471131481</v>
      </c>
      <c r="C7864" s="51">
        <v>1.004</v>
      </c>
      <c r="D7864" s="51">
        <v>63.0</v>
      </c>
      <c r="E7864" s="52" t="s">
        <v>25</v>
      </c>
      <c r="F7864" s="52" t="s">
        <v>26</v>
      </c>
      <c r="G7864" s="53"/>
    </row>
    <row r="7865">
      <c r="A7865" s="49">
        <v>44595.63257664352</v>
      </c>
      <c r="B7865" s="50">
        <v>44595.7575459722</v>
      </c>
      <c r="C7865" s="51">
        <v>1.004</v>
      </c>
      <c r="D7865" s="51">
        <v>63.0</v>
      </c>
      <c r="E7865" s="52" t="s">
        <v>25</v>
      </c>
      <c r="F7865" s="52" t="s">
        <v>26</v>
      </c>
      <c r="G7865" s="53"/>
    </row>
    <row r="7866">
      <c r="A7866" s="49">
        <v>44595.6429937963</v>
      </c>
      <c r="B7866" s="50">
        <v>44595.7679650347</v>
      </c>
      <c r="C7866" s="51">
        <v>1.004</v>
      </c>
      <c r="D7866" s="51">
        <v>63.0</v>
      </c>
      <c r="E7866" s="52" t="s">
        <v>25</v>
      </c>
      <c r="F7866" s="52" t="s">
        <v>26</v>
      </c>
      <c r="G7866" s="53"/>
    </row>
    <row r="7867">
      <c r="A7867" s="49">
        <v>44595.65341746528</v>
      </c>
      <c r="B7867" s="50">
        <v>44595.7783973495</v>
      </c>
      <c r="C7867" s="51">
        <v>1.004</v>
      </c>
      <c r="D7867" s="51">
        <v>63.0</v>
      </c>
      <c r="E7867" s="52" t="s">
        <v>25</v>
      </c>
      <c r="F7867" s="52" t="s">
        <v>26</v>
      </c>
      <c r="G7867" s="53"/>
    </row>
    <row r="7868">
      <c r="A7868" s="49">
        <v>44595.66383824074</v>
      </c>
      <c r="B7868" s="50">
        <v>44595.7888180555</v>
      </c>
      <c r="C7868" s="51">
        <v>1.004</v>
      </c>
      <c r="D7868" s="51">
        <v>63.0</v>
      </c>
      <c r="E7868" s="52" t="s">
        <v>25</v>
      </c>
      <c r="F7868" s="52" t="s">
        <v>26</v>
      </c>
      <c r="G7868" s="53"/>
    </row>
    <row r="7869">
      <c r="A7869" s="49">
        <v>44595.67426086805</v>
      </c>
      <c r="B7869" s="50">
        <v>44595.7992391319</v>
      </c>
      <c r="C7869" s="51">
        <v>1.004</v>
      </c>
      <c r="D7869" s="51">
        <v>63.0</v>
      </c>
      <c r="E7869" s="52" t="s">
        <v>25</v>
      </c>
      <c r="F7869" s="52" t="s">
        <v>26</v>
      </c>
      <c r="G7869" s="53"/>
    </row>
    <row r="7870">
      <c r="A7870" s="49">
        <v>44595.68468844907</v>
      </c>
      <c r="B7870" s="50">
        <v>44595.8096603356</v>
      </c>
      <c r="C7870" s="51">
        <v>1.004</v>
      </c>
      <c r="D7870" s="51">
        <v>63.0</v>
      </c>
      <c r="E7870" s="52" t="s">
        <v>25</v>
      </c>
      <c r="F7870" s="52" t="s">
        <v>26</v>
      </c>
      <c r="G7870" s="53"/>
    </row>
    <row r="7871">
      <c r="A7871" s="49">
        <v>44595.69511054398</v>
      </c>
      <c r="B7871" s="50">
        <v>44595.820082743</v>
      </c>
      <c r="C7871" s="51">
        <v>1.004</v>
      </c>
      <c r="D7871" s="51">
        <v>63.0</v>
      </c>
      <c r="E7871" s="52" t="s">
        <v>25</v>
      </c>
      <c r="F7871" s="52" t="s">
        <v>26</v>
      </c>
      <c r="G7871" s="53"/>
    </row>
    <row r="7872">
      <c r="A7872" s="49">
        <v>44595.705533125</v>
      </c>
      <c r="B7872" s="50">
        <v>44595.8305037962</v>
      </c>
      <c r="C7872" s="51">
        <v>1.004</v>
      </c>
      <c r="D7872" s="51">
        <v>63.0</v>
      </c>
      <c r="E7872" s="52" t="s">
        <v>25</v>
      </c>
      <c r="F7872" s="52" t="s">
        <v>26</v>
      </c>
      <c r="G7872" s="53"/>
    </row>
    <row r="7873">
      <c r="A7873" s="49">
        <v>44595.71595222222</v>
      </c>
      <c r="B7873" s="50">
        <v>44595.840926331</v>
      </c>
      <c r="C7873" s="51">
        <v>1.004</v>
      </c>
      <c r="D7873" s="51">
        <v>63.0</v>
      </c>
      <c r="E7873" s="52" t="s">
        <v>25</v>
      </c>
      <c r="F7873" s="52" t="s">
        <v>26</v>
      </c>
      <c r="G7873" s="53"/>
    </row>
    <row r="7874">
      <c r="A7874" s="49">
        <v>44595.72638420139</v>
      </c>
      <c r="B7874" s="50">
        <v>44595.8513599884</v>
      </c>
      <c r="C7874" s="51">
        <v>1.004</v>
      </c>
      <c r="D7874" s="51">
        <v>63.0</v>
      </c>
      <c r="E7874" s="52" t="s">
        <v>25</v>
      </c>
      <c r="F7874" s="52" t="s">
        <v>26</v>
      </c>
      <c r="G7874" s="53"/>
    </row>
    <row r="7875">
      <c r="A7875" s="49">
        <v>44595.736808125</v>
      </c>
      <c r="B7875" s="50">
        <v>44595.8617794213</v>
      </c>
      <c r="C7875" s="51">
        <v>1.004</v>
      </c>
      <c r="D7875" s="51">
        <v>63.0</v>
      </c>
      <c r="E7875" s="52" t="s">
        <v>25</v>
      </c>
      <c r="F7875" s="52" t="s">
        <v>26</v>
      </c>
      <c r="G7875" s="53"/>
    </row>
    <row r="7876">
      <c r="A7876" s="49">
        <v>44595.74722837963</v>
      </c>
      <c r="B7876" s="50">
        <v>44595.8722006249</v>
      </c>
      <c r="C7876" s="51">
        <v>1.004</v>
      </c>
      <c r="D7876" s="51">
        <v>63.0</v>
      </c>
      <c r="E7876" s="52" t="s">
        <v>25</v>
      </c>
      <c r="F7876" s="52" t="s">
        <v>26</v>
      </c>
      <c r="G7876" s="53"/>
    </row>
    <row r="7877">
      <c r="A7877" s="49">
        <v>44595.757651817126</v>
      </c>
      <c r="B7877" s="50">
        <v>44595.8826323379</v>
      </c>
      <c r="C7877" s="51">
        <v>1.004</v>
      </c>
      <c r="D7877" s="51">
        <v>63.0</v>
      </c>
      <c r="E7877" s="52" t="s">
        <v>25</v>
      </c>
      <c r="F7877" s="52" t="s">
        <v>26</v>
      </c>
      <c r="G7877" s="53"/>
    </row>
    <row r="7878">
      <c r="A7878" s="49">
        <v>44595.768093969906</v>
      </c>
      <c r="B7878" s="50">
        <v>44595.8930658333</v>
      </c>
      <c r="C7878" s="51">
        <v>1.004</v>
      </c>
      <c r="D7878" s="51">
        <v>63.0</v>
      </c>
      <c r="E7878" s="52" t="s">
        <v>25</v>
      </c>
      <c r="F7878" s="52" t="s">
        <v>26</v>
      </c>
      <c r="G7878" s="53"/>
    </row>
    <row r="7879">
      <c r="A7879" s="49">
        <v>44595.77851444445</v>
      </c>
      <c r="B7879" s="50">
        <v>44595.9034861921</v>
      </c>
      <c r="C7879" s="51">
        <v>1.004</v>
      </c>
      <c r="D7879" s="51">
        <v>63.0</v>
      </c>
      <c r="E7879" s="52" t="s">
        <v>25</v>
      </c>
      <c r="F7879" s="52" t="s">
        <v>26</v>
      </c>
      <c r="G7879" s="53"/>
    </row>
    <row r="7880">
      <c r="A7880" s="49">
        <v>44595.78894864583</v>
      </c>
      <c r="B7880" s="50">
        <v>44595.9139204513</v>
      </c>
      <c r="C7880" s="51">
        <v>1.004</v>
      </c>
      <c r="D7880" s="51">
        <v>63.0</v>
      </c>
      <c r="E7880" s="52" t="s">
        <v>25</v>
      </c>
      <c r="F7880" s="52" t="s">
        <v>26</v>
      </c>
      <c r="G7880" s="53"/>
    </row>
    <row r="7881">
      <c r="A7881" s="49">
        <v>44595.79937521991</v>
      </c>
      <c r="B7881" s="50">
        <v>44595.924353831</v>
      </c>
      <c r="C7881" s="51">
        <v>1.004</v>
      </c>
      <c r="D7881" s="51">
        <v>63.0</v>
      </c>
      <c r="E7881" s="52" t="s">
        <v>25</v>
      </c>
      <c r="F7881" s="52" t="s">
        <v>26</v>
      </c>
      <c r="G7881" s="53"/>
    </row>
    <row r="7882">
      <c r="A7882" s="49">
        <v>44595.80979831018</v>
      </c>
      <c r="B7882" s="50">
        <v>44595.9347758101</v>
      </c>
      <c r="C7882" s="51">
        <v>1.004</v>
      </c>
      <c r="D7882" s="51">
        <v>63.0</v>
      </c>
      <c r="E7882" s="52" t="s">
        <v>25</v>
      </c>
      <c r="F7882" s="52" t="s">
        <v>26</v>
      </c>
      <c r="G7882" s="53"/>
    </row>
    <row r="7883">
      <c r="A7883" s="49">
        <v>44595.82023013889</v>
      </c>
      <c r="B7883" s="50">
        <v>44595.9452084722</v>
      </c>
      <c r="C7883" s="51">
        <v>1.004</v>
      </c>
      <c r="D7883" s="51">
        <v>63.0</v>
      </c>
      <c r="E7883" s="52" t="s">
        <v>25</v>
      </c>
      <c r="F7883" s="52" t="s">
        <v>26</v>
      </c>
      <c r="G7883" s="53"/>
    </row>
    <row r="7884">
      <c r="A7884" s="49">
        <v>44595.830655451384</v>
      </c>
      <c r="B7884" s="50">
        <v>44595.9556294675</v>
      </c>
      <c r="C7884" s="51">
        <v>1.004</v>
      </c>
      <c r="D7884" s="51">
        <v>63.0</v>
      </c>
      <c r="E7884" s="52" t="s">
        <v>25</v>
      </c>
      <c r="F7884" s="52" t="s">
        <v>26</v>
      </c>
      <c r="G7884" s="53"/>
    </row>
    <row r="7885">
      <c r="A7885" s="49">
        <v>44595.841073275464</v>
      </c>
      <c r="B7885" s="50">
        <v>44595.9660504513</v>
      </c>
      <c r="C7885" s="51">
        <v>1.004</v>
      </c>
      <c r="D7885" s="51">
        <v>63.0</v>
      </c>
      <c r="E7885" s="52" t="s">
        <v>25</v>
      </c>
      <c r="F7885" s="52" t="s">
        <v>26</v>
      </c>
      <c r="G7885" s="53"/>
    </row>
    <row r="7886">
      <c r="A7886" s="49">
        <v>44595.851491712965</v>
      </c>
      <c r="B7886" s="50">
        <v>44595.9764716782</v>
      </c>
      <c r="C7886" s="51">
        <v>1.004</v>
      </c>
      <c r="D7886" s="51">
        <v>63.0</v>
      </c>
      <c r="E7886" s="52" t="s">
        <v>25</v>
      </c>
      <c r="F7886" s="52" t="s">
        <v>26</v>
      </c>
      <c r="G7886" s="53"/>
    </row>
    <row r="7887">
      <c r="A7887" s="49">
        <v>44595.86192523148</v>
      </c>
      <c r="B7887" s="50">
        <v>44595.9869051273</v>
      </c>
      <c r="C7887" s="51">
        <v>1.004</v>
      </c>
      <c r="D7887" s="51">
        <v>63.0</v>
      </c>
      <c r="E7887" s="52" t="s">
        <v>25</v>
      </c>
      <c r="F7887" s="52" t="s">
        <v>26</v>
      </c>
      <c r="G7887" s="53"/>
    </row>
    <row r="7888">
      <c r="A7888" s="49">
        <v>44595.872371550926</v>
      </c>
      <c r="B7888" s="50">
        <v>44595.9973477546</v>
      </c>
      <c r="C7888" s="51">
        <v>1.004</v>
      </c>
      <c r="D7888" s="51">
        <v>63.0</v>
      </c>
      <c r="E7888" s="52" t="s">
        <v>25</v>
      </c>
      <c r="F7888" s="52" t="s">
        <v>26</v>
      </c>
      <c r="G7888" s="53"/>
    </row>
    <row r="7889">
      <c r="A7889" s="49">
        <v>44595.88279321759</v>
      </c>
      <c r="B7889" s="50">
        <v>44596.0077691666</v>
      </c>
      <c r="C7889" s="51">
        <v>1.004</v>
      </c>
      <c r="D7889" s="51">
        <v>63.0</v>
      </c>
      <c r="E7889" s="52" t="s">
        <v>25</v>
      </c>
      <c r="F7889" s="52" t="s">
        <v>26</v>
      </c>
      <c r="G7889" s="53"/>
    </row>
    <row r="7890">
      <c r="A7890" s="49">
        <v>44595.8932277662</v>
      </c>
      <c r="B7890" s="50">
        <v>44596.0182029282</v>
      </c>
      <c r="C7890" s="51">
        <v>1.004</v>
      </c>
      <c r="D7890" s="51">
        <v>63.0</v>
      </c>
      <c r="E7890" s="52" t="s">
        <v>25</v>
      </c>
      <c r="F7890" s="52" t="s">
        <v>26</v>
      </c>
      <c r="G7890" s="53"/>
    </row>
    <row r="7891">
      <c r="A7891" s="49">
        <v>44595.90366377315</v>
      </c>
      <c r="B7891" s="50">
        <v>44596.0286245486</v>
      </c>
      <c r="C7891" s="51">
        <v>1.004</v>
      </c>
      <c r="D7891" s="51">
        <v>63.0</v>
      </c>
      <c r="E7891" s="52" t="s">
        <v>25</v>
      </c>
      <c r="F7891" s="52" t="s">
        <v>26</v>
      </c>
      <c r="G7891" s="53"/>
    </row>
    <row r="7892">
      <c r="A7892" s="49">
        <v>44595.91407121527</v>
      </c>
      <c r="B7892" s="50">
        <v>44596.0390448379</v>
      </c>
      <c r="C7892" s="51">
        <v>1.004</v>
      </c>
      <c r="D7892" s="51">
        <v>63.0</v>
      </c>
      <c r="E7892" s="52" t="s">
        <v>25</v>
      </c>
      <c r="F7892" s="52" t="s">
        <v>26</v>
      </c>
      <c r="G7892" s="53"/>
    </row>
    <row r="7893">
      <c r="A7893" s="49">
        <v>44595.92450952546</v>
      </c>
      <c r="B7893" s="50">
        <v>44596.0494772106</v>
      </c>
      <c r="C7893" s="51">
        <v>1.004</v>
      </c>
      <c r="D7893" s="51">
        <v>63.0</v>
      </c>
      <c r="E7893" s="52" t="s">
        <v>25</v>
      </c>
      <c r="F7893" s="52" t="s">
        <v>26</v>
      </c>
      <c r="G7893" s="53"/>
    </row>
    <row r="7894">
      <c r="A7894" s="49">
        <v>44595.934921875</v>
      </c>
      <c r="B7894" s="50">
        <v>44596.0599012615</v>
      </c>
      <c r="C7894" s="51">
        <v>1.004</v>
      </c>
      <c r="D7894" s="51">
        <v>63.0</v>
      </c>
      <c r="E7894" s="52" t="s">
        <v>25</v>
      </c>
      <c r="F7894" s="52" t="s">
        <v>26</v>
      </c>
      <c r="G7894" s="53"/>
    </row>
    <row r="7895">
      <c r="A7895" s="49">
        <v>44595.945397337964</v>
      </c>
      <c r="B7895" s="50">
        <v>44596.0703710763</v>
      </c>
      <c r="C7895" s="51">
        <v>1.004</v>
      </c>
      <c r="D7895" s="51">
        <v>63.0</v>
      </c>
      <c r="E7895" s="52" t="s">
        <v>25</v>
      </c>
      <c r="F7895" s="52" t="s">
        <v>26</v>
      </c>
      <c r="G7895" s="53"/>
    </row>
    <row r="7896">
      <c r="A7896" s="49">
        <v>44595.95581922454</v>
      </c>
      <c r="B7896" s="50">
        <v>44596.0807917592</v>
      </c>
      <c r="C7896" s="51">
        <v>1.004</v>
      </c>
      <c r="D7896" s="51">
        <v>63.0</v>
      </c>
      <c r="E7896" s="52" t="s">
        <v>25</v>
      </c>
      <c r="F7896" s="52" t="s">
        <v>26</v>
      </c>
      <c r="G7896" s="53"/>
    </row>
    <row r="7897">
      <c r="A7897" s="49">
        <v>44595.96624226852</v>
      </c>
      <c r="B7897" s="50">
        <v>44596.0912130671</v>
      </c>
      <c r="C7897" s="51">
        <v>1.004</v>
      </c>
      <c r="D7897" s="51">
        <v>64.0</v>
      </c>
      <c r="E7897" s="52" t="s">
        <v>25</v>
      </c>
      <c r="F7897" s="52" t="s">
        <v>26</v>
      </c>
      <c r="G7897" s="53"/>
    </row>
    <row r="7898">
      <c r="A7898" s="49">
        <v>44595.97666188657</v>
      </c>
      <c r="B7898" s="50">
        <v>44596.1016446875</v>
      </c>
      <c r="C7898" s="51">
        <v>1.004</v>
      </c>
      <c r="D7898" s="51">
        <v>64.0</v>
      </c>
      <c r="E7898" s="52" t="s">
        <v>25</v>
      </c>
      <c r="F7898" s="52" t="s">
        <v>26</v>
      </c>
      <c r="G7898" s="53"/>
    </row>
    <row r="7899">
      <c r="A7899" s="49">
        <v>44595.98709555555</v>
      </c>
      <c r="B7899" s="50">
        <v>44596.1120643171</v>
      </c>
      <c r="C7899" s="51">
        <v>1.004</v>
      </c>
      <c r="D7899" s="51">
        <v>64.0</v>
      </c>
      <c r="E7899" s="52" t="s">
        <v>25</v>
      </c>
      <c r="F7899" s="52" t="s">
        <v>26</v>
      </c>
      <c r="G7899" s="53"/>
    </row>
    <row r="7900">
      <c r="A7900" s="49">
        <v>44595.99751094908</v>
      </c>
      <c r="B7900" s="50">
        <v>44596.1224838541</v>
      </c>
      <c r="C7900" s="51">
        <v>1.004</v>
      </c>
      <c r="D7900" s="51">
        <v>65.0</v>
      </c>
      <c r="E7900" s="52" t="s">
        <v>25</v>
      </c>
      <c r="F7900" s="52" t="s">
        <v>26</v>
      </c>
      <c r="G7900" s="53"/>
    </row>
    <row r="7901">
      <c r="A7901" s="49">
        <v>44596.00793325232</v>
      </c>
      <c r="B7901" s="50">
        <v>44596.132905405</v>
      </c>
      <c r="C7901" s="51">
        <v>1.004</v>
      </c>
      <c r="D7901" s="51">
        <v>65.0</v>
      </c>
      <c r="E7901" s="52" t="s">
        <v>25</v>
      </c>
      <c r="F7901" s="52" t="s">
        <v>26</v>
      </c>
      <c r="G7901" s="53"/>
    </row>
    <row r="7902">
      <c r="A7902" s="49">
        <v>44596.01836266204</v>
      </c>
      <c r="B7902" s="50">
        <v>44596.1433381481</v>
      </c>
      <c r="C7902" s="51">
        <v>1.004</v>
      </c>
      <c r="D7902" s="51">
        <v>66.0</v>
      </c>
      <c r="E7902" s="52" t="s">
        <v>25</v>
      </c>
      <c r="F7902" s="52" t="s">
        <v>26</v>
      </c>
      <c r="G7902" s="53"/>
    </row>
    <row r="7903">
      <c r="A7903" s="49">
        <v>44596.02878354167</v>
      </c>
      <c r="B7903" s="50">
        <v>44596.1537594907</v>
      </c>
      <c r="C7903" s="51">
        <v>1.004</v>
      </c>
      <c r="D7903" s="51">
        <v>66.0</v>
      </c>
      <c r="E7903" s="52" t="s">
        <v>25</v>
      </c>
      <c r="F7903" s="52" t="s">
        <v>26</v>
      </c>
      <c r="G7903" s="53"/>
    </row>
    <row r="7904">
      <c r="A7904" s="49">
        <v>44596.03921534722</v>
      </c>
      <c r="B7904" s="50">
        <v>44596.1641911574</v>
      </c>
      <c r="C7904" s="51">
        <v>1.004</v>
      </c>
      <c r="D7904" s="51">
        <v>67.0</v>
      </c>
      <c r="E7904" s="52" t="s">
        <v>25</v>
      </c>
      <c r="F7904" s="52" t="s">
        <v>26</v>
      </c>
      <c r="G7904" s="53"/>
    </row>
    <row r="7905">
      <c r="A7905" s="49">
        <v>44596.049654699076</v>
      </c>
      <c r="B7905" s="50">
        <v>44596.1746235416</v>
      </c>
      <c r="C7905" s="51">
        <v>1.004</v>
      </c>
      <c r="D7905" s="51">
        <v>67.0</v>
      </c>
      <c r="E7905" s="52" t="s">
        <v>25</v>
      </c>
      <c r="F7905" s="52" t="s">
        <v>26</v>
      </c>
      <c r="G7905" s="53"/>
    </row>
    <row r="7906">
      <c r="A7906" s="49">
        <v>44596.0600808912</v>
      </c>
      <c r="B7906" s="50">
        <v>44596.1850563657</v>
      </c>
      <c r="C7906" s="51">
        <v>1.004</v>
      </c>
      <c r="D7906" s="51">
        <v>67.0</v>
      </c>
      <c r="E7906" s="52" t="s">
        <v>25</v>
      </c>
      <c r="F7906" s="52" t="s">
        <v>26</v>
      </c>
      <c r="G7906" s="53"/>
    </row>
    <row r="7907">
      <c r="A7907" s="49">
        <v>44596.070531122685</v>
      </c>
      <c r="B7907" s="50">
        <v>44596.1955004861</v>
      </c>
      <c r="C7907" s="51">
        <v>1.004</v>
      </c>
      <c r="D7907" s="51">
        <v>68.0</v>
      </c>
      <c r="E7907" s="52" t="s">
        <v>25</v>
      </c>
      <c r="F7907" s="52" t="s">
        <v>26</v>
      </c>
      <c r="G7907" s="53"/>
    </row>
    <row r="7908">
      <c r="A7908" s="49">
        <v>44596.081006354165</v>
      </c>
      <c r="B7908" s="50">
        <v>44596.2059807407</v>
      </c>
      <c r="C7908" s="51">
        <v>1.004</v>
      </c>
      <c r="D7908" s="51">
        <v>68.0</v>
      </c>
      <c r="E7908" s="52" t="s">
        <v>25</v>
      </c>
      <c r="F7908" s="52" t="s">
        <v>26</v>
      </c>
      <c r="G7908" s="53"/>
    </row>
    <row r="7909">
      <c r="A7909" s="49">
        <v>44596.09145195602</v>
      </c>
      <c r="B7909" s="50">
        <v>44596.2164257638</v>
      </c>
      <c r="C7909" s="51">
        <v>1.004</v>
      </c>
      <c r="D7909" s="51">
        <v>68.0</v>
      </c>
      <c r="E7909" s="52" t="s">
        <v>25</v>
      </c>
      <c r="F7909" s="52" t="s">
        <v>26</v>
      </c>
      <c r="G7909" s="53"/>
    </row>
    <row r="7910">
      <c r="A7910" s="49">
        <v>44596.10187642361</v>
      </c>
      <c r="B7910" s="50">
        <v>44596.2268462731</v>
      </c>
      <c r="C7910" s="51">
        <v>1.004</v>
      </c>
      <c r="D7910" s="51">
        <v>68.0</v>
      </c>
      <c r="E7910" s="52" t="s">
        <v>25</v>
      </c>
      <c r="F7910" s="52" t="s">
        <v>26</v>
      </c>
      <c r="G7910" s="53"/>
    </row>
    <row r="7911">
      <c r="A7911" s="49">
        <v>44596.11228886574</v>
      </c>
      <c r="B7911" s="50">
        <v>44596.2372663425</v>
      </c>
      <c r="C7911" s="51">
        <v>1.004</v>
      </c>
      <c r="D7911" s="51">
        <v>68.0</v>
      </c>
      <c r="E7911" s="52" t="s">
        <v>25</v>
      </c>
      <c r="F7911" s="52" t="s">
        <v>26</v>
      </c>
      <c r="G7911" s="53"/>
    </row>
    <row r="7912">
      <c r="A7912" s="49">
        <v>44596.12270768519</v>
      </c>
      <c r="B7912" s="50">
        <v>44596.2476875925</v>
      </c>
      <c r="C7912" s="51">
        <v>1.004</v>
      </c>
      <c r="D7912" s="51">
        <v>68.0</v>
      </c>
      <c r="E7912" s="52" t="s">
        <v>25</v>
      </c>
      <c r="F7912" s="52" t="s">
        <v>26</v>
      </c>
      <c r="G7912" s="53"/>
    </row>
    <row r="7913">
      <c r="A7913" s="49">
        <v>44596.133138414356</v>
      </c>
      <c r="B7913" s="50">
        <v>44596.258110405</v>
      </c>
      <c r="C7913" s="51">
        <v>1.004</v>
      </c>
      <c r="D7913" s="51">
        <v>68.0</v>
      </c>
      <c r="E7913" s="52" t="s">
        <v>25</v>
      </c>
      <c r="F7913" s="52" t="s">
        <v>26</v>
      </c>
      <c r="G7913" s="53"/>
    </row>
    <row r="7914">
      <c r="A7914" s="49">
        <v>44596.14357046296</v>
      </c>
      <c r="B7914" s="50">
        <v>44596.2685440046</v>
      </c>
      <c r="C7914" s="51">
        <v>1.004</v>
      </c>
      <c r="D7914" s="51">
        <v>67.0</v>
      </c>
      <c r="E7914" s="52" t="s">
        <v>25</v>
      </c>
      <c r="F7914" s="52" t="s">
        <v>26</v>
      </c>
      <c r="G7914" s="53"/>
    </row>
    <row r="7915">
      <c r="A7915" s="49">
        <v>44596.15400734954</v>
      </c>
      <c r="B7915" s="50">
        <v>44596.2789773495</v>
      </c>
      <c r="C7915" s="51">
        <v>1.004</v>
      </c>
      <c r="D7915" s="51">
        <v>67.0</v>
      </c>
      <c r="E7915" s="52" t="s">
        <v>25</v>
      </c>
      <c r="F7915" s="52" t="s">
        <v>26</v>
      </c>
      <c r="G7915" s="53"/>
    </row>
    <row r="7916">
      <c r="A7916" s="49">
        <v>44596.164424664355</v>
      </c>
      <c r="B7916" s="50">
        <v>44596.2893989004</v>
      </c>
      <c r="C7916" s="51">
        <v>1.004</v>
      </c>
      <c r="D7916" s="51">
        <v>67.0</v>
      </c>
      <c r="E7916" s="52" t="s">
        <v>25</v>
      </c>
      <c r="F7916" s="52" t="s">
        <v>26</v>
      </c>
      <c r="G7916" s="53"/>
    </row>
    <row r="7917">
      <c r="A7917" s="49">
        <v>44596.17484944445</v>
      </c>
      <c r="B7917" s="50">
        <v>44596.2998208449</v>
      </c>
      <c r="C7917" s="51">
        <v>1.004</v>
      </c>
      <c r="D7917" s="51">
        <v>67.0</v>
      </c>
      <c r="E7917" s="52" t="s">
        <v>25</v>
      </c>
      <c r="F7917" s="52" t="s">
        <v>26</v>
      </c>
      <c r="G7917" s="53"/>
    </row>
    <row r="7918">
      <c r="A7918" s="49">
        <v>44596.18532038195</v>
      </c>
      <c r="B7918" s="50">
        <v>44596.3102981597</v>
      </c>
      <c r="C7918" s="51">
        <v>1.004</v>
      </c>
      <c r="D7918" s="51">
        <v>67.0</v>
      </c>
      <c r="E7918" s="52" t="s">
        <v>25</v>
      </c>
      <c r="F7918" s="52" t="s">
        <v>26</v>
      </c>
      <c r="G7918" s="53"/>
    </row>
    <row r="7919">
      <c r="A7919" s="49">
        <v>44596.195744780096</v>
      </c>
      <c r="B7919" s="50">
        <v>44596.3207182291</v>
      </c>
      <c r="C7919" s="51">
        <v>1.004</v>
      </c>
      <c r="D7919" s="51">
        <v>67.0</v>
      </c>
      <c r="E7919" s="52" t="s">
        <v>25</v>
      </c>
      <c r="F7919" s="52" t="s">
        <v>26</v>
      </c>
      <c r="G7919" s="53"/>
    </row>
    <row r="7920">
      <c r="A7920" s="49">
        <v>44596.206178946755</v>
      </c>
      <c r="B7920" s="50">
        <v>44596.3311517708</v>
      </c>
      <c r="C7920" s="51">
        <v>1.004</v>
      </c>
      <c r="D7920" s="51">
        <v>67.0</v>
      </c>
      <c r="E7920" s="52" t="s">
        <v>25</v>
      </c>
      <c r="F7920" s="52" t="s">
        <v>26</v>
      </c>
      <c r="G7920" s="53"/>
    </row>
    <row r="7921">
      <c r="A7921" s="49">
        <v>44596.21659173611</v>
      </c>
      <c r="B7921" s="50">
        <v>44596.3415730208</v>
      </c>
      <c r="C7921" s="51">
        <v>1.004</v>
      </c>
      <c r="D7921" s="51">
        <v>67.0</v>
      </c>
      <c r="E7921" s="52" t="s">
        <v>25</v>
      </c>
      <c r="F7921" s="52" t="s">
        <v>26</v>
      </c>
      <c r="G7921" s="53"/>
    </row>
    <row r="7922">
      <c r="A7922" s="49">
        <v>44596.22703025463</v>
      </c>
      <c r="B7922" s="50">
        <v>44596.3519943055</v>
      </c>
      <c r="C7922" s="51">
        <v>1.004</v>
      </c>
      <c r="D7922" s="51">
        <v>67.0</v>
      </c>
      <c r="E7922" s="52" t="s">
        <v>25</v>
      </c>
      <c r="F7922" s="52" t="s">
        <v>26</v>
      </c>
      <c r="G7922" s="53"/>
    </row>
    <row r="7923">
      <c r="A7923" s="49">
        <v>44596.23745863426</v>
      </c>
      <c r="B7923" s="50">
        <v>44596.3624168981</v>
      </c>
      <c r="C7923" s="51">
        <v>1.004</v>
      </c>
      <c r="D7923" s="51">
        <v>67.0</v>
      </c>
      <c r="E7923" s="52" t="s">
        <v>25</v>
      </c>
      <c r="F7923" s="52" t="s">
        <v>26</v>
      </c>
      <c r="G7923" s="53"/>
    </row>
    <row r="7924">
      <c r="A7924" s="49">
        <v>44596.24787262731</v>
      </c>
      <c r="B7924" s="50">
        <v>44596.3728383564</v>
      </c>
      <c r="C7924" s="51">
        <v>1.004</v>
      </c>
      <c r="D7924" s="51">
        <v>67.0</v>
      </c>
      <c r="E7924" s="52" t="s">
        <v>25</v>
      </c>
      <c r="F7924" s="52" t="s">
        <v>26</v>
      </c>
      <c r="G7924" s="53"/>
    </row>
    <row r="7925">
      <c r="A7925" s="49">
        <v>44596.25829542824</v>
      </c>
      <c r="B7925" s="50">
        <v>44596.3832595833</v>
      </c>
      <c r="C7925" s="51">
        <v>1.004</v>
      </c>
      <c r="D7925" s="51">
        <v>67.0</v>
      </c>
      <c r="E7925" s="52" t="s">
        <v>25</v>
      </c>
      <c r="F7925" s="52" t="s">
        <v>26</v>
      </c>
      <c r="G7925" s="53"/>
    </row>
    <row r="7926">
      <c r="A7926" s="49">
        <v>44596.26871524306</v>
      </c>
      <c r="B7926" s="50">
        <v>44596.3936820717</v>
      </c>
      <c r="C7926" s="51">
        <v>1.004</v>
      </c>
      <c r="D7926" s="51">
        <v>67.0</v>
      </c>
      <c r="E7926" s="52" t="s">
        <v>25</v>
      </c>
      <c r="F7926" s="52" t="s">
        <v>26</v>
      </c>
      <c r="G7926" s="53"/>
    </row>
    <row r="7927">
      <c r="A7927" s="49">
        <v>44596.279132870375</v>
      </c>
      <c r="B7927" s="50">
        <v>44596.4041026273</v>
      </c>
      <c r="C7927" s="51">
        <v>1.004</v>
      </c>
      <c r="D7927" s="51">
        <v>67.0</v>
      </c>
      <c r="E7927" s="52" t="s">
        <v>25</v>
      </c>
      <c r="F7927" s="52" t="s">
        <v>26</v>
      </c>
      <c r="G7927" s="53"/>
    </row>
    <row r="7928">
      <c r="A7928" s="49">
        <v>44596.28954940972</v>
      </c>
      <c r="B7928" s="50">
        <v>44596.4145236111</v>
      </c>
      <c r="C7928" s="51">
        <v>1.004</v>
      </c>
      <c r="D7928" s="51">
        <v>67.0</v>
      </c>
      <c r="E7928" s="52" t="s">
        <v>25</v>
      </c>
      <c r="F7928" s="52" t="s">
        <v>26</v>
      </c>
      <c r="G7928" s="53"/>
    </row>
    <row r="7929">
      <c r="A7929" s="49">
        <v>44596.2999803125</v>
      </c>
      <c r="B7929" s="50">
        <v>44596.4249459027</v>
      </c>
      <c r="C7929" s="51">
        <v>1.004</v>
      </c>
      <c r="D7929" s="51">
        <v>67.0</v>
      </c>
      <c r="E7929" s="52" t="s">
        <v>25</v>
      </c>
      <c r="F7929" s="52" t="s">
        <v>26</v>
      </c>
      <c r="G7929" s="53"/>
    </row>
    <row r="7930">
      <c r="A7930" s="49">
        <v>44596.31042299769</v>
      </c>
      <c r="B7930" s="50">
        <v>44596.435391574</v>
      </c>
      <c r="C7930" s="51">
        <v>1.004</v>
      </c>
      <c r="D7930" s="51">
        <v>67.0</v>
      </c>
      <c r="E7930" s="52" t="s">
        <v>25</v>
      </c>
      <c r="F7930" s="52" t="s">
        <v>26</v>
      </c>
      <c r="G7930" s="53"/>
    </row>
    <row r="7931">
      <c r="A7931" s="49">
        <v>44596.32083917824</v>
      </c>
      <c r="B7931" s="50">
        <v>44596.4458132291</v>
      </c>
      <c r="C7931" s="51">
        <v>1.004</v>
      </c>
      <c r="D7931" s="51">
        <v>67.0</v>
      </c>
      <c r="E7931" s="52" t="s">
        <v>25</v>
      </c>
      <c r="F7931" s="52" t="s">
        <v>26</v>
      </c>
      <c r="G7931" s="53"/>
    </row>
    <row r="7932">
      <c r="A7932" s="49">
        <v>44596.33129855324</v>
      </c>
      <c r="B7932" s="50">
        <v>44596.4562706713</v>
      </c>
      <c r="C7932" s="51">
        <v>1.004</v>
      </c>
      <c r="D7932" s="51">
        <v>67.0</v>
      </c>
      <c r="E7932" s="52" t="s">
        <v>25</v>
      </c>
      <c r="F7932" s="52" t="s">
        <v>26</v>
      </c>
      <c r="G7932" s="53"/>
    </row>
    <row r="7933">
      <c r="A7933" s="49">
        <v>44596.34172349537</v>
      </c>
      <c r="B7933" s="50">
        <v>44596.466690625</v>
      </c>
      <c r="C7933" s="51">
        <v>1.004</v>
      </c>
      <c r="D7933" s="51">
        <v>67.0</v>
      </c>
      <c r="E7933" s="52" t="s">
        <v>25</v>
      </c>
      <c r="F7933" s="52" t="s">
        <v>26</v>
      </c>
      <c r="G7933" s="53"/>
    </row>
    <row r="7934">
      <c r="A7934" s="49">
        <v>44596.352188969904</v>
      </c>
      <c r="B7934" s="50">
        <v>44596.4771588657</v>
      </c>
      <c r="C7934" s="51">
        <v>1.004</v>
      </c>
      <c r="D7934" s="51">
        <v>67.0</v>
      </c>
      <c r="E7934" s="52" t="s">
        <v>25</v>
      </c>
      <c r="F7934" s="52" t="s">
        <v>26</v>
      </c>
      <c r="G7934" s="53"/>
    </row>
    <row r="7935">
      <c r="A7935" s="49">
        <v>44596.36262545139</v>
      </c>
      <c r="B7935" s="50">
        <v>44596.4875898958</v>
      </c>
      <c r="C7935" s="51">
        <v>1.004</v>
      </c>
      <c r="D7935" s="51">
        <v>67.0</v>
      </c>
      <c r="E7935" s="52" t="s">
        <v>25</v>
      </c>
      <c r="F7935" s="52" t="s">
        <v>26</v>
      </c>
      <c r="G7935" s="53"/>
    </row>
    <row r="7936">
      <c r="A7936" s="49">
        <v>44596.373044374996</v>
      </c>
      <c r="B7936" s="50">
        <v>44596.4980223842</v>
      </c>
      <c r="C7936" s="51">
        <v>1.004</v>
      </c>
      <c r="D7936" s="51">
        <v>67.0</v>
      </c>
      <c r="E7936" s="52" t="s">
        <v>25</v>
      </c>
      <c r="F7936" s="52" t="s">
        <v>26</v>
      </c>
      <c r="G7936" s="53"/>
    </row>
    <row r="7937">
      <c r="A7937" s="49">
        <v>44596.383477118055</v>
      </c>
      <c r="B7937" s="50">
        <v>44596.5084543287</v>
      </c>
      <c r="C7937" s="51">
        <v>1.004</v>
      </c>
      <c r="D7937" s="51">
        <v>67.0</v>
      </c>
      <c r="E7937" s="52" t="s">
        <v>25</v>
      </c>
      <c r="F7937" s="52" t="s">
        <v>26</v>
      </c>
      <c r="G7937" s="53"/>
    </row>
    <row r="7938">
      <c r="A7938" s="49">
        <v>44596.3939090625</v>
      </c>
      <c r="B7938" s="50">
        <v>44596.5188765162</v>
      </c>
      <c r="C7938" s="51">
        <v>1.004</v>
      </c>
      <c r="D7938" s="51">
        <v>67.0</v>
      </c>
      <c r="E7938" s="52" t="s">
        <v>25</v>
      </c>
      <c r="F7938" s="52" t="s">
        <v>26</v>
      </c>
      <c r="G7938" s="53"/>
    </row>
    <row r="7939">
      <c r="A7939" s="49">
        <v>44596.40433273149</v>
      </c>
      <c r="B7939" s="50">
        <v>44596.5292960995</v>
      </c>
      <c r="C7939" s="51">
        <v>1.004</v>
      </c>
      <c r="D7939" s="51">
        <v>67.0</v>
      </c>
      <c r="E7939" s="52" t="s">
        <v>25</v>
      </c>
      <c r="F7939" s="52" t="s">
        <v>26</v>
      </c>
      <c r="G7939" s="53"/>
    </row>
    <row r="7940">
      <c r="A7940" s="49">
        <v>44596.41478935185</v>
      </c>
      <c r="B7940" s="50">
        <v>44596.5397510648</v>
      </c>
      <c r="C7940" s="51">
        <v>1.004</v>
      </c>
      <c r="D7940" s="51">
        <v>67.0</v>
      </c>
      <c r="E7940" s="52" t="s">
        <v>25</v>
      </c>
      <c r="F7940" s="52" t="s">
        <v>26</v>
      </c>
      <c r="G7940" s="53"/>
    </row>
    <row r="7941">
      <c r="A7941" s="49">
        <v>44596.42523354167</v>
      </c>
      <c r="B7941" s="50">
        <v>44596.5502052777</v>
      </c>
      <c r="C7941" s="51">
        <v>1.004</v>
      </c>
      <c r="D7941" s="51">
        <v>67.0</v>
      </c>
      <c r="E7941" s="52" t="s">
        <v>25</v>
      </c>
      <c r="F7941" s="52" t="s">
        <v>26</v>
      </c>
      <c r="G7941" s="53"/>
    </row>
    <row r="7942">
      <c r="A7942" s="49">
        <v>44596.435655277775</v>
      </c>
      <c r="B7942" s="50">
        <v>44596.5606256944</v>
      </c>
      <c r="C7942" s="51">
        <v>1.004</v>
      </c>
      <c r="D7942" s="51">
        <v>67.0</v>
      </c>
      <c r="E7942" s="52" t="s">
        <v>25</v>
      </c>
      <c r="F7942" s="52" t="s">
        <v>26</v>
      </c>
      <c r="G7942" s="53"/>
    </row>
    <row r="7943">
      <c r="A7943" s="49">
        <v>44596.44608196759</v>
      </c>
      <c r="B7943" s="50">
        <v>44596.5710582175</v>
      </c>
      <c r="C7943" s="51">
        <v>1.004</v>
      </c>
      <c r="D7943" s="51">
        <v>67.0</v>
      </c>
      <c r="E7943" s="52" t="s">
        <v>25</v>
      </c>
      <c r="F7943" s="52" t="s">
        <v>26</v>
      </c>
      <c r="G7943" s="53"/>
    </row>
    <row r="7944">
      <c r="A7944" s="49">
        <v>44596.456535543985</v>
      </c>
      <c r="B7944" s="50">
        <v>44596.5815034375</v>
      </c>
      <c r="C7944" s="51">
        <v>1.004</v>
      </c>
      <c r="D7944" s="51">
        <v>67.0</v>
      </c>
      <c r="E7944" s="52" t="s">
        <v>25</v>
      </c>
      <c r="F7944" s="52" t="s">
        <v>26</v>
      </c>
      <c r="G7944" s="53"/>
    </row>
    <row r="7945">
      <c r="A7945" s="49">
        <v>44596.466958136574</v>
      </c>
      <c r="B7945" s="50">
        <v>44596.5919255786</v>
      </c>
      <c r="C7945" s="51">
        <v>1.004</v>
      </c>
      <c r="D7945" s="51">
        <v>67.0</v>
      </c>
      <c r="E7945" s="52" t="s">
        <v>25</v>
      </c>
      <c r="F7945" s="52" t="s">
        <v>26</v>
      </c>
      <c r="G7945" s="53"/>
    </row>
    <row r="7946">
      <c r="A7946" s="49">
        <v>44596.477407592596</v>
      </c>
      <c r="B7946" s="50">
        <v>44596.6023822106</v>
      </c>
      <c r="C7946" s="51">
        <v>1.004</v>
      </c>
      <c r="D7946" s="51">
        <v>67.0</v>
      </c>
      <c r="E7946" s="52" t="s">
        <v>25</v>
      </c>
      <c r="F7946" s="52" t="s">
        <v>26</v>
      </c>
      <c r="G7946" s="53"/>
    </row>
    <row r="7947">
      <c r="A7947" s="49">
        <v>44596.48784489583</v>
      </c>
      <c r="B7947" s="50">
        <v>44596.6128054282</v>
      </c>
      <c r="C7947" s="51">
        <v>1.004</v>
      </c>
      <c r="D7947" s="51">
        <v>66.0</v>
      </c>
      <c r="E7947" s="52" t="s">
        <v>25</v>
      </c>
      <c r="F7947" s="52" t="s">
        <v>26</v>
      </c>
      <c r="G7947" s="53"/>
    </row>
    <row r="7948">
      <c r="A7948" s="49">
        <v>44596.49827402778</v>
      </c>
      <c r="B7948" s="50">
        <v>44596.6232484143</v>
      </c>
      <c r="C7948" s="51">
        <v>1.004</v>
      </c>
      <c r="D7948" s="51">
        <v>66.0</v>
      </c>
      <c r="E7948" s="52" t="s">
        <v>25</v>
      </c>
      <c r="F7948" s="52" t="s">
        <v>26</v>
      </c>
      <c r="G7948" s="53"/>
    </row>
    <row r="7949">
      <c r="A7949" s="49">
        <v>44596.50871634259</v>
      </c>
      <c r="B7949" s="50">
        <v>44596.6336935185</v>
      </c>
      <c r="C7949" s="51">
        <v>1.004</v>
      </c>
      <c r="D7949" s="51">
        <v>66.0</v>
      </c>
      <c r="E7949" s="52" t="s">
        <v>25</v>
      </c>
      <c r="F7949" s="52" t="s">
        <v>26</v>
      </c>
      <c r="G7949" s="53"/>
    </row>
    <row r="7950">
      <c r="A7950" s="49">
        <v>44596.519142453704</v>
      </c>
      <c r="B7950" s="50">
        <v>44596.6441170601</v>
      </c>
      <c r="C7950" s="51">
        <v>1.004</v>
      </c>
      <c r="D7950" s="51">
        <v>66.0</v>
      </c>
      <c r="E7950" s="52" t="s">
        <v>25</v>
      </c>
      <c r="F7950" s="52" t="s">
        <v>26</v>
      </c>
      <c r="G7950" s="53"/>
    </row>
    <row r="7951">
      <c r="A7951" s="49">
        <v>44596.529577719906</v>
      </c>
      <c r="B7951" s="50">
        <v>44596.6545392013</v>
      </c>
      <c r="C7951" s="51">
        <v>1.004</v>
      </c>
      <c r="D7951" s="51">
        <v>66.0</v>
      </c>
      <c r="E7951" s="52" t="s">
        <v>25</v>
      </c>
      <c r="F7951" s="52" t="s">
        <v>26</v>
      </c>
      <c r="G7951" s="53"/>
    </row>
    <row r="7952">
      <c r="A7952" s="49">
        <v>44596.54000525463</v>
      </c>
      <c r="B7952" s="50">
        <v>44596.664972199</v>
      </c>
      <c r="C7952" s="51">
        <v>1.004</v>
      </c>
      <c r="D7952" s="51">
        <v>66.0</v>
      </c>
      <c r="E7952" s="52" t="s">
        <v>25</v>
      </c>
      <c r="F7952" s="52" t="s">
        <v>26</v>
      </c>
      <c r="G7952" s="53"/>
    </row>
    <row r="7953">
      <c r="A7953" s="49">
        <v>44596.55042483796</v>
      </c>
      <c r="B7953" s="50">
        <v>44596.6753925578</v>
      </c>
      <c r="C7953" s="51">
        <v>1.004</v>
      </c>
      <c r="D7953" s="51">
        <v>66.0</v>
      </c>
      <c r="E7953" s="52" t="s">
        <v>25</v>
      </c>
      <c r="F7953" s="52" t="s">
        <v>26</v>
      </c>
      <c r="G7953" s="53"/>
    </row>
    <row r="7954">
      <c r="A7954" s="49">
        <v>44596.56086414352</v>
      </c>
      <c r="B7954" s="50">
        <v>44596.6858387268</v>
      </c>
      <c r="C7954" s="51">
        <v>1.004</v>
      </c>
      <c r="D7954" s="51">
        <v>66.0</v>
      </c>
      <c r="E7954" s="52" t="s">
        <v>25</v>
      </c>
      <c r="F7954" s="52" t="s">
        <v>26</v>
      </c>
      <c r="G7954" s="53"/>
    </row>
    <row r="7955">
      <c r="A7955" s="49">
        <v>44596.57128542824</v>
      </c>
      <c r="B7955" s="50">
        <v>44596.6962578587</v>
      </c>
      <c r="C7955" s="51">
        <v>1.004</v>
      </c>
      <c r="D7955" s="51">
        <v>66.0</v>
      </c>
      <c r="E7955" s="52" t="s">
        <v>25</v>
      </c>
      <c r="F7955" s="52" t="s">
        <v>26</v>
      </c>
      <c r="G7955" s="53"/>
    </row>
    <row r="7956">
      <c r="A7956" s="49">
        <v>44596.58170483796</v>
      </c>
      <c r="B7956" s="50">
        <v>44596.7066801273</v>
      </c>
      <c r="C7956" s="51">
        <v>1.004</v>
      </c>
      <c r="D7956" s="51">
        <v>66.0</v>
      </c>
      <c r="E7956" s="52" t="s">
        <v>25</v>
      </c>
      <c r="F7956" s="52" t="s">
        <v>26</v>
      </c>
      <c r="G7956" s="53"/>
    </row>
    <row r="7957">
      <c r="A7957" s="49">
        <v>44596.59212584491</v>
      </c>
      <c r="B7957" s="50">
        <v>44596.7171007175</v>
      </c>
      <c r="C7957" s="51">
        <v>1.004</v>
      </c>
      <c r="D7957" s="51">
        <v>66.0</v>
      </c>
      <c r="E7957" s="52" t="s">
        <v>25</v>
      </c>
      <c r="F7957" s="52" t="s">
        <v>26</v>
      </c>
      <c r="G7957" s="53"/>
    </row>
    <row r="7958">
      <c r="A7958" s="49">
        <v>44596.602554212965</v>
      </c>
      <c r="B7958" s="50">
        <v>44596.7275225115</v>
      </c>
      <c r="C7958" s="51">
        <v>1.004</v>
      </c>
      <c r="D7958" s="51">
        <v>66.0</v>
      </c>
      <c r="E7958" s="52" t="s">
        <v>25</v>
      </c>
      <c r="F7958" s="52" t="s">
        <v>26</v>
      </c>
      <c r="G7958" s="53"/>
    </row>
    <row r="7959">
      <c r="A7959" s="49">
        <v>44596.61296960648</v>
      </c>
      <c r="B7959" s="50">
        <v>44596.7379418402</v>
      </c>
      <c r="C7959" s="51">
        <v>1.004</v>
      </c>
      <c r="D7959" s="51">
        <v>66.0</v>
      </c>
      <c r="E7959" s="52" t="s">
        <v>25</v>
      </c>
      <c r="F7959" s="52" t="s">
        <v>26</v>
      </c>
      <c r="G7959" s="53"/>
    </row>
    <row r="7960">
      <c r="A7960" s="49">
        <v>44596.62340578704</v>
      </c>
      <c r="B7960" s="50">
        <v>44596.748373912</v>
      </c>
      <c r="C7960" s="51">
        <v>1.004</v>
      </c>
      <c r="D7960" s="51">
        <v>66.0</v>
      </c>
      <c r="E7960" s="52" t="s">
        <v>25</v>
      </c>
      <c r="F7960" s="52" t="s">
        <v>26</v>
      </c>
      <c r="G7960" s="53"/>
    </row>
    <row r="7961">
      <c r="A7961" s="49">
        <v>44596.63387278935</v>
      </c>
      <c r="B7961" s="50">
        <v>44596.7588416666</v>
      </c>
      <c r="C7961" s="51">
        <v>1.004</v>
      </c>
      <c r="D7961" s="51">
        <v>66.0</v>
      </c>
      <c r="E7961" s="52" t="s">
        <v>25</v>
      </c>
      <c r="F7961" s="52" t="s">
        <v>26</v>
      </c>
      <c r="G7961" s="53"/>
    </row>
    <row r="7962">
      <c r="A7962" s="49">
        <v>44596.64429380787</v>
      </c>
      <c r="B7962" s="50">
        <v>44596.7692615624</v>
      </c>
      <c r="C7962" s="51">
        <v>1.004</v>
      </c>
      <c r="D7962" s="51">
        <v>66.0</v>
      </c>
      <c r="E7962" s="52" t="s">
        <v>25</v>
      </c>
      <c r="F7962" s="52" t="s">
        <v>26</v>
      </c>
      <c r="G7962" s="53"/>
    </row>
    <row r="7963">
      <c r="A7963" s="49">
        <v>44596.654718171296</v>
      </c>
      <c r="B7963" s="50">
        <v>44596.7796840162</v>
      </c>
      <c r="C7963" s="51">
        <v>1.004</v>
      </c>
      <c r="D7963" s="51">
        <v>66.0</v>
      </c>
      <c r="E7963" s="52" t="s">
        <v>25</v>
      </c>
      <c r="F7963" s="52" t="s">
        <v>26</v>
      </c>
      <c r="G7963" s="53"/>
    </row>
    <row r="7964">
      <c r="A7964" s="49">
        <v>44596.66513414352</v>
      </c>
      <c r="B7964" s="50">
        <v>44596.7901035648</v>
      </c>
      <c r="C7964" s="51">
        <v>1.004</v>
      </c>
      <c r="D7964" s="51">
        <v>66.0</v>
      </c>
      <c r="E7964" s="52" t="s">
        <v>25</v>
      </c>
      <c r="F7964" s="52" t="s">
        <v>26</v>
      </c>
      <c r="G7964" s="53"/>
    </row>
    <row r="7965">
      <c r="A7965" s="49">
        <v>44596.67555636574</v>
      </c>
      <c r="B7965" s="50">
        <v>44596.8005251967</v>
      </c>
      <c r="C7965" s="51">
        <v>1.004</v>
      </c>
      <c r="D7965" s="51">
        <v>66.0</v>
      </c>
      <c r="E7965" s="52" t="s">
        <v>25</v>
      </c>
      <c r="F7965" s="52" t="s">
        <v>26</v>
      </c>
      <c r="G7965" s="53"/>
    </row>
    <row r="7966">
      <c r="A7966" s="49">
        <v>44596.685977824076</v>
      </c>
      <c r="B7966" s="50">
        <v>44596.8109580439</v>
      </c>
      <c r="C7966" s="51">
        <v>1.004</v>
      </c>
      <c r="D7966" s="51">
        <v>66.0</v>
      </c>
      <c r="E7966" s="52" t="s">
        <v>25</v>
      </c>
      <c r="F7966" s="52" t="s">
        <v>26</v>
      </c>
      <c r="G7966" s="53"/>
    </row>
    <row r="7967">
      <c r="A7967" s="49">
        <v>44596.69641315972</v>
      </c>
      <c r="B7967" s="50">
        <v>44596.8213789814</v>
      </c>
      <c r="C7967" s="51">
        <v>1.004</v>
      </c>
      <c r="D7967" s="51">
        <v>66.0</v>
      </c>
      <c r="E7967" s="52" t="s">
        <v>25</v>
      </c>
      <c r="F7967" s="52" t="s">
        <v>26</v>
      </c>
      <c r="G7967" s="53"/>
    </row>
    <row r="7968">
      <c r="A7968" s="49">
        <v>44596.70684645833</v>
      </c>
      <c r="B7968" s="50">
        <v>44596.8318107986</v>
      </c>
      <c r="C7968" s="51">
        <v>1.004</v>
      </c>
      <c r="D7968" s="51">
        <v>66.0</v>
      </c>
      <c r="E7968" s="52" t="s">
        <v>25</v>
      </c>
      <c r="F7968" s="52" t="s">
        <v>26</v>
      </c>
      <c r="G7968" s="53"/>
    </row>
    <row r="7969">
      <c r="A7969" s="49">
        <v>44596.71726060185</v>
      </c>
      <c r="B7969" s="50">
        <v>44596.8422325115</v>
      </c>
      <c r="C7969" s="51">
        <v>1.004</v>
      </c>
      <c r="D7969" s="51">
        <v>66.0</v>
      </c>
      <c r="E7969" s="52" t="s">
        <v>25</v>
      </c>
      <c r="F7969" s="52" t="s">
        <v>26</v>
      </c>
      <c r="G7969" s="53"/>
    </row>
    <row r="7970">
      <c r="A7970" s="49">
        <v>44596.72769269676</v>
      </c>
      <c r="B7970" s="50">
        <v>44596.8526658564</v>
      </c>
      <c r="C7970" s="51">
        <v>1.004</v>
      </c>
      <c r="D7970" s="51">
        <v>66.0</v>
      </c>
      <c r="E7970" s="52" t="s">
        <v>25</v>
      </c>
      <c r="F7970" s="52" t="s">
        <v>26</v>
      </c>
      <c r="G7970" s="53"/>
    </row>
    <row r="7971">
      <c r="A7971" s="49">
        <v>44596.7381271412</v>
      </c>
      <c r="B7971" s="50">
        <v>44596.863099375</v>
      </c>
      <c r="C7971" s="51">
        <v>1.004</v>
      </c>
      <c r="D7971" s="51">
        <v>66.0</v>
      </c>
      <c r="E7971" s="52" t="s">
        <v>25</v>
      </c>
      <c r="F7971" s="52" t="s">
        <v>26</v>
      </c>
      <c r="G7971" s="53"/>
    </row>
    <row r="7972">
      <c r="A7972" s="49">
        <v>44596.74858783565</v>
      </c>
      <c r="B7972" s="50">
        <v>44596.8735553935</v>
      </c>
      <c r="C7972" s="51">
        <v>1.004</v>
      </c>
      <c r="D7972" s="51">
        <v>66.0</v>
      </c>
      <c r="E7972" s="52" t="s">
        <v>25</v>
      </c>
      <c r="F7972" s="52" t="s">
        <v>26</v>
      </c>
      <c r="G7972" s="53"/>
    </row>
    <row r="7973">
      <c r="A7973" s="49">
        <v>44596.75900472222</v>
      </c>
      <c r="B7973" s="50">
        <v>44596.8839779861</v>
      </c>
      <c r="C7973" s="51">
        <v>1.004</v>
      </c>
      <c r="D7973" s="51">
        <v>66.0</v>
      </c>
      <c r="E7973" s="52" t="s">
        <v>25</v>
      </c>
      <c r="F7973" s="52" t="s">
        <v>26</v>
      </c>
      <c r="G7973" s="53"/>
    </row>
    <row r="7974">
      <c r="A7974" s="49">
        <v>44596.76944716435</v>
      </c>
      <c r="B7974" s="50">
        <v>44596.8944214351</v>
      </c>
      <c r="C7974" s="51">
        <v>1.004</v>
      </c>
      <c r="D7974" s="51">
        <v>66.0</v>
      </c>
      <c r="E7974" s="52" t="s">
        <v>25</v>
      </c>
      <c r="F7974" s="52" t="s">
        <v>26</v>
      </c>
      <c r="G7974" s="53"/>
    </row>
    <row r="7975">
      <c r="A7975" s="49">
        <v>44596.779860254625</v>
      </c>
      <c r="B7975" s="50">
        <v>44596.9048448263</v>
      </c>
      <c r="C7975" s="51">
        <v>1.004</v>
      </c>
      <c r="D7975" s="51">
        <v>66.0</v>
      </c>
      <c r="E7975" s="52" t="s">
        <v>25</v>
      </c>
      <c r="F7975" s="52" t="s">
        <v>26</v>
      </c>
      <c r="G7975" s="53"/>
    </row>
    <row r="7976">
      <c r="A7976" s="49">
        <v>44596.79031981481</v>
      </c>
      <c r="B7976" s="50">
        <v>44596.915300324</v>
      </c>
      <c r="C7976" s="51">
        <v>1.004</v>
      </c>
      <c r="D7976" s="51">
        <v>66.0</v>
      </c>
      <c r="E7976" s="52" t="s">
        <v>25</v>
      </c>
      <c r="F7976" s="52" t="s">
        <v>26</v>
      </c>
      <c r="G7976" s="53"/>
    </row>
    <row r="7977">
      <c r="A7977" s="49">
        <v>44596.800747430556</v>
      </c>
      <c r="B7977" s="50">
        <v>44596.9257202662</v>
      </c>
      <c r="C7977" s="51">
        <v>1.004</v>
      </c>
      <c r="D7977" s="51">
        <v>66.0</v>
      </c>
      <c r="E7977" s="52" t="s">
        <v>25</v>
      </c>
      <c r="F7977" s="52" t="s">
        <v>26</v>
      </c>
      <c r="G7977" s="53"/>
    </row>
    <row r="7978">
      <c r="A7978" s="49">
        <v>44596.81116670139</v>
      </c>
      <c r="B7978" s="50">
        <v>44596.9361438541</v>
      </c>
      <c r="C7978" s="51">
        <v>1.004</v>
      </c>
      <c r="D7978" s="51">
        <v>66.0</v>
      </c>
      <c r="E7978" s="52" t="s">
        <v>25</v>
      </c>
      <c r="F7978" s="52" t="s">
        <v>26</v>
      </c>
      <c r="G7978" s="53"/>
    </row>
    <row r="7979">
      <c r="A7979" s="49">
        <v>44596.821600509254</v>
      </c>
      <c r="B7979" s="50">
        <v>44596.9465766319</v>
      </c>
      <c r="C7979" s="51">
        <v>1.004</v>
      </c>
      <c r="D7979" s="51">
        <v>65.0</v>
      </c>
      <c r="E7979" s="52" t="s">
        <v>25</v>
      </c>
      <c r="F7979" s="52" t="s">
        <v>26</v>
      </c>
      <c r="G7979" s="53"/>
    </row>
    <row r="7980">
      <c r="A7980" s="49">
        <v>44596.832109641204</v>
      </c>
      <c r="B7980" s="50">
        <v>44596.9570896643</v>
      </c>
      <c r="C7980" s="51">
        <v>1.004</v>
      </c>
      <c r="D7980" s="51">
        <v>65.0</v>
      </c>
      <c r="E7980" s="52" t="s">
        <v>25</v>
      </c>
      <c r="F7980" s="52" t="s">
        <v>26</v>
      </c>
      <c r="G7980" s="53"/>
    </row>
    <row r="7981">
      <c r="A7981" s="49">
        <v>44596.842534826385</v>
      </c>
      <c r="B7981" s="50">
        <v>44596.9675099768</v>
      </c>
      <c r="C7981" s="51">
        <v>1.004</v>
      </c>
      <c r="D7981" s="51">
        <v>65.0</v>
      </c>
      <c r="E7981" s="52" t="s">
        <v>25</v>
      </c>
      <c r="F7981" s="52" t="s">
        <v>26</v>
      </c>
      <c r="G7981" s="53"/>
    </row>
    <row r="7982">
      <c r="A7982" s="49">
        <v>44596.852946493054</v>
      </c>
      <c r="B7982" s="50">
        <v>44596.9779309722</v>
      </c>
      <c r="C7982" s="51">
        <v>1.004</v>
      </c>
      <c r="D7982" s="51">
        <v>65.0</v>
      </c>
      <c r="E7982" s="52" t="s">
        <v>25</v>
      </c>
      <c r="F7982" s="52" t="s">
        <v>26</v>
      </c>
      <c r="G7982" s="53"/>
    </row>
    <row r="7983">
      <c r="A7983" s="49">
        <v>44596.86338539352</v>
      </c>
      <c r="B7983" s="50">
        <v>44596.9883529861</v>
      </c>
      <c r="C7983" s="51">
        <v>1.004</v>
      </c>
      <c r="D7983" s="51">
        <v>65.0</v>
      </c>
      <c r="E7983" s="52" t="s">
        <v>25</v>
      </c>
      <c r="F7983" s="52" t="s">
        <v>26</v>
      </c>
      <c r="G7983" s="53"/>
    </row>
    <row r="7984">
      <c r="A7984" s="49">
        <v>44596.8737991088</v>
      </c>
      <c r="B7984" s="50">
        <v>44596.9987754398</v>
      </c>
      <c r="C7984" s="51">
        <v>1.004</v>
      </c>
      <c r="D7984" s="51">
        <v>65.0</v>
      </c>
      <c r="E7984" s="52" t="s">
        <v>25</v>
      </c>
      <c r="F7984" s="52" t="s">
        <v>26</v>
      </c>
      <c r="G7984" s="53"/>
    </row>
    <row r="7985">
      <c r="A7985" s="49">
        <v>44596.88422064815</v>
      </c>
      <c r="B7985" s="50">
        <v>44597.0091955671</v>
      </c>
      <c r="C7985" s="51">
        <v>1.004</v>
      </c>
      <c r="D7985" s="51">
        <v>65.0</v>
      </c>
      <c r="E7985" s="52" t="s">
        <v>25</v>
      </c>
      <c r="F7985" s="52" t="s">
        <v>26</v>
      </c>
      <c r="G7985" s="53"/>
    </row>
    <row r="7986">
      <c r="A7986" s="49">
        <v>44596.89466825232</v>
      </c>
      <c r="B7986" s="50">
        <v>44597.0196413888</v>
      </c>
      <c r="C7986" s="51">
        <v>1.004</v>
      </c>
      <c r="D7986" s="51">
        <v>65.0</v>
      </c>
      <c r="E7986" s="52" t="s">
        <v>25</v>
      </c>
      <c r="F7986" s="52" t="s">
        <v>26</v>
      </c>
      <c r="G7986" s="53"/>
    </row>
    <row r="7987">
      <c r="A7987" s="49">
        <v>44596.90510689815</v>
      </c>
      <c r="B7987" s="50">
        <v>44597.0300848495</v>
      </c>
      <c r="C7987" s="51">
        <v>1.004</v>
      </c>
      <c r="D7987" s="51">
        <v>65.0</v>
      </c>
      <c r="E7987" s="52" t="s">
        <v>25</v>
      </c>
      <c r="F7987" s="52" t="s">
        <v>26</v>
      </c>
      <c r="G7987" s="53"/>
    </row>
    <row r="7988">
      <c r="A7988" s="49">
        <v>44596.91552715278</v>
      </c>
      <c r="B7988" s="50">
        <v>44597.0405066666</v>
      </c>
      <c r="C7988" s="51">
        <v>1.004</v>
      </c>
      <c r="D7988" s="51">
        <v>65.0</v>
      </c>
      <c r="E7988" s="52" t="s">
        <v>25</v>
      </c>
      <c r="F7988" s="52" t="s">
        <v>26</v>
      </c>
      <c r="G7988" s="53"/>
    </row>
    <row r="7989">
      <c r="A7989" s="49">
        <v>44596.925950254634</v>
      </c>
      <c r="B7989" s="50">
        <v>44597.0509278935</v>
      </c>
      <c r="C7989" s="51">
        <v>1.004</v>
      </c>
      <c r="D7989" s="51">
        <v>65.0</v>
      </c>
      <c r="E7989" s="52" t="s">
        <v>25</v>
      </c>
      <c r="F7989" s="52" t="s">
        <v>26</v>
      </c>
      <c r="G7989" s="53"/>
    </row>
    <row r="7990">
      <c r="A7990" s="49">
        <v>44596.9364221875</v>
      </c>
      <c r="B7990" s="50">
        <v>44597.0613959837</v>
      </c>
      <c r="C7990" s="51">
        <v>1.004</v>
      </c>
      <c r="D7990" s="51">
        <v>65.0</v>
      </c>
      <c r="E7990" s="52" t="s">
        <v>25</v>
      </c>
      <c r="F7990" s="52" t="s">
        <v>26</v>
      </c>
      <c r="G7990" s="53"/>
    </row>
    <row r="7991">
      <c r="A7991" s="49">
        <v>44596.94684092593</v>
      </c>
      <c r="B7991" s="50">
        <v>44597.0718148842</v>
      </c>
      <c r="C7991" s="51">
        <v>1.004</v>
      </c>
      <c r="D7991" s="51">
        <v>65.0</v>
      </c>
      <c r="E7991" s="52" t="s">
        <v>25</v>
      </c>
      <c r="F7991" s="52" t="s">
        <v>26</v>
      </c>
      <c r="G7991" s="53"/>
    </row>
    <row r="7992">
      <c r="A7992" s="49">
        <v>44596.95728258102</v>
      </c>
      <c r="B7992" s="50">
        <v>44597.0822585763</v>
      </c>
      <c r="C7992" s="51">
        <v>1.004</v>
      </c>
      <c r="D7992" s="51">
        <v>65.0</v>
      </c>
      <c r="E7992" s="52" t="s">
        <v>25</v>
      </c>
      <c r="F7992" s="52" t="s">
        <v>26</v>
      </c>
      <c r="G7992" s="53"/>
    </row>
    <row r="7993">
      <c r="A7993" s="49">
        <v>44596.96769767361</v>
      </c>
      <c r="B7993" s="50">
        <v>44597.0926799768</v>
      </c>
      <c r="C7993" s="51">
        <v>1.004</v>
      </c>
      <c r="D7993" s="51">
        <v>65.0</v>
      </c>
      <c r="E7993" s="52" t="s">
        <v>25</v>
      </c>
      <c r="F7993" s="52" t="s">
        <v>26</v>
      </c>
      <c r="G7993" s="53"/>
    </row>
    <row r="7994">
      <c r="A7994" s="49">
        <v>44596.97813012732</v>
      </c>
      <c r="B7994" s="50">
        <v>44597.103112662</v>
      </c>
      <c r="C7994" s="51">
        <v>1.004</v>
      </c>
      <c r="D7994" s="51">
        <v>65.0</v>
      </c>
      <c r="E7994" s="52" t="s">
        <v>25</v>
      </c>
      <c r="F7994" s="52" t="s">
        <v>26</v>
      </c>
      <c r="G7994" s="53"/>
    </row>
    <row r="7995">
      <c r="A7995" s="49">
        <v>44596.988561342594</v>
      </c>
      <c r="B7995" s="50">
        <v>44597.1135342708</v>
      </c>
      <c r="C7995" s="51">
        <v>1.004</v>
      </c>
      <c r="D7995" s="51">
        <v>65.0</v>
      </c>
      <c r="E7995" s="52" t="s">
        <v>25</v>
      </c>
      <c r="F7995" s="52" t="s">
        <v>26</v>
      </c>
      <c r="G7995" s="53"/>
    </row>
    <row r="7996">
      <c r="A7996" s="49">
        <v>44596.99898815972</v>
      </c>
      <c r="B7996" s="50">
        <v>44597.1239675462</v>
      </c>
      <c r="C7996" s="51">
        <v>1.004</v>
      </c>
      <c r="D7996" s="51">
        <v>65.0</v>
      </c>
      <c r="E7996" s="52" t="s">
        <v>25</v>
      </c>
      <c r="F7996" s="52" t="s">
        <v>26</v>
      </c>
      <c r="G7996" s="53"/>
    </row>
    <row r="7997">
      <c r="A7997" s="49">
        <v>44597.009409039354</v>
      </c>
      <c r="B7997" s="50">
        <v>44597.1343876851</v>
      </c>
      <c r="C7997" s="51">
        <v>1.004</v>
      </c>
      <c r="D7997" s="51">
        <v>65.0</v>
      </c>
      <c r="E7997" s="52" t="s">
        <v>25</v>
      </c>
      <c r="F7997" s="52" t="s">
        <v>26</v>
      </c>
      <c r="G7997" s="53"/>
    </row>
    <row r="7998">
      <c r="A7998" s="49">
        <v>44597.01983174769</v>
      </c>
      <c r="B7998" s="50">
        <v>44597.1448065393</v>
      </c>
      <c r="C7998" s="51">
        <v>1.004</v>
      </c>
      <c r="D7998" s="51">
        <v>65.0</v>
      </c>
      <c r="E7998" s="52" t="s">
        <v>25</v>
      </c>
      <c r="F7998" s="52" t="s">
        <v>26</v>
      </c>
      <c r="G7998" s="53"/>
    </row>
    <row r="7999">
      <c r="A7999" s="49">
        <v>44597.03025710648</v>
      </c>
      <c r="B7999" s="50">
        <v>44597.1552282175</v>
      </c>
      <c r="C7999" s="51">
        <v>1.004</v>
      </c>
      <c r="D7999" s="51">
        <v>65.0</v>
      </c>
      <c r="E7999" s="52" t="s">
        <v>25</v>
      </c>
      <c r="F7999" s="52" t="s">
        <v>26</v>
      </c>
      <c r="G7999" s="53"/>
    </row>
    <row r="8000">
      <c r="A8000" s="49">
        <v>44597.04067357639</v>
      </c>
      <c r="B8000" s="50">
        <v>44597.1656487731</v>
      </c>
      <c r="C8000" s="51">
        <v>1.004</v>
      </c>
      <c r="D8000" s="51">
        <v>65.0</v>
      </c>
      <c r="E8000" s="52" t="s">
        <v>25</v>
      </c>
      <c r="F8000" s="52" t="s">
        <v>26</v>
      </c>
      <c r="G8000" s="53"/>
    </row>
    <row r="8001">
      <c r="A8001" s="49">
        <v>44597.05115429398</v>
      </c>
      <c r="B8001" s="50">
        <v>44597.1760707754</v>
      </c>
      <c r="C8001" s="51">
        <v>1.004</v>
      </c>
      <c r="D8001" s="51">
        <v>65.0</v>
      </c>
      <c r="E8001" s="52" t="s">
        <v>25</v>
      </c>
      <c r="F8001" s="52" t="s">
        <v>26</v>
      </c>
      <c r="G8001" s="53"/>
    </row>
    <row r="8002">
      <c r="A8002" s="49">
        <v>44597.061536099536</v>
      </c>
      <c r="B8002" s="50">
        <v>44597.186514618</v>
      </c>
      <c r="C8002" s="51">
        <v>1.004</v>
      </c>
      <c r="D8002" s="51">
        <v>65.0</v>
      </c>
      <c r="E8002" s="52" t="s">
        <v>25</v>
      </c>
      <c r="F8002" s="52" t="s">
        <v>26</v>
      </c>
      <c r="G8002" s="53"/>
    </row>
    <row r="8003">
      <c r="A8003" s="49">
        <v>44597.07196341435</v>
      </c>
      <c r="B8003" s="50">
        <v>44597.1969355439</v>
      </c>
      <c r="C8003" s="51">
        <v>1.004</v>
      </c>
      <c r="D8003" s="51">
        <v>65.0</v>
      </c>
      <c r="E8003" s="52" t="s">
        <v>25</v>
      </c>
      <c r="F8003" s="52" t="s">
        <v>26</v>
      </c>
      <c r="G8003" s="53"/>
    </row>
    <row r="8004">
      <c r="A8004" s="49">
        <v>44597.08238868056</v>
      </c>
      <c r="B8004" s="50">
        <v>44597.2073670717</v>
      </c>
      <c r="C8004" s="51">
        <v>1.004</v>
      </c>
      <c r="D8004" s="51">
        <v>65.0</v>
      </c>
      <c r="E8004" s="52" t="s">
        <v>25</v>
      </c>
      <c r="F8004" s="52" t="s">
        <v>26</v>
      </c>
      <c r="G8004" s="53"/>
    </row>
    <row r="8005">
      <c r="A8005" s="49">
        <v>44597.09281460648</v>
      </c>
      <c r="B8005" s="50">
        <v>44597.2177880787</v>
      </c>
      <c r="C8005" s="51">
        <v>1.004</v>
      </c>
      <c r="D8005" s="51">
        <v>65.0</v>
      </c>
      <c r="E8005" s="52" t="s">
        <v>25</v>
      </c>
      <c r="F8005" s="52" t="s">
        <v>26</v>
      </c>
      <c r="G8005" s="53"/>
    </row>
    <row r="8006">
      <c r="A8006" s="49">
        <v>44597.10326363426</v>
      </c>
      <c r="B8006" s="50">
        <v>44597.2282313657</v>
      </c>
      <c r="C8006" s="51">
        <v>1.004</v>
      </c>
      <c r="D8006" s="51">
        <v>65.0</v>
      </c>
      <c r="E8006" s="52" t="s">
        <v>25</v>
      </c>
      <c r="F8006" s="52" t="s">
        <v>26</v>
      </c>
      <c r="G8006" s="53"/>
    </row>
    <row r="8007">
      <c r="A8007" s="49">
        <v>44597.113679050926</v>
      </c>
      <c r="B8007" s="50">
        <v>44597.2386529745</v>
      </c>
      <c r="C8007" s="51">
        <v>1.004</v>
      </c>
      <c r="D8007" s="51">
        <v>65.0</v>
      </c>
      <c r="E8007" s="52" t="s">
        <v>25</v>
      </c>
      <c r="F8007" s="52" t="s">
        <v>26</v>
      </c>
      <c r="G8007" s="53"/>
    </row>
    <row r="8008">
      <c r="A8008" s="49">
        <v>44597.124101249996</v>
      </c>
      <c r="B8008" s="50">
        <v>44597.249074456</v>
      </c>
      <c r="C8008" s="51">
        <v>1.004</v>
      </c>
      <c r="D8008" s="51">
        <v>65.0</v>
      </c>
      <c r="E8008" s="52" t="s">
        <v>25</v>
      </c>
      <c r="F8008" s="52" t="s">
        <v>26</v>
      </c>
      <c r="G8008" s="53"/>
    </row>
    <row r="8009">
      <c r="A8009" s="49">
        <v>44597.13451787037</v>
      </c>
      <c r="B8009" s="50">
        <v>44597.2594960069</v>
      </c>
      <c r="C8009" s="51">
        <v>1.004</v>
      </c>
      <c r="D8009" s="51">
        <v>64.0</v>
      </c>
      <c r="E8009" s="52" t="s">
        <v>25</v>
      </c>
      <c r="F8009" s="52" t="s">
        <v>26</v>
      </c>
      <c r="G8009" s="53"/>
    </row>
    <row r="8010">
      <c r="A8010" s="49">
        <v>44597.14494684028</v>
      </c>
      <c r="B8010" s="50">
        <v>44597.2699170717</v>
      </c>
      <c r="C8010" s="51">
        <v>1.004</v>
      </c>
      <c r="D8010" s="51">
        <v>64.0</v>
      </c>
      <c r="E8010" s="52" t="s">
        <v>25</v>
      </c>
      <c r="F8010" s="52" t="s">
        <v>26</v>
      </c>
      <c r="G8010" s="53"/>
    </row>
    <row r="8011">
      <c r="A8011" s="49">
        <v>44597.155353194445</v>
      </c>
      <c r="B8011" s="50">
        <v>44597.2803379282</v>
      </c>
      <c r="C8011" s="51">
        <v>1.004</v>
      </c>
      <c r="D8011" s="51">
        <v>64.0</v>
      </c>
      <c r="E8011" s="52" t="s">
        <v>25</v>
      </c>
      <c r="F8011" s="52" t="s">
        <v>26</v>
      </c>
      <c r="G8011" s="53"/>
    </row>
    <row r="8012">
      <c r="A8012" s="49">
        <v>44597.16578560185</v>
      </c>
      <c r="B8012" s="50">
        <v>44597.2907591782</v>
      </c>
      <c r="C8012" s="51">
        <v>1.004</v>
      </c>
      <c r="D8012" s="51">
        <v>64.0</v>
      </c>
      <c r="E8012" s="52" t="s">
        <v>25</v>
      </c>
      <c r="F8012" s="52" t="s">
        <v>26</v>
      </c>
      <c r="G8012" s="53"/>
    </row>
    <row r="8013">
      <c r="A8013" s="49">
        <v>44597.17620768519</v>
      </c>
      <c r="B8013" s="50">
        <v>44597.3011814467</v>
      </c>
      <c r="C8013" s="51">
        <v>1.004</v>
      </c>
      <c r="D8013" s="51">
        <v>64.0</v>
      </c>
      <c r="E8013" s="52" t="s">
        <v>25</v>
      </c>
      <c r="F8013" s="52" t="s">
        <v>26</v>
      </c>
      <c r="G8013" s="53"/>
    </row>
    <row r="8014">
      <c r="A8014" s="49">
        <v>44597.18662340278</v>
      </c>
      <c r="B8014" s="50">
        <v>44597.3116018749</v>
      </c>
      <c r="C8014" s="51">
        <v>1.004</v>
      </c>
      <c r="D8014" s="51">
        <v>64.0</v>
      </c>
      <c r="E8014" s="52" t="s">
        <v>25</v>
      </c>
      <c r="F8014" s="52" t="s">
        <v>26</v>
      </c>
      <c r="G8014" s="53"/>
    </row>
    <row r="8015">
      <c r="A8015" s="49">
        <v>44597.19710695602</v>
      </c>
      <c r="B8015" s="50">
        <v>44597.3220808101</v>
      </c>
      <c r="C8015" s="51">
        <v>1.004</v>
      </c>
      <c r="D8015" s="51">
        <v>64.0</v>
      </c>
      <c r="E8015" s="52" t="s">
        <v>25</v>
      </c>
      <c r="F8015" s="52" t="s">
        <v>26</v>
      </c>
      <c r="G8015" s="53"/>
    </row>
    <row r="8016">
      <c r="A8016" s="49">
        <v>44597.20753053241</v>
      </c>
      <c r="B8016" s="50">
        <v>44597.3325021759</v>
      </c>
      <c r="C8016" s="51">
        <v>1.004</v>
      </c>
      <c r="D8016" s="51">
        <v>64.0</v>
      </c>
      <c r="E8016" s="52" t="s">
        <v>25</v>
      </c>
      <c r="F8016" s="52" t="s">
        <v>26</v>
      </c>
      <c r="G8016" s="53"/>
    </row>
    <row r="8017">
      <c r="A8017" s="49">
        <v>44597.21795193287</v>
      </c>
      <c r="B8017" s="50">
        <v>44597.3429227777</v>
      </c>
      <c r="C8017" s="51">
        <v>1.004</v>
      </c>
      <c r="D8017" s="51">
        <v>64.0</v>
      </c>
      <c r="E8017" s="52" t="s">
        <v>25</v>
      </c>
      <c r="F8017" s="52" t="s">
        <v>26</v>
      </c>
      <c r="G8017" s="53"/>
    </row>
    <row r="8018">
      <c r="A8018" s="49">
        <v>44597.22838759259</v>
      </c>
      <c r="B8018" s="50">
        <v>44597.3533548726</v>
      </c>
      <c r="C8018" s="51">
        <v>1.004</v>
      </c>
      <c r="D8018" s="51">
        <v>64.0</v>
      </c>
      <c r="E8018" s="52" t="s">
        <v>25</v>
      </c>
      <c r="F8018" s="52" t="s">
        <v>26</v>
      </c>
      <c r="G8018" s="53"/>
    </row>
    <row r="8019">
      <c r="A8019" s="49">
        <v>44597.238800879626</v>
      </c>
      <c r="B8019" s="50">
        <v>44597.3637765856</v>
      </c>
      <c r="C8019" s="51">
        <v>1.004</v>
      </c>
      <c r="D8019" s="51">
        <v>64.0</v>
      </c>
      <c r="E8019" s="52" t="s">
        <v>25</v>
      </c>
      <c r="F8019" s="52" t="s">
        <v>26</v>
      </c>
      <c r="G8019" s="53"/>
    </row>
    <row r="8020">
      <c r="A8020" s="49">
        <v>44597.24923162037</v>
      </c>
      <c r="B8020" s="50">
        <v>44597.3742082291</v>
      </c>
      <c r="C8020" s="51">
        <v>1.004</v>
      </c>
      <c r="D8020" s="51">
        <v>64.0</v>
      </c>
      <c r="E8020" s="52" t="s">
        <v>25</v>
      </c>
      <c r="F8020" s="52" t="s">
        <v>26</v>
      </c>
      <c r="G8020" s="53"/>
    </row>
    <row r="8021">
      <c r="A8021" s="49">
        <v>44597.25966880787</v>
      </c>
      <c r="B8021" s="50">
        <v>44597.384640625</v>
      </c>
      <c r="C8021" s="51">
        <v>1.004</v>
      </c>
      <c r="D8021" s="51">
        <v>64.0</v>
      </c>
      <c r="E8021" s="52" t="s">
        <v>25</v>
      </c>
      <c r="F8021" s="52" t="s">
        <v>26</v>
      </c>
      <c r="G8021" s="53"/>
    </row>
    <row r="8022">
      <c r="A8022" s="49">
        <v>44597.270079803246</v>
      </c>
      <c r="B8022" s="50">
        <v>44597.3950592245</v>
      </c>
      <c r="C8022" s="51">
        <v>1.004</v>
      </c>
      <c r="D8022" s="51">
        <v>64.0</v>
      </c>
      <c r="E8022" s="52" t="s">
        <v>25</v>
      </c>
      <c r="F8022" s="52" t="s">
        <v>26</v>
      </c>
      <c r="G8022" s="53"/>
    </row>
    <row r="8023">
      <c r="A8023" s="49">
        <v>44597.28052451389</v>
      </c>
      <c r="B8023" s="50">
        <v>44597.4054926388</v>
      </c>
      <c r="C8023" s="51">
        <v>1.004</v>
      </c>
      <c r="D8023" s="51">
        <v>64.0</v>
      </c>
      <c r="E8023" s="52" t="s">
        <v>25</v>
      </c>
      <c r="F8023" s="52" t="s">
        <v>26</v>
      </c>
      <c r="G8023" s="53"/>
    </row>
    <row r="8024">
      <c r="A8024" s="49">
        <v>44597.29097587963</v>
      </c>
      <c r="B8024" s="50">
        <v>44597.4159492824</v>
      </c>
      <c r="C8024" s="51">
        <v>1.004</v>
      </c>
      <c r="D8024" s="51">
        <v>64.0</v>
      </c>
      <c r="E8024" s="52" t="s">
        <v>25</v>
      </c>
      <c r="F8024" s="52" t="s">
        <v>26</v>
      </c>
      <c r="G8024" s="53"/>
    </row>
    <row r="8025">
      <c r="A8025" s="49">
        <v>44597.3014465625</v>
      </c>
      <c r="B8025" s="50">
        <v>44597.4264162847</v>
      </c>
      <c r="C8025" s="51">
        <v>1.004</v>
      </c>
      <c r="D8025" s="51">
        <v>64.0</v>
      </c>
      <c r="E8025" s="52" t="s">
        <v>25</v>
      </c>
      <c r="F8025" s="52" t="s">
        <v>26</v>
      </c>
      <c r="G8025" s="53"/>
    </row>
    <row r="8026">
      <c r="A8026" s="49">
        <v>44597.31187012732</v>
      </c>
      <c r="B8026" s="50">
        <v>44597.4368371874</v>
      </c>
      <c r="C8026" s="51">
        <v>1.004</v>
      </c>
      <c r="D8026" s="51">
        <v>64.0</v>
      </c>
      <c r="E8026" s="52" t="s">
        <v>25</v>
      </c>
      <c r="F8026" s="52" t="s">
        <v>26</v>
      </c>
      <c r="G8026" s="53"/>
    </row>
    <row r="8027">
      <c r="A8027" s="49">
        <v>44597.32236824074</v>
      </c>
      <c r="B8027" s="50">
        <v>44597.4473391203</v>
      </c>
      <c r="C8027" s="51">
        <v>1.004</v>
      </c>
      <c r="D8027" s="51">
        <v>64.0</v>
      </c>
      <c r="E8027" s="52" t="s">
        <v>25</v>
      </c>
      <c r="F8027" s="52" t="s">
        <v>26</v>
      </c>
      <c r="G8027" s="53"/>
    </row>
    <row r="8028">
      <c r="A8028" s="49">
        <v>44597.33280834491</v>
      </c>
      <c r="B8028" s="50">
        <v>44597.4577833564</v>
      </c>
      <c r="C8028" s="51">
        <v>1.004</v>
      </c>
      <c r="D8028" s="51">
        <v>64.0</v>
      </c>
      <c r="E8028" s="52" t="s">
        <v>25</v>
      </c>
      <c r="F8028" s="52" t="s">
        <v>26</v>
      </c>
      <c r="G8028" s="53"/>
    </row>
    <row r="8029">
      <c r="A8029" s="49">
        <v>44597.34324475694</v>
      </c>
      <c r="B8029" s="50">
        <v>44597.4682161921</v>
      </c>
      <c r="C8029" s="51">
        <v>1.004</v>
      </c>
      <c r="D8029" s="51">
        <v>64.0</v>
      </c>
      <c r="E8029" s="52" t="s">
        <v>25</v>
      </c>
      <c r="F8029" s="52" t="s">
        <v>26</v>
      </c>
      <c r="G8029" s="53"/>
    </row>
    <row r="8030">
      <c r="A8030" s="49">
        <v>44597.353676412036</v>
      </c>
      <c r="B8030" s="50">
        <v>44597.4786486689</v>
      </c>
      <c r="C8030" s="51">
        <v>1.004</v>
      </c>
      <c r="D8030" s="51">
        <v>64.0</v>
      </c>
      <c r="E8030" s="52" t="s">
        <v>25</v>
      </c>
      <c r="F8030" s="52" t="s">
        <v>26</v>
      </c>
      <c r="G8030" s="53"/>
    </row>
    <row r="8031">
      <c r="A8031" s="49">
        <v>44597.36410032408</v>
      </c>
      <c r="B8031" s="50">
        <v>44597.4890803703</v>
      </c>
      <c r="C8031" s="51">
        <v>1.004</v>
      </c>
      <c r="D8031" s="51">
        <v>64.0</v>
      </c>
      <c r="E8031" s="52" t="s">
        <v>25</v>
      </c>
      <c r="F8031" s="52" t="s">
        <v>26</v>
      </c>
      <c r="G8031" s="53"/>
    </row>
    <row r="8032">
      <c r="A8032" s="49">
        <v>44597.37452871528</v>
      </c>
      <c r="B8032" s="50">
        <v>44597.4995007407</v>
      </c>
      <c r="C8032" s="51">
        <v>1.004</v>
      </c>
      <c r="D8032" s="51">
        <v>64.0</v>
      </c>
      <c r="E8032" s="52" t="s">
        <v>25</v>
      </c>
      <c r="F8032" s="52" t="s">
        <v>26</v>
      </c>
      <c r="G8032" s="53"/>
    </row>
    <row r="8033">
      <c r="A8033" s="49">
        <v>44597.384946122686</v>
      </c>
      <c r="B8033" s="50">
        <v>44597.5099212037</v>
      </c>
      <c r="C8033" s="51">
        <v>1.004</v>
      </c>
      <c r="D8033" s="51">
        <v>64.0</v>
      </c>
      <c r="E8033" s="52" t="s">
        <v>25</v>
      </c>
      <c r="F8033" s="52" t="s">
        <v>26</v>
      </c>
      <c r="G8033" s="53"/>
    </row>
    <row r="8034">
      <c r="A8034" s="49">
        <v>44597.39537375</v>
      </c>
      <c r="B8034" s="50">
        <v>44597.5203417708</v>
      </c>
      <c r="C8034" s="51">
        <v>1.004</v>
      </c>
      <c r="D8034" s="51">
        <v>64.0</v>
      </c>
      <c r="E8034" s="52" t="s">
        <v>25</v>
      </c>
      <c r="F8034" s="52" t="s">
        <v>26</v>
      </c>
      <c r="G8034" s="53"/>
    </row>
    <row r="8035">
      <c r="A8035" s="49">
        <v>44597.40579318287</v>
      </c>
      <c r="B8035" s="50">
        <v>44597.5307625578</v>
      </c>
      <c r="C8035" s="51">
        <v>1.004</v>
      </c>
      <c r="D8035" s="51">
        <v>64.0</v>
      </c>
      <c r="E8035" s="52" t="s">
        <v>25</v>
      </c>
      <c r="F8035" s="52" t="s">
        <v>26</v>
      </c>
      <c r="G8035" s="53"/>
    </row>
    <row r="8036">
      <c r="A8036" s="49">
        <v>44597.416200300926</v>
      </c>
      <c r="B8036" s="50">
        <v>44597.5411818055</v>
      </c>
      <c r="C8036" s="51">
        <v>1.004</v>
      </c>
      <c r="D8036" s="51">
        <v>64.0</v>
      </c>
      <c r="E8036" s="52" t="s">
        <v>25</v>
      </c>
      <c r="F8036" s="52" t="s">
        <v>26</v>
      </c>
      <c r="G8036" s="53"/>
    </row>
    <row r="8037">
      <c r="A8037" s="49">
        <v>44597.42663997685</v>
      </c>
      <c r="B8037" s="50">
        <v>44597.5516143518</v>
      </c>
      <c r="C8037" s="51">
        <v>1.004</v>
      </c>
      <c r="D8037" s="51">
        <v>64.0</v>
      </c>
      <c r="E8037" s="52" t="s">
        <v>25</v>
      </c>
      <c r="F8037" s="52" t="s">
        <v>26</v>
      </c>
      <c r="G8037" s="53"/>
    </row>
    <row r="8038">
      <c r="A8038" s="49">
        <v>44597.43706067129</v>
      </c>
      <c r="B8038" s="50">
        <v>44597.5620349305</v>
      </c>
      <c r="C8038" s="51">
        <v>1.004</v>
      </c>
      <c r="D8038" s="51">
        <v>64.0</v>
      </c>
      <c r="E8038" s="52" t="s">
        <v>25</v>
      </c>
      <c r="F8038" s="52" t="s">
        <v>26</v>
      </c>
      <c r="G8038" s="53"/>
    </row>
    <row r="8039">
      <c r="A8039" s="49">
        <v>44597.44749259259</v>
      </c>
      <c r="B8039" s="50">
        <v>44597.5724666203</v>
      </c>
      <c r="C8039" s="51">
        <v>1.004</v>
      </c>
      <c r="D8039" s="51">
        <v>64.0</v>
      </c>
      <c r="E8039" s="52" t="s">
        <v>25</v>
      </c>
      <c r="F8039" s="52" t="s">
        <v>26</v>
      </c>
      <c r="G8039" s="53"/>
    </row>
    <row r="8040">
      <c r="A8040" s="49">
        <v>44597.45792516204</v>
      </c>
      <c r="B8040" s="50">
        <v>44597.5828983449</v>
      </c>
      <c r="C8040" s="51">
        <v>1.004</v>
      </c>
      <c r="D8040" s="51">
        <v>64.0</v>
      </c>
      <c r="E8040" s="52" t="s">
        <v>25</v>
      </c>
      <c r="F8040" s="52" t="s">
        <v>26</v>
      </c>
      <c r="G8040" s="53"/>
    </row>
    <row r="8041">
      <c r="A8041" s="49">
        <v>44597.468340810185</v>
      </c>
      <c r="B8041" s="50">
        <v>44597.5933192013</v>
      </c>
      <c r="C8041" s="51">
        <v>1.004</v>
      </c>
      <c r="D8041" s="51">
        <v>64.0</v>
      </c>
      <c r="E8041" s="52" t="s">
        <v>25</v>
      </c>
      <c r="F8041" s="52" t="s">
        <v>26</v>
      </c>
      <c r="G8041" s="53"/>
    </row>
    <row r="8042">
      <c r="A8042" s="49">
        <v>44597.478840497686</v>
      </c>
      <c r="B8042" s="50">
        <v>44597.6037996527</v>
      </c>
      <c r="C8042" s="51">
        <v>1.004</v>
      </c>
      <c r="D8042" s="51">
        <v>64.0</v>
      </c>
      <c r="E8042" s="52" t="s">
        <v>25</v>
      </c>
      <c r="F8042" s="52" t="s">
        <v>26</v>
      </c>
      <c r="G8042" s="53"/>
    </row>
    <row r="8043">
      <c r="A8043" s="49">
        <v>44597.48924671296</v>
      </c>
      <c r="B8043" s="50">
        <v>44597.6142193287</v>
      </c>
      <c r="C8043" s="51">
        <v>1.004</v>
      </c>
      <c r="D8043" s="51">
        <v>64.0</v>
      </c>
      <c r="E8043" s="52" t="s">
        <v>25</v>
      </c>
      <c r="F8043" s="52" t="s">
        <v>26</v>
      </c>
      <c r="G8043" s="53"/>
    </row>
    <row r="8044">
      <c r="A8044" s="49">
        <v>44597.49967055555</v>
      </c>
      <c r="B8044" s="50">
        <v>44597.6246519675</v>
      </c>
      <c r="C8044" s="51">
        <v>1.004</v>
      </c>
      <c r="D8044" s="51">
        <v>64.0</v>
      </c>
      <c r="E8044" s="52" t="s">
        <v>25</v>
      </c>
      <c r="F8044" s="52" t="s">
        <v>26</v>
      </c>
      <c r="G8044" s="53"/>
    </row>
    <row r="8045">
      <c r="A8045" s="49">
        <v>44597.51009282407</v>
      </c>
      <c r="B8045" s="50">
        <v>44597.635073287</v>
      </c>
      <c r="C8045" s="51">
        <v>1.004</v>
      </c>
      <c r="D8045" s="51">
        <v>64.0</v>
      </c>
      <c r="E8045" s="52" t="s">
        <v>25</v>
      </c>
      <c r="F8045" s="52" t="s">
        <v>26</v>
      </c>
      <c r="G8045" s="53"/>
    </row>
    <row r="8046">
      <c r="A8046" s="49">
        <v>44597.5205206713</v>
      </c>
      <c r="B8046" s="50">
        <v>44597.6454933564</v>
      </c>
      <c r="C8046" s="51">
        <v>1.004</v>
      </c>
      <c r="D8046" s="51">
        <v>64.0</v>
      </c>
      <c r="E8046" s="52" t="s">
        <v>25</v>
      </c>
      <c r="F8046" s="52" t="s">
        <v>26</v>
      </c>
      <c r="G8046" s="53"/>
    </row>
    <row r="8047">
      <c r="A8047" s="49">
        <v>44597.530942384255</v>
      </c>
      <c r="B8047" s="50">
        <v>44597.6559152314</v>
      </c>
      <c r="C8047" s="51">
        <v>1.004</v>
      </c>
      <c r="D8047" s="51">
        <v>64.0</v>
      </c>
      <c r="E8047" s="52" t="s">
        <v>25</v>
      </c>
      <c r="F8047" s="52" t="s">
        <v>26</v>
      </c>
      <c r="G8047" s="53"/>
    </row>
    <row r="8048">
      <c r="A8048" s="49">
        <v>44597.54139675926</v>
      </c>
      <c r="B8048" s="50">
        <v>44597.6663702893</v>
      </c>
      <c r="C8048" s="51">
        <v>1.004</v>
      </c>
      <c r="D8048" s="51">
        <v>63.0</v>
      </c>
      <c r="E8048" s="52" t="s">
        <v>25</v>
      </c>
      <c r="F8048" s="52" t="s">
        <v>26</v>
      </c>
      <c r="G8048" s="53"/>
    </row>
    <row r="8049">
      <c r="A8049" s="49">
        <v>44597.55181446759</v>
      </c>
      <c r="B8049" s="50">
        <v>44597.6767914699</v>
      </c>
      <c r="C8049" s="51">
        <v>1.004</v>
      </c>
      <c r="D8049" s="51">
        <v>63.0</v>
      </c>
      <c r="E8049" s="52" t="s">
        <v>25</v>
      </c>
      <c r="F8049" s="52" t="s">
        <v>26</v>
      </c>
      <c r="G8049" s="53"/>
    </row>
    <row r="8050">
      <c r="A8050" s="49">
        <v>44597.562249236114</v>
      </c>
      <c r="B8050" s="50">
        <v>44597.6872251851</v>
      </c>
      <c r="C8050" s="51">
        <v>1.004</v>
      </c>
      <c r="D8050" s="51">
        <v>63.0</v>
      </c>
      <c r="E8050" s="52" t="s">
        <v>25</v>
      </c>
      <c r="F8050" s="52" t="s">
        <v>26</v>
      </c>
      <c r="G8050" s="53"/>
    </row>
    <row r="8051">
      <c r="A8051" s="49">
        <v>44597.572672511575</v>
      </c>
      <c r="B8051" s="50">
        <v>44597.697646574</v>
      </c>
      <c r="C8051" s="51">
        <v>1.004</v>
      </c>
      <c r="D8051" s="51">
        <v>63.0</v>
      </c>
      <c r="E8051" s="52" t="s">
        <v>25</v>
      </c>
      <c r="F8051" s="52" t="s">
        <v>26</v>
      </c>
      <c r="G8051" s="53"/>
    </row>
    <row r="8052">
      <c r="A8052" s="49">
        <v>44597.583107280094</v>
      </c>
      <c r="B8052" s="50">
        <v>44597.7080786574</v>
      </c>
      <c r="C8052" s="51">
        <v>1.004</v>
      </c>
      <c r="D8052" s="51">
        <v>63.0</v>
      </c>
      <c r="E8052" s="52" t="s">
        <v>25</v>
      </c>
      <c r="F8052" s="52" t="s">
        <v>26</v>
      </c>
      <c r="G8052" s="53"/>
    </row>
    <row r="8053">
      <c r="A8053" s="49">
        <v>44597.59353357639</v>
      </c>
      <c r="B8053" s="50">
        <v>44597.7185125115</v>
      </c>
      <c r="C8053" s="51">
        <v>1.004</v>
      </c>
      <c r="D8053" s="51">
        <v>63.0</v>
      </c>
      <c r="E8053" s="52" t="s">
        <v>25</v>
      </c>
      <c r="F8053" s="52" t="s">
        <v>26</v>
      </c>
      <c r="G8053" s="53"/>
    </row>
    <row r="8054">
      <c r="A8054" s="49">
        <v>44597.60405041667</v>
      </c>
      <c r="B8054" s="50">
        <v>44597.7290136805</v>
      </c>
      <c r="C8054" s="51">
        <v>1.004</v>
      </c>
      <c r="D8054" s="51">
        <v>63.0</v>
      </c>
      <c r="E8054" s="52" t="s">
        <v>25</v>
      </c>
      <c r="F8054" s="52" t="s">
        <v>26</v>
      </c>
      <c r="G8054" s="53"/>
    </row>
    <row r="8055">
      <c r="A8055" s="49">
        <v>44597.61445446759</v>
      </c>
      <c r="B8055" s="50">
        <v>44597.7394341088</v>
      </c>
      <c r="C8055" s="51">
        <v>1.004</v>
      </c>
      <c r="D8055" s="51">
        <v>63.0</v>
      </c>
      <c r="E8055" s="52" t="s">
        <v>25</v>
      </c>
      <c r="F8055" s="52" t="s">
        <v>26</v>
      </c>
      <c r="G8055" s="53"/>
    </row>
    <row r="8056">
      <c r="A8056" s="49">
        <v>44597.624881550924</v>
      </c>
      <c r="B8056" s="50">
        <v>44597.7498553703</v>
      </c>
      <c r="C8056" s="51">
        <v>1.004</v>
      </c>
      <c r="D8056" s="51">
        <v>63.0</v>
      </c>
      <c r="E8056" s="52" t="s">
        <v>25</v>
      </c>
      <c r="F8056" s="52" t="s">
        <v>26</v>
      </c>
      <c r="G8056" s="53"/>
    </row>
    <row r="8057">
      <c r="A8057" s="49">
        <v>44597.635313217594</v>
      </c>
      <c r="B8057" s="50">
        <v>44597.7602874768</v>
      </c>
      <c r="C8057" s="51">
        <v>1.004</v>
      </c>
      <c r="D8057" s="51">
        <v>63.0</v>
      </c>
      <c r="E8057" s="52" t="s">
        <v>25</v>
      </c>
      <c r="F8057" s="52" t="s">
        <v>26</v>
      </c>
      <c r="G8057" s="53"/>
    </row>
    <row r="8058">
      <c r="A8058" s="49">
        <v>44597.645733576384</v>
      </c>
      <c r="B8058" s="50">
        <v>44597.7707077777</v>
      </c>
      <c r="C8058" s="51">
        <v>1.004</v>
      </c>
      <c r="D8058" s="51">
        <v>63.0</v>
      </c>
      <c r="E8058" s="52" t="s">
        <v>25</v>
      </c>
      <c r="F8058" s="52" t="s">
        <v>26</v>
      </c>
      <c r="G8058" s="53"/>
    </row>
    <row r="8059">
      <c r="A8059" s="49">
        <v>44597.65615872685</v>
      </c>
      <c r="B8059" s="50">
        <v>44597.7811286342</v>
      </c>
      <c r="C8059" s="51">
        <v>1.004</v>
      </c>
      <c r="D8059" s="51">
        <v>63.0</v>
      </c>
      <c r="E8059" s="52" t="s">
        <v>25</v>
      </c>
      <c r="F8059" s="52" t="s">
        <v>26</v>
      </c>
      <c r="G8059" s="53"/>
    </row>
    <row r="8060">
      <c r="A8060" s="49">
        <v>44597.66659743055</v>
      </c>
      <c r="B8060" s="50">
        <v>44597.7915734259</v>
      </c>
      <c r="C8060" s="51">
        <v>1.004</v>
      </c>
      <c r="D8060" s="51">
        <v>63.0</v>
      </c>
      <c r="E8060" s="52" t="s">
        <v>25</v>
      </c>
      <c r="F8060" s="52" t="s">
        <v>26</v>
      </c>
      <c r="G8060" s="53"/>
    </row>
    <row r="8061">
      <c r="A8061" s="49">
        <v>44597.67702043982</v>
      </c>
      <c r="B8061" s="50">
        <v>44597.8019957986</v>
      </c>
      <c r="C8061" s="51">
        <v>1.004</v>
      </c>
      <c r="D8061" s="51">
        <v>63.0</v>
      </c>
      <c r="E8061" s="52" t="s">
        <v>25</v>
      </c>
      <c r="F8061" s="52" t="s">
        <v>26</v>
      </c>
      <c r="G8061" s="53"/>
    </row>
    <row r="8062">
      <c r="A8062" s="49">
        <v>44597.687441435184</v>
      </c>
      <c r="B8062" s="50">
        <v>44597.8124173379</v>
      </c>
      <c r="C8062" s="51">
        <v>1.004</v>
      </c>
      <c r="D8062" s="51">
        <v>63.0</v>
      </c>
      <c r="E8062" s="52" t="s">
        <v>25</v>
      </c>
      <c r="F8062" s="52" t="s">
        <v>26</v>
      </c>
      <c r="G8062" s="53"/>
    </row>
    <row r="8063">
      <c r="A8063" s="49">
        <v>44597.69788903935</v>
      </c>
      <c r="B8063" s="50">
        <v>44597.8228721643</v>
      </c>
      <c r="C8063" s="51">
        <v>1.004</v>
      </c>
      <c r="D8063" s="51">
        <v>63.0</v>
      </c>
      <c r="E8063" s="52" t="s">
        <v>25</v>
      </c>
      <c r="F8063" s="52" t="s">
        <v>26</v>
      </c>
      <c r="G8063" s="53"/>
    </row>
    <row r="8064">
      <c r="A8064" s="49">
        <v>44597.70831327546</v>
      </c>
      <c r="B8064" s="50">
        <v>44597.8332950115</v>
      </c>
      <c r="C8064" s="51">
        <v>1.004</v>
      </c>
      <c r="D8064" s="51">
        <v>63.0</v>
      </c>
      <c r="E8064" s="52" t="s">
        <v>25</v>
      </c>
      <c r="F8064" s="52" t="s">
        <v>26</v>
      </c>
      <c r="G8064" s="53"/>
    </row>
    <row r="8065">
      <c r="A8065" s="49">
        <v>44597.71875576389</v>
      </c>
      <c r="B8065" s="50">
        <v>44597.843727581</v>
      </c>
      <c r="C8065" s="51">
        <v>1.004</v>
      </c>
      <c r="D8065" s="51">
        <v>63.0</v>
      </c>
      <c r="E8065" s="52" t="s">
        <v>25</v>
      </c>
      <c r="F8065" s="52" t="s">
        <v>26</v>
      </c>
      <c r="G8065" s="53"/>
    </row>
    <row r="8066">
      <c r="A8066" s="49">
        <v>44597.72921060185</v>
      </c>
      <c r="B8066" s="50">
        <v>44597.8541834143</v>
      </c>
      <c r="C8066" s="51">
        <v>1.004</v>
      </c>
      <c r="D8066" s="51">
        <v>63.0</v>
      </c>
      <c r="E8066" s="52" t="s">
        <v>25</v>
      </c>
      <c r="F8066" s="52" t="s">
        <v>26</v>
      </c>
      <c r="G8066" s="53"/>
    </row>
    <row r="8067">
      <c r="A8067" s="49">
        <v>44597.73963164352</v>
      </c>
      <c r="B8067" s="50">
        <v>44597.8646069675</v>
      </c>
      <c r="C8067" s="51">
        <v>1.004</v>
      </c>
      <c r="D8067" s="51">
        <v>63.0</v>
      </c>
      <c r="E8067" s="52" t="s">
        <v>25</v>
      </c>
      <c r="F8067" s="52" t="s">
        <v>26</v>
      </c>
      <c r="G8067" s="53"/>
    </row>
    <row r="8068">
      <c r="A8068" s="49">
        <v>44597.75006309028</v>
      </c>
      <c r="B8068" s="50">
        <v>44597.8750414699</v>
      </c>
      <c r="C8068" s="51">
        <v>1.004</v>
      </c>
      <c r="D8068" s="51">
        <v>63.0</v>
      </c>
      <c r="E8068" s="52" t="s">
        <v>25</v>
      </c>
      <c r="F8068" s="52" t="s">
        <v>26</v>
      </c>
      <c r="G8068" s="53"/>
    </row>
    <row r="8069">
      <c r="A8069" s="49">
        <v>44597.760514733796</v>
      </c>
      <c r="B8069" s="50">
        <v>44597.8854867708</v>
      </c>
      <c r="C8069" s="51">
        <v>1.004</v>
      </c>
      <c r="D8069" s="51">
        <v>63.0</v>
      </c>
      <c r="E8069" s="52" t="s">
        <v>25</v>
      </c>
      <c r="F8069" s="52" t="s">
        <v>26</v>
      </c>
      <c r="G8069" s="53"/>
    </row>
    <row r="8070">
      <c r="A8070" s="49">
        <v>44597.77094640046</v>
      </c>
      <c r="B8070" s="50">
        <v>44597.895918368</v>
      </c>
      <c r="C8070" s="51">
        <v>1.004</v>
      </c>
      <c r="D8070" s="51">
        <v>63.0</v>
      </c>
      <c r="E8070" s="52" t="s">
        <v>25</v>
      </c>
      <c r="F8070" s="52" t="s">
        <v>26</v>
      </c>
      <c r="G8070" s="53"/>
    </row>
    <row r="8071">
      <c r="A8071" s="49">
        <v>44597.78135619213</v>
      </c>
      <c r="B8071" s="50">
        <v>44597.9063382407</v>
      </c>
      <c r="C8071" s="51">
        <v>1.004</v>
      </c>
      <c r="D8071" s="51">
        <v>63.0</v>
      </c>
      <c r="E8071" s="52" t="s">
        <v>25</v>
      </c>
      <c r="F8071" s="52" t="s">
        <v>26</v>
      </c>
      <c r="G8071" s="53"/>
    </row>
    <row r="8072">
      <c r="A8072" s="49">
        <v>44597.791781215274</v>
      </c>
      <c r="B8072" s="50">
        <v>44597.916760081</v>
      </c>
      <c r="C8072" s="51">
        <v>1.004</v>
      </c>
      <c r="D8072" s="51">
        <v>63.0</v>
      </c>
      <c r="E8072" s="52" t="s">
        <v>25</v>
      </c>
      <c r="F8072" s="52" t="s">
        <v>26</v>
      </c>
      <c r="G8072" s="53"/>
    </row>
    <row r="8073">
      <c r="A8073" s="49">
        <v>44597.80220583333</v>
      </c>
      <c r="B8073" s="50">
        <v>44597.9271792361</v>
      </c>
      <c r="C8073" s="51">
        <v>1.004</v>
      </c>
      <c r="D8073" s="51">
        <v>63.0</v>
      </c>
      <c r="E8073" s="52" t="s">
        <v>25</v>
      </c>
      <c r="F8073" s="52" t="s">
        <v>26</v>
      </c>
      <c r="G8073" s="53"/>
    </row>
    <row r="8074">
      <c r="A8074" s="49">
        <v>44597.81262902777</v>
      </c>
      <c r="B8074" s="50">
        <v>44597.9375991666</v>
      </c>
      <c r="C8074" s="51">
        <v>1.004</v>
      </c>
      <c r="D8074" s="51">
        <v>63.0</v>
      </c>
      <c r="E8074" s="52" t="s">
        <v>25</v>
      </c>
      <c r="F8074" s="52" t="s">
        <v>26</v>
      </c>
      <c r="G8074" s="53"/>
    </row>
    <row r="8075">
      <c r="A8075" s="49">
        <v>44597.823046631944</v>
      </c>
      <c r="B8075" s="50">
        <v>44597.9480216666</v>
      </c>
      <c r="C8075" s="51">
        <v>1.004</v>
      </c>
      <c r="D8075" s="51">
        <v>63.0</v>
      </c>
      <c r="E8075" s="52" t="s">
        <v>25</v>
      </c>
      <c r="F8075" s="52" t="s">
        <v>26</v>
      </c>
      <c r="G8075" s="53"/>
    </row>
    <row r="8076">
      <c r="A8076" s="49">
        <v>44597.833469062505</v>
      </c>
      <c r="B8076" s="50">
        <v>44597.9584436342</v>
      </c>
      <c r="C8076" s="51">
        <v>1.004</v>
      </c>
      <c r="D8076" s="51">
        <v>63.0</v>
      </c>
      <c r="E8076" s="52" t="s">
        <v>25</v>
      </c>
      <c r="F8076" s="52" t="s">
        <v>26</v>
      </c>
      <c r="G8076" s="53"/>
    </row>
    <row r="8077">
      <c r="A8077" s="49">
        <v>44597.84388947916</v>
      </c>
      <c r="B8077" s="50">
        <v>44597.9688646527</v>
      </c>
      <c r="C8077" s="51">
        <v>1.004</v>
      </c>
      <c r="D8077" s="51">
        <v>63.0</v>
      </c>
      <c r="E8077" s="52" t="s">
        <v>25</v>
      </c>
      <c r="F8077" s="52" t="s">
        <v>26</v>
      </c>
      <c r="G8077" s="53"/>
    </row>
    <row r="8078">
      <c r="A8078" s="49">
        <v>44597.85432510417</v>
      </c>
      <c r="B8078" s="50">
        <v>44597.9792985416</v>
      </c>
      <c r="C8078" s="51">
        <v>1.004</v>
      </c>
      <c r="D8078" s="51">
        <v>63.0</v>
      </c>
      <c r="E8078" s="52" t="s">
        <v>25</v>
      </c>
      <c r="F8078" s="52" t="s">
        <v>26</v>
      </c>
      <c r="G8078" s="53"/>
    </row>
    <row r="8079">
      <c r="A8079" s="49">
        <v>44597.86475021991</v>
      </c>
      <c r="B8079" s="50">
        <v>44597.9897311342</v>
      </c>
      <c r="C8079" s="51">
        <v>1.004</v>
      </c>
      <c r="D8079" s="51">
        <v>63.0</v>
      </c>
      <c r="E8079" s="52" t="s">
        <v>25</v>
      </c>
      <c r="F8079" s="52" t="s">
        <v>26</v>
      </c>
      <c r="G8079" s="53"/>
    </row>
    <row r="8080">
      <c r="A8080" s="49">
        <v>44597.87517961806</v>
      </c>
      <c r="B8080" s="50">
        <v>44598.000152199</v>
      </c>
      <c r="C8080" s="51">
        <v>1.004</v>
      </c>
      <c r="D8080" s="51">
        <v>63.0</v>
      </c>
      <c r="E8080" s="52" t="s">
        <v>25</v>
      </c>
      <c r="F8080" s="52" t="s">
        <v>26</v>
      </c>
      <c r="G8080" s="53"/>
    </row>
    <row r="8081">
      <c r="A8081" s="49">
        <v>44597.885595162035</v>
      </c>
      <c r="B8081" s="50">
        <v>44598.0105724652</v>
      </c>
      <c r="C8081" s="51">
        <v>1.004</v>
      </c>
      <c r="D8081" s="51">
        <v>63.0</v>
      </c>
      <c r="E8081" s="52" t="s">
        <v>25</v>
      </c>
      <c r="F8081" s="52" t="s">
        <v>26</v>
      </c>
      <c r="G8081" s="53"/>
    </row>
    <row r="8082">
      <c r="A8082" s="49">
        <v>44597.8960166551</v>
      </c>
      <c r="B8082" s="50">
        <v>44598.0209933101</v>
      </c>
      <c r="C8082" s="51">
        <v>1.004</v>
      </c>
      <c r="D8082" s="51">
        <v>63.0</v>
      </c>
      <c r="E8082" s="52" t="s">
        <v>25</v>
      </c>
      <c r="F8082" s="52" t="s">
        <v>26</v>
      </c>
      <c r="G8082" s="53"/>
    </row>
    <row r="8083">
      <c r="A8083" s="49">
        <v>44597.906443078704</v>
      </c>
      <c r="B8083" s="50">
        <v>44598.0314144791</v>
      </c>
      <c r="C8083" s="51">
        <v>1.004</v>
      </c>
      <c r="D8083" s="51">
        <v>63.0</v>
      </c>
      <c r="E8083" s="52" t="s">
        <v>25</v>
      </c>
      <c r="F8083" s="52" t="s">
        <v>26</v>
      </c>
      <c r="G8083" s="53"/>
    </row>
    <row r="8084">
      <c r="A8084" s="49">
        <v>44597.916876620366</v>
      </c>
      <c r="B8084" s="50">
        <v>44598.0418470949</v>
      </c>
      <c r="C8084" s="51">
        <v>1.004</v>
      </c>
      <c r="D8084" s="51">
        <v>63.0</v>
      </c>
      <c r="E8084" s="52" t="s">
        <v>25</v>
      </c>
      <c r="F8084" s="52" t="s">
        <v>26</v>
      </c>
      <c r="G8084" s="53"/>
    </row>
    <row r="8085">
      <c r="A8085" s="49">
        <v>44597.9273216088</v>
      </c>
      <c r="B8085" s="50">
        <v>44598.0522921527</v>
      </c>
      <c r="C8085" s="51">
        <v>1.004</v>
      </c>
      <c r="D8085" s="51">
        <v>63.0</v>
      </c>
      <c r="E8085" s="52" t="s">
        <v>25</v>
      </c>
      <c r="F8085" s="52" t="s">
        <v>26</v>
      </c>
      <c r="G8085" s="53"/>
    </row>
    <row r="8086">
      <c r="A8086" s="49">
        <v>44597.93774633102</v>
      </c>
      <c r="B8086" s="50">
        <v>44598.0627228819</v>
      </c>
      <c r="C8086" s="51">
        <v>1.004</v>
      </c>
      <c r="D8086" s="51">
        <v>63.0</v>
      </c>
      <c r="E8086" s="52" t="s">
        <v>25</v>
      </c>
      <c r="F8086" s="52" t="s">
        <v>26</v>
      </c>
      <c r="G8086" s="53"/>
    </row>
    <row r="8087">
      <c r="A8087" s="49">
        <v>44597.9481696875</v>
      </c>
      <c r="B8087" s="50">
        <v>44598.0731442245</v>
      </c>
      <c r="C8087" s="51">
        <v>1.004</v>
      </c>
      <c r="D8087" s="51">
        <v>63.0</v>
      </c>
      <c r="E8087" s="52" t="s">
        <v>25</v>
      </c>
      <c r="F8087" s="52" t="s">
        <v>26</v>
      </c>
      <c r="G8087" s="53"/>
    </row>
    <row r="8088">
      <c r="A8088" s="49">
        <v>44597.95860729167</v>
      </c>
      <c r="B8088" s="50">
        <v>44598.0835760185</v>
      </c>
      <c r="C8088" s="51">
        <v>1.004</v>
      </c>
      <c r="D8088" s="51">
        <v>63.0</v>
      </c>
      <c r="E8088" s="52" t="s">
        <v>25</v>
      </c>
      <c r="F8088" s="52" t="s">
        <v>26</v>
      </c>
      <c r="G8088" s="53"/>
    </row>
    <row r="8089">
      <c r="A8089" s="49">
        <v>44597.969041296295</v>
      </c>
      <c r="B8089" s="50">
        <v>44598.0940194675</v>
      </c>
      <c r="C8089" s="51">
        <v>1.004</v>
      </c>
      <c r="D8089" s="51">
        <v>63.0</v>
      </c>
      <c r="E8089" s="52" t="s">
        <v>25</v>
      </c>
      <c r="F8089" s="52" t="s">
        <v>26</v>
      </c>
      <c r="G8089" s="53"/>
    </row>
    <row r="8090">
      <c r="A8090" s="49">
        <v>44597.97946495371</v>
      </c>
      <c r="B8090" s="50">
        <v>44598.1044399768</v>
      </c>
      <c r="C8090" s="51">
        <v>1.004</v>
      </c>
      <c r="D8090" s="51">
        <v>63.0</v>
      </c>
      <c r="E8090" s="52" t="s">
        <v>25</v>
      </c>
      <c r="F8090" s="52" t="s">
        <v>26</v>
      </c>
      <c r="G8090" s="53"/>
    </row>
    <row r="8091">
      <c r="A8091" s="49">
        <v>44597.9898880324</v>
      </c>
      <c r="B8091" s="50">
        <v>44598.114861412</v>
      </c>
      <c r="C8091" s="51">
        <v>1.004</v>
      </c>
      <c r="D8091" s="51">
        <v>63.0</v>
      </c>
      <c r="E8091" s="52" t="s">
        <v>25</v>
      </c>
      <c r="F8091" s="52" t="s">
        <v>26</v>
      </c>
      <c r="G8091" s="53"/>
    </row>
    <row r="8092">
      <c r="A8092" s="49">
        <v>44598.00033243056</v>
      </c>
      <c r="B8092" s="50">
        <v>44598.1253059953</v>
      </c>
      <c r="C8092" s="51">
        <v>1.004</v>
      </c>
      <c r="D8092" s="51">
        <v>63.0</v>
      </c>
      <c r="E8092" s="52" t="s">
        <v>25</v>
      </c>
      <c r="F8092" s="52" t="s">
        <v>26</v>
      </c>
      <c r="G8092" s="53"/>
    </row>
    <row r="8093">
      <c r="A8093" s="49">
        <v>44598.010767789354</v>
      </c>
      <c r="B8093" s="50">
        <v>44598.1357397337</v>
      </c>
      <c r="C8093" s="51">
        <v>1.004</v>
      </c>
      <c r="D8093" s="51">
        <v>63.0</v>
      </c>
      <c r="E8093" s="52" t="s">
        <v>25</v>
      </c>
      <c r="F8093" s="52" t="s">
        <v>26</v>
      </c>
      <c r="G8093" s="53"/>
    </row>
    <row r="8094">
      <c r="A8094" s="49">
        <v>44598.02120956019</v>
      </c>
      <c r="B8094" s="50">
        <v>44598.1461838541</v>
      </c>
      <c r="C8094" s="51">
        <v>1.004</v>
      </c>
      <c r="D8094" s="51">
        <v>63.0</v>
      </c>
      <c r="E8094" s="52" t="s">
        <v>25</v>
      </c>
      <c r="F8094" s="52" t="s">
        <v>26</v>
      </c>
      <c r="G8094" s="53"/>
    </row>
    <row r="8095">
      <c r="A8095" s="49">
        <v>44598.03163369213</v>
      </c>
      <c r="B8095" s="50">
        <v>44598.1566163541</v>
      </c>
      <c r="C8095" s="51">
        <v>1.004</v>
      </c>
      <c r="D8095" s="51">
        <v>63.0</v>
      </c>
      <c r="E8095" s="52" t="s">
        <v>25</v>
      </c>
      <c r="F8095" s="52" t="s">
        <v>26</v>
      </c>
      <c r="G8095" s="53"/>
    </row>
    <row r="8096">
      <c r="A8096" s="49">
        <v>44598.042074745375</v>
      </c>
      <c r="B8096" s="50">
        <v>44598.167049456</v>
      </c>
      <c r="C8096" s="51">
        <v>1.004</v>
      </c>
      <c r="D8096" s="51">
        <v>63.0</v>
      </c>
      <c r="E8096" s="52" t="s">
        <v>25</v>
      </c>
      <c r="F8096" s="52" t="s">
        <v>26</v>
      </c>
      <c r="G8096" s="53"/>
    </row>
    <row r="8097">
      <c r="A8097" s="49">
        <v>44598.05249349537</v>
      </c>
      <c r="B8097" s="50">
        <v>44598.1774717476</v>
      </c>
      <c r="C8097" s="51">
        <v>1.004</v>
      </c>
      <c r="D8097" s="51">
        <v>63.0</v>
      </c>
      <c r="E8097" s="52" t="s">
        <v>25</v>
      </c>
      <c r="F8097" s="52" t="s">
        <v>26</v>
      </c>
      <c r="G8097" s="53"/>
    </row>
    <row r="8098">
      <c r="A8098" s="49">
        <v>44598.062924618054</v>
      </c>
      <c r="B8098" s="50">
        <v>44598.1879031018</v>
      </c>
      <c r="C8098" s="51">
        <v>1.004</v>
      </c>
      <c r="D8098" s="51">
        <v>63.0</v>
      </c>
      <c r="E8098" s="52" t="s">
        <v>25</v>
      </c>
      <c r="F8098" s="52" t="s">
        <v>26</v>
      </c>
      <c r="G8098" s="53"/>
    </row>
    <row r="8099">
      <c r="A8099" s="49">
        <v>44598.073351666666</v>
      </c>
      <c r="B8099" s="50">
        <v>44598.1983242824</v>
      </c>
      <c r="C8099" s="51">
        <v>1.004</v>
      </c>
      <c r="D8099" s="51">
        <v>64.0</v>
      </c>
      <c r="E8099" s="52" t="s">
        <v>25</v>
      </c>
      <c r="F8099" s="52" t="s">
        <v>26</v>
      </c>
      <c r="G8099" s="53"/>
    </row>
    <row r="8100">
      <c r="A8100" s="49">
        <v>44598.08377243056</v>
      </c>
      <c r="B8100" s="50">
        <v>44598.2087462615</v>
      </c>
      <c r="C8100" s="51">
        <v>1.004</v>
      </c>
      <c r="D8100" s="51">
        <v>64.0</v>
      </c>
      <c r="E8100" s="52" t="s">
        <v>25</v>
      </c>
      <c r="F8100" s="52" t="s">
        <v>26</v>
      </c>
      <c r="G8100" s="53"/>
    </row>
    <row r="8101">
      <c r="A8101" s="49">
        <v>44598.09420773148</v>
      </c>
      <c r="B8101" s="50">
        <v>44598.2191796875</v>
      </c>
      <c r="C8101" s="51">
        <v>1.004</v>
      </c>
      <c r="D8101" s="51">
        <v>65.0</v>
      </c>
      <c r="E8101" s="52" t="s">
        <v>25</v>
      </c>
      <c r="F8101" s="52" t="s">
        <v>26</v>
      </c>
      <c r="G8101" s="53"/>
    </row>
    <row r="8102">
      <c r="A8102" s="49">
        <v>44598.10462802083</v>
      </c>
      <c r="B8102" s="50">
        <v>44598.2296008101</v>
      </c>
      <c r="C8102" s="51">
        <v>1.004</v>
      </c>
      <c r="D8102" s="51">
        <v>65.0</v>
      </c>
      <c r="E8102" s="52" t="s">
        <v>25</v>
      </c>
      <c r="F8102" s="52" t="s">
        <v>26</v>
      </c>
      <c r="G8102" s="53"/>
    </row>
    <row r="8103">
      <c r="A8103" s="49">
        <v>44598.11504445602</v>
      </c>
      <c r="B8103" s="50">
        <v>44598.2400214699</v>
      </c>
      <c r="C8103" s="51">
        <v>1.004</v>
      </c>
      <c r="D8103" s="51">
        <v>66.0</v>
      </c>
      <c r="E8103" s="52" t="s">
        <v>25</v>
      </c>
      <c r="F8103" s="52" t="s">
        <v>26</v>
      </c>
      <c r="G8103" s="53"/>
    </row>
    <row r="8104">
      <c r="A8104" s="49">
        <v>44598.125460358795</v>
      </c>
      <c r="B8104" s="50">
        <v>44598.2504399652</v>
      </c>
      <c r="C8104" s="51">
        <v>1.004</v>
      </c>
      <c r="D8104" s="51">
        <v>66.0</v>
      </c>
      <c r="E8104" s="52" t="s">
        <v>25</v>
      </c>
      <c r="F8104" s="52" t="s">
        <v>26</v>
      </c>
      <c r="G8104" s="53"/>
    </row>
    <row r="8105">
      <c r="A8105" s="49">
        <v>44598.13588865741</v>
      </c>
      <c r="B8105" s="50">
        <v>44598.2608604745</v>
      </c>
      <c r="C8105" s="51">
        <v>1.004</v>
      </c>
      <c r="D8105" s="51">
        <v>66.0</v>
      </c>
      <c r="E8105" s="52" t="s">
        <v>25</v>
      </c>
      <c r="F8105" s="52" t="s">
        <v>26</v>
      </c>
      <c r="G8105" s="53"/>
    </row>
    <row r="8106">
      <c r="A8106" s="49">
        <v>44598.14630460648</v>
      </c>
      <c r="B8106" s="50">
        <v>44598.2712820138</v>
      </c>
      <c r="C8106" s="51">
        <v>1.004</v>
      </c>
      <c r="D8106" s="51">
        <v>67.0</v>
      </c>
      <c r="E8106" s="52" t="s">
        <v>25</v>
      </c>
      <c r="F8106" s="52" t="s">
        <v>26</v>
      </c>
      <c r="G8106" s="53"/>
    </row>
    <row r="8107">
      <c r="A8107" s="49">
        <v>44598.156748333335</v>
      </c>
      <c r="B8107" s="50">
        <v>44598.2817253703</v>
      </c>
      <c r="C8107" s="51">
        <v>1.004</v>
      </c>
      <c r="D8107" s="51">
        <v>67.0</v>
      </c>
      <c r="E8107" s="52" t="s">
        <v>25</v>
      </c>
      <c r="F8107" s="52" t="s">
        <v>26</v>
      </c>
      <c r="G8107" s="53"/>
    </row>
    <row r="8108">
      <c r="A8108" s="49">
        <v>44598.167169305554</v>
      </c>
      <c r="B8108" s="50">
        <v>44598.2921468518</v>
      </c>
      <c r="C8108" s="51">
        <v>1.003</v>
      </c>
      <c r="D8108" s="51">
        <v>68.0</v>
      </c>
      <c r="E8108" s="52" t="s">
        <v>25</v>
      </c>
      <c r="F8108" s="52" t="s">
        <v>26</v>
      </c>
      <c r="G8108" s="53"/>
    </row>
    <row r="8109">
      <c r="A8109" s="49">
        <v>44598.17758581019</v>
      </c>
      <c r="B8109" s="50">
        <v>44598.3025695601</v>
      </c>
      <c r="C8109" s="51">
        <v>1.004</v>
      </c>
      <c r="D8109" s="51">
        <v>68.0</v>
      </c>
      <c r="E8109" s="52" t="s">
        <v>25</v>
      </c>
      <c r="F8109" s="52" t="s">
        <v>26</v>
      </c>
      <c r="G8109" s="53"/>
    </row>
    <row r="8110">
      <c r="A8110" s="49">
        <v>44598.18801770834</v>
      </c>
      <c r="B8110" s="50">
        <v>44598.3129907986</v>
      </c>
      <c r="C8110" s="51">
        <v>1.003</v>
      </c>
      <c r="D8110" s="51">
        <v>68.0</v>
      </c>
      <c r="E8110" s="52" t="s">
        <v>25</v>
      </c>
      <c r="F8110" s="52" t="s">
        <v>26</v>
      </c>
      <c r="G8110" s="53"/>
    </row>
    <row r="8111">
      <c r="A8111" s="49">
        <v>44598.198437071755</v>
      </c>
      <c r="B8111" s="50">
        <v>44598.3234113657</v>
      </c>
      <c r="C8111" s="51">
        <v>1.004</v>
      </c>
      <c r="D8111" s="51">
        <v>68.0</v>
      </c>
      <c r="E8111" s="52" t="s">
        <v>25</v>
      </c>
      <c r="F8111" s="52" t="s">
        <v>26</v>
      </c>
      <c r="G8111" s="53"/>
    </row>
    <row r="8112">
      <c r="A8112" s="49">
        <v>44598.20885784722</v>
      </c>
      <c r="B8112" s="50">
        <v>44598.3338329282</v>
      </c>
      <c r="C8112" s="51">
        <v>1.004</v>
      </c>
      <c r="D8112" s="51">
        <v>68.0</v>
      </c>
      <c r="E8112" s="52" t="s">
        <v>25</v>
      </c>
      <c r="F8112" s="52" t="s">
        <v>26</v>
      </c>
      <c r="G8112" s="53"/>
    </row>
    <row r="8113">
      <c r="A8113" s="49">
        <v>44598.219295821764</v>
      </c>
      <c r="B8113" s="50">
        <v>44598.344267905</v>
      </c>
      <c r="C8113" s="51">
        <v>1.004</v>
      </c>
      <c r="D8113" s="51">
        <v>68.0</v>
      </c>
      <c r="E8113" s="52" t="s">
        <v>25</v>
      </c>
      <c r="F8113" s="52" t="s">
        <v>26</v>
      </c>
      <c r="G8113" s="53"/>
    </row>
    <row r="8114">
      <c r="A8114" s="49">
        <v>44598.2297125926</v>
      </c>
      <c r="B8114" s="50">
        <v>44598.35468853</v>
      </c>
      <c r="C8114" s="51">
        <v>1.004</v>
      </c>
      <c r="D8114" s="51">
        <v>68.0</v>
      </c>
      <c r="E8114" s="52" t="s">
        <v>25</v>
      </c>
      <c r="F8114" s="52" t="s">
        <v>26</v>
      </c>
      <c r="G8114" s="53"/>
    </row>
    <row r="8115">
      <c r="A8115" s="49">
        <v>44598.24014055556</v>
      </c>
      <c r="B8115" s="50">
        <v>44598.3651217129</v>
      </c>
      <c r="C8115" s="51">
        <v>1.004</v>
      </c>
      <c r="D8115" s="51">
        <v>68.0</v>
      </c>
      <c r="E8115" s="52" t="s">
        <v>25</v>
      </c>
      <c r="F8115" s="52" t="s">
        <v>26</v>
      </c>
      <c r="G8115" s="53"/>
    </row>
    <row r="8116">
      <c r="A8116" s="49">
        <v>44598.25056886574</v>
      </c>
      <c r="B8116" s="50">
        <v>44598.3755423958</v>
      </c>
      <c r="C8116" s="51">
        <v>1.004</v>
      </c>
      <c r="D8116" s="51">
        <v>68.0</v>
      </c>
      <c r="E8116" s="52" t="s">
        <v>25</v>
      </c>
      <c r="F8116" s="52" t="s">
        <v>26</v>
      </c>
      <c r="G8116" s="53"/>
    </row>
    <row r="8117">
      <c r="A8117" s="49">
        <v>44598.26101270833</v>
      </c>
      <c r="B8117" s="50">
        <v>44598.3859878703</v>
      </c>
      <c r="C8117" s="51">
        <v>1.004</v>
      </c>
      <c r="D8117" s="51">
        <v>68.0</v>
      </c>
      <c r="E8117" s="52" t="s">
        <v>25</v>
      </c>
      <c r="F8117" s="52" t="s">
        <v>26</v>
      </c>
      <c r="G8117" s="53"/>
    </row>
    <row r="8118">
      <c r="A8118" s="49">
        <v>44598.27144664351</v>
      </c>
      <c r="B8118" s="50">
        <v>44598.3964193865</v>
      </c>
      <c r="C8118" s="51">
        <v>1.004</v>
      </c>
      <c r="D8118" s="51">
        <v>68.0</v>
      </c>
      <c r="E8118" s="52" t="s">
        <v>25</v>
      </c>
      <c r="F8118" s="52" t="s">
        <v>26</v>
      </c>
      <c r="G8118" s="53"/>
    </row>
    <row r="8119">
      <c r="A8119" s="49">
        <v>44598.281865173616</v>
      </c>
      <c r="B8119" s="50">
        <v>44598.4068395138</v>
      </c>
      <c r="C8119" s="51">
        <v>1.004</v>
      </c>
      <c r="D8119" s="51">
        <v>68.0</v>
      </c>
      <c r="E8119" s="52" t="s">
        <v>25</v>
      </c>
      <c r="F8119" s="52" t="s">
        <v>26</v>
      </c>
      <c r="G8119" s="53"/>
    </row>
    <row r="8120">
      <c r="A8120" s="49">
        <v>44598.29227881944</v>
      </c>
      <c r="B8120" s="50">
        <v>44598.417261331</v>
      </c>
      <c r="C8120" s="51">
        <v>1.004</v>
      </c>
      <c r="D8120" s="51">
        <v>68.0</v>
      </c>
      <c r="E8120" s="52" t="s">
        <v>25</v>
      </c>
      <c r="F8120" s="52" t="s">
        <v>26</v>
      </c>
      <c r="G8120" s="53"/>
    </row>
    <row r="8121">
      <c r="A8121" s="49">
        <v>44598.30272383102</v>
      </c>
      <c r="B8121" s="50">
        <v>44598.4276947338</v>
      </c>
      <c r="C8121" s="51">
        <v>1.004</v>
      </c>
      <c r="D8121" s="51">
        <v>68.0</v>
      </c>
      <c r="E8121" s="52" t="s">
        <v>25</v>
      </c>
      <c r="F8121" s="52" t="s">
        <v>26</v>
      </c>
      <c r="G8121" s="53"/>
    </row>
    <row r="8122">
      <c r="A8122" s="49">
        <v>44598.313138495374</v>
      </c>
      <c r="B8122" s="50">
        <v>44598.4381135069</v>
      </c>
      <c r="C8122" s="51">
        <v>1.004</v>
      </c>
      <c r="D8122" s="51">
        <v>67.0</v>
      </c>
      <c r="E8122" s="52" t="s">
        <v>25</v>
      </c>
      <c r="F8122" s="52" t="s">
        <v>26</v>
      </c>
      <c r="G8122" s="53"/>
    </row>
    <row r="8123">
      <c r="A8123" s="49">
        <v>44598.32356395833</v>
      </c>
      <c r="B8123" s="50">
        <v>44598.4485454513</v>
      </c>
      <c r="C8123" s="51">
        <v>1.004</v>
      </c>
      <c r="D8123" s="51">
        <v>67.0</v>
      </c>
      <c r="E8123" s="52" t="s">
        <v>25</v>
      </c>
      <c r="F8123" s="52" t="s">
        <v>26</v>
      </c>
      <c r="G8123" s="53"/>
    </row>
    <row r="8124">
      <c r="A8124" s="49">
        <v>44598.33398609953</v>
      </c>
      <c r="B8124" s="50">
        <v>44598.4589658101</v>
      </c>
      <c r="C8124" s="51">
        <v>1.004</v>
      </c>
      <c r="D8124" s="51">
        <v>67.0</v>
      </c>
      <c r="E8124" s="52" t="s">
        <v>25</v>
      </c>
      <c r="F8124" s="52" t="s">
        <v>26</v>
      </c>
      <c r="G8124" s="53"/>
    </row>
    <row r="8125">
      <c r="A8125" s="49">
        <v>44598.34444515046</v>
      </c>
      <c r="B8125" s="50">
        <v>44598.4694227314</v>
      </c>
      <c r="C8125" s="51">
        <v>1.004</v>
      </c>
      <c r="D8125" s="51">
        <v>67.0</v>
      </c>
      <c r="E8125" s="52" t="s">
        <v>25</v>
      </c>
      <c r="F8125" s="52" t="s">
        <v>26</v>
      </c>
      <c r="G8125" s="53"/>
    </row>
    <row r="8126">
      <c r="A8126" s="49">
        <v>44598.35486479166</v>
      </c>
      <c r="B8126" s="50">
        <v>44598.4798441782</v>
      </c>
      <c r="C8126" s="51">
        <v>1.004</v>
      </c>
      <c r="D8126" s="51">
        <v>67.0</v>
      </c>
      <c r="E8126" s="52" t="s">
        <v>25</v>
      </c>
      <c r="F8126" s="52" t="s">
        <v>26</v>
      </c>
      <c r="G8126" s="53"/>
    </row>
    <row r="8127">
      <c r="A8127" s="49">
        <v>44598.36531533565</v>
      </c>
      <c r="B8127" s="50">
        <v>44598.4902904282</v>
      </c>
      <c r="C8127" s="51">
        <v>1.004</v>
      </c>
      <c r="D8127" s="51">
        <v>67.0</v>
      </c>
      <c r="E8127" s="52" t="s">
        <v>25</v>
      </c>
      <c r="F8127" s="52" t="s">
        <v>26</v>
      </c>
      <c r="G8127" s="53"/>
    </row>
    <row r="8128">
      <c r="A8128" s="49">
        <v>44598.37573825232</v>
      </c>
      <c r="B8128" s="50">
        <v>44598.50071103</v>
      </c>
      <c r="C8128" s="51">
        <v>1.004</v>
      </c>
      <c r="D8128" s="51">
        <v>67.0</v>
      </c>
      <c r="E8128" s="52" t="s">
        <v>25</v>
      </c>
      <c r="F8128" s="52" t="s">
        <v>26</v>
      </c>
      <c r="G8128" s="53"/>
    </row>
    <row r="8129">
      <c r="A8129" s="49">
        <v>44598.38616230324</v>
      </c>
      <c r="B8129" s="50">
        <v>44598.5111336805</v>
      </c>
      <c r="C8129" s="51">
        <v>1.004</v>
      </c>
      <c r="D8129" s="51">
        <v>67.0</v>
      </c>
      <c r="E8129" s="52" t="s">
        <v>25</v>
      </c>
      <c r="F8129" s="52" t="s">
        <v>26</v>
      </c>
      <c r="G8129" s="53"/>
    </row>
    <row r="8130">
      <c r="A8130" s="49">
        <v>44598.39657795139</v>
      </c>
      <c r="B8130" s="50">
        <v>44598.5215548148</v>
      </c>
      <c r="C8130" s="51">
        <v>1.004</v>
      </c>
      <c r="D8130" s="51">
        <v>67.0</v>
      </c>
      <c r="E8130" s="52" t="s">
        <v>25</v>
      </c>
      <c r="F8130" s="52" t="s">
        <v>26</v>
      </c>
      <c r="G8130" s="53"/>
    </row>
    <row r="8131">
      <c r="A8131" s="49">
        <v>44598.407002824075</v>
      </c>
      <c r="B8131" s="50">
        <v>44598.531975405</v>
      </c>
      <c r="C8131" s="51">
        <v>1.004</v>
      </c>
      <c r="D8131" s="51">
        <v>67.0</v>
      </c>
      <c r="E8131" s="52" t="s">
        <v>25</v>
      </c>
      <c r="F8131" s="52" t="s">
        <v>26</v>
      </c>
      <c r="G8131" s="53"/>
    </row>
    <row r="8132">
      <c r="A8132" s="49">
        <v>44598.41742355324</v>
      </c>
      <c r="B8132" s="50">
        <v>44598.5423958564</v>
      </c>
      <c r="C8132" s="51">
        <v>1.004</v>
      </c>
      <c r="D8132" s="51">
        <v>67.0</v>
      </c>
      <c r="E8132" s="52" t="s">
        <v>25</v>
      </c>
      <c r="F8132" s="52" t="s">
        <v>26</v>
      </c>
      <c r="G8132" s="53"/>
    </row>
    <row r="8133">
      <c r="A8133" s="49">
        <v>44598.427851030094</v>
      </c>
      <c r="B8133" s="50">
        <v>44598.5528268981</v>
      </c>
      <c r="C8133" s="51">
        <v>1.004</v>
      </c>
      <c r="D8133" s="51">
        <v>67.0</v>
      </c>
      <c r="E8133" s="52" t="s">
        <v>25</v>
      </c>
      <c r="F8133" s="52" t="s">
        <v>26</v>
      </c>
      <c r="G8133" s="53"/>
    </row>
    <row r="8134">
      <c r="A8134" s="49">
        <v>44598.43827381944</v>
      </c>
      <c r="B8134" s="50">
        <v>44598.5632480092</v>
      </c>
      <c r="C8134" s="51">
        <v>1.004</v>
      </c>
      <c r="D8134" s="51">
        <v>67.0</v>
      </c>
      <c r="E8134" s="52" t="s">
        <v>25</v>
      </c>
      <c r="F8134" s="52" t="s">
        <v>26</v>
      </c>
      <c r="G8134" s="53"/>
    </row>
    <row r="8135">
      <c r="A8135" s="49">
        <v>44598.44868758102</v>
      </c>
      <c r="B8135" s="50">
        <v>44598.5736680324</v>
      </c>
      <c r="C8135" s="51">
        <v>1.004</v>
      </c>
      <c r="D8135" s="51">
        <v>67.0</v>
      </c>
      <c r="E8135" s="52" t="s">
        <v>25</v>
      </c>
      <c r="F8135" s="52" t="s">
        <v>26</v>
      </c>
      <c r="G8135" s="53"/>
    </row>
    <row r="8136">
      <c r="A8136" s="49">
        <v>44598.45911336805</v>
      </c>
      <c r="B8136" s="50">
        <v>44598.584090162</v>
      </c>
      <c r="C8136" s="51">
        <v>1.004</v>
      </c>
      <c r="D8136" s="51">
        <v>67.0</v>
      </c>
      <c r="E8136" s="52" t="s">
        <v>25</v>
      </c>
      <c r="F8136" s="52" t="s">
        <v>26</v>
      </c>
      <c r="G8136" s="53"/>
    </row>
    <row r="8137">
      <c r="A8137" s="49">
        <v>44598.46954979167</v>
      </c>
      <c r="B8137" s="50">
        <v>44598.5945226736</v>
      </c>
      <c r="C8137" s="51">
        <v>1.004</v>
      </c>
      <c r="D8137" s="51">
        <v>67.0</v>
      </c>
      <c r="E8137" s="52" t="s">
        <v>25</v>
      </c>
      <c r="F8137" s="52" t="s">
        <v>26</v>
      </c>
      <c r="G8137" s="53"/>
    </row>
    <row r="8138">
      <c r="A8138" s="49">
        <v>44598.479965624996</v>
      </c>
      <c r="B8138" s="50">
        <v>44598.6049442708</v>
      </c>
      <c r="C8138" s="51">
        <v>1.004</v>
      </c>
      <c r="D8138" s="51">
        <v>67.0</v>
      </c>
      <c r="E8138" s="52" t="s">
        <v>25</v>
      </c>
      <c r="F8138" s="52" t="s">
        <v>26</v>
      </c>
      <c r="G8138" s="53"/>
    </row>
    <row r="8139">
      <c r="A8139" s="49">
        <v>44598.49039050926</v>
      </c>
      <c r="B8139" s="50">
        <v>44598.6153632638</v>
      </c>
      <c r="C8139" s="51">
        <v>1.004</v>
      </c>
      <c r="D8139" s="51">
        <v>67.0</v>
      </c>
      <c r="E8139" s="52" t="s">
        <v>25</v>
      </c>
      <c r="F8139" s="52" t="s">
        <v>26</v>
      </c>
      <c r="G8139" s="53"/>
    </row>
    <row r="8140">
      <c r="A8140" s="49">
        <v>44598.5008192824</v>
      </c>
      <c r="B8140" s="50">
        <v>44598.6257941898</v>
      </c>
      <c r="C8140" s="51">
        <v>1.004</v>
      </c>
      <c r="D8140" s="51">
        <v>67.0</v>
      </c>
      <c r="E8140" s="52" t="s">
        <v>25</v>
      </c>
      <c r="F8140" s="52" t="s">
        <v>26</v>
      </c>
      <c r="G8140" s="53"/>
    </row>
    <row r="8141">
      <c r="A8141" s="49">
        <v>44598.51123726852</v>
      </c>
      <c r="B8141" s="50">
        <v>44598.6362155208</v>
      </c>
      <c r="C8141" s="51">
        <v>1.004</v>
      </c>
      <c r="D8141" s="51">
        <v>67.0</v>
      </c>
      <c r="E8141" s="52" t="s">
        <v>25</v>
      </c>
      <c r="F8141" s="52" t="s">
        <v>26</v>
      </c>
      <c r="G8141" s="53"/>
    </row>
    <row r="8142">
      <c r="A8142" s="49">
        <v>44598.521662060186</v>
      </c>
      <c r="B8142" s="50">
        <v>44598.6466374999</v>
      </c>
      <c r="C8142" s="51">
        <v>1.004</v>
      </c>
      <c r="D8142" s="51">
        <v>67.0</v>
      </c>
      <c r="E8142" s="52" t="s">
        <v>25</v>
      </c>
      <c r="F8142" s="52" t="s">
        <v>26</v>
      </c>
      <c r="G8142" s="53"/>
    </row>
    <row r="8143">
      <c r="A8143" s="49">
        <v>44598.53208034722</v>
      </c>
      <c r="B8143" s="50">
        <v>44598.6570612268</v>
      </c>
      <c r="C8143" s="51">
        <v>1.004</v>
      </c>
      <c r="D8143" s="51">
        <v>67.0</v>
      </c>
      <c r="E8143" s="52" t="s">
        <v>25</v>
      </c>
      <c r="F8143" s="52" t="s">
        <v>26</v>
      </c>
      <c r="G8143" s="53"/>
    </row>
    <row r="8144">
      <c r="A8144" s="49">
        <v>44598.54251303241</v>
      </c>
      <c r="B8144" s="50">
        <v>44598.6674806712</v>
      </c>
      <c r="C8144" s="51">
        <v>1.004</v>
      </c>
      <c r="D8144" s="51">
        <v>67.0</v>
      </c>
      <c r="E8144" s="52" t="s">
        <v>25</v>
      </c>
      <c r="F8144" s="52" t="s">
        <v>26</v>
      </c>
      <c r="G8144" s="53"/>
    </row>
    <row r="8145">
      <c r="A8145" s="49">
        <v>44598.552946006945</v>
      </c>
      <c r="B8145" s="50">
        <v>44598.6779259606</v>
      </c>
      <c r="C8145" s="51">
        <v>1.004</v>
      </c>
      <c r="D8145" s="51">
        <v>67.0</v>
      </c>
      <c r="E8145" s="52" t="s">
        <v>25</v>
      </c>
      <c r="F8145" s="52" t="s">
        <v>26</v>
      </c>
      <c r="G8145" s="53"/>
    </row>
    <row r="8146">
      <c r="A8146" s="49">
        <v>44598.56336541667</v>
      </c>
      <c r="B8146" s="50">
        <v>44598.6883466203</v>
      </c>
      <c r="C8146" s="51">
        <v>1.004</v>
      </c>
      <c r="D8146" s="51">
        <v>67.0</v>
      </c>
      <c r="E8146" s="52" t="s">
        <v>25</v>
      </c>
      <c r="F8146" s="52" t="s">
        <v>26</v>
      </c>
      <c r="G8146" s="53"/>
    </row>
    <row r="8147">
      <c r="A8147" s="49">
        <v>44598.573792372685</v>
      </c>
      <c r="B8147" s="50">
        <v>44598.6987686342</v>
      </c>
      <c r="C8147" s="51">
        <v>1.004</v>
      </c>
      <c r="D8147" s="51">
        <v>67.0</v>
      </c>
      <c r="E8147" s="52" t="s">
        <v>25</v>
      </c>
      <c r="F8147" s="52" t="s">
        <v>26</v>
      </c>
      <c r="G8147" s="53"/>
    </row>
    <row r="8148">
      <c r="A8148" s="49">
        <v>44598.584211712965</v>
      </c>
      <c r="B8148" s="50">
        <v>44598.7091892592</v>
      </c>
      <c r="C8148" s="51">
        <v>1.004</v>
      </c>
      <c r="D8148" s="51">
        <v>67.0</v>
      </c>
      <c r="E8148" s="52" t="s">
        <v>25</v>
      </c>
      <c r="F8148" s="52" t="s">
        <v>26</v>
      </c>
      <c r="G8148" s="53"/>
    </row>
    <row r="8149">
      <c r="A8149" s="49">
        <v>44598.59465162037</v>
      </c>
      <c r="B8149" s="50">
        <v>44598.719633287</v>
      </c>
      <c r="C8149" s="51">
        <v>1.004</v>
      </c>
      <c r="D8149" s="51">
        <v>67.0</v>
      </c>
      <c r="E8149" s="52" t="s">
        <v>25</v>
      </c>
      <c r="F8149" s="52" t="s">
        <v>26</v>
      </c>
      <c r="G8149" s="53"/>
    </row>
    <row r="8150">
      <c r="A8150" s="49">
        <v>44598.60509116898</v>
      </c>
      <c r="B8150" s="50">
        <v>44598.7300660532</v>
      </c>
      <c r="C8150" s="51">
        <v>1.004</v>
      </c>
      <c r="D8150" s="51">
        <v>66.0</v>
      </c>
      <c r="E8150" s="52" t="s">
        <v>25</v>
      </c>
      <c r="F8150" s="52" t="s">
        <v>26</v>
      </c>
      <c r="G8150" s="53"/>
    </row>
    <row r="8151">
      <c r="A8151" s="49">
        <v>44598.61550695602</v>
      </c>
      <c r="B8151" s="50">
        <v>44598.7404876851</v>
      </c>
      <c r="C8151" s="51">
        <v>1.004</v>
      </c>
      <c r="D8151" s="51">
        <v>66.0</v>
      </c>
      <c r="E8151" s="52" t="s">
        <v>25</v>
      </c>
      <c r="F8151" s="52" t="s">
        <v>26</v>
      </c>
      <c r="G8151" s="53"/>
    </row>
    <row r="8152">
      <c r="A8152" s="49">
        <v>44598.625937060184</v>
      </c>
      <c r="B8152" s="50">
        <v>44598.7509109722</v>
      </c>
      <c r="C8152" s="51">
        <v>1.004</v>
      </c>
      <c r="D8152" s="51">
        <v>66.0</v>
      </c>
      <c r="E8152" s="52" t="s">
        <v>25</v>
      </c>
      <c r="F8152" s="52" t="s">
        <v>26</v>
      </c>
      <c r="G8152" s="53"/>
    </row>
    <row r="8153">
      <c r="A8153" s="49">
        <v>44598.63636466435</v>
      </c>
      <c r="B8153" s="50">
        <v>44598.7613331597</v>
      </c>
      <c r="C8153" s="51">
        <v>1.004</v>
      </c>
      <c r="D8153" s="51">
        <v>66.0</v>
      </c>
      <c r="E8153" s="52" t="s">
        <v>25</v>
      </c>
      <c r="F8153" s="52" t="s">
        <v>26</v>
      </c>
      <c r="G8153" s="53"/>
    </row>
    <row r="8154">
      <c r="A8154" s="49">
        <v>44598.64683200231</v>
      </c>
      <c r="B8154" s="50">
        <v>44598.7718122685</v>
      </c>
      <c r="C8154" s="51">
        <v>1.004</v>
      </c>
      <c r="D8154" s="51">
        <v>66.0</v>
      </c>
      <c r="E8154" s="52" t="s">
        <v>25</v>
      </c>
      <c r="F8154" s="52" t="s">
        <v>26</v>
      </c>
      <c r="G8154" s="53"/>
    </row>
    <row r="8155">
      <c r="A8155" s="49">
        <v>44598.657258217594</v>
      </c>
      <c r="B8155" s="50">
        <v>44598.7822326157</v>
      </c>
      <c r="C8155" s="51">
        <v>1.004</v>
      </c>
      <c r="D8155" s="51">
        <v>66.0</v>
      </c>
      <c r="E8155" s="52" t="s">
        <v>25</v>
      </c>
      <c r="F8155" s="52" t="s">
        <v>26</v>
      </c>
      <c r="G8155" s="53"/>
    </row>
    <row r="8156">
      <c r="A8156" s="49">
        <v>44598.6676746875</v>
      </c>
      <c r="B8156" s="50">
        <v>44598.792653831</v>
      </c>
      <c r="C8156" s="51">
        <v>1.004</v>
      </c>
      <c r="D8156" s="51">
        <v>66.0</v>
      </c>
      <c r="E8156" s="52" t="s">
        <v>25</v>
      </c>
      <c r="F8156" s="52" t="s">
        <v>26</v>
      </c>
      <c r="G8156" s="53"/>
    </row>
    <row r="8157">
      <c r="A8157" s="49">
        <v>44598.67811091435</v>
      </c>
      <c r="B8157" s="50">
        <v>44598.8030865393</v>
      </c>
      <c r="C8157" s="51">
        <v>1.004</v>
      </c>
      <c r="D8157" s="51">
        <v>66.0</v>
      </c>
      <c r="E8157" s="52" t="s">
        <v>25</v>
      </c>
      <c r="F8157" s="52" t="s">
        <v>26</v>
      </c>
      <c r="G8157" s="53"/>
    </row>
    <row r="8158">
      <c r="A8158" s="49">
        <v>44598.68854546297</v>
      </c>
      <c r="B8158" s="50">
        <v>44598.8135196064</v>
      </c>
      <c r="C8158" s="51">
        <v>1.004</v>
      </c>
      <c r="D8158" s="51">
        <v>66.0</v>
      </c>
      <c r="E8158" s="52" t="s">
        <v>25</v>
      </c>
      <c r="F8158" s="52" t="s">
        <v>26</v>
      </c>
      <c r="G8158" s="53"/>
    </row>
    <row r="8159">
      <c r="A8159" s="49">
        <v>44598.6989740625</v>
      </c>
      <c r="B8159" s="50">
        <v>44598.8239527546</v>
      </c>
      <c r="C8159" s="51">
        <v>1.004</v>
      </c>
      <c r="D8159" s="51">
        <v>66.0</v>
      </c>
      <c r="E8159" s="52" t="s">
        <v>25</v>
      </c>
      <c r="F8159" s="52" t="s">
        <v>26</v>
      </c>
      <c r="G8159" s="53"/>
    </row>
    <row r="8160">
      <c r="A8160" s="49">
        <v>44598.709430532406</v>
      </c>
      <c r="B8160" s="50">
        <v>44598.834409074</v>
      </c>
      <c r="C8160" s="51">
        <v>1.004</v>
      </c>
      <c r="D8160" s="51">
        <v>66.0</v>
      </c>
      <c r="E8160" s="52" t="s">
        <v>25</v>
      </c>
      <c r="F8160" s="52" t="s">
        <v>26</v>
      </c>
      <c r="G8160" s="53"/>
    </row>
    <row r="8161">
      <c r="A8161" s="49">
        <v>44598.71984943287</v>
      </c>
      <c r="B8161" s="50">
        <v>44598.8448302777</v>
      </c>
      <c r="C8161" s="51">
        <v>1.004</v>
      </c>
      <c r="D8161" s="51">
        <v>66.0</v>
      </c>
      <c r="E8161" s="52" t="s">
        <v>25</v>
      </c>
      <c r="F8161" s="52" t="s">
        <v>26</v>
      </c>
      <c r="G8161" s="53"/>
    </row>
    <row r="8162">
      <c r="A8162" s="49">
        <v>44598.73027644676</v>
      </c>
      <c r="B8162" s="50">
        <v>44598.8552493749</v>
      </c>
      <c r="C8162" s="51">
        <v>1.004</v>
      </c>
      <c r="D8162" s="51">
        <v>66.0</v>
      </c>
      <c r="E8162" s="52" t="s">
        <v>25</v>
      </c>
      <c r="F8162" s="52" t="s">
        <v>26</v>
      </c>
      <c r="G8162" s="53"/>
    </row>
    <row r="8163">
      <c r="A8163" s="49">
        <v>44598.74069777778</v>
      </c>
      <c r="B8163" s="50">
        <v>44598.8656696064</v>
      </c>
      <c r="C8163" s="51">
        <v>1.004</v>
      </c>
      <c r="D8163" s="51">
        <v>66.0</v>
      </c>
      <c r="E8163" s="52" t="s">
        <v>25</v>
      </c>
      <c r="F8163" s="52" t="s">
        <v>26</v>
      </c>
      <c r="G8163" s="53"/>
    </row>
    <row r="8164">
      <c r="A8164" s="49">
        <v>44598.75112821759</v>
      </c>
      <c r="B8164" s="50">
        <v>44598.8761022453</v>
      </c>
      <c r="C8164" s="51">
        <v>1.004</v>
      </c>
      <c r="D8164" s="51">
        <v>66.0</v>
      </c>
      <c r="E8164" s="52" t="s">
        <v>25</v>
      </c>
      <c r="F8164" s="52" t="s">
        <v>26</v>
      </c>
      <c r="G8164" s="53"/>
    </row>
    <row r="8165">
      <c r="A8165" s="49">
        <v>44598.76155887732</v>
      </c>
      <c r="B8165" s="50">
        <v>44598.8865350347</v>
      </c>
      <c r="C8165" s="51">
        <v>1.004</v>
      </c>
      <c r="D8165" s="51">
        <v>66.0</v>
      </c>
      <c r="E8165" s="52" t="s">
        <v>25</v>
      </c>
      <c r="F8165" s="52" t="s">
        <v>26</v>
      </c>
      <c r="G8165" s="53"/>
    </row>
    <row r="8166">
      <c r="A8166" s="49">
        <v>44598.7719994213</v>
      </c>
      <c r="B8166" s="50">
        <v>44598.8969666203</v>
      </c>
      <c r="C8166" s="51">
        <v>1.004</v>
      </c>
      <c r="D8166" s="51">
        <v>66.0</v>
      </c>
      <c r="E8166" s="52" t="s">
        <v>25</v>
      </c>
      <c r="F8166" s="52" t="s">
        <v>26</v>
      </c>
      <c r="G8166" s="53"/>
    </row>
    <row r="8167">
      <c r="A8167" s="49">
        <v>44598.782418773146</v>
      </c>
      <c r="B8167" s="50">
        <v>44598.9073881481</v>
      </c>
      <c r="C8167" s="51">
        <v>1.004</v>
      </c>
      <c r="D8167" s="51">
        <v>66.0</v>
      </c>
      <c r="E8167" s="52" t="s">
        <v>25</v>
      </c>
      <c r="F8167" s="52" t="s">
        <v>26</v>
      </c>
      <c r="G8167" s="53"/>
    </row>
    <row r="8168">
      <c r="A8168" s="49">
        <v>44598.792861354166</v>
      </c>
      <c r="B8168" s="50">
        <v>44598.9178316319</v>
      </c>
      <c r="C8168" s="51">
        <v>1.004</v>
      </c>
      <c r="D8168" s="51">
        <v>66.0</v>
      </c>
      <c r="E8168" s="52" t="s">
        <v>25</v>
      </c>
      <c r="F8168" s="52" t="s">
        <v>26</v>
      </c>
      <c r="G8168" s="53"/>
    </row>
    <row r="8169">
      <c r="A8169" s="49">
        <v>44598.80330832176</v>
      </c>
      <c r="B8169" s="50">
        <v>44598.9282756944</v>
      </c>
      <c r="C8169" s="51">
        <v>1.004</v>
      </c>
      <c r="D8169" s="51">
        <v>66.0</v>
      </c>
      <c r="E8169" s="52" t="s">
        <v>25</v>
      </c>
      <c r="F8169" s="52" t="s">
        <v>26</v>
      </c>
      <c r="G8169" s="53"/>
    </row>
    <row r="8170">
      <c r="A8170" s="49">
        <v>44598.81373417824</v>
      </c>
      <c r="B8170" s="50">
        <v>44598.9387083333</v>
      </c>
      <c r="C8170" s="51">
        <v>1.004</v>
      </c>
      <c r="D8170" s="51">
        <v>66.0</v>
      </c>
      <c r="E8170" s="52" t="s">
        <v>25</v>
      </c>
      <c r="F8170" s="52" t="s">
        <v>26</v>
      </c>
      <c r="G8170" s="53"/>
    </row>
    <row r="8171">
      <c r="A8171" s="49">
        <v>44598.82415814815</v>
      </c>
      <c r="B8171" s="50">
        <v>44598.9491280671</v>
      </c>
      <c r="C8171" s="51">
        <v>1.004</v>
      </c>
      <c r="D8171" s="51">
        <v>66.0</v>
      </c>
      <c r="E8171" s="52" t="s">
        <v>25</v>
      </c>
      <c r="F8171" s="52" t="s">
        <v>26</v>
      </c>
      <c r="G8171" s="53"/>
    </row>
    <row r="8172">
      <c r="A8172" s="49">
        <v>44598.834647881944</v>
      </c>
      <c r="B8172" s="50">
        <v>44598.9596201273</v>
      </c>
      <c r="C8172" s="51">
        <v>1.004</v>
      </c>
      <c r="D8172" s="51">
        <v>66.0</v>
      </c>
      <c r="E8172" s="52" t="s">
        <v>25</v>
      </c>
      <c r="F8172" s="52" t="s">
        <v>26</v>
      </c>
      <c r="G8172" s="53"/>
    </row>
    <row r="8173">
      <c r="A8173" s="49">
        <v>44598.8450618287</v>
      </c>
      <c r="B8173" s="50">
        <v>44598.970041412</v>
      </c>
      <c r="C8173" s="51">
        <v>1.004</v>
      </c>
      <c r="D8173" s="51">
        <v>66.0</v>
      </c>
      <c r="E8173" s="52" t="s">
        <v>25</v>
      </c>
      <c r="F8173" s="52" t="s">
        <v>26</v>
      </c>
      <c r="G8173" s="53"/>
    </row>
    <row r="8174">
      <c r="A8174" s="49">
        <v>44598.85551263889</v>
      </c>
      <c r="B8174" s="50">
        <v>44598.9804855439</v>
      </c>
      <c r="C8174" s="51">
        <v>1.004</v>
      </c>
      <c r="D8174" s="51">
        <v>66.0</v>
      </c>
      <c r="E8174" s="52" t="s">
        <v>25</v>
      </c>
      <c r="F8174" s="52" t="s">
        <v>26</v>
      </c>
      <c r="G8174" s="53"/>
    </row>
    <row r="8175">
      <c r="A8175" s="49">
        <v>44598.865933078705</v>
      </c>
      <c r="B8175" s="50">
        <v>44598.9909068055</v>
      </c>
      <c r="C8175" s="51">
        <v>1.004</v>
      </c>
      <c r="D8175" s="51">
        <v>66.0</v>
      </c>
      <c r="E8175" s="52" t="s">
        <v>25</v>
      </c>
      <c r="F8175" s="52" t="s">
        <v>26</v>
      </c>
      <c r="G8175" s="53"/>
    </row>
    <row r="8176">
      <c r="A8176" s="49">
        <v>44598.87634699074</v>
      </c>
      <c r="B8176" s="50">
        <v>44599.0013281365</v>
      </c>
      <c r="C8176" s="51">
        <v>1.004</v>
      </c>
      <c r="D8176" s="51">
        <v>66.0</v>
      </c>
      <c r="E8176" s="52" t="s">
        <v>25</v>
      </c>
      <c r="F8176" s="52" t="s">
        <v>26</v>
      </c>
      <c r="G8176" s="53"/>
    </row>
    <row r="8177">
      <c r="A8177" s="49">
        <v>44598.88678206019</v>
      </c>
      <c r="B8177" s="50">
        <v>44599.0117487268</v>
      </c>
      <c r="C8177" s="51">
        <v>1.004</v>
      </c>
      <c r="D8177" s="51">
        <v>66.0</v>
      </c>
      <c r="E8177" s="52" t="s">
        <v>25</v>
      </c>
      <c r="F8177" s="52" t="s">
        <v>26</v>
      </c>
      <c r="G8177" s="53"/>
    </row>
    <row r="8178">
      <c r="A8178" s="49">
        <v>44598.8972340162</v>
      </c>
      <c r="B8178" s="50">
        <v>44599.0222048032</v>
      </c>
      <c r="C8178" s="51">
        <v>1.004</v>
      </c>
      <c r="D8178" s="51">
        <v>66.0</v>
      </c>
      <c r="E8178" s="52" t="s">
        <v>25</v>
      </c>
      <c r="F8178" s="52" t="s">
        <v>26</v>
      </c>
      <c r="G8178" s="53"/>
    </row>
    <row r="8179">
      <c r="A8179" s="49">
        <v>44598.90766145833</v>
      </c>
      <c r="B8179" s="50">
        <v>44599.0326361574</v>
      </c>
      <c r="C8179" s="51">
        <v>1.004</v>
      </c>
      <c r="D8179" s="51">
        <v>66.0</v>
      </c>
      <c r="E8179" s="52" t="s">
        <v>25</v>
      </c>
      <c r="F8179" s="52" t="s">
        <v>26</v>
      </c>
      <c r="G8179" s="53"/>
    </row>
    <row r="8180">
      <c r="A8180" s="49">
        <v>44598.91807572916</v>
      </c>
      <c r="B8180" s="50">
        <v>44599.0430562152</v>
      </c>
      <c r="C8180" s="51">
        <v>1.004</v>
      </c>
      <c r="D8180" s="51">
        <v>66.0</v>
      </c>
      <c r="E8180" s="52" t="s">
        <v>25</v>
      </c>
      <c r="F8180" s="52" t="s">
        <v>26</v>
      </c>
      <c r="G8180" s="53"/>
    </row>
    <row r="8181">
      <c r="A8181" s="49">
        <v>44598.928499201385</v>
      </c>
      <c r="B8181" s="50">
        <v>44599.0534773148</v>
      </c>
      <c r="C8181" s="51">
        <v>1.004</v>
      </c>
      <c r="D8181" s="51">
        <v>65.0</v>
      </c>
      <c r="E8181" s="52" t="s">
        <v>25</v>
      </c>
      <c r="F8181" s="52" t="s">
        <v>26</v>
      </c>
      <c r="G8181" s="53"/>
    </row>
    <row r="8182">
      <c r="A8182" s="49">
        <v>44598.93892962963</v>
      </c>
      <c r="B8182" s="50">
        <v>44599.0639094675</v>
      </c>
      <c r="C8182" s="51">
        <v>1.004</v>
      </c>
      <c r="D8182" s="51">
        <v>65.0</v>
      </c>
      <c r="E8182" s="52" t="s">
        <v>25</v>
      </c>
      <c r="F8182" s="52" t="s">
        <v>26</v>
      </c>
      <c r="G8182" s="53"/>
    </row>
    <row r="8183">
      <c r="A8183" s="49">
        <v>44598.949347685186</v>
      </c>
      <c r="B8183" s="50">
        <v>44599.0743286805</v>
      </c>
      <c r="C8183" s="51">
        <v>1.004</v>
      </c>
      <c r="D8183" s="51">
        <v>65.0</v>
      </c>
      <c r="E8183" s="52" t="s">
        <v>25</v>
      </c>
      <c r="F8183" s="52" t="s">
        <v>26</v>
      </c>
      <c r="G8183" s="53"/>
    </row>
    <row r="8184">
      <c r="A8184" s="49">
        <v>44598.95977435185</v>
      </c>
      <c r="B8184" s="50">
        <v>44599.0847510648</v>
      </c>
      <c r="C8184" s="51">
        <v>1.004</v>
      </c>
      <c r="D8184" s="51">
        <v>65.0</v>
      </c>
      <c r="E8184" s="52" t="s">
        <v>25</v>
      </c>
      <c r="F8184" s="52" t="s">
        <v>26</v>
      </c>
      <c r="G8184" s="53"/>
    </row>
    <row r="8185">
      <c r="A8185" s="49">
        <v>44598.970191134256</v>
      </c>
      <c r="B8185" s="50">
        <v>44599.0951737731</v>
      </c>
      <c r="C8185" s="51">
        <v>1.004</v>
      </c>
      <c r="D8185" s="51">
        <v>65.0</v>
      </c>
      <c r="E8185" s="52" t="s">
        <v>25</v>
      </c>
      <c r="F8185" s="52" t="s">
        <v>26</v>
      </c>
      <c r="G8185" s="53"/>
    </row>
    <row r="8186">
      <c r="A8186" s="49">
        <v>44598.980645972224</v>
      </c>
      <c r="B8186" s="50">
        <v>44599.1056181713</v>
      </c>
      <c r="C8186" s="51">
        <v>1.004</v>
      </c>
      <c r="D8186" s="51">
        <v>65.0</v>
      </c>
      <c r="E8186" s="52" t="s">
        <v>25</v>
      </c>
      <c r="F8186" s="52" t="s">
        <v>26</v>
      </c>
      <c r="G8186" s="53"/>
    </row>
    <row r="8187">
      <c r="A8187" s="49">
        <v>44598.99107996528</v>
      </c>
      <c r="B8187" s="50">
        <v>44599.1160518171</v>
      </c>
      <c r="C8187" s="51">
        <v>1.004</v>
      </c>
      <c r="D8187" s="51">
        <v>65.0</v>
      </c>
      <c r="E8187" s="52" t="s">
        <v>25</v>
      </c>
      <c r="F8187" s="52" t="s">
        <v>26</v>
      </c>
      <c r="G8187" s="53"/>
    </row>
    <row r="8188">
      <c r="A8188" s="49">
        <v>44599.001496481476</v>
      </c>
      <c r="B8188" s="50">
        <v>44599.1264742708</v>
      </c>
      <c r="C8188" s="51">
        <v>1.004</v>
      </c>
      <c r="D8188" s="51">
        <v>65.0</v>
      </c>
      <c r="E8188" s="52" t="s">
        <v>25</v>
      </c>
      <c r="F8188" s="52" t="s">
        <v>26</v>
      </c>
      <c r="G8188" s="53"/>
    </row>
    <row r="8189">
      <c r="A8189" s="49">
        <v>44599.01192497685</v>
      </c>
      <c r="B8189" s="50">
        <v>44599.1368966898</v>
      </c>
      <c r="C8189" s="51">
        <v>1.004</v>
      </c>
      <c r="D8189" s="51">
        <v>65.0</v>
      </c>
      <c r="E8189" s="52" t="s">
        <v>25</v>
      </c>
      <c r="F8189" s="52" t="s">
        <v>26</v>
      </c>
      <c r="G8189" s="53"/>
    </row>
    <row r="8190">
      <c r="A8190" s="49">
        <v>44599.02235490741</v>
      </c>
      <c r="B8190" s="50">
        <v>44599.1473284259</v>
      </c>
      <c r="C8190" s="51">
        <v>1.004</v>
      </c>
      <c r="D8190" s="51">
        <v>65.0</v>
      </c>
      <c r="E8190" s="52" t="s">
        <v>25</v>
      </c>
      <c r="F8190" s="52" t="s">
        <v>26</v>
      </c>
      <c r="G8190" s="53"/>
    </row>
    <row r="8191">
      <c r="A8191" s="49">
        <v>44599.03277201389</v>
      </c>
      <c r="B8191" s="50">
        <v>44599.157750324</v>
      </c>
      <c r="C8191" s="51">
        <v>1.004</v>
      </c>
      <c r="D8191" s="51">
        <v>65.0</v>
      </c>
      <c r="E8191" s="52" t="s">
        <v>25</v>
      </c>
      <c r="F8191" s="52" t="s">
        <v>26</v>
      </c>
      <c r="G8191" s="53"/>
    </row>
    <row r="8192">
      <c r="A8192" s="49">
        <v>44599.043195555554</v>
      </c>
      <c r="B8192" s="50">
        <v>44599.16817103</v>
      </c>
      <c r="C8192" s="51">
        <v>1.004</v>
      </c>
      <c r="D8192" s="51">
        <v>65.0</v>
      </c>
      <c r="E8192" s="52" t="s">
        <v>25</v>
      </c>
      <c r="F8192" s="52" t="s">
        <v>26</v>
      </c>
      <c r="G8192" s="53"/>
    </row>
    <row r="8193">
      <c r="A8193" s="49">
        <v>44599.05361640046</v>
      </c>
      <c r="B8193" s="50">
        <v>44599.1785921296</v>
      </c>
      <c r="C8193" s="51">
        <v>1.004</v>
      </c>
      <c r="D8193" s="51">
        <v>65.0</v>
      </c>
      <c r="E8193" s="52" t="s">
        <v>25</v>
      </c>
      <c r="F8193" s="52" t="s">
        <v>26</v>
      </c>
      <c r="G8193" s="53"/>
    </row>
    <row r="8194">
      <c r="A8194" s="49">
        <v>44599.064036180556</v>
      </c>
      <c r="B8194" s="50">
        <v>44599.1890128935</v>
      </c>
      <c r="C8194" s="51">
        <v>1.004</v>
      </c>
      <c r="D8194" s="51">
        <v>65.0</v>
      </c>
      <c r="E8194" s="52" t="s">
        <v>25</v>
      </c>
      <c r="F8194" s="52" t="s">
        <v>26</v>
      </c>
      <c r="G8194" s="53"/>
    </row>
    <row r="8195">
      <c r="A8195" s="49">
        <v>44599.074457696755</v>
      </c>
      <c r="B8195" s="50">
        <v>44599.1994359837</v>
      </c>
      <c r="C8195" s="51">
        <v>1.004</v>
      </c>
      <c r="D8195" s="51">
        <v>65.0</v>
      </c>
      <c r="E8195" s="52" t="s">
        <v>25</v>
      </c>
      <c r="F8195" s="52" t="s">
        <v>26</v>
      </c>
      <c r="G8195" s="53"/>
    </row>
    <row r="8196">
      <c r="A8196" s="49">
        <v>44599.08488409722</v>
      </c>
      <c r="B8196" s="50">
        <v>44599.2098587847</v>
      </c>
      <c r="C8196" s="51">
        <v>1.004</v>
      </c>
      <c r="D8196" s="51">
        <v>65.0</v>
      </c>
      <c r="E8196" s="52" t="s">
        <v>25</v>
      </c>
      <c r="F8196" s="52" t="s">
        <v>26</v>
      </c>
      <c r="G8196" s="53"/>
    </row>
    <row r="8197">
      <c r="A8197" s="49">
        <v>44599.09531405092</v>
      </c>
      <c r="B8197" s="50">
        <v>44599.2202909953</v>
      </c>
      <c r="C8197" s="51">
        <v>1.004</v>
      </c>
      <c r="D8197" s="51">
        <v>65.0</v>
      </c>
      <c r="E8197" s="52" t="s">
        <v>25</v>
      </c>
      <c r="F8197" s="52" t="s">
        <v>26</v>
      </c>
      <c r="G8197" s="53"/>
    </row>
    <row r="8198">
      <c r="A8198" s="49">
        <v>44599.105988449075</v>
      </c>
      <c r="B8198" s="50">
        <v>44599.2307123842</v>
      </c>
      <c r="C8198" s="51">
        <v>1.004</v>
      </c>
      <c r="D8198" s="51">
        <v>65.0</v>
      </c>
      <c r="E8198" s="52" t="s">
        <v>25</v>
      </c>
      <c r="F8198" s="52" t="s">
        <v>26</v>
      </c>
      <c r="G8198" s="53"/>
    </row>
    <row r="8199">
      <c r="A8199" s="49">
        <v>44599.11626401621</v>
      </c>
      <c r="B8199" s="50">
        <v>44599.2411461111</v>
      </c>
      <c r="C8199" s="51">
        <v>1.004</v>
      </c>
      <c r="D8199" s="51">
        <v>65.0</v>
      </c>
      <c r="E8199" s="52" t="s">
        <v>25</v>
      </c>
      <c r="F8199" s="52" t="s">
        <v>26</v>
      </c>
      <c r="G8199" s="53"/>
    </row>
    <row r="8200">
      <c r="A8200" s="49">
        <v>44599.12659085648</v>
      </c>
      <c r="B8200" s="50">
        <v>44599.2515667708</v>
      </c>
      <c r="C8200" s="51">
        <v>1.004</v>
      </c>
      <c r="D8200" s="51">
        <v>65.0</v>
      </c>
      <c r="E8200" s="52" t="s">
        <v>25</v>
      </c>
      <c r="F8200" s="52" t="s">
        <v>26</v>
      </c>
      <c r="G8200" s="53"/>
    </row>
    <row r="8201">
      <c r="A8201" s="49">
        <v>44599.13701046296</v>
      </c>
      <c r="B8201" s="50">
        <v>44599.2619885532</v>
      </c>
      <c r="C8201" s="51">
        <v>1.004</v>
      </c>
      <c r="D8201" s="51">
        <v>65.0</v>
      </c>
      <c r="E8201" s="52" t="s">
        <v>25</v>
      </c>
      <c r="F8201" s="52" t="s">
        <v>26</v>
      </c>
      <c r="G8201" s="53"/>
    </row>
    <row r="8202">
      <c r="A8202" s="49">
        <v>44599.14743375</v>
      </c>
      <c r="B8202" s="50">
        <v>44599.2724115509</v>
      </c>
      <c r="C8202" s="51">
        <v>1.004</v>
      </c>
      <c r="D8202" s="51">
        <v>65.0</v>
      </c>
      <c r="E8202" s="52" t="s">
        <v>25</v>
      </c>
      <c r="F8202" s="52" t="s">
        <v>26</v>
      </c>
      <c r="G8202" s="53"/>
    </row>
    <row r="8203">
      <c r="A8203" s="49">
        <v>44599.15787391204</v>
      </c>
      <c r="B8203" s="50">
        <v>44599.2828442013</v>
      </c>
      <c r="C8203" s="51">
        <v>1.004</v>
      </c>
      <c r="D8203" s="51">
        <v>65.0</v>
      </c>
      <c r="E8203" s="52" t="s">
        <v>25</v>
      </c>
      <c r="F8203" s="52" t="s">
        <v>26</v>
      </c>
      <c r="G8203" s="53"/>
    </row>
    <row r="8204">
      <c r="A8204" s="49">
        <v>44599.16830185185</v>
      </c>
      <c r="B8204" s="50">
        <v>44599.2932774189</v>
      </c>
      <c r="C8204" s="51">
        <v>1.004</v>
      </c>
      <c r="D8204" s="51">
        <v>65.0</v>
      </c>
      <c r="E8204" s="52" t="s">
        <v>25</v>
      </c>
      <c r="F8204" s="52" t="s">
        <v>26</v>
      </c>
      <c r="G8204" s="53"/>
    </row>
    <row r="8205">
      <c r="A8205" s="49">
        <v>44599.17874751157</v>
      </c>
      <c r="B8205" s="50">
        <v>44599.3037221064</v>
      </c>
      <c r="C8205" s="51">
        <v>1.004</v>
      </c>
      <c r="D8205" s="51">
        <v>65.0</v>
      </c>
      <c r="E8205" s="52" t="s">
        <v>25</v>
      </c>
      <c r="F8205" s="52" t="s">
        <v>26</v>
      </c>
      <c r="G8205" s="53"/>
    </row>
    <row r="8206">
      <c r="A8206" s="49">
        <v>44599.18917179398</v>
      </c>
      <c r="B8206" s="50">
        <v>44599.3141430324</v>
      </c>
      <c r="C8206" s="51">
        <v>1.004</v>
      </c>
      <c r="D8206" s="51">
        <v>65.0</v>
      </c>
      <c r="E8206" s="52" t="s">
        <v>25</v>
      </c>
      <c r="F8206" s="52" t="s">
        <v>26</v>
      </c>
      <c r="G8206" s="53"/>
    </row>
    <row r="8207">
      <c r="A8207" s="49">
        <v>44599.199635972225</v>
      </c>
      <c r="B8207" s="50">
        <v>44599.3246096527</v>
      </c>
      <c r="C8207" s="51">
        <v>1.004</v>
      </c>
      <c r="D8207" s="51">
        <v>65.0</v>
      </c>
      <c r="E8207" s="52" t="s">
        <v>25</v>
      </c>
      <c r="F8207" s="52" t="s">
        <v>26</v>
      </c>
      <c r="G8207" s="53"/>
    </row>
    <row r="8208">
      <c r="A8208" s="49">
        <v>44599.210059363424</v>
      </c>
      <c r="B8208" s="50">
        <v>44599.3350297338</v>
      </c>
      <c r="C8208" s="51">
        <v>1.004</v>
      </c>
      <c r="D8208" s="51">
        <v>65.0</v>
      </c>
      <c r="E8208" s="52" t="s">
        <v>25</v>
      </c>
      <c r="F8208" s="52" t="s">
        <v>26</v>
      </c>
      <c r="G8208" s="53"/>
    </row>
    <row r="8209">
      <c r="A8209" s="49">
        <v>44599.220481435186</v>
      </c>
      <c r="B8209" s="50">
        <v>44599.3454527893</v>
      </c>
      <c r="C8209" s="51">
        <v>1.004</v>
      </c>
      <c r="D8209" s="51">
        <v>65.0</v>
      </c>
      <c r="E8209" s="52" t="s">
        <v>25</v>
      </c>
      <c r="F8209" s="52" t="s">
        <v>26</v>
      </c>
      <c r="G8209" s="53"/>
    </row>
    <row r="8210">
      <c r="A8210" s="49">
        <v>44599.23090519676</v>
      </c>
      <c r="B8210" s="50">
        <v>44599.3558848148</v>
      </c>
      <c r="C8210" s="51">
        <v>1.004</v>
      </c>
      <c r="D8210" s="51">
        <v>65.0</v>
      </c>
      <c r="E8210" s="52" t="s">
        <v>25</v>
      </c>
      <c r="F8210" s="52" t="s">
        <v>26</v>
      </c>
      <c r="G8210" s="53"/>
    </row>
    <row r="8211">
      <c r="A8211" s="49">
        <v>44599.24135428241</v>
      </c>
      <c r="B8211" s="50">
        <v>44599.3663299884</v>
      </c>
      <c r="C8211" s="51">
        <v>1.004</v>
      </c>
      <c r="D8211" s="51">
        <v>65.0</v>
      </c>
      <c r="E8211" s="52" t="s">
        <v>25</v>
      </c>
      <c r="F8211" s="52" t="s">
        <v>26</v>
      </c>
      <c r="G8211" s="53"/>
    </row>
    <row r="8212">
      <c r="A8212" s="49">
        <v>44599.25178167824</v>
      </c>
      <c r="B8212" s="50">
        <v>44599.3767523379</v>
      </c>
      <c r="C8212" s="51">
        <v>1.004</v>
      </c>
      <c r="D8212" s="51">
        <v>65.0</v>
      </c>
      <c r="E8212" s="52" t="s">
        <v>25</v>
      </c>
      <c r="F8212" s="52" t="s">
        <v>26</v>
      </c>
      <c r="G8212" s="53"/>
    </row>
    <row r="8213">
      <c r="A8213" s="49">
        <v>44599.262251782406</v>
      </c>
      <c r="B8213" s="50">
        <v>44599.3872191435</v>
      </c>
      <c r="C8213" s="51">
        <v>1.004</v>
      </c>
      <c r="D8213" s="51">
        <v>65.0</v>
      </c>
      <c r="E8213" s="52" t="s">
        <v>25</v>
      </c>
      <c r="F8213" s="52" t="s">
        <v>26</v>
      </c>
      <c r="G8213" s="53"/>
    </row>
    <row r="8214">
      <c r="A8214" s="49">
        <v>44599.272723877315</v>
      </c>
      <c r="B8214" s="50">
        <v>44599.3976863541</v>
      </c>
      <c r="C8214" s="51">
        <v>1.004</v>
      </c>
      <c r="D8214" s="51">
        <v>65.0</v>
      </c>
      <c r="E8214" s="52" t="s">
        <v>25</v>
      </c>
      <c r="F8214" s="52" t="s">
        <v>26</v>
      </c>
      <c r="G8214" s="53"/>
    </row>
    <row r="8215">
      <c r="A8215" s="49">
        <v>44599.28312800926</v>
      </c>
      <c r="B8215" s="50">
        <v>44599.4081087847</v>
      </c>
      <c r="C8215" s="51">
        <v>1.004</v>
      </c>
      <c r="D8215" s="51">
        <v>65.0</v>
      </c>
      <c r="E8215" s="52" t="s">
        <v>25</v>
      </c>
      <c r="F8215" s="52" t="s">
        <v>26</v>
      </c>
      <c r="G8215" s="53"/>
    </row>
    <row r="8216">
      <c r="A8216" s="49">
        <v>44599.2935575463</v>
      </c>
      <c r="B8216" s="50">
        <v>44599.4185293865</v>
      </c>
      <c r="C8216" s="51">
        <v>1.004</v>
      </c>
      <c r="D8216" s="51">
        <v>65.0</v>
      </c>
      <c r="E8216" s="52" t="s">
        <v>25</v>
      </c>
      <c r="F8216" s="52" t="s">
        <v>26</v>
      </c>
      <c r="G8216" s="53"/>
    </row>
    <row r="8217">
      <c r="A8217" s="49">
        <v>44599.304038518516</v>
      </c>
      <c r="B8217" s="50">
        <v>44599.4290091319</v>
      </c>
      <c r="C8217" s="51">
        <v>1.004</v>
      </c>
      <c r="D8217" s="51">
        <v>64.0</v>
      </c>
      <c r="E8217" s="52" t="s">
        <v>25</v>
      </c>
      <c r="F8217" s="52" t="s">
        <v>26</v>
      </c>
      <c r="G8217" s="53"/>
    </row>
    <row r="8218">
      <c r="A8218" s="49">
        <v>44599.314546608795</v>
      </c>
      <c r="B8218" s="50">
        <v>44599.4394313194</v>
      </c>
      <c r="C8218" s="51">
        <v>1.004</v>
      </c>
      <c r="D8218" s="51">
        <v>64.0</v>
      </c>
      <c r="E8218" s="52" t="s">
        <v>25</v>
      </c>
      <c r="F8218" s="52" t="s">
        <v>26</v>
      </c>
      <c r="G8218" s="53"/>
    </row>
    <row r="8219">
      <c r="A8219" s="49">
        <v>44599.32488100695</v>
      </c>
      <c r="B8219" s="50">
        <v>44599.4498529166</v>
      </c>
      <c r="C8219" s="51">
        <v>1.004</v>
      </c>
      <c r="D8219" s="51">
        <v>65.0</v>
      </c>
      <c r="E8219" s="52" t="s">
        <v>25</v>
      </c>
      <c r="F8219" s="52" t="s">
        <v>26</v>
      </c>
      <c r="G8219" s="53"/>
    </row>
    <row r="8220">
      <c r="A8220" s="49">
        <v>44599.33532113426</v>
      </c>
      <c r="B8220" s="50">
        <v>44599.460286875</v>
      </c>
      <c r="C8220" s="51">
        <v>1.004</v>
      </c>
      <c r="D8220" s="51">
        <v>65.0</v>
      </c>
      <c r="E8220" s="52" t="s">
        <v>25</v>
      </c>
      <c r="F8220" s="52" t="s">
        <v>26</v>
      </c>
      <c r="G8220" s="53"/>
    </row>
    <row r="8221">
      <c r="A8221" s="49">
        <v>44599.34575072917</v>
      </c>
      <c r="B8221" s="50">
        <v>44599.4707088888</v>
      </c>
      <c r="C8221" s="51">
        <v>1.004</v>
      </c>
      <c r="D8221" s="51">
        <v>64.0</v>
      </c>
      <c r="E8221" s="52" t="s">
        <v>25</v>
      </c>
      <c r="F8221" s="52" t="s">
        <v>26</v>
      </c>
      <c r="G8221" s="53"/>
    </row>
    <row r="8222">
      <c r="A8222" s="49">
        <v>44599.356163749995</v>
      </c>
      <c r="B8222" s="50">
        <v>44599.4811296412</v>
      </c>
      <c r="C8222" s="51">
        <v>1.004</v>
      </c>
      <c r="D8222" s="51">
        <v>64.0</v>
      </c>
      <c r="E8222" s="52" t="s">
        <v>25</v>
      </c>
      <c r="F8222" s="52" t="s">
        <v>26</v>
      </c>
      <c r="G8222" s="53"/>
    </row>
    <row r="8223">
      <c r="A8223" s="49">
        <v>44599.36662501158</v>
      </c>
      <c r="B8223" s="50">
        <v>44599.491597581</v>
      </c>
      <c r="C8223" s="51">
        <v>1.004</v>
      </c>
      <c r="D8223" s="51">
        <v>64.0</v>
      </c>
      <c r="E8223" s="52" t="s">
        <v>25</v>
      </c>
      <c r="F8223" s="52" t="s">
        <v>26</v>
      </c>
      <c r="G8223" s="53"/>
    </row>
    <row r="8224">
      <c r="A8224" s="49">
        <v>44599.37703559028</v>
      </c>
      <c r="B8224" s="50">
        <v>44599.5020191666</v>
      </c>
      <c r="C8224" s="51">
        <v>1.004</v>
      </c>
      <c r="D8224" s="51">
        <v>64.0</v>
      </c>
      <c r="E8224" s="52" t="s">
        <v>25</v>
      </c>
      <c r="F8224" s="52" t="s">
        <v>26</v>
      </c>
      <c r="G8224" s="53"/>
    </row>
    <row r="8225">
      <c r="A8225" s="49">
        <v>44599.38746287037</v>
      </c>
      <c r="B8225" s="50">
        <v>44599.5124392013</v>
      </c>
      <c r="C8225" s="51">
        <v>1.004</v>
      </c>
      <c r="D8225" s="51">
        <v>64.0</v>
      </c>
      <c r="E8225" s="52" t="s">
        <v>25</v>
      </c>
      <c r="F8225" s="52" t="s">
        <v>26</v>
      </c>
      <c r="G8225" s="53"/>
    </row>
    <row r="8226">
      <c r="A8226" s="49">
        <v>44599.397922696764</v>
      </c>
      <c r="B8226" s="50">
        <v>44599.5228968518</v>
      </c>
      <c r="C8226" s="51">
        <v>1.004</v>
      </c>
      <c r="D8226" s="51">
        <v>64.0</v>
      </c>
      <c r="E8226" s="52" t="s">
        <v>25</v>
      </c>
      <c r="F8226" s="52" t="s">
        <v>26</v>
      </c>
      <c r="G8226" s="53"/>
    </row>
    <row r="8227">
      <c r="A8227" s="49">
        <v>44599.40835607639</v>
      </c>
      <c r="B8227" s="50">
        <v>44599.5333308333</v>
      </c>
      <c r="C8227" s="51">
        <v>1.004</v>
      </c>
      <c r="D8227" s="51">
        <v>64.0</v>
      </c>
      <c r="E8227" s="52" t="s">
        <v>25</v>
      </c>
      <c r="F8227" s="52" t="s">
        <v>26</v>
      </c>
      <c r="G8227" s="53"/>
    </row>
    <row r="8228">
      <c r="A8228" s="49">
        <v>44599.41877078704</v>
      </c>
      <c r="B8228" s="50">
        <v>44599.5437526388</v>
      </c>
      <c r="C8228" s="51">
        <v>1.004</v>
      </c>
      <c r="D8228" s="51">
        <v>64.0</v>
      </c>
      <c r="E8228" s="52" t="s">
        <v>25</v>
      </c>
      <c r="F8228" s="52" t="s">
        <v>26</v>
      </c>
      <c r="G8228" s="53"/>
    </row>
    <row r="8229">
      <c r="A8229" s="49">
        <v>44599.42919733796</v>
      </c>
      <c r="B8229" s="50">
        <v>44599.55417353</v>
      </c>
      <c r="C8229" s="51">
        <v>1.004</v>
      </c>
      <c r="D8229" s="51">
        <v>64.0</v>
      </c>
      <c r="E8229" s="52" t="s">
        <v>25</v>
      </c>
      <c r="F8229" s="52" t="s">
        <v>26</v>
      </c>
      <c r="G8229" s="53"/>
    </row>
    <row r="8230">
      <c r="A8230" s="49">
        <v>44599.43961803241</v>
      </c>
      <c r="B8230" s="50">
        <v>44599.5645932638</v>
      </c>
      <c r="C8230" s="51">
        <v>1.004</v>
      </c>
      <c r="D8230" s="51">
        <v>64.0</v>
      </c>
      <c r="E8230" s="52" t="s">
        <v>25</v>
      </c>
      <c r="F8230" s="52" t="s">
        <v>26</v>
      </c>
      <c r="G8230" s="53"/>
    </row>
    <row r="8231">
      <c r="A8231" s="49">
        <v>44599.450036875</v>
      </c>
      <c r="B8231" s="50">
        <v>44599.575013368</v>
      </c>
      <c r="C8231" s="51">
        <v>1.004</v>
      </c>
      <c r="D8231" s="51">
        <v>64.0</v>
      </c>
      <c r="E8231" s="52" t="s">
        <v>25</v>
      </c>
      <c r="F8231" s="52" t="s">
        <v>26</v>
      </c>
      <c r="G8231" s="53"/>
    </row>
    <row r="8232">
      <c r="A8232" s="49">
        <v>44599.46045427083</v>
      </c>
      <c r="B8232" s="50">
        <v>44599.5854332523</v>
      </c>
      <c r="C8232" s="51">
        <v>1.004</v>
      </c>
      <c r="D8232" s="51">
        <v>64.0</v>
      </c>
      <c r="E8232" s="52" t="s">
        <v>25</v>
      </c>
      <c r="F8232" s="52" t="s">
        <v>26</v>
      </c>
      <c r="G8232" s="53"/>
    </row>
    <row r="8233">
      <c r="A8233" s="49">
        <v>44599.47087234954</v>
      </c>
      <c r="B8233" s="50">
        <v>44599.595854074</v>
      </c>
      <c r="C8233" s="51">
        <v>1.004</v>
      </c>
      <c r="D8233" s="51">
        <v>64.0</v>
      </c>
      <c r="E8233" s="52" t="s">
        <v>25</v>
      </c>
      <c r="F8233" s="52" t="s">
        <v>26</v>
      </c>
      <c r="G8233" s="53"/>
    </row>
    <row r="8234">
      <c r="A8234" s="49">
        <v>44599.48130921296</v>
      </c>
      <c r="B8234" s="50">
        <v>44599.6062875462</v>
      </c>
      <c r="C8234" s="51">
        <v>1.004</v>
      </c>
      <c r="D8234" s="51">
        <v>64.0</v>
      </c>
      <c r="E8234" s="52" t="s">
        <v>25</v>
      </c>
      <c r="F8234" s="52" t="s">
        <v>26</v>
      </c>
      <c r="G8234" s="53"/>
    </row>
    <row r="8235">
      <c r="A8235" s="49">
        <v>44599.491759745375</v>
      </c>
      <c r="B8235" s="50">
        <v>44599.6167323263</v>
      </c>
      <c r="C8235" s="51">
        <v>1.004</v>
      </c>
      <c r="D8235" s="51">
        <v>64.0</v>
      </c>
      <c r="E8235" s="52" t="s">
        <v>25</v>
      </c>
      <c r="F8235" s="52" t="s">
        <v>26</v>
      </c>
      <c r="G8235" s="53"/>
    </row>
    <row r="8236">
      <c r="A8236" s="49">
        <v>44599.50218915509</v>
      </c>
      <c r="B8236" s="50">
        <v>44599.6271525578</v>
      </c>
      <c r="C8236" s="51">
        <v>1.004</v>
      </c>
      <c r="D8236" s="51">
        <v>64.0</v>
      </c>
      <c r="E8236" s="52" t="s">
        <v>25</v>
      </c>
      <c r="F8236" s="52" t="s">
        <v>26</v>
      </c>
      <c r="G8236" s="53"/>
    </row>
    <row r="8237">
      <c r="A8237" s="49">
        <v>44599.512589108796</v>
      </c>
      <c r="B8237" s="50">
        <v>44599.6375748842</v>
      </c>
      <c r="C8237" s="51">
        <v>1.004</v>
      </c>
      <c r="D8237" s="51">
        <v>64.0</v>
      </c>
      <c r="E8237" s="52" t="s">
        <v>25</v>
      </c>
      <c r="F8237" s="52" t="s">
        <v>26</v>
      </c>
      <c r="G8237" s="53"/>
    </row>
    <row r="8238">
      <c r="A8238" s="49">
        <v>44599.523021030094</v>
      </c>
      <c r="B8238" s="50">
        <v>44599.647995949</v>
      </c>
      <c r="C8238" s="51">
        <v>1.004</v>
      </c>
      <c r="D8238" s="51">
        <v>64.0</v>
      </c>
      <c r="E8238" s="52" t="s">
        <v>25</v>
      </c>
      <c r="F8238" s="52" t="s">
        <v>26</v>
      </c>
      <c r="G8238" s="53"/>
    </row>
    <row r="8239">
      <c r="A8239" s="49">
        <v>44599.53343847222</v>
      </c>
      <c r="B8239" s="50">
        <v>44599.6584162152</v>
      </c>
      <c r="C8239" s="51">
        <v>1.004</v>
      </c>
      <c r="D8239" s="51">
        <v>64.0</v>
      </c>
      <c r="E8239" s="52" t="s">
        <v>25</v>
      </c>
      <c r="F8239" s="52" t="s">
        <v>26</v>
      </c>
      <c r="G8239" s="53"/>
    </row>
    <row r="8240">
      <c r="A8240" s="49">
        <v>44599.543864224535</v>
      </c>
      <c r="B8240" s="50">
        <v>44599.6688380787</v>
      </c>
      <c r="C8240" s="51">
        <v>1.004</v>
      </c>
      <c r="D8240" s="51">
        <v>64.0</v>
      </c>
      <c r="E8240" s="52" t="s">
        <v>25</v>
      </c>
      <c r="F8240" s="52" t="s">
        <v>26</v>
      </c>
      <c r="G8240" s="53"/>
    </row>
    <row r="8241">
      <c r="A8241" s="49">
        <v>44599.55429728009</v>
      </c>
      <c r="B8241" s="50">
        <v>44599.6792820601</v>
      </c>
      <c r="C8241" s="51">
        <v>1.004</v>
      </c>
      <c r="D8241" s="51">
        <v>64.0</v>
      </c>
      <c r="E8241" s="52" t="s">
        <v>25</v>
      </c>
      <c r="F8241" s="52" t="s">
        <v>26</v>
      </c>
      <c r="G8241" s="53"/>
    </row>
    <row r="8242">
      <c r="A8242" s="49">
        <v>44599.56474398148</v>
      </c>
      <c r="B8242" s="50">
        <v>44599.689715243</v>
      </c>
      <c r="C8242" s="51">
        <v>1.004</v>
      </c>
      <c r="D8242" s="51">
        <v>64.0</v>
      </c>
      <c r="E8242" s="52" t="s">
        <v>25</v>
      </c>
      <c r="F8242" s="52" t="s">
        <v>26</v>
      </c>
      <c r="G8242" s="53"/>
    </row>
    <row r="8243">
      <c r="A8243" s="49">
        <v>44599.57520283565</v>
      </c>
      <c r="B8243" s="50">
        <v>44599.7001714583</v>
      </c>
      <c r="C8243" s="51">
        <v>1.004</v>
      </c>
      <c r="D8243" s="51">
        <v>64.0</v>
      </c>
      <c r="E8243" s="52" t="s">
        <v>25</v>
      </c>
      <c r="F8243" s="52" t="s">
        <v>26</v>
      </c>
      <c r="G8243" s="53"/>
    </row>
    <row r="8244">
      <c r="A8244" s="49">
        <v>44599.585637118056</v>
      </c>
      <c r="B8244" s="50">
        <v>44599.7106168402</v>
      </c>
      <c r="C8244" s="51">
        <v>1.004</v>
      </c>
      <c r="D8244" s="51">
        <v>64.0</v>
      </c>
      <c r="E8244" s="52" t="s">
        <v>25</v>
      </c>
      <c r="F8244" s="52" t="s">
        <v>26</v>
      </c>
      <c r="G8244" s="53"/>
    </row>
    <row r="8245">
      <c r="A8245" s="49">
        <v>44599.5960656713</v>
      </c>
      <c r="B8245" s="50">
        <v>44599.7210388078</v>
      </c>
      <c r="C8245" s="51">
        <v>1.004</v>
      </c>
      <c r="D8245" s="51">
        <v>64.0</v>
      </c>
      <c r="E8245" s="52" t="s">
        <v>25</v>
      </c>
      <c r="F8245" s="52" t="s">
        <v>26</v>
      </c>
      <c r="G8245" s="53"/>
    </row>
    <row r="8246">
      <c r="A8246" s="49">
        <v>44599.60648052083</v>
      </c>
      <c r="B8246" s="50">
        <v>44599.731460868</v>
      </c>
      <c r="C8246" s="51">
        <v>1.004</v>
      </c>
      <c r="D8246" s="51">
        <v>64.0</v>
      </c>
      <c r="E8246" s="52" t="s">
        <v>25</v>
      </c>
      <c r="F8246" s="52" t="s">
        <v>26</v>
      </c>
      <c r="G8246" s="53"/>
    </row>
    <row r="8247">
      <c r="A8247" s="49">
        <v>44599.6169015162</v>
      </c>
      <c r="B8247" s="50">
        <v>44599.7418800231</v>
      </c>
      <c r="C8247" s="51">
        <v>1.004</v>
      </c>
      <c r="D8247" s="51">
        <v>64.0</v>
      </c>
      <c r="E8247" s="52" t="s">
        <v>25</v>
      </c>
      <c r="F8247" s="52" t="s">
        <v>26</v>
      </c>
      <c r="G8247" s="53"/>
    </row>
    <row r="8248">
      <c r="A8248" s="49">
        <v>44599.627329675925</v>
      </c>
      <c r="B8248" s="50">
        <v>44599.7523140046</v>
      </c>
      <c r="C8248" s="51">
        <v>1.004</v>
      </c>
      <c r="D8248" s="51">
        <v>64.0</v>
      </c>
      <c r="E8248" s="52" t="s">
        <v>25</v>
      </c>
      <c r="F8248" s="52" t="s">
        <v>26</v>
      </c>
      <c r="G8248" s="53"/>
    </row>
    <row r="8249">
      <c r="A8249" s="49">
        <v>44599.63776003472</v>
      </c>
      <c r="B8249" s="50">
        <v>44599.7627359722</v>
      </c>
      <c r="C8249" s="51">
        <v>1.004</v>
      </c>
      <c r="D8249" s="51">
        <v>64.0</v>
      </c>
      <c r="E8249" s="52" t="s">
        <v>25</v>
      </c>
      <c r="F8249" s="52" t="s">
        <v>26</v>
      </c>
      <c r="G8249" s="53"/>
    </row>
    <row r="8250">
      <c r="A8250" s="49">
        <v>44599.64817703704</v>
      </c>
      <c r="B8250" s="50">
        <v>44599.773157037</v>
      </c>
      <c r="C8250" s="51">
        <v>1.004</v>
      </c>
      <c r="D8250" s="51">
        <v>64.0</v>
      </c>
      <c r="E8250" s="52" t="s">
        <v>25</v>
      </c>
      <c r="F8250" s="52" t="s">
        <v>26</v>
      </c>
      <c r="G8250" s="53"/>
    </row>
    <row r="8251">
      <c r="A8251" s="49">
        <v>44599.658615231485</v>
      </c>
      <c r="B8251" s="50">
        <v>44599.7835892708</v>
      </c>
      <c r="C8251" s="51">
        <v>1.004</v>
      </c>
      <c r="D8251" s="51">
        <v>64.0</v>
      </c>
      <c r="E8251" s="52" t="s">
        <v>25</v>
      </c>
      <c r="F8251" s="52" t="s">
        <v>26</v>
      </c>
      <c r="G8251" s="53"/>
    </row>
    <row r="8252">
      <c r="A8252" s="49">
        <v>44599.669093599536</v>
      </c>
      <c r="B8252" s="50">
        <v>44599.7940688773</v>
      </c>
      <c r="C8252" s="51">
        <v>1.004</v>
      </c>
      <c r="D8252" s="51">
        <v>64.0</v>
      </c>
      <c r="E8252" s="52" t="s">
        <v>25</v>
      </c>
      <c r="F8252" s="52" t="s">
        <v>26</v>
      </c>
      <c r="G8252" s="53"/>
    </row>
    <row r="8253">
      <c r="A8253" s="49">
        <v>44599.679530243055</v>
      </c>
      <c r="B8253" s="50">
        <v>44599.8045034953</v>
      </c>
      <c r="C8253" s="51">
        <v>1.004</v>
      </c>
      <c r="D8253" s="51">
        <v>64.0</v>
      </c>
      <c r="E8253" s="52" t="s">
        <v>25</v>
      </c>
      <c r="F8253" s="52" t="s">
        <v>26</v>
      </c>
      <c r="G8253" s="53"/>
    </row>
    <row r="8254">
      <c r="A8254" s="49">
        <v>44599.68994416667</v>
      </c>
      <c r="B8254" s="50">
        <v>44599.8149258449</v>
      </c>
      <c r="C8254" s="51">
        <v>1.004</v>
      </c>
      <c r="D8254" s="51">
        <v>64.0</v>
      </c>
      <c r="E8254" s="52" t="s">
        <v>25</v>
      </c>
      <c r="F8254" s="52" t="s">
        <v>26</v>
      </c>
      <c r="G8254" s="53"/>
    </row>
    <row r="8255">
      <c r="A8255" s="49">
        <v>44599.70037278935</v>
      </c>
      <c r="B8255" s="50">
        <v>44599.8253487152</v>
      </c>
      <c r="C8255" s="51">
        <v>1.004</v>
      </c>
      <c r="D8255" s="51">
        <v>64.0</v>
      </c>
      <c r="E8255" s="52" t="s">
        <v>25</v>
      </c>
      <c r="F8255" s="52" t="s">
        <v>26</v>
      </c>
      <c r="G8255" s="53"/>
    </row>
    <row r="8256">
      <c r="A8256" s="49">
        <v>44599.71080340278</v>
      </c>
      <c r="B8256" s="50">
        <v>44599.8357841782</v>
      </c>
      <c r="C8256" s="51">
        <v>1.004</v>
      </c>
      <c r="D8256" s="51">
        <v>64.0</v>
      </c>
      <c r="E8256" s="52" t="s">
        <v>25</v>
      </c>
      <c r="F8256" s="52" t="s">
        <v>26</v>
      </c>
      <c r="G8256" s="53"/>
    </row>
    <row r="8257">
      <c r="A8257" s="49">
        <v>44599.72123300926</v>
      </c>
      <c r="B8257" s="50">
        <v>44599.8462061921</v>
      </c>
      <c r="C8257" s="51">
        <v>1.004</v>
      </c>
      <c r="D8257" s="51">
        <v>64.0</v>
      </c>
      <c r="E8257" s="52" t="s">
        <v>25</v>
      </c>
      <c r="F8257" s="52" t="s">
        <v>26</v>
      </c>
      <c r="G8257" s="53"/>
    </row>
    <row r="8258">
      <c r="A8258" s="49">
        <v>44599.73165405093</v>
      </c>
      <c r="B8258" s="50">
        <v>44599.8566283912</v>
      </c>
      <c r="C8258" s="51">
        <v>1.004</v>
      </c>
      <c r="D8258" s="51">
        <v>64.0</v>
      </c>
      <c r="E8258" s="52" t="s">
        <v>25</v>
      </c>
      <c r="F8258" s="52" t="s">
        <v>26</v>
      </c>
      <c r="G8258" s="53"/>
    </row>
    <row r="8259">
      <c r="A8259" s="49">
        <v>44599.742071851855</v>
      </c>
      <c r="B8259" s="50">
        <v>44599.8670531365</v>
      </c>
      <c r="C8259" s="51">
        <v>1.004</v>
      </c>
      <c r="D8259" s="51">
        <v>64.0</v>
      </c>
      <c r="E8259" s="52" t="s">
        <v>25</v>
      </c>
      <c r="F8259" s="52" t="s">
        <v>26</v>
      </c>
      <c r="G8259" s="53"/>
    </row>
    <row r="8260">
      <c r="A8260" s="49">
        <v>44599.752512962965</v>
      </c>
      <c r="B8260" s="50">
        <v>44599.8774860995</v>
      </c>
      <c r="C8260" s="51">
        <v>1.004</v>
      </c>
      <c r="D8260" s="51">
        <v>64.0</v>
      </c>
      <c r="E8260" s="52" t="s">
        <v>25</v>
      </c>
      <c r="F8260" s="52" t="s">
        <v>26</v>
      </c>
      <c r="G8260" s="53"/>
    </row>
    <row r="8261">
      <c r="A8261" s="49">
        <v>44599.762931122685</v>
      </c>
      <c r="B8261" s="50">
        <v>44599.8879071527</v>
      </c>
      <c r="C8261" s="51">
        <v>1.004</v>
      </c>
      <c r="D8261" s="51">
        <v>64.0</v>
      </c>
      <c r="E8261" s="52" t="s">
        <v>25</v>
      </c>
      <c r="F8261" s="52" t="s">
        <v>26</v>
      </c>
      <c r="G8261" s="53"/>
    </row>
    <row r="8262">
      <c r="A8262" s="49">
        <v>44599.773361423606</v>
      </c>
      <c r="B8262" s="50">
        <v>44599.8983401851</v>
      </c>
      <c r="C8262" s="51">
        <v>1.004</v>
      </c>
      <c r="D8262" s="51">
        <v>64.0</v>
      </c>
      <c r="E8262" s="52" t="s">
        <v>25</v>
      </c>
      <c r="F8262" s="52" t="s">
        <v>26</v>
      </c>
      <c r="G8262" s="53"/>
    </row>
    <row r="8263">
      <c r="A8263" s="49">
        <v>44599.78379136574</v>
      </c>
      <c r="B8263" s="50">
        <v>44599.9087710763</v>
      </c>
      <c r="C8263" s="51">
        <v>1.004</v>
      </c>
      <c r="D8263" s="51">
        <v>64.0</v>
      </c>
      <c r="E8263" s="52" t="s">
        <v>25</v>
      </c>
      <c r="F8263" s="52" t="s">
        <v>26</v>
      </c>
      <c r="G8263" s="53"/>
    </row>
    <row r="8264">
      <c r="A8264" s="49">
        <v>44599.79454106481</v>
      </c>
      <c r="B8264" s="50">
        <v>44599.9191914583</v>
      </c>
      <c r="C8264" s="51">
        <v>1.004</v>
      </c>
      <c r="D8264" s="51">
        <v>64.0</v>
      </c>
      <c r="E8264" s="52" t="s">
        <v>25</v>
      </c>
      <c r="F8264" s="52" t="s">
        <v>26</v>
      </c>
      <c r="G8264" s="53"/>
    </row>
    <row r="8265">
      <c r="A8265" s="49">
        <v>44599.80463084491</v>
      </c>
      <c r="B8265" s="50">
        <v>44599.9296130902</v>
      </c>
      <c r="C8265" s="51">
        <v>1.004</v>
      </c>
      <c r="D8265" s="51">
        <v>64.0</v>
      </c>
      <c r="E8265" s="52" t="s">
        <v>25</v>
      </c>
      <c r="F8265" s="52" t="s">
        <v>26</v>
      </c>
      <c r="G8265" s="53"/>
    </row>
    <row r="8266">
      <c r="A8266" s="49">
        <v>44599.81505971064</v>
      </c>
      <c r="B8266" s="50">
        <v>44599.9400353703</v>
      </c>
      <c r="C8266" s="51">
        <v>1.004</v>
      </c>
      <c r="D8266" s="51">
        <v>64.0</v>
      </c>
      <c r="E8266" s="52" t="s">
        <v>25</v>
      </c>
      <c r="F8266" s="52" t="s">
        <v>26</v>
      </c>
      <c r="G8266" s="53"/>
    </row>
    <row r="8267">
      <c r="A8267" s="49">
        <v>44599.82555234953</v>
      </c>
      <c r="B8267" s="50">
        <v>44599.9505260416</v>
      </c>
      <c r="C8267" s="51">
        <v>1.004</v>
      </c>
      <c r="D8267" s="51">
        <v>64.0</v>
      </c>
      <c r="E8267" s="52" t="s">
        <v>25</v>
      </c>
      <c r="F8267" s="52" t="s">
        <v>26</v>
      </c>
      <c r="G8267" s="53"/>
    </row>
    <row r="8268">
      <c r="A8268" s="49">
        <v>44599.83596645833</v>
      </c>
      <c r="B8268" s="50">
        <v>44599.9609454976</v>
      </c>
      <c r="C8268" s="51">
        <v>1.004</v>
      </c>
      <c r="D8268" s="51">
        <v>64.0</v>
      </c>
      <c r="E8268" s="52" t="s">
        <v>25</v>
      </c>
      <c r="F8268" s="52" t="s">
        <v>26</v>
      </c>
      <c r="G8268" s="53"/>
    </row>
    <row r="8269">
      <c r="A8269" s="49">
        <v>44599.84638638889</v>
      </c>
      <c r="B8269" s="50">
        <v>44599.9713674305</v>
      </c>
      <c r="C8269" s="51">
        <v>1.004</v>
      </c>
      <c r="D8269" s="51">
        <v>64.0</v>
      </c>
      <c r="E8269" s="52" t="s">
        <v>25</v>
      </c>
      <c r="F8269" s="52" t="s">
        <v>26</v>
      </c>
      <c r="G8269" s="53"/>
    </row>
    <row r="8270">
      <c r="A8270" s="49">
        <v>44599.8568192824</v>
      </c>
      <c r="B8270" s="50">
        <v>44599.9817885532</v>
      </c>
      <c r="C8270" s="51">
        <v>1.004</v>
      </c>
      <c r="D8270" s="51">
        <v>64.0</v>
      </c>
      <c r="E8270" s="52" t="s">
        <v>25</v>
      </c>
      <c r="F8270" s="52" t="s">
        <v>26</v>
      </c>
      <c r="G8270" s="53"/>
    </row>
    <row r="8271">
      <c r="A8271" s="49">
        <v>44599.867698692135</v>
      </c>
      <c r="B8271" s="50">
        <v>44599.9922438541</v>
      </c>
      <c r="C8271" s="51">
        <v>1.004</v>
      </c>
      <c r="D8271" s="51">
        <v>64.0</v>
      </c>
      <c r="E8271" s="52" t="s">
        <v>25</v>
      </c>
      <c r="F8271" s="52" t="s">
        <v>26</v>
      </c>
      <c r="G8271" s="53"/>
    </row>
    <row r="8272">
      <c r="A8272" s="49">
        <v>44599.87769203704</v>
      </c>
      <c r="B8272" s="50">
        <v>44600.0026641898</v>
      </c>
      <c r="C8272" s="51">
        <v>1.004</v>
      </c>
      <c r="D8272" s="51">
        <v>64.0</v>
      </c>
      <c r="E8272" s="52" t="s">
        <v>25</v>
      </c>
      <c r="F8272" s="52" t="s">
        <v>26</v>
      </c>
      <c r="G8272" s="53"/>
    </row>
    <row r="8273">
      <c r="A8273" s="49">
        <v>44599.88812935185</v>
      </c>
      <c r="B8273" s="50">
        <v>44600.0130858333</v>
      </c>
      <c r="C8273" s="51">
        <v>1.004</v>
      </c>
      <c r="D8273" s="51">
        <v>64.0</v>
      </c>
      <c r="E8273" s="52" t="s">
        <v>25</v>
      </c>
      <c r="F8273" s="52" t="s">
        <v>26</v>
      </c>
      <c r="G8273" s="53"/>
    </row>
    <row r="8274">
      <c r="A8274" s="49">
        <v>44599.89858197917</v>
      </c>
      <c r="B8274" s="50">
        <v>44600.0235531134</v>
      </c>
      <c r="C8274" s="51">
        <v>1.004</v>
      </c>
      <c r="D8274" s="51">
        <v>64.0</v>
      </c>
      <c r="E8274" s="52" t="s">
        <v>25</v>
      </c>
      <c r="F8274" s="52" t="s">
        <v>26</v>
      </c>
      <c r="G8274" s="53"/>
    </row>
    <row r="8275">
      <c r="A8275" s="49">
        <v>44599.9089930787</v>
      </c>
      <c r="B8275" s="50">
        <v>44600.0339747222</v>
      </c>
      <c r="C8275" s="51">
        <v>1.004</v>
      </c>
      <c r="D8275" s="51">
        <v>64.0</v>
      </c>
      <c r="E8275" s="52" t="s">
        <v>25</v>
      </c>
      <c r="F8275" s="52" t="s">
        <v>26</v>
      </c>
      <c r="G8275" s="53"/>
    </row>
    <row r="8276">
      <c r="A8276" s="49">
        <v>44599.91941501157</v>
      </c>
      <c r="B8276" s="50">
        <v>44600.0443954745</v>
      </c>
      <c r="C8276" s="51">
        <v>1.004</v>
      </c>
      <c r="D8276" s="51">
        <v>64.0</v>
      </c>
      <c r="E8276" s="52" t="s">
        <v>25</v>
      </c>
      <c r="F8276" s="52" t="s">
        <v>26</v>
      </c>
      <c r="G8276" s="53"/>
    </row>
    <row r="8277">
      <c r="A8277" s="49">
        <v>44599.929848287036</v>
      </c>
      <c r="B8277" s="50">
        <v>44600.054829699</v>
      </c>
      <c r="C8277" s="51">
        <v>1.004</v>
      </c>
      <c r="D8277" s="51">
        <v>64.0</v>
      </c>
      <c r="E8277" s="52" t="s">
        <v>25</v>
      </c>
      <c r="F8277" s="52" t="s">
        <v>26</v>
      </c>
      <c r="G8277" s="53"/>
    </row>
    <row r="8278">
      <c r="A8278" s="49">
        <v>44599.94027857639</v>
      </c>
      <c r="B8278" s="50">
        <v>44600.065250868</v>
      </c>
      <c r="C8278" s="51">
        <v>1.004</v>
      </c>
      <c r="D8278" s="51">
        <v>64.0</v>
      </c>
      <c r="E8278" s="52" t="s">
        <v>25</v>
      </c>
      <c r="F8278" s="52" t="s">
        <v>26</v>
      </c>
      <c r="G8278" s="53"/>
    </row>
    <row r="8279">
      <c r="A8279" s="49">
        <v>44599.950715520834</v>
      </c>
      <c r="B8279" s="50">
        <v>44600.0756718055</v>
      </c>
      <c r="C8279" s="51">
        <v>1.004</v>
      </c>
      <c r="D8279" s="51">
        <v>64.0</v>
      </c>
      <c r="E8279" s="52" t="s">
        <v>25</v>
      </c>
      <c r="F8279" s="52" t="s">
        <v>26</v>
      </c>
      <c r="G8279" s="53"/>
    </row>
    <row r="8280">
      <c r="A8280" s="49">
        <v>44599.9611147338</v>
      </c>
      <c r="B8280" s="50">
        <v>44600.0860921064</v>
      </c>
      <c r="C8280" s="51">
        <v>1.004</v>
      </c>
      <c r="D8280" s="51">
        <v>63.0</v>
      </c>
      <c r="E8280" s="52" t="s">
        <v>25</v>
      </c>
      <c r="F8280" s="52" t="s">
        <v>26</v>
      </c>
      <c r="G8280" s="53"/>
    </row>
    <row r="8281">
      <c r="A8281" s="49">
        <v>44599.97156291667</v>
      </c>
      <c r="B8281" s="50">
        <v>44600.0965357407</v>
      </c>
      <c r="C8281" s="51">
        <v>1.004</v>
      </c>
      <c r="D8281" s="51">
        <v>64.0</v>
      </c>
      <c r="E8281" s="52" t="s">
        <v>25</v>
      </c>
      <c r="F8281" s="52" t="s">
        <v>26</v>
      </c>
      <c r="G8281" s="53"/>
    </row>
    <row r="8282">
      <c r="A8282" s="49">
        <v>44599.982005439815</v>
      </c>
      <c r="B8282" s="50">
        <v>44600.1069681712</v>
      </c>
      <c r="C8282" s="51">
        <v>1.004</v>
      </c>
      <c r="D8282" s="51">
        <v>63.0</v>
      </c>
      <c r="E8282" s="52" t="s">
        <v>25</v>
      </c>
      <c r="F8282" s="52" t="s">
        <v>26</v>
      </c>
      <c r="G8282" s="53"/>
    </row>
    <row r="8283">
      <c r="A8283" s="49">
        <v>44599.99242087963</v>
      </c>
      <c r="B8283" s="50">
        <v>44600.1174018171</v>
      </c>
      <c r="C8283" s="51">
        <v>1.004</v>
      </c>
      <c r="D8283" s="51">
        <v>63.0</v>
      </c>
      <c r="E8283" s="52" t="s">
        <v>25</v>
      </c>
      <c r="F8283" s="52" t="s">
        <v>26</v>
      </c>
      <c r="G8283" s="53"/>
    </row>
    <row r="8284">
      <c r="A8284" s="49">
        <v>44600.00285164352</v>
      </c>
      <c r="B8284" s="50">
        <v>44600.127823206</v>
      </c>
      <c r="C8284" s="51">
        <v>1.004</v>
      </c>
      <c r="D8284" s="51">
        <v>63.0</v>
      </c>
      <c r="E8284" s="52" t="s">
        <v>25</v>
      </c>
      <c r="F8284" s="52" t="s">
        <v>26</v>
      </c>
      <c r="G8284" s="53"/>
    </row>
    <row r="8285">
      <c r="A8285" s="49">
        <v>44600.01334829861</v>
      </c>
      <c r="B8285" s="50">
        <v>44600.1382558333</v>
      </c>
      <c r="C8285" s="51">
        <v>1.004</v>
      </c>
      <c r="D8285" s="51">
        <v>63.0</v>
      </c>
      <c r="E8285" s="52" t="s">
        <v>25</v>
      </c>
      <c r="F8285" s="52" t="s">
        <v>26</v>
      </c>
      <c r="G8285" s="53"/>
    </row>
    <row r="8286">
      <c r="A8286" s="49">
        <v>44600.02376166667</v>
      </c>
      <c r="B8286" s="50">
        <v>44600.148700243</v>
      </c>
      <c r="C8286" s="51">
        <v>1.004</v>
      </c>
      <c r="D8286" s="51">
        <v>63.0</v>
      </c>
      <c r="E8286" s="52" t="s">
        <v>25</v>
      </c>
      <c r="F8286" s="52" t="s">
        <v>26</v>
      </c>
      <c r="G8286" s="53"/>
    </row>
    <row r="8287">
      <c r="A8287" s="49">
        <v>44600.03419938657</v>
      </c>
      <c r="B8287" s="50">
        <v>44600.1591212268</v>
      </c>
      <c r="C8287" s="51">
        <v>1.004</v>
      </c>
      <c r="D8287" s="51">
        <v>63.0</v>
      </c>
      <c r="E8287" s="52" t="s">
        <v>25</v>
      </c>
      <c r="F8287" s="52" t="s">
        <v>26</v>
      </c>
      <c r="G8287" s="53"/>
    </row>
    <row r="8288">
      <c r="A8288" s="49">
        <v>44600.04456625</v>
      </c>
      <c r="B8288" s="50">
        <v>44600.1695433333</v>
      </c>
      <c r="C8288" s="51">
        <v>1.004</v>
      </c>
      <c r="D8288" s="51">
        <v>63.0</v>
      </c>
      <c r="E8288" s="52" t="s">
        <v>25</v>
      </c>
      <c r="F8288" s="52" t="s">
        <v>26</v>
      </c>
      <c r="G8288" s="53"/>
    </row>
    <row r="8289">
      <c r="A8289" s="49">
        <v>44600.05498851852</v>
      </c>
      <c r="B8289" s="50">
        <v>44600.1799635879</v>
      </c>
      <c r="C8289" s="51">
        <v>1.004</v>
      </c>
      <c r="D8289" s="51">
        <v>63.0</v>
      </c>
      <c r="E8289" s="52" t="s">
        <v>25</v>
      </c>
      <c r="F8289" s="52" t="s">
        <v>26</v>
      </c>
      <c r="G8289" s="53"/>
    </row>
    <row r="8290">
      <c r="A8290" s="49">
        <v>44600.06541855324</v>
      </c>
      <c r="B8290" s="50">
        <v>44600.1903837615</v>
      </c>
      <c r="C8290" s="51">
        <v>1.004</v>
      </c>
      <c r="D8290" s="51">
        <v>63.0</v>
      </c>
      <c r="E8290" s="52" t="s">
        <v>25</v>
      </c>
      <c r="F8290" s="52" t="s">
        <v>26</v>
      </c>
      <c r="G8290" s="53"/>
    </row>
    <row r="8291">
      <c r="A8291" s="49">
        <v>44600.07582203703</v>
      </c>
      <c r="B8291" s="50">
        <v>44600.2008038078</v>
      </c>
      <c r="C8291" s="51">
        <v>1.004</v>
      </c>
      <c r="D8291" s="51">
        <v>63.0</v>
      </c>
      <c r="E8291" s="52" t="s">
        <v>25</v>
      </c>
      <c r="F8291" s="52" t="s">
        <v>26</v>
      </c>
      <c r="G8291" s="53"/>
    </row>
    <row r="8292">
      <c r="A8292" s="49">
        <v>44600.086245370374</v>
      </c>
      <c r="B8292" s="50">
        <v>44600.2112269097</v>
      </c>
      <c r="C8292" s="51">
        <v>1.004</v>
      </c>
      <c r="D8292" s="51">
        <v>63.0</v>
      </c>
      <c r="E8292" s="52" t="s">
        <v>25</v>
      </c>
      <c r="F8292" s="52" t="s">
        <v>26</v>
      </c>
      <c r="G8292" s="53"/>
    </row>
    <row r="8293">
      <c r="A8293" s="49">
        <v>44600.09667130787</v>
      </c>
      <c r="B8293" s="50">
        <v>44600.221646875</v>
      </c>
      <c r="C8293" s="51">
        <v>1.004</v>
      </c>
      <c r="D8293" s="51">
        <v>63.0</v>
      </c>
      <c r="E8293" s="52" t="s">
        <v>25</v>
      </c>
      <c r="F8293" s="52" t="s">
        <v>26</v>
      </c>
      <c r="G8293" s="53"/>
    </row>
    <row r="8294">
      <c r="A8294" s="49">
        <v>44600.107086793985</v>
      </c>
      <c r="B8294" s="50">
        <v>44600.2320677777</v>
      </c>
      <c r="C8294" s="51">
        <v>1.004</v>
      </c>
      <c r="D8294" s="51">
        <v>63.0</v>
      </c>
      <c r="E8294" s="52" t="s">
        <v>25</v>
      </c>
      <c r="F8294" s="52" t="s">
        <v>26</v>
      </c>
      <c r="G8294" s="53"/>
    </row>
    <row r="8295">
      <c r="A8295" s="49">
        <v>44600.117537094906</v>
      </c>
      <c r="B8295" s="50">
        <v>44600.2425100925</v>
      </c>
      <c r="C8295" s="51">
        <v>1.004</v>
      </c>
      <c r="D8295" s="51">
        <v>63.0</v>
      </c>
      <c r="E8295" s="52" t="s">
        <v>25</v>
      </c>
      <c r="F8295" s="52" t="s">
        <v>26</v>
      </c>
      <c r="G8295" s="53"/>
    </row>
    <row r="8296">
      <c r="A8296" s="49">
        <v>44600.12797335648</v>
      </c>
      <c r="B8296" s="50">
        <v>44600.2529443287</v>
      </c>
      <c r="C8296" s="51">
        <v>1.004</v>
      </c>
      <c r="D8296" s="51">
        <v>63.0</v>
      </c>
      <c r="E8296" s="52" t="s">
        <v>25</v>
      </c>
      <c r="F8296" s="52" t="s">
        <v>26</v>
      </c>
      <c r="G8296" s="53"/>
    </row>
    <row r="8297">
      <c r="A8297" s="49">
        <v>44600.13839228009</v>
      </c>
      <c r="B8297" s="50">
        <v>44600.2633638425</v>
      </c>
      <c r="C8297" s="51">
        <v>1.004</v>
      </c>
      <c r="D8297" s="51">
        <v>63.0</v>
      </c>
      <c r="E8297" s="52" t="s">
        <v>25</v>
      </c>
      <c r="F8297" s="52" t="s">
        <v>26</v>
      </c>
      <c r="G8297" s="53"/>
    </row>
    <row r="8298">
      <c r="A8298" s="49">
        <v>44600.148991678245</v>
      </c>
      <c r="B8298" s="50">
        <v>44600.2738435069</v>
      </c>
      <c r="C8298" s="51">
        <v>1.004</v>
      </c>
      <c r="D8298" s="51">
        <v>63.0</v>
      </c>
      <c r="E8298" s="52" t="s">
        <v>25</v>
      </c>
      <c r="F8298" s="52" t="s">
        <v>26</v>
      </c>
      <c r="G8298" s="53"/>
    </row>
    <row r="8299">
      <c r="A8299" s="49">
        <v>44600.15929447916</v>
      </c>
      <c r="B8299" s="50">
        <v>44600.2842653125</v>
      </c>
      <c r="C8299" s="51">
        <v>1.004</v>
      </c>
      <c r="D8299" s="51">
        <v>63.0</v>
      </c>
      <c r="E8299" s="52" t="s">
        <v>25</v>
      </c>
      <c r="F8299" s="52" t="s">
        <v>26</v>
      </c>
      <c r="G8299" s="53"/>
    </row>
    <row r="8300">
      <c r="A8300" s="49">
        <v>44600.16971528935</v>
      </c>
      <c r="B8300" s="50">
        <v>44600.2946984837</v>
      </c>
      <c r="C8300" s="51">
        <v>1.004</v>
      </c>
      <c r="D8300" s="51">
        <v>63.0</v>
      </c>
      <c r="E8300" s="52" t="s">
        <v>25</v>
      </c>
      <c r="F8300" s="52" t="s">
        <v>26</v>
      </c>
      <c r="G8300" s="53"/>
    </row>
    <row r="8301">
      <c r="A8301" s="49">
        <v>44600.180172569446</v>
      </c>
      <c r="B8301" s="50">
        <v>44600.3051180902</v>
      </c>
      <c r="C8301" s="51">
        <v>1.004</v>
      </c>
      <c r="D8301" s="51">
        <v>63.0</v>
      </c>
      <c r="E8301" s="52" t="s">
        <v>25</v>
      </c>
      <c r="F8301" s="52" t="s">
        <v>26</v>
      </c>
      <c r="G8301" s="53"/>
    </row>
    <row r="8302">
      <c r="A8302" s="49">
        <v>44600.19058303241</v>
      </c>
      <c r="B8302" s="50">
        <v>44600.3155507754</v>
      </c>
      <c r="C8302" s="51">
        <v>1.004</v>
      </c>
      <c r="D8302" s="51">
        <v>63.0</v>
      </c>
      <c r="E8302" s="52" t="s">
        <v>25</v>
      </c>
      <c r="F8302" s="52" t="s">
        <v>26</v>
      </c>
      <c r="G8302" s="53"/>
    </row>
    <row r="8303">
      <c r="A8303" s="49">
        <v>44600.20123358796</v>
      </c>
      <c r="B8303" s="50">
        <v>44600.3259739814</v>
      </c>
      <c r="C8303" s="51">
        <v>1.004</v>
      </c>
      <c r="D8303" s="51">
        <v>63.0</v>
      </c>
      <c r="E8303" s="52" t="s">
        <v>25</v>
      </c>
      <c r="F8303" s="52" t="s">
        <v>26</v>
      </c>
      <c r="G8303" s="53"/>
    </row>
    <row r="8304">
      <c r="A8304" s="49">
        <v>44600.2114190162</v>
      </c>
      <c r="B8304" s="50">
        <v>44600.3363950462</v>
      </c>
      <c r="C8304" s="51">
        <v>1.004</v>
      </c>
      <c r="D8304" s="51">
        <v>63.0</v>
      </c>
      <c r="E8304" s="52" t="s">
        <v>25</v>
      </c>
      <c r="F8304" s="52" t="s">
        <v>26</v>
      </c>
      <c r="G8304" s="53"/>
    </row>
    <row r="8305">
      <c r="A8305" s="49">
        <v>44600.221840659724</v>
      </c>
      <c r="B8305" s="50">
        <v>44600.3468156249</v>
      </c>
      <c r="C8305" s="51">
        <v>1.004</v>
      </c>
      <c r="D8305" s="51">
        <v>63.0</v>
      </c>
      <c r="E8305" s="52" t="s">
        <v>25</v>
      </c>
      <c r="F8305" s="52" t="s">
        <v>26</v>
      </c>
      <c r="G8305" s="53"/>
    </row>
    <row r="8306">
      <c r="A8306" s="49">
        <v>44600.23227412037</v>
      </c>
      <c r="B8306" s="50">
        <v>44600.3572486111</v>
      </c>
      <c r="C8306" s="51">
        <v>1.004</v>
      </c>
      <c r="D8306" s="51">
        <v>63.0</v>
      </c>
      <c r="E8306" s="52" t="s">
        <v>25</v>
      </c>
      <c r="F8306" s="52" t="s">
        <v>26</v>
      </c>
      <c r="G8306" s="53"/>
    </row>
    <row r="8307">
      <c r="A8307" s="49">
        <v>44600.24269141204</v>
      </c>
      <c r="B8307" s="50">
        <v>44600.3676704629</v>
      </c>
      <c r="C8307" s="51">
        <v>1.004</v>
      </c>
      <c r="D8307" s="51">
        <v>63.0</v>
      </c>
      <c r="E8307" s="52" t="s">
        <v>25</v>
      </c>
      <c r="F8307" s="52" t="s">
        <v>26</v>
      </c>
      <c r="G8307" s="53"/>
    </row>
    <row r="8308">
      <c r="A8308" s="49">
        <v>44600.25312079861</v>
      </c>
      <c r="B8308" s="50">
        <v>44600.3781038888</v>
      </c>
      <c r="C8308" s="51">
        <v>1.004</v>
      </c>
      <c r="D8308" s="51">
        <v>63.0</v>
      </c>
      <c r="E8308" s="52" t="s">
        <v>25</v>
      </c>
      <c r="F8308" s="52" t="s">
        <v>26</v>
      </c>
      <c r="G8308" s="53"/>
    </row>
    <row r="8309">
      <c r="A8309" s="49">
        <v>44600.263549745374</v>
      </c>
      <c r="B8309" s="50">
        <v>44600.3885249537</v>
      </c>
      <c r="C8309" s="51">
        <v>1.004</v>
      </c>
      <c r="D8309" s="51">
        <v>63.0</v>
      </c>
      <c r="E8309" s="52" t="s">
        <v>25</v>
      </c>
      <c r="F8309" s="52" t="s">
        <v>26</v>
      </c>
      <c r="G8309" s="53"/>
    </row>
    <row r="8310">
      <c r="A8310" s="49">
        <v>44600.27396784722</v>
      </c>
      <c r="B8310" s="50">
        <v>44600.3989442939</v>
      </c>
      <c r="C8310" s="51">
        <v>1.004</v>
      </c>
      <c r="D8310" s="51">
        <v>63.0</v>
      </c>
      <c r="E8310" s="52" t="s">
        <v>25</v>
      </c>
      <c r="F8310" s="52" t="s">
        <v>26</v>
      </c>
      <c r="G8310" s="53"/>
    </row>
    <row r="8311">
      <c r="A8311" s="49">
        <v>44600.28441353009</v>
      </c>
      <c r="B8311" s="50">
        <v>44600.4093883796</v>
      </c>
      <c r="C8311" s="51">
        <v>1.004</v>
      </c>
      <c r="D8311" s="51">
        <v>63.0</v>
      </c>
      <c r="E8311" s="52" t="s">
        <v>25</v>
      </c>
      <c r="F8311" s="52" t="s">
        <v>26</v>
      </c>
      <c r="G8311" s="53"/>
    </row>
    <row r="8312">
      <c r="A8312" s="49">
        <v>44600.294847349534</v>
      </c>
      <c r="B8312" s="50">
        <v>44600.419821574</v>
      </c>
      <c r="C8312" s="51">
        <v>1.004</v>
      </c>
      <c r="D8312" s="51">
        <v>63.0</v>
      </c>
      <c r="E8312" s="52" t="s">
        <v>25</v>
      </c>
      <c r="F8312" s="52" t="s">
        <v>26</v>
      </c>
      <c r="G8312" s="53"/>
    </row>
    <row r="8313">
      <c r="A8313" s="49">
        <v>44600.305265625</v>
      </c>
      <c r="B8313" s="50">
        <v>44600.4302435532</v>
      </c>
      <c r="C8313" s="51">
        <v>1.004</v>
      </c>
      <c r="D8313" s="51">
        <v>63.0</v>
      </c>
      <c r="E8313" s="52" t="s">
        <v>25</v>
      </c>
      <c r="F8313" s="52" t="s">
        <v>26</v>
      </c>
      <c r="G8313" s="53"/>
    </row>
    <row r="8314">
      <c r="A8314" s="49">
        <v>44600.31569578704</v>
      </c>
      <c r="B8314" s="50">
        <v>44600.4406660995</v>
      </c>
      <c r="C8314" s="51">
        <v>1.004</v>
      </c>
      <c r="D8314" s="51">
        <v>63.0</v>
      </c>
      <c r="E8314" s="52" t="s">
        <v>25</v>
      </c>
      <c r="F8314" s="52" t="s">
        <v>26</v>
      </c>
      <c r="G8314" s="53"/>
    </row>
    <row r="8315">
      <c r="A8315" s="49">
        <v>44600.326127430555</v>
      </c>
      <c r="B8315" s="50">
        <v>44600.4510875231</v>
      </c>
      <c r="C8315" s="51">
        <v>1.004</v>
      </c>
      <c r="D8315" s="51">
        <v>63.0</v>
      </c>
      <c r="E8315" s="52" t="s">
        <v>25</v>
      </c>
      <c r="F8315" s="52" t="s">
        <v>26</v>
      </c>
      <c r="G8315" s="53"/>
    </row>
    <row r="8316">
      <c r="A8316" s="49">
        <v>44600.33695236111</v>
      </c>
      <c r="B8316" s="50">
        <v>44600.461509155</v>
      </c>
      <c r="C8316" s="51">
        <v>1.004</v>
      </c>
      <c r="D8316" s="51">
        <v>63.0</v>
      </c>
      <c r="E8316" s="52" t="s">
        <v>25</v>
      </c>
      <c r="F8316" s="52" t="s">
        <v>26</v>
      </c>
      <c r="G8316" s="53"/>
    </row>
    <row r="8317">
      <c r="A8317" s="49">
        <v>44600.346948819446</v>
      </c>
      <c r="B8317" s="50">
        <v>44600.4719310416</v>
      </c>
      <c r="C8317" s="51">
        <v>1.004</v>
      </c>
      <c r="D8317" s="51">
        <v>63.0</v>
      </c>
      <c r="E8317" s="52" t="s">
        <v>25</v>
      </c>
      <c r="F8317" s="52" t="s">
        <v>26</v>
      </c>
      <c r="G8317" s="53"/>
    </row>
    <row r="8318">
      <c r="A8318" s="49">
        <v>44600.35737925926</v>
      </c>
      <c r="B8318" s="50">
        <v>44600.4823521064</v>
      </c>
      <c r="C8318" s="51">
        <v>1.004</v>
      </c>
      <c r="D8318" s="51">
        <v>63.0</v>
      </c>
      <c r="E8318" s="52" t="s">
        <v>25</v>
      </c>
      <c r="F8318" s="52" t="s">
        <v>26</v>
      </c>
      <c r="G8318" s="53"/>
    </row>
    <row r="8319">
      <c r="A8319" s="49">
        <v>44600.36791785879</v>
      </c>
      <c r="B8319" s="50">
        <v>44600.4927723495</v>
      </c>
      <c r="C8319" s="51">
        <v>1.004</v>
      </c>
      <c r="D8319" s="51">
        <v>63.0</v>
      </c>
      <c r="E8319" s="52" t="s">
        <v>25</v>
      </c>
      <c r="F8319" s="52" t="s">
        <v>26</v>
      </c>
      <c r="G8319" s="53"/>
    </row>
    <row r="8320">
      <c r="A8320" s="49">
        <v>44600.37825969908</v>
      </c>
      <c r="B8320" s="50">
        <v>44600.5032067361</v>
      </c>
      <c r="C8320" s="51">
        <v>1.004</v>
      </c>
      <c r="D8320" s="51">
        <v>63.0</v>
      </c>
      <c r="E8320" s="52" t="s">
        <v>25</v>
      </c>
      <c r="F8320" s="52" t="s">
        <v>26</v>
      </c>
      <c r="G8320" s="53"/>
    </row>
    <row r="8321">
      <c r="A8321" s="49">
        <v>44600.38864556713</v>
      </c>
      <c r="B8321" s="50">
        <v>44600.5136264814</v>
      </c>
      <c r="C8321" s="51">
        <v>1.004</v>
      </c>
      <c r="D8321" s="51">
        <v>63.0</v>
      </c>
      <c r="E8321" s="52" t="s">
        <v>25</v>
      </c>
      <c r="F8321" s="52" t="s">
        <v>26</v>
      </c>
      <c r="G8321" s="53"/>
    </row>
    <row r="8322">
      <c r="A8322" s="49">
        <v>44600.399084675926</v>
      </c>
      <c r="B8322" s="50">
        <v>44600.5240486574</v>
      </c>
      <c r="C8322" s="51">
        <v>1.004</v>
      </c>
      <c r="D8322" s="51">
        <v>63.0</v>
      </c>
      <c r="E8322" s="52" t="s">
        <v>25</v>
      </c>
      <c r="F8322" s="52" t="s">
        <v>26</v>
      </c>
      <c r="G8322" s="53"/>
    </row>
    <row r="8323">
      <c r="A8323" s="49">
        <v>44600.409498333334</v>
      </c>
      <c r="B8323" s="50">
        <v>44600.5344672916</v>
      </c>
      <c r="C8323" s="51">
        <v>1.004</v>
      </c>
      <c r="D8323" s="51">
        <v>63.0</v>
      </c>
      <c r="E8323" s="52" t="s">
        <v>25</v>
      </c>
      <c r="F8323" s="52" t="s">
        <v>26</v>
      </c>
      <c r="G8323" s="53"/>
    </row>
    <row r="8324">
      <c r="A8324" s="49">
        <v>44600.419981122686</v>
      </c>
      <c r="B8324" s="50">
        <v>44600.5449581134</v>
      </c>
      <c r="C8324" s="51">
        <v>1.004</v>
      </c>
      <c r="D8324" s="51">
        <v>63.0</v>
      </c>
      <c r="E8324" s="52" t="s">
        <v>25</v>
      </c>
      <c r="F8324" s="52" t="s">
        <v>26</v>
      </c>
      <c r="G8324" s="53"/>
    </row>
    <row r="8325">
      <c r="A8325" s="49">
        <v>44600.43043184028</v>
      </c>
      <c r="B8325" s="50">
        <v>44600.5553920949</v>
      </c>
      <c r="C8325" s="51">
        <v>1.004</v>
      </c>
      <c r="D8325" s="51">
        <v>63.0</v>
      </c>
      <c r="E8325" s="52" t="s">
        <v>25</v>
      </c>
      <c r="F8325" s="52" t="s">
        <v>26</v>
      </c>
      <c r="G8325" s="53"/>
    </row>
    <row r="8326">
      <c r="A8326" s="49">
        <v>44600.44085247685</v>
      </c>
      <c r="B8326" s="50">
        <v>44600.5658141088</v>
      </c>
      <c r="C8326" s="51">
        <v>1.004</v>
      </c>
      <c r="D8326" s="51">
        <v>63.0</v>
      </c>
      <c r="E8326" s="52" t="s">
        <v>25</v>
      </c>
      <c r="F8326" s="52" t="s">
        <v>26</v>
      </c>
      <c r="G8326" s="53"/>
    </row>
    <row r="8327">
      <c r="A8327" s="49">
        <v>44600.45126072917</v>
      </c>
      <c r="B8327" s="50">
        <v>44600.5762346643</v>
      </c>
      <c r="C8327" s="51">
        <v>1.004</v>
      </c>
      <c r="D8327" s="51">
        <v>63.0</v>
      </c>
      <c r="E8327" s="52" t="s">
        <v>25</v>
      </c>
      <c r="F8327" s="52" t="s">
        <v>26</v>
      </c>
      <c r="G8327" s="53"/>
    </row>
    <row r="8328">
      <c r="A8328" s="49">
        <v>44600.46169056713</v>
      </c>
      <c r="B8328" s="50">
        <v>44600.5866558912</v>
      </c>
      <c r="C8328" s="51">
        <v>1.004</v>
      </c>
      <c r="D8328" s="51">
        <v>63.0</v>
      </c>
      <c r="E8328" s="52" t="s">
        <v>25</v>
      </c>
      <c r="F8328" s="52" t="s">
        <v>26</v>
      </c>
      <c r="G8328" s="53"/>
    </row>
    <row r="8329">
      <c r="A8329" s="49">
        <v>44600.472103125</v>
      </c>
      <c r="B8329" s="50">
        <v>44600.5970755671</v>
      </c>
      <c r="C8329" s="51">
        <v>1.004</v>
      </c>
      <c r="D8329" s="51">
        <v>63.0</v>
      </c>
      <c r="E8329" s="52" t="s">
        <v>25</v>
      </c>
      <c r="F8329" s="52" t="s">
        <v>26</v>
      </c>
      <c r="G8329" s="53"/>
    </row>
    <row r="8330">
      <c r="A8330" s="49">
        <v>44600.48253447917</v>
      </c>
      <c r="B8330" s="50">
        <v>44600.6075088425</v>
      </c>
      <c r="C8330" s="51">
        <v>1.004</v>
      </c>
      <c r="D8330" s="51">
        <v>63.0</v>
      </c>
      <c r="E8330" s="52" t="s">
        <v>25</v>
      </c>
      <c r="F8330" s="52" t="s">
        <v>26</v>
      </c>
      <c r="G8330" s="53"/>
    </row>
    <row r="8331">
      <c r="A8331" s="49">
        <v>44600.49296054398</v>
      </c>
      <c r="B8331" s="50">
        <v>44600.6179299421</v>
      </c>
      <c r="C8331" s="51">
        <v>1.004</v>
      </c>
      <c r="D8331" s="51">
        <v>63.0</v>
      </c>
      <c r="E8331" s="52" t="s">
        <v>25</v>
      </c>
      <c r="F8331" s="52" t="s">
        <v>26</v>
      </c>
      <c r="G8331" s="53"/>
    </row>
    <row r="8332">
      <c r="A8332" s="49">
        <v>44600.503372175925</v>
      </c>
      <c r="B8332" s="50">
        <v>44600.628351493</v>
      </c>
      <c r="C8332" s="51">
        <v>1.004</v>
      </c>
      <c r="D8332" s="51">
        <v>63.0</v>
      </c>
      <c r="E8332" s="52" t="s">
        <v>25</v>
      </c>
      <c r="F8332" s="52" t="s">
        <v>26</v>
      </c>
      <c r="G8332" s="53"/>
    </row>
    <row r="8333">
      <c r="A8333" s="49">
        <v>44600.51379484954</v>
      </c>
      <c r="B8333" s="50">
        <v>44600.6387734606</v>
      </c>
      <c r="C8333" s="51">
        <v>1.004</v>
      </c>
      <c r="D8333" s="51">
        <v>63.0</v>
      </c>
      <c r="E8333" s="52" t="s">
        <v>25</v>
      </c>
      <c r="F8333" s="52" t="s">
        <v>26</v>
      </c>
      <c r="G8333" s="53"/>
    </row>
    <row r="8334">
      <c r="A8334" s="49">
        <v>44600.52422951389</v>
      </c>
      <c r="B8334" s="50">
        <v>44600.6492050115</v>
      </c>
      <c r="C8334" s="51">
        <v>1.004</v>
      </c>
      <c r="D8334" s="51">
        <v>63.0</v>
      </c>
      <c r="E8334" s="52" t="s">
        <v>25</v>
      </c>
      <c r="F8334" s="52" t="s">
        <v>26</v>
      </c>
      <c r="G8334" s="53"/>
    </row>
    <row r="8335">
      <c r="A8335" s="49">
        <v>44600.53465019676</v>
      </c>
      <c r="B8335" s="50">
        <v>44600.6596271412</v>
      </c>
      <c r="C8335" s="51">
        <v>1.004</v>
      </c>
      <c r="D8335" s="51">
        <v>63.0</v>
      </c>
      <c r="E8335" s="52" t="s">
        <v>25</v>
      </c>
      <c r="F8335" s="52" t="s">
        <v>26</v>
      </c>
      <c r="G8335" s="53"/>
    </row>
    <row r="8336">
      <c r="A8336" s="49">
        <v>44600.54509310186</v>
      </c>
      <c r="B8336" s="50">
        <v>44600.6700714236</v>
      </c>
      <c r="C8336" s="51">
        <v>1.004</v>
      </c>
      <c r="D8336" s="51">
        <v>63.0</v>
      </c>
      <c r="E8336" s="52" t="s">
        <v>25</v>
      </c>
      <c r="F8336" s="52" t="s">
        <v>26</v>
      </c>
      <c r="G8336" s="53"/>
    </row>
    <row r="8337">
      <c r="A8337" s="49">
        <v>44600.55553347222</v>
      </c>
      <c r="B8337" s="50">
        <v>44600.6805038541</v>
      </c>
      <c r="C8337" s="51">
        <v>1.004</v>
      </c>
      <c r="D8337" s="51">
        <v>63.0</v>
      </c>
      <c r="E8337" s="52" t="s">
        <v>25</v>
      </c>
      <c r="F8337" s="52" t="s">
        <v>26</v>
      </c>
      <c r="G8337" s="53"/>
    </row>
    <row r="8338">
      <c r="A8338" s="49">
        <v>44600.56601995371</v>
      </c>
      <c r="B8338" s="50">
        <v>44600.6909929861</v>
      </c>
      <c r="C8338" s="51">
        <v>1.004</v>
      </c>
      <c r="D8338" s="51">
        <v>63.0</v>
      </c>
      <c r="E8338" s="52" t="s">
        <v>25</v>
      </c>
      <c r="F8338" s="52" t="s">
        <v>26</v>
      </c>
      <c r="G8338" s="53"/>
    </row>
    <row r="8339">
      <c r="A8339" s="49">
        <v>44600.576446527775</v>
      </c>
      <c r="B8339" s="50">
        <v>44600.7014259027</v>
      </c>
      <c r="C8339" s="51">
        <v>1.004</v>
      </c>
      <c r="D8339" s="51">
        <v>63.0</v>
      </c>
      <c r="E8339" s="52" t="s">
        <v>25</v>
      </c>
      <c r="F8339" s="52" t="s">
        <v>26</v>
      </c>
      <c r="G8339" s="53"/>
    </row>
    <row r="8340">
      <c r="A8340" s="49">
        <v>44600.586868287035</v>
      </c>
      <c r="B8340" s="50">
        <v>44600.7118465393</v>
      </c>
      <c r="C8340" s="51">
        <v>1.004</v>
      </c>
      <c r="D8340" s="51">
        <v>63.0</v>
      </c>
      <c r="E8340" s="52" t="s">
        <v>25</v>
      </c>
      <c r="F8340" s="52" t="s">
        <v>26</v>
      </c>
      <c r="G8340" s="53"/>
    </row>
    <row r="8341">
      <c r="A8341" s="49">
        <v>44600.597289756945</v>
      </c>
      <c r="B8341" s="50">
        <v>44600.7222680902</v>
      </c>
      <c r="C8341" s="51">
        <v>1.004</v>
      </c>
      <c r="D8341" s="51">
        <v>63.0</v>
      </c>
      <c r="E8341" s="52" t="s">
        <v>25</v>
      </c>
      <c r="F8341" s="52" t="s">
        <v>26</v>
      </c>
      <c r="G8341" s="53"/>
    </row>
    <row r="8342">
      <c r="A8342" s="49">
        <v>44600.60771386574</v>
      </c>
      <c r="B8342" s="50">
        <v>44600.7326907175</v>
      </c>
      <c r="C8342" s="51">
        <v>1.004</v>
      </c>
      <c r="D8342" s="51">
        <v>63.0</v>
      </c>
      <c r="E8342" s="52" t="s">
        <v>25</v>
      </c>
      <c r="F8342" s="52" t="s">
        <v>26</v>
      </c>
      <c r="G8342" s="53"/>
    </row>
    <row r="8343">
      <c r="A8343" s="49">
        <v>44600.61814719907</v>
      </c>
      <c r="B8343" s="50">
        <v>44600.7431230787</v>
      </c>
      <c r="C8343" s="51">
        <v>1.004</v>
      </c>
      <c r="D8343" s="51">
        <v>63.0</v>
      </c>
      <c r="E8343" s="52" t="s">
        <v>25</v>
      </c>
      <c r="F8343" s="52" t="s">
        <v>26</v>
      </c>
      <c r="G8343" s="53"/>
    </row>
    <row r="8344">
      <c r="A8344" s="49">
        <v>44600.62856363426</v>
      </c>
      <c r="B8344" s="50">
        <v>44600.7535430555</v>
      </c>
      <c r="C8344" s="51">
        <v>1.004</v>
      </c>
      <c r="D8344" s="51">
        <v>63.0</v>
      </c>
      <c r="E8344" s="52" t="s">
        <v>25</v>
      </c>
      <c r="F8344" s="52" t="s">
        <v>26</v>
      </c>
      <c r="G8344" s="53"/>
    </row>
    <row r="8345">
      <c r="A8345" s="49">
        <v>44600.638989976855</v>
      </c>
      <c r="B8345" s="50">
        <v>44600.7639638773</v>
      </c>
      <c r="C8345" s="51">
        <v>1.004</v>
      </c>
      <c r="D8345" s="51">
        <v>63.0</v>
      </c>
      <c r="E8345" s="52" t="s">
        <v>25</v>
      </c>
      <c r="F8345" s="52" t="s">
        <v>26</v>
      </c>
      <c r="G8345" s="53"/>
    </row>
    <row r="8346">
      <c r="A8346" s="49">
        <v>44600.64940519676</v>
      </c>
      <c r="B8346" s="50">
        <v>44600.7743849189</v>
      </c>
      <c r="C8346" s="51">
        <v>1.004</v>
      </c>
      <c r="D8346" s="51">
        <v>63.0</v>
      </c>
      <c r="E8346" s="52" t="s">
        <v>25</v>
      </c>
      <c r="F8346" s="52" t="s">
        <v>26</v>
      </c>
      <c r="G8346" s="53"/>
    </row>
    <row r="8347">
      <c r="A8347" s="49">
        <v>44600.65982547453</v>
      </c>
      <c r="B8347" s="50">
        <v>44600.7848056481</v>
      </c>
      <c r="C8347" s="51">
        <v>1.004</v>
      </c>
      <c r="D8347" s="51">
        <v>63.0</v>
      </c>
      <c r="E8347" s="52" t="s">
        <v>25</v>
      </c>
      <c r="F8347" s="52" t="s">
        <v>26</v>
      </c>
      <c r="G8347" s="53"/>
    </row>
    <row r="8348">
      <c r="A8348" s="49">
        <v>44600.67024835648</v>
      </c>
      <c r="B8348" s="50">
        <v>44600.7952266203</v>
      </c>
      <c r="C8348" s="51">
        <v>1.004</v>
      </c>
      <c r="D8348" s="51">
        <v>63.0</v>
      </c>
      <c r="E8348" s="52" t="s">
        <v>25</v>
      </c>
      <c r="F8348" s="52" t="s">
        <v>26</v>
      </c>
      <c r="G8348" s="53"/>
    </row>
    <row r="8349">
      <c r="A8349" s="49">
        <v>44600.68068597223</v>
      </c>
      <c r="B8349" s="50">
        <v>44600.8056585995</v>
      </c>
      <c r="C8349" s="51">
        <v>1.004</v>
      </c>
      <c r="D8349" s="51">
        <v>63.0</v>
      </c>
      <c r="E8349" s="52" t="s">
        <v>25</v>
      </c>
      <c r="F8349" s="52" t="s">
        <v>26</v>
      </c>
      <c r="G8349" s="53"/>
    </row>
    <row r="8350">
      <c r="A8350" s="49">
        <v>44600.69113</v>
      </c>
      <c r="B8350" s="50">
        <v>44600.816091956</v>
      </c>
      <c r="C8350" s="51">
        <v>1.004</v>
      </c>
      <c r="D8350" s="51">
        <v>63.0</v>
      </c>
      <c r="E8350" s="52" t="s">
        <v>25</v>
      </c>
      <c r="F8350" s="52" t="s">
        <v>26</v>
      </c>
      <c r="G8350" s="53"/>
    </row>
    <row r="8351">
      <c r="A8351" s="49">
        <v>44600.7015349537</v>
      </c>
      <c r="B8351" s="50">
        <v>44600.8265125694</v>
      </c>
      <c r="C8351" s="51">
        <v>1.004</v>
      </c>
      <c r="D8351" s="51">
        <v>63.0</v>
      </c>
      <c r="E8351" s="52" t="s">
        <v>25</v>
      </c>
      <c r="F8351" s="52" t="s">
        <v>26</v>
      </c>
      <c r="G8351" s="53"/>
    </row>
    <row r="8352">
      <c r="A8352" s="49">
        <v>44600.71196353009</v>
      </c>
      <c r="B8352" s="50">
        <v>44600.8369350694</v>
      </c>
      <c r="C8352" s="51">
        <v>1.004</v>
      </c>
      <c r="D8352" s="51">
        <v>63.0</v>
      </c>
      <c r="E8352" s="52" t="s">
        <v>25</v>
      </c>
      <c r="F8352" s="52" t="s">
        <v>26</v>
      </c>
      <c r="G8352" s="53"/>
    </row>
    <row r="8353">
      <c r="A8353" s="49">
        <v>44600.722376192134</v>
      </c>
      <c r="B8353" s="50">
        <v>44600.8473572337</v>
      </c>
      <c r="C8353" s="51">
        <v>1.004</v>
      </c>
      <c r="D8353" s="51">
        <v>63.0</v>
      </c>
      <c r="E8353" s="52" t="s">
        <v>25</v>
      </c>
      <c r="F8353" s="52" t="s">
        <v>26</v>
      </c>
      <c r="G8353" s="53"/>
    </row>
    <row r="8354">
      <c r="A8354" s="49">
        <v>44600.73280574074</v>
      </c>
      <c r="B8354" s="50">
        <v>44600.8577788194</v>
      </c>
      <c r="C8354" s="51">
        <v>1.004</v>
      </c>
      <c r="D8354" s="51">
        <v>63.0</v>
      </c>
      <c r="E8354" s="52" t="s">
        <v>25</v>
      </c>
      <c r="F8354" s="52" t="s">
        <v>26</v>
      </c>
      <c r="G8354" s="53"/>
    </row>
    <row r="8355">
      <c r="A8355" s="49">
        <v>44600.743253877314</v>
      </c>
      <c r="B8355" s="50">
        <v>44600.8682236574</v>
      </c>
      <c r="C8355" s="51">
        <v>1.004</v>
      </c>
      <c r="D8355" s="51">
        <v>63.0</v>
      </c>
      <c r="E8355" s="52" t="s">
        <v>25</v>
      </c>
      <c r="F8355" s="52" t="s">
        <v>26</v>
      </c>
      <c r="G8355" s="53"/>
    </row>
    <row r="8356">
      <c r="A8356" s="49">
        <v>44600.753680821756</v>
      </c>
      <c r="B8356" s="50">
        <v>44600.8786567939</v>
      </c>
      <c r="C8356" s="51">
        <v>1.004</v>
      </c>
      <c r="D8356" s="51">
        <v>63.0</v>
      </c>
      <c r="E8356" s="52" t="s">
        <v>25</v>
      </c>
      <c r="F8356" s="52" t="s">
        <v>26</v>
      </c>
      <c r="G8356" s="53"/>
    </row>
    <row r="8357">
      <c r="A8357" s="49">
        <v>44600.76410315972</v>
      </c>
      <c r="B8357" s="50">
        <v>44600.889077743</v>
      </c>
      <c r="C8357" s="51">
        <v>1.004</v>
      </c>
      <c r="D8357" s="51">
        <v>63.0</v>
      </c>
      <c r="E8357" s="52" t="s">
        <v>25</v>
      </c>
      <c r="F8357" s="52" t="s">
        <v>26</v>
      </c>
      <c r="G8357" s="53"/>
    </row>
    <row r="8358">
      <c r="A8358" s="49">
        <v>44600.77452584491</v>
      </c>
      <c r="B8358" s="50">
        <v>44600.8995003472</v>
      </c>
      <c r="C8358" s="51">
        <v>1.004</v>
      </c>
      <c r="D8358" s="51">
        <v>63.0</v>
      </c>
      <c r="E8358" s="52" t="s">
        <v>25</v>
      </c>
      <c r="F8358" s="52" t="s">
        <v>26</v>
      </c>
      <c r="G8358" s="53"/>
    </row>
    <row r="8359">
      <c r="A8359" s="49">
        <v>44600.784950092595</v>
      </c>
      <c r="B8359" s="50">
        <v>44600.9099208333</v>
      </c>
      <c r="C8359" s="51">
        <v>1.004</v>
      </c>
      <c r="D8359" s="51">
        <v>63.0</v>
      </c>
      <c r="E8359" s="52" t="s">
        <v>25</v>
      </c>
      <c r="F8359" s="52" t="s">
        <v>26</v>
      </c>
      <c r="G8359" s="53"/>
    </row>
    <row r="8360">
      <c r="A8360" s="49">
        <v>44600.79536466435</v>
      </c>
      <c r="B8360" s="50">
        <v>44600.9203416203</v>
      </c>
      <c r="C8360" s="51">
        <v>1.004</v>
      </c>
      <c r="D8360" s="51">
        <v>63.0</v>
      </c>
      <c r="E8360" s="52" t="s">
        <v>25</v>
      </c>
      <c r="F8360" s="52" t="s">
        <v>26</v>
      </c>
      <c r="G8360" s="53"/>
    </row>
    <row r="8361">
      <c r="A8361" s="49">
        <v>44600.805791701394</v>
      </c>
      <c r="B8361" s="50">
        <v>44600.9307614467</v>
      </c>
      <c r="C8361" s="51">
        <v>1.004</v>
      </c>
      <c r="D8361" s="51">
        <v>63.0</v>
      </c>
      <c r="E8361" s="52" t="s">
        <v>25</v>
      </c>
      <c r="F8361" s="52" t="s">
        <v>26</v>
      </c>
      <c r="G8361" s="53"/>
    </row>
    <row r="8362">
      <c r="A8362" s="49">
        <v>44600.816229421296</v>
      </c>
      <c r="B8362" s="50">
        <v>44600.9412055439</v>
      </c>
      <c r="C8362" s="51">
        <v>1.004</v>
      </c>
      <c r="D8362" s="51">
        <v>63.0</v>
      </c>
      <c r="E8362" s="52" t="s">
        <v>25</v>
      </c>
      <c r="F8362" s="52" t="s">
        <v>26</v>
      </c>
      <c r="G8362" s="53"/>
    </row>
    <row r="8363">
      <c r="A8363" s="49">
        <v>44600.82664908565</v>
      </c>
      <c r="B8363" s="50">
        <v>44600.9516278819</v>
      </c>
      <c r="C8363" s="51">
        <v>1.004</v>
      </c>
      <c r="D8363" s="51">
        <v>63.0</v>
      </c>
      <c r="E8363" s="52" t="s">
        <v>25</v>
      </c>
      <c r="F8363" s="52" t="s">
        <v>26</v>
      </c>
      <c r="G8363" s="53"/>
    </row>
    <row r="8364">
      <c r="A8364" s="49">
        <v>44600.83708751157</v>
      </c>
      <c r="B8364" s="50">
        <v>44600.9620600115</v>
      </c>
      <c r="C8364" s="51">
        <v>1.004</v>
      </c>
      <c r="D8364" s="51">
        <v>63.0</v>
      </c>
      <c r="E8364" s="52" t="s">
        <v>25</v>
      </c>
      <c r="F8364" s="52" t="s">
        <v>26</v>
      </c>
      <c r="G8364" s="53"/>
    </row>
    <row r="8365">
      <c r="A8365" s="49">
        <v>44600.84750881944</v>
      </c>
      <c r="B8365" s="50">
        <v>44600.972481331</v>
      </c>
      <c r="C8365" s="51">
        <v>1.004</v>
      </c>
      <c r="D8365" s="51">
        <v>63.0</v>
      </c>
      <c r="E8365" s="52" t="s">
        <v>25</v>
      </c>
      <c r="F8365" s="52" t="s">
        <v>26</v>
      </c>
      <c r="G8365" s="53"/>
    </row>
    <row r="8366">
      <c r="A8366" s="49">
        <v>44600.857937002314</v>
      </c>
      <c r="B8366" s="50">
        <v>44600.9829130324</v>
      </c>
      <c r="C8366" s="51">
        <v>1.004</v>
      </c>
      <c r="D8366" s="51">
        <v>63.0</v>
      </c>
      <c r="E8366" s="52" t="s">
        <v>25</v>
      </c>
      <c r="F8366" s="52" t="s">
        <v>26</v>
      </c>
      <c r="G8366" s="53"/>
    </row>
    <row r="8367">
      <c r="A8367" s="49">
        <v>44600.86836424768</v>
      </c>
      <c r="B8367" s="50">
        <v>44600.9933350694</v>
      </c>
      <c r="C8367" s="51">
        <v>1.004</v>
      </c>
      <c r="D8367" s="51">
        <v>64.0</v>
      </c>
      <c r="E8367" s="52" t="s">
        <v>25</v>
      </c>
      <c r="F8367" s="52" t="s">
        <v>26</v>
      </c>
      <c r="G8367" s="53"/>
    </row>
    <row r="8368">
      <c r="A8368" s="49">
        <v>44600.878794386575</v>
      </c>
      <c r="B8368" s="50">
        <v>44601.003767743</v>
      </c>
      <c r="C8368" s="51">
        <v>1.004</v>
      </c>
      <c r="D8368" s="51">
        <v>64.0</v>
      </c>
      <c r="E8368" s="52" t="s">
        <v>25</v>
      </c>
      <c r="F8368" s="52" t="s">
        <v>26</v>
      </c>
      <c r="G8368" s="53"/>
    </row>
    <row r="8369">
      <c r="A8369" s="49">
        <v>44600.88921267361</v>
      </c>
      <c r="B8369" s="50">
        <v>44601.0141891898</v>
      </c>
      <c r="C8369" s="51">
        <v>1.004</v>
      </c>
      <c r="D8369" s="51">
        <v>65.0</v>
      </c>
      <c r="E8369" s="52" t="s">
        <v>25</v>
      </c>
      <c r="F8369" s="52" t="s">
        <v>26</v>
      </c>
      <c r="G8369" s="53"/>
    </row>
    <row r="8370">
      <c r="A8370" s="49">
        <v>44600.899664004624</v>
      </c>
      <c r="B8370" s="50">
        <v>44601.0246346296</v>
      </c>
      <c r="C8370" s="51">
        <v>1.004</v>
      </c>
      <c r="D8370" s="51">
        <v>65.0</v>
      </c>
      <c r="E8370" s="52" t="s">
        <v>25</v>
      </c>
      <c r="F8370" s="52" t="s">
        <v>26</v>
      </c>
      <c r="G8370" s="53"/>
    </row>
    <row r="8371">
      <c r="A8371" s="49">
        <v>44600.91008552084</v>
      </c>
      <c r="B8371" s="50">
        <v>44601.0350566087</v>
      </c>
      <c r="C8371" s="51">
        <v>1.003</v>
      </c>
      <c r="D8371" s="51">
        <v>66.0</v>
      </c>
      <c r="E8371" s="52" t="s">
        <v>25</v>
      </c>
      <c r="F8371" s="52" t="s">
        <v>26</v>
      </c>
      <c r="G8371" s="53"/>
    </row>
    <row r="8372">
      <c r="A8372" s="49">
        <v>44600.92049993055</v>
      </c>
      <c r="B8372" s="50">
        <v>44601.0454799074</v>
      </c>
      <c r="C8372" s="51">
        <v>1.004</v>
      </c>
      <c r="D8372" s="51">
        <v>66.0</v>
      </c>
      <c r="E8372" s="52" t="s">
        <v>25</v>
      </c>
      <c r="F8372" s="52" t="s">
        <v>26</v>
      </c>
      <c r="G8372" s="53"/>
    </row>
    <row r="8373">
      <c r="A8373" s="49">
        <v>44600.93094888889</v>
      </c>
      <c r="B8373" s="50">
        <v>44601.0559235879</v>
      </c>
      <c r="C8373" s="51">
        <v>1.003</v>
      </c>
      <c r="D8373" s="51">
        <v>66.0</v>
      </c>
      <c r="E8373" s="52" t="s">
        <v>25</v>
      </c>
      <c r="F8373" s="52" t="s">
        <v>26</v>
      </c>
      <c r="G8373" s="53"/>
    </row>
    <row r="8374">
      <c r="A8374" s="49">
        <v>44600.94137318287</v>
      </c>
      <c r="B8374" s="50">
        <v>44601.0663453703</v>
      </c>
      <c r="C8374" s="51">
        <v>1.003</v>
      </c>
      <c r="D8374" s="51">
        <v>67.0</v>
      </c>
      <c r="E8374" s="52" t="s">
        <v>25</v>
      </c>
      <c r="F8374" s="52" t="s">
        <v>26</v>
      </c>
      <c r="G8374" s="53"/>
    </row>
    <row r="8375">
      <c r="A8375" s="49">
        <v>44600.95178866899</v>
      </c>
      <c r="B8375" s="50">
        <v>44601.076766875</v>
      </c>
      <c r="C8375" s="51">
        <v>1.004</v>
      </c>
      <c r="D8375" s="51">
        <v>67.0</v>
      </c>
      <c r="E8375" s="52" t="s">
        <v>25</v>
      </c>
      <c r="F8375" s="52" t="s">
        <v>26</v>
      </c>
      <c r="G8375" s="53"/>
    </row>
    <row r="8376">
      <c r="A8376" s="49">
        <v>44600.96221363426</v>
      </c>
      <c r="B8376" s="50">
        <v>44601.087188287</v>
      </c>
      <c r="C8376" s="51">
        <v>1.004</v>
      </c>
      <c r="D8376" s="51">
        <v>68.0</v>
      </c>
      <c r="E8376" s="52" t="s">
        <v>25</v>
      </c>
      <c r="F8376" s="52" t="s">
        <v>26</v>
      </c>
      <c r="G8376" s="53"/>
    </row>
    <row r="8377">
      <c r="A8377" s="49">
        <v>44600.97263355324</v>
      </c>
      <c r="B8377" s="50">
        <v>44601.0976092129</v>
      </c>
      <c r="C8377" s="51">
        <v>1.003</v>
      </c>
      <c r="D8377" s="51">
        <v>68.0</v>
      </c>
      <c r="E8377" s="52" t="s">
        <v>25</v>
      </c>
      <c r="F8377" s="52" t="s">
        <v>26</v>
      </c>
      <c r="G8377" s="53"/>
    </row>
    <row r="8378">
      <c r="A8378" s="49">
        <v>44600.9830587037</v>
      </c>
      <c r="B8378" s="50">
        <v>44601.1080299768</v>
      </c>
      <c r="C8378" s="51">
        <v>1.003</v>
      </c>
      <c r="D8378" s="51">
        <v>68.0</v>
      </c>
      <c r="E8378" s="52" t="s">
        <v>25</v>
      </c>
      <c r="F8378" s="52" t="s">
        <v>26</v>
      </c>
      <c r="G8378" s="53"/>
    </row>
    <row r="8379">
      <c r="A8379" s="49">
        <v>44600.99348284722</v>
      </c>
      <c r="B8379" s="50">
        <v>44601.1184608911</v>
      </c>
      <c r="C8379" s="51">
        <v>1.003</v>
      </c>
      <c r="D8379" s="51">
        <v>68.0</v>
      </c>
      <c r="E8379" s="52" t="s">
        <v>25</v>
      </c>
      <c r="F8379" s="52" t="s">
        <v>26</v>
      </c>
      <c r="G8379" s="53"/>
    </row>
    <row r="8380">
      <c r="A8380" s="49">
        <v>44601.003905034726</v>
      </c>
      <c r="B8380" s="50">
        <v>44601.1288824074</v>
      </c>
      <c r="C8380" s="51">
        <v>1.003</v>
      </c>
      <c r="D8380" s="51">
        <v>68.0</v>
      </c>
      <c r="E8380" s="52" t="s">
        <v>25</v>
      </c>
      <c r="F8380" s="52" t="s">
        <v>26</v>
      </c>
      <c r="G8380" s="53"/>
    </row>
    <row r="8381">
      <c r="A8381" s="49">
        <v>44601.01433306713</v>
      </c>
      <c r="B8381" s="50">
        <v>44601.1393040277</v>
      </c>
      <c r="C8381" s="51">
        <v>1.003</v>
      </c>
      <c r="D8381" s="51">
        <v>68.0</v>
      </c>
      <c r="E8381" s="52" t="s">
        <v>25</v>
      </c>
      <c r="F8381" s="52" t="s">
        <v>26</v>
      </c>
      <c r="G8381" s="53"/>
    </row>
    <row r="8382">
      <c r="A8382" s="49">
        <v>44601.02475703704</v>
      </c>
      <c r="B8382" s="50">
        <v>44601.14972353</v>
      </c>
      <c r="C8382" s="51">
        <v>1.003</v>
      </c>
      <c r="D8382" s="51">
        <v>68.0</v>
      </c>
      <c r="E8382" s="52" t="s">
        <v>25</v>
      </c>
      <c r="F8382" s="52" t="s">
        <v>26</v>
      </c>
      <c r="G8382" s="53"/>
    </row>
    <row r="8383">
      <c r="A8383" s="49">
        <v>44601.03516637732</v>
      </c>
      <c r="B8383" s="50">
        <v>44601.160147037</v>
      </c>
      <c r="C8383" s="51">
        <v>1.003</v>
      </c>
      <c r="D8383" s="51">
        <v>68.0</v>
      </c>
      <c r="E8383" s="52" t="s">
        <v>25</v>
      </c>
      <c r="F8383" s="52" t="s">
        <v>26</v>
      </c>
      <c r="G8383" s="53"/>
    </row>
    <row r="8384">
      <c r="A8384" s="49">
        <v>44601.045587939814</v>
      </c>
      <c r="B8384" s="50">
        <v>44601.17056853</v>
      </c>
      <c r="C8384" s="51">
        <v>1.003</v>
      </c>
      <c r="D8384" s="51">
        <v>68.0</v>
      </c>
      <c r="E8384" s="52" t="s">
        <v>25</v>
      </c>
      <c r="F8384" s="52" t="s">
        <v>26</v>
      </c>
      <c r="G8384" s="53"/>
    </row>
    <row r="8385">
      <c r="A8385" s="49">
        <v>44601.0560284838</v>
      </c>
      <c r="B8385" s="50">
        <v>44601.1810029282</v>
      </c>
      <c r="C8385" s="51">
        <v>1.003</v>
      </c>
      <c r="D8385" s="51">
        <v>68.0</v>
      </c>
      <c r="E8385" s="52" t="s">
        <v>25</v>
      </c>
      <c r="F8385" s="52" t="s">
        <v>26</v>
      </c>
      <c r="G8385" s="53"/>
    </row>
    <row r="8386">
      <c r="A8386" s="49">
        <v>44601.06644496528</v>
      </c>
      <c r="B8386" s="50">
        <v>44601.1914226851</v>
      </c>
      <c r="C8386" s="51">
        <v>1.003</v>
      </c>
      <c r="D8386" s="51">
        <v>68.0</v>
      </c>
      <c r="E8386" s="52" t="s">
        <v>25</v>
      </c>
      <c r="F8386" s="52" t="s">
        <v>26</v>
      </c>
      <c r="G8386" s="53"/>
    </row>
    <row r="8387">
      <c r="A8387" s="49">
        <v>44601.07686356481</v>
      </c>
      <c r="B8387" s="50">
        <v>44601.2018429166</v>
      </c>
      <c r="C8387" s="51">
        <v>1.003</v>
      </c>
      <c r="D8387" s="51">
        <v>68.0</v>
      </c>
      <c r="E8387" s="52" t="s">
        <v>25</v>
      </c>
      <c r="F8387" s="52" t="s">
        <v>26</v>
      </c>
      <c r="G8387" s="53"/>
    </row>
    <row r="8388">
      <c r="A8388" s="49">
        <v>44601.0872944213</v>
      </c>
      <c r="B8388" s="50">
        <v>44601.2122639004</v>
      </c>
      <c r="C8388" s="51">
        <v>1.003</v>
      </c>
      <c r="D8388" s="51">
        <v>68.0</v>
      </c>
      <c r="E8388" s="52" t="s">
        <v>25</v>
      </c>
      <c r="F8388" s="52" t="s">
        <v>26</v>
      </c>
      <c r="G8388" s="53"/>
    </row>
    <row r="8389">
      <c r="A8389" s="49">
        <v>44601.097713125</v>
      </c>
      <c r="B8389" s="50">
        <v>44601.2226860763</v>
      </c>
      <c r="C8389" s="51">
        <v>1.003</v>
      </c>
      <c r="D8389" s="51">
        <v>68.0</v>
      </c>
      <c r="E8389" s="52" t="s">
        <v>25</v>
      </c>
      <c r="F8389" s="52" t="s">
        <v>26</v>
      </c>
      <c r="G8389" s="53"/>
    </row>
    <row r="8390">
      <c r="A8390" s="49">
        <v>44601.10813393518</v>
      </c>
      <c r="B8390" s="50">
        <v>44601.2331074189</v>
      </c>
      <c r="C8390" s="51">
        <v>1.003</v>
      </c>
      <c r="D8390" s="51">
        <v>68.0</v>
      </c>
      <c r="E8390" s="52" t="s">
        <v>25</v>
      </c>
      <c r="F8390" s="52" t="s">
        <v>26</v>
      </c>
      <c r="G8390" s="53"/>
    </row>
    <row r="8391">
      <c r="A8391" s="49">
        <v>44601.11855076389</v>
      </c>
      <c r="B8391" s="50">
        <v>44601.2435271874</v>
      </c>
      <c r="C8391" s="51">
        <v>1.003</v>
      </c>
      <c r="D8391" s="51">
        <v>68.0</v>
      </c>
      <c r="E8391" s="52" t="s">
        <v>25</v>
      </c>
      <c r="F8391" s="52" t="s">
        <v>26</v>
      </c>
      <c r="G8391" s="53"/>
    </row>
    <row r="8392">
      <c r="A8392" s="49">
        <v>44601.12896880787</v>
      </c>
      <c r="B8392" s="50">
        <v>44601.2539489814</v>
      </c>
      <c r="C8392" s="51">
        <v>1.003</v>
      </c>
      <c r="D8392" s="51">
        <v>68.0</v>
      </c>
      <c r="E8392" s="52" t="s">
        <v>25</v>
      </c>
      <c r="F8392" s="52" t="s">
        <v>26</v>
      </c>
      <c r="G8392" s="53"/>
    </row>
    <row r="8393">
      <c r="A8393" s="49">
        <v>44601.13941150463</v>
      </c>
      <c r="B8393" s="50">
        <v>44601.2643823263</v>
      </c>
      <c r="C8393" s="51">
        <v>1.003</v>
      </c>
      <c r="D8393" s="51">
        <v>67.0</v>
      </c>
      <c r="E8393" s="52" t="s">
        <v>25</v>
      </c>
      <c r="F8393" s="52" t="s">
        <v>26</v>
      </c>
      <c r="G8393" s="53"/>
    </row>
    <row r="8394">
      <c r="A8394" s="49">
        <v>44601.14983230324</v>
      </c>
      <c r="B8394" s="50">
        <v>44601.2748026388</v>
      </c>
      <c r="C8394" s="51">
        <v>1.004</v>
      </c>
      <c r="D8394" s="51">
        <v>67.0</v>
      </c>
      <c r="E8394" s="52" t="s">
        <v>25</v>
      </c>
      <c r="F8394" s="52" t="s">
        <v>26</v>
      </c>
      <c r="G8394" s="53"/>
    </row>
    <row r="8395">
      <c r="A8395" s="49">
        <v>44601.160260613426</v>
      </c>
      <c r="B8395" s="50">
        <v>44601.2852362615</v>
      </c>
      <c r="C8395" s="51">
        <v>1.003</v>
      </c>
      <c r="D8395" s="51">
        <v>67.0</v>
      </c>
      <c r="E8395" s="52" t="s">
        <v>25</v>
      </c>
      <c r="F8395" s="52" t="s">
        <v>26</v>
      </c>
      <c r="G8395" s="53"/>
    </row>
    <row r="8396">
      <c r="A8396" s="49">
        <v>44601.17067699074</v>
      </c>
      <c r="B8396" s="50">
        <v>44601.2956572916</v>
      </c>
      <c r="C8396" s="51">
        <v>1.003</v>
      </c>
      <c r="D8396" s="51">
        <v>67.0</v>
      </c>
      <c r="E8396" s="52" t="s">
        <v>25</v>
      </c>
      <c r="F8396" s="52" t="s">
        <v>26</v>
      </c>
      <c r="G8396" s="53"/>
    </row>
    <row r="8397">
      <c r="A8397" s="49">
        <v>44601.18110670139</v>
      </c>
      <c r="B8397" s="50">
        <v>44601.3060773842</v>
      </c>
      <c r="C8397" s="51">
        <v>1.003</v>
      </c>
      <c r="D8397" s="51">
        <v>67.0</v>
      </c>
      <c r="E8397" s="52" t="s">
        <v>25</v>
      </c>
      <c r="F8397" s="52" t="s">
        <v>26</v>
      </c>
      <c r="G8397" s="53"/>
    </row>
    <row r="8398">
      <c r="A8398" s="49">
        <v>44601.19152226852</v>
      </c>
      <c r="B8398" s="50">
        <v>44601.3164973032</v>
      </c>
      <c r="C8398" s="51">
        <v>1.003</v>
      </c>
      <c r="D8398" s="51">
        <v>67.0</v>
      </c>
      <c r="E8398" s="52" t="s">
        <v>25</v>
      </c>
      <c r="F8398" s="52" t="s">
        <v>26</v>
      </c>
      <c r="G8398" s="53"/>
    </row>
    <row r="8399">
      <c r="A8399" s="49">
        <v>44601.20196103009</v>
      </c>
      <c r="B8399" s="50">
        <v>44601.3269293171</v>
      </c>
      <c r="C8399" s="51">
        <v>1.004</v>
      </c>
      <c r="D8399" s="51">
        <v>67.0</v>
      </c>
      <c r="E8399" s="52" t="s">
        <v>25</v>
      </c>
      <c r="F8399" s="52" t="s">
        <v>26</v>
      </c>
      <c r="G8399" s="53"/>
    </row>
    <row r="8400">
      <c r="A8400" s="49">
        <v>44601.212377233795</v>
      </c>
      <c r="B8400" s="50">
        <v>44601.337352581</v>
      </c>
      <c r="C8400" s="51">
        <v>1.003</v>
      </c>
      <c r="D8400" s="51">
        <v>67.0</v>
      </c>
      <c r="E8400" s="52" t="s">
        <v>25</v>
      </c>
      <c r="F8400" s="52" t="s">
        <v>26</v>
      </c>
      <c r="G8400" s="53"/>
    </row>
    <row r="8401">
      <c r="A8401" s="49">
        <v>44601.22281096065</v>
      </c>
      <c r="B8401" s="50">
        <v>44601.3477736805</v>
      </c>
      <c r="C8401" s="51">
        <v>1.004</v>
      </c>
      <c r="D8401" s="51">
        <v>67.0</v>
      </c>
      <c r="E8401" s="52" t="s">
        <v>25</v>
      </c>
      <c r="F8401" s="52" t="s">
        <v>26</v>
      </c>
      <c r="G8401" s="53"/>
    </row>
    <row r="8402">
      <c r="A8402" s="49">
        <v>44601.23322543981</v>
      </c>
      <c r="B8402" s="50">
        <v>44601.3581951388</v>
      </c>
      <c r="C8402" s="51">
        <v>1.004</v>
      </c>
      <c r="D8402" s="51">
        <v>67.0</v>
      </c>
      <c r="E8402" s="52" t="s">
        <v>25</v>
      </c>
      <c r="F8402" s="52" t="s">
        <v>26</v>
      </c>
      <c r="G8402" s="53"/>
    </row>
    <row r="8403">
      <c r="A8403" s="49">
        <v>44601.243643449074</v>
      </c>
      <c r="B8403" s="50">
        <v>44601.3686168287</v>
      </c>
      <c r="C8403" s="51">
        <v>1.004</v>
      </c>
      <c r="D8403" s="51">
        <v>67.0</v>
      </c>
      <c r="E8403" s="52" t="s">
        <v>25</v>
      </c>
      <c r="F8403" s="52" t="s">
        <v>26</v>
      </c>
      <c r="G8403" s="53"/>
    </row>
    <row r="8404">
      <c r="A8404" s="49">
        <v>44601.25408200231</v>
      </c>
      <c r="B8404" s="50">
        <v>44601.3790506018</v>
      </c>
      <c r="C8404" s="51">
        <v>1.003</v>
      </c>
      <c r="D8404" s="51">
        <v>67.0</v>
      </c>
      <c r="E8404" s="52" t="s">
        <v>25</v>
      </c>
      <c r="F8404" s="52" t="s">
        <v>26</v>
      </c>
      <c r="G8404" s="53"/>
    </row>
    <row r="8405">
      <c r="A8405" s="49">
        <v>44601.26452541667</v>
      </c>
      <c r="B8405" s="50">
        <v>44601.3895065162</v>
      </c>
      <c r="C8405" s="51">
        <v>1.004</v>
      </c>
      <c r="D8405" s="51">
        <v>67.0</v>
      </c>
      <c r="E8405" s="52" t="s">
        <v>25</v>
      </c>
      <c r="F8405" s="52" t="s">
        <v>26</v>
      </c>
      <c r="G8405" s="53"/>
    </row>
    <row r="8406">
      <c r="A8406" s="49">
        <v>44601.27496314815</v>
      </c>
      <c r="B8406" s="50">
        <v>44601.3999292361</v>
      </c>
      <c r="C8406" s="51">
        <v>1.003</v>
      </c>
      <c r="D8406" s="51">
        <v>67.0</v>
      </c>
      <c r="E8406" s="52" t="s">
        <v>25</v>
      </c>
      <c r="F8406" s="52" t="s">
        <v>26</v>
      </c>
      <c r="G8406" s="53"/>
    </row>
    <row r="8407">
      <c r="A8407" s="49">
        <v>44601.285397893516</v>
      </c>
      <c r="B8407" s="50">
        <v>44601.4103732754</v>
      </c>
      <c r="C8407" s="51">
        <v>1.003</v>
      </c>
      <c r="D8407" s="51">
        <v>67.0</v>
      </c>
      <c r="E8407" s="52" t="s">
        <v>25</v>
      </c>
      <c r="F8407" s="52" t="s">
        <v>26</v>
      </c>
      <c r="G8407" s="53"/>
    </row>
    <row r="8408">
      <c r="A8408" s="49">
        <v>44601.29582083333</v>
      </c>
      <c r="B8408" s="50">
        <v>44601.4207941087</v>
      </c>
      <c r="C8408" s="51">
        <v>1.004</v>
      </c>
      <c r="D8408" s="51">
        <v>67.0</v>
      </c>
      <c r="E8408" s="52" t="s">
        <v>25</v>
      </c>
      <c r="F8408" s="52" t="s">
        <v>26</v>
      </c>
      <c r="G8408" s="53"/>
    </row>
    <row r="8409">
      <c r="A8409" s="49">
        <v>44601.306247870365</v>
      </c>
      <c r="B8409" s="50">
        <v>44601.4312157523</v>
      </c>
      <c r="C8409" s="51">
        <v>1.004</v>
      </c>
      <c r="D8409" s="51">
        <v>67.0</v>
      </c>
      <c r="E8409" s="52" t="s">
        <v>25</v>
      </c>
      <c r="F8409" s="52" t="s">
        <v>26</v>
      </c>
      <c r="G8409" s="53"/>
    </row>
    <row r="8410">
      <c r="A8410" s="49">
        <v>44601.31666028935</v>
      </c>
      <c r="B8410" s="50">
        <v>44601.4416366898</v>
      </c>
      <c r="C8410" s="51">
        <v>1.003</v>
      </c>
      <c r="D8410" s="51">
        <v>67.0</v>
      </c>
      <c r="E8410" s="52" t="s">
        <v>25</v>
      </c>
      <c r="F8410" s="52" t="s">
        <v>26</v>
      </c>
      <c r="G8410" s="53"/>
    </row>
    <row r="8411">
      <c r="A8411" s="49">
        <v>44601.32707987269</v>
      </c>
      <c r="B8411" s="50">
        <v>44601.4520563888</v>
      </c>
      <c r="C8411" s="51">
        <v>1.003</v>
      </c>
      <c r="D8411" s="51">
        <v>67.0</v>
      </c>
      <c r="E8411" s="52" t="s">
        <v>25</v>
      </c>
      <c r="F8411" s="52" t="s">
        <v>26</v>
      </c>
      <c r="G8411" s="53"/>
    </row>
    <row r="8412">
      <c r="A8412" s="49">
        <v>44601.33751060185</v>
      </c>
      <c r="B8412" s="50">
        <v>44601.4624884606</v>
      </c>
      <c r="C8412" s="51">
        <v>1.003</v>
      </c>
      <c r="D8412" s="51">
        <v>67.0</v>
      </c>
      <c r="E8412" s="52" t="s">
        <v>25</v>
      </c>
      <c r="F8412" s="52" t="s">
        <v>26</v>
      </c>
      <c r="G8412" s="53"/>
    </row>
    <row r="8413">
      <c r="A8413" s="49">
        <v>44601.34793831018</v>
      </c>
      <c r="B8413" s="50">
        <v>44601.4729117592</v>
      </c>
      <c r="C8413" s="51">
        <v>1.004</v>
      </c>
      <c r="D8413" s="51">
        <v>67.0</v>
      </c>
      <c r="E8413" s="52" t="s">
        <v>25</v>
      </c>
      <c r="F8413" s="52" t="s">
        <v>26</v>
      </c>
      <c r="G8413" s="53"/>
    </row>
    <row r="8414">
      <c r="A8414" s="49">
        <v>44601.35835688657</v>
      </c>
      <c r="B8414" s="50">
        <v>44601.4833316782</v>
      </c>
      <c r="C8414" s="51">
        <v>1.004</v>
      </c>
      <c r="D8414" s="51">
        <v>67.0</v>
      </c>
      <c r="E8414" s="52" t="s">
        <v>25</v>
      </c>
      <c r="F8414" s="52" t="s">
        <v>26</v>
      </c>
      <c r="G8414" s="53"/>
    </row>
    <row r="8415">
      <c r="A8415" s="49">
        <v>44601.36878387732</v>
      </c>
      <c r="B8415" s="50">
        <v>44601.4937532523</v>
      </c>
      <c r="C8415" s="51">
        <v>1.003</v>
      </c>
      <c r="D8415" s="51">
        <v>67.0</v>
      </c>
      <c r="E8415" s="52" t="s">
        <v>25</v>
      </c>
      <c r="F8415" s="52" t="s">
        <v>26</v>
      </c>
      <c r="G8415" s="53"/>
    </row>
    <row r="8416">
      <c r="A8416" s="49">
        <v>44601.37921842592</v>
      </c>
      <c r="B8416" s="50">
        <v>44601.5041747685</v>
      </c>
      <c r="C8416" s="51">
        <v>1.004</v>
      </c>
      <c r="D8416" s="51">
        <v>67.0</v>
      </c>
      <c r="E8416" s="52" t="s">
        <v>25</v>
      </c>
      <c r="F8416" s="52" t="s">
        <v>26</v>
      </c>
      <c r="G8416" s="53"/>
    </row>
    <row r="8417">
      <c r="A8417" s="49">
        <v>44601.38965210648</v>
      </c>
      <c r="B8417" s="50">
        <v>44601.5146293518</v>
      </c>
      <c r="C8417" s="51">
        <v>1.004</v>
      </c>
      <c r="D8417" s="51">
        <v>67.0</v>
      </c>
      <c r="E8417" s="52" t="s">
        <v>25</v>
      </c>
      <c r="F8417" s="52" t="s">
        <v>26</v>
      </c>
      <c r="G8417" s="53"/>
    </row>
    <row r="8418">
      <c r="A8418" s="49">
        <v>44601.40006976852</v>
      </c>
      <c r="B8418" s="50">
        <v>44601.5250490625</v>
      </c>
      <c r="C8418" s="51">
        <v>1.004</v>
      </c>
      <c r="D8418" s="51">
        <v>67.0</v>
      </c>
      <c r="E8418" s="52" t="s">
        <v>25</v>
      </c>
      <c r="F8418" s="52" t="s">
        <v>26</v>
      </c>
      <c r="G8418" s="53"/>
    </row>
    <row r="8419">
      <c r="A8419" s="49">
        <v>44601.410511145834</v>
      </c>
      <c r="B8419" s="50">
        <v>44601.5354815509</v>
      </c>
      <c r="C8419" s="51">
        <v>1.004</v>
      </c>
      <c r="D8419" s="51">
        <v>67.0</v>
      </c>
      <c r="E8419" s="52" t="s">
        <v>25</v>
      </c>
      <c r="F8419" s="52" t="s">
        <v>26</v>
      </c>
      <c r="G8419" s="53"/>
    </row>
    <row r="8420">
      <c r="A8420" s="49">
        <v>44601.420943136574</v>
      </c>
      <c r="B8420" s="50">
        <v>44601.5459160995</v>
      </c>
      <c r="C8420" s="51">
        <v>1.003</v>
      </c>
      <c r="D8420" s="51">
        <v>67.0</v>
      </c>
      <c r="E8420" s="52" t="s">
        <v>25</v>
      </c>
      <c r="F8420" s="52" t="s">
        <v>26</v>
      </c>
      <c r="G8420" s="53"/>
    </row>
    <row r="8421">
      <c r="A8421" s="49">
        <v>44601.431374050924</v>
      </c>
      <c r="B8421" s="50">
        <v>44601.5563382291</v>
      </c>
      <c r="C8421" s="51">
        <v>1.004</v>
      </c>
      <c r="D8421" s="51">
        <v>67.0</v>
      </c>
      <c r="E8421" s="52" t="s">
        <v>25</v>
      </c>
      <c r="F8421" s="52" t="s">
        <v>26</v>
      </c>
      <c r="G8421" s="53"/>
    </row>
    <row r="8422">
      <c r="A8422" s="49">
        <v>44601.44181584491</v>
      </c>
      <c r="B8422" s="50">
        <v>44601.5667832986</v>
      </c>
      <c r="C8422" s="51">
        <v>1.004</v>
      </c>
      <c r="D8422" s="51">
        <v>67.0</v>
      </c>
      <c r="E8422" s="52" t="s">
        <v>25</v>
      </c>
      <c r="F8422" s="52" t="s">
        <v>26</v>
      </c>
      <c r="G8422" s="53"/>
    </row>
    <row r="8423">
      <c r="A8423" s="49">
        <v>44601.452248692134</v>
      </c>
      <c r="B8423" s="50">
        <v>44601.5772168402</v>
      </c>
      <c r="C8423" s="51">
        <v>1.004</v>
      </c>
      <c r="D8423" s="51">
        <v>67.0</v>
      </c>
      <c r="E8423" s="52" t="s">
        <v>25</v>
      </c>
      <c r="F8423" s="52" t="s">
        <v>26</v>
      </c>
      <c r="G8423" s="53"/>
    </row>
    <row r="8424">
      <c r="A8424" s="49">
        <v>44601.462675856485</v>
      </c>
      <c r="B8424" s="50">
        <v>44601.5876503472</v>
      </c>
      <c r="C8424" s="51">
        <v>1.004</v>
      </c>
      <c r="D8424" s="51">
        <v>67.0</v>
      </c>
      <c r="E8424" s="52" t="s">
        <v>25</v>
      </c>
      <c r="F8424" s="52" t="s">
        <v>26</v>
      </c>
      <c r="G8424" s="53"/>
    </row>
    <row r="8425">
      <c r="A8425" s="49">
        <v>44601.47310623842</v>
      </c>
      <c r="B8425" s="50">
        <v>44601.5980717939</v>
      </c>
      <c r="C8425" s="51">
        <v>1.004</v>
      </c>
      <c r="D8425" s="51">
        <v>67.0</v>
      </c>
      <c r="E8425" s="52" t="s">
        <v>25</v>
      </c>
      <c r="F8425" s="52" t="s">
        <v>26</v>
      </c>
      <c r="G8425" s="53"/>
    </row>
    <row r="8426">
      <c r="A8426" s="49">
        <v>44601.483531157406</v>
      </c>
      <c r="B8426" s="50">
        <v>44601.6085035995</v>
      </c>
      <c r="C8426" s="51">
        <v>1.004</v>
      </c>
      <c r="D8426" s="51">
        <v>67.0</v>
      </c>
      <c r="E8426" s="52" t="s">
        <v>25</v>
      </c>
      <c r="F8426" s="52" t="s">
        <v>26</v>
      </c>
      <c r="G8426" s="53"/>
    </row>
    <row r="8427">
      <c r="A8427" s="49">
        <v>44601.49395856481</v>
      </c>
      <c r="B8427" s="50">
        <v>44601.6189245023</v>
      </c>
      <c r="C8427" s="51">
        <v>1.004</v>
      </c>
      <c r="D8427" s="51">
        <v>67.0</v>
      </c>
      <c r="E8427" s="52" t="s">
        <v>25</v>
      </c>
      <c r="F8427" s="52" t="s">
        <v>26</v>
      </c>
      <c r="G8427" s="53"/>
    </row>
    <row r="8428">
      <c r="A8428" s="49">
        <v>44601.504387974535</v>
      </c>
      <c r="B8428" s="50">
        <v>44601.6293572916</v>
      </c>
      <c r="C8428" s="51">
        <v>1.004</v>
      </c>
      <c r="D8428" s="51">
        <v>67.0</v>
      </c>
      <c r="E8428" s="52" t="s">
        <v>25</v>
      </c>
      <c r="F8428" s="52" t="s">
        <v>26</v>
      </c>
      <c r="G8428" s="53"/>
    </row>
    <row r="8429">
      <c r="A8429" s="49">
        <v>44601.514816759256</v>
      </c>
      <c r="B8429" s="50">
        <v>44601.6397905902</v>
      </c>
      <c r="C8429" s="51">
        <v>1.004</v>
      </c>
      <c r="D8429" s="51">
        <v>67.0</v>
      </c>
      <c r="E8429" s="52" t="s">
        <v>25</v>
      </c>
      <c r="F8429" s="52" t="s">
        <v>26</v>
      </c>
      <c r="G8429" s="53"/>
    </row>
    <row r="8430">
      <c r="A8430" s="49">
        <v>44601.52524787037</v>
      </c>
      <c r="B8430" s="50">
        <v>44601.6502105902</v>
      </c>
      <c r="C8430" s="51">
        <v>1.004</v>
      </c>
      <c r="D8430" s="51">
        <v>67.0</v>
      </c>
      <c r="E8430" s="52" t="s">
        <v>25</v>
      </c>
      <c r="F8430" s="52" t="s">
        <v>26</v>
      </c>
      <c r="G8430" s="53"/>
    </row>
    <row r="8431">
      <c r="A8431" s="49">
        <v>44601.53567283565</v>
      </c>
      <c r="B8431" s="50">
        <v>44601.6606427777</v>
      </c>
      <c r="C8431" s="51">
        <v>1.004</v>
      </c>
      <c r="D8431" s="51">
        <v>66.0</v>
      </c>
      <c r="E8431" s="52" t="s">
        <v>25</v>
      </c>
      <c r="F8431" s="52" t="s">
        <v>26</v>
      </c>
      <c r="G8431" s="53"/>
    </row>
    <row r="8432">
      <c r="A8432" s="49">
        <v>44601.54609207176</v>
      </c>
      <c r="B8432" s="50">
        <v>44601.6710654282</v>
      </c>
      <c r="C8432" s="51">
        <v>1.004</v>
      </c>
      <c r="D8432" s="51">
        <v>66.0</v>
      </c>
      <c r="E8432" s="52" t="s">
        <v>25</v>
      </c>
      <c r="F8432" s="52" t="s">
        <v>26</v>
      </c>
      <c r="G8432" s="53"/>
    </row>
    <row r="8433">
      <c r="A8433" s="49">
        <v>44601.556514027776</v>
      </c>
      <c r="B8433" s="50">
        <v>44601.6814860879</v>
      </c>
      <c r="C8433" s="51">
        <v>1.004</v>
      </c>
      <c r="D8433" s="51">
        <v>66.0</v>
      </c>
      <c r="E8433" s="52" t="s">
        <v>25</v>
      </c>
      <c r="F8433" s="52" t="s">
        <v>26</v>
      </c>
      <c r="G8433" s="53"/>
    </row>
    <row r="8434">
      <c r="A8434" s="49">
        <v>44601.566947430554</v>
      </c>
      <c r="B8434" s="50">
        <v>44601.6919081712</v>
      </c>
      <c r="C8434" s="51">
        <v>1.004</v>
      </c>
      <c r="D8434" s="51">
        <v>66.0</v>
      </c>
      <c r="E8434" s="52" t="s">
        <v>25</v>
      </c>
      <c r="F8434" s="52" t="s">
        <v>26</v>
      </c>
      <c r="G8434" s="53"/>
    </row>
    <row r="8435">
      <c r="A8435" s="49">
        <v>44601.577354837966</v>
      </c>
      <c r="B8435" s="50">
        <v>44601.7023300115</v>
      </c>
      <c r="C8435" s="51">
        <v>1.003</v>
      </c>
      <c r="D8435" s="51">
        <v>66.0</v>
      </c>
      <c r="E8435" s="52" t="s">
        <v>25</v>
      </c>
      <c r="F8435" s="52" t="s">
        <v>26</v>
      </c>
      <c r="G8435" s="53"/>
    </row>
    <row r="8436">
      <c r="A8436" s="49">
        <v>44601.58778086805</v>
      </c>
      <c r="B8436" s="50">
        <v>44601.712752743</v>
      </c>
      <c r="C8436" s="51">
        <v>1.004</v>
      </c>
      <c r="D8436" s="51">
        <v>66.0</v>
      </c>
      <c r="E8436" s="52" t="s">
        <v>25</v>
      </c>
      <c r="F8436" s="52" t="s">
        <v>26</v>
      </c>
      <c r="G8436" s="53"/>
    </row>
    <row r="8437">
      <c r="A8437" s="49">
        <v>44601.598203622685</v>
      </c>
      <c r="B8437" s="50">
        <v>44601.7231733217</v>
      </c>
      <c r="C8437" s="51">
        <v>1.004</v>
      </c>
      <c r="D8437" s="51">
        <v>66.0</v>
      </c>
      <c r="E8437" s="52" t="s">
        <v>25</v>
      </c>
      <c r="F8437" s="52" t="s">
        <v>26</v>
      </c>
      <c r="G8437" s="53"/>
    </row>
    <row r="8438">
      <c r="A8438" s="49">
        <v>44601.608630532406</v>
      </c>
      <c r="B8438" s="50">
        <v>44601.7336051388</v>
      </c>
      <c r="C8438" s="51">
        <v>1.004</v>
      </c>
      <c r="D8438" s="51">
        <v>66.0</v>
      </c>
      <c r="E8438" s="52" t="s">
        <v>25</v>
      </c>
      <c r="F8438" s="52" t="s">
        <v>26</v>
      </c>
      <c r="G8438" s="53"/>
    </row>
    <row r="8439">
      <c r="A8439" s="49">
        <v>44601.61906414352</v>
      </c>
      <c r="B8439" s="50">
        <v>44601.7440384722</v>
      </c>
      <c r="C8439" s="51">
        <v>1.003</v>
      </c>
      <c r="D8439" s="51">
        <v>66.0</v>
      </c>
      <c r="E8439" s="52" t="s">
        <v>25</v>
      </c>
      <c r="F8439" s="52" t="s">
        <v>26</v>
      </c>
      <c r="G8439" s="53"/>
    </row>
    <row r="8440">
      <c r="A8440" s="49">
        <v>44601.629548067125</v>
      </c>
      <c r="B8440" s="50">
        <v>44601.7545166087</v>
      </c>
      <c r="C8440" s="51">
        <v>1.004</v>
      </c>
      <c r="D8440" s="51">
        <v>66.0</v>
      </c>
      <c r="E8440" s="52" t="s">
        <v>25</v>
      </c>
      <c r="F8440" s="52" t="s">
        <v>26</v>
      </c>
      <c r="G8440" s="53"/>
    </row>
    <row r="8441">
      <c r="A8441" s="49">
        <v>44601.63996534722</v>
      </c>
      <c r="B8441" s="50">
        <v>44601.7649392129</v>
      </c>
      <c r="C8441" s="51">
        <v>1.004</v>
      </c>
      <c r="D8441" s="51">
        <v>66.0</v>
      </c>
      <c r="E8441" s="52" t="s">
        <v>25</v>
      </c>
      <c r="F8441" s="52" t="s">
        <v>26</v>
      </c>
      <c r="G8441" s="53"/>
    </row>
    <row r="8442">
      <c r="A8442" s="49">
        <v>44601.65038472222</v>
      </c>
      <c r="B8442" s="50">
        <v>44601.7753607175</v>
      </c>
      <c r="C8442" s="51">
        <v>1.004</v>
      </c>
      <c r="D8442" s="51">
        <v>66.0</v>
      </c>
      <c r="E8442" s="52" t="s">
        <v>25</v>
      </c>
      <c r="F8442" s="52" t="s">
        <v>26</v>
      </c>
      <c r="G8442" s="53"/>
    </row>
    <row r="8443">
      <c r="A8443" s="49">
        <v>44601.66083153935</v>
      </c>
      <c r="B8443" s="50">
        <v>44601.7858038078</v>
      </c>
      <c r="C8443" s="51">
        <v>1.004</v>
      </c>
      <c r="D8443" s="51">
        <v>66.0</v>
      </c>
      <c r="E8443" s="52" t="s">
        <v>25</v>
      </c>
      <c r="F8443" s="52" t="s">
        <v>26</v>
      </c>
      <c r="G8443" s="53"/>
    </row>
    <row r="8444">
      <c r="A8444" s="49">
        <v>44601.67128065972</v>
      </c>
      <c r="B8444" s="50">
        <v>44601.7962481481</v>
      </c>
      <c r="C8444" s="51">
        <v>1.004</v>
      </c>
      <c r="D8444" s="51">
        <v>66.0</v>
      </c>
      <c r="E8444" s="52" t="s">
        <v>25</v>
      </c>
      <c r="F8444" s="52" t="s">
        <v>26</v>
      </c>
      <c r="G8444" s="53"/>
    </row>
    <row r="8445">
      <c r="A8445" s="49">
        <v>44601.68169819444</v>
      </c>
      <c r="B8445" s="50">
        <v>44601.8066702199</v>
      </c>
      <c r="C8445" s="51">
        <v>1.004</v>
      </c>
      <c r="D8445" s="51">
        <v>66.0</v>
      </c>
      <c r="E8445" s="52" t="s">
        <v>25</v>
      </c>
      <c r="F8445" s="52" t="s">
        <v>26</v>
      </c>
      <c r="G8445" s="53"/>
    </row>
    <row r="8446">
      <c r="A8446" s="49">
        <v>44601.69214226852</v>
      </c>
      <c r="B8446" s="50">
        <v>44601.8171140393</v>
      </c>
      <c r="C8446" s="51">
        <v>1.004</v>
      </c>
      <c r="D8446" s="51">
        <v>66.0</v>
      </c>
      <c r="E8446" s="52" t="s">
        <v>25</v>
      </c>
      <c r="F8446" s="52" t="s">
        <v>26</v>
      </c>
      <c r="G8446" s="53"/>
    </row>
    <row r="8447">
      <c r="A8447" s="49">
        <v>44601.70256322916</v>
      </c>
      <c r="B8447" s="50">
        <v>44601.8275333564</v>
      </c>
      <c r="C8447" s="51">
        <v>1.004</v>
      </c>
      <c r="D8447" s="51">
        <v>66.0</v>
      </c>
      <c r="E8447" s="52" t="s">
        <v>25</v>
      </c>
      <c r="F8447" s="52" t="s">
        <v>26</v>
      </c>
      <c r="G8447" s="53"/>
    </row>
    <row r="8448">
      <c r="A8448" s="49">
        <v>44601.712995625</v>
      </c>
      <c r="B8448" s="50">
        <v>44601.8379666666</v>
      </c>
      <c r="C8448" s="51">
        <v>1.004</v>
      </c>
      <c r="D8448" s="51">
        <v>66.0</v>
      </c>
      <c r="E8448" s="52" t="s">
        <v>25</v>
      </c>
      <c r="F8448" s="52" t="s">
        <v>26</v>
      </c>
      <c r="G8448" s="53"/>
    </row>
    <row r="8449">
      <c r="A8449" s="49">
        <v>44601.7234106713</v>
      </c>
      <c r="B8449" s="50">
        <v>44601.8483894907</v>
      </c>
      <c r="C8449" s="51">
        <v>1.004</v>
      </c>
      <c r="D8449" s="51">
        <v>66.0</v>
      </c>
      <c r="E8449" s="52" t="s">
        <v>25</v>
      </c>
      <c r="F8449" s="52" t="s">
        <v>26</v>
      </c>
      <c r="G8449" s="53"/>
    </row>
    <row r="8450">
      <c r="A8450" s="49">
        <v>44601.73383261574</v>
      </c>
      <c r="B8450" s="50">
        <v>44601.8588113657</v>
      </c>
      <c r="C8450" s="51">
        <v>1.004</v>
      </c>
      <c r="D8450" s="51">
        <v>66.0</v>
      </c>
      <c r="E8450" s="52" t="s">
        <v>25</v>
      </c>
      <c r="F8450" s="52" t="s">
        <v>26</v>
      </c>
      <c r="G8450" s="53"/>
    </row>
    <row r="8451">
      <c r="A8451" s="49">
        <v>44601.74426042824</v>
      </c>
      <c r="B8451" s="50">
        <v>44601.8692319328</v>
      </c>
      <c r="C8451" s="51">
        <v>1.004</v>
      </c>
      <c r="D8451" s="51">
        <v>66.0</v>
      </c>
      <c r="E8451" s="52" t="s">
        <v>25</v>
      </c>
      <c r="F8451" s="52" t="s">
        <v>26</v>
      </c>
      <c r="G8451" s="53"/>
    </row>
    <row r="8452">
      <c r="A8452" s="49">
        <v>44601.75467349537</v>
      </c>
      <c r="B8452" s="50">
        <v>44601.8796528472</v>
      </c>
      <c r="C8452" s="51">
        <v>1.004</v>
      </c>
      <c r="D8452" s="51">
        <v>66.0</v>
      </c>
      <c r="E8452" s="52" t="s">
        <v>25</v>
      </c>
      <c r="F8452" s="52" t="s">
        <v>26</v>
      </c>
      <c r="G8452" s="53"/>
    </row>
    <row r="8453">
      <c r="A8453" s="49">
        <v>44601.76511078703</v>
      </c>
      <c r="B8453" s="50">
        <v>44601.8900861921</v>
      </c>
      <c r="C8453" s="51">
        <v>1.004</v>
      </c>
      <c r="D8453" s="51">
        <v>66.0</v>
      </c>
      <c r="E8453" s="52" t="s">
        <v>25</v>
      </c>
      <c r="F8453" s="52" t="s">
        <v>26</v>
      </c>
      <c r="G8453" s="53"/>
    </row>
    <row r="8454">
      <c r="A8454" s="49">
        <v>44601.77556980324</v>
      </c>
      <c r="B8454" s="50">
        <v>44601.90054103</v>
      </c>
      <c r="C8454" s="51">
        <v>1.004</v>
      </c>
      <c r="D8454" s="51">
        <v>66.0</v>
      </c>
      <c r="E8454" s="52" t="s">
        <v>25</v>
      </c>
      <c r="F8454" s="52" t="s">
        <v>26</v>
      </c>
      <c r="G8454" s="53"/>
    </row>
    <row r="8455">
      <c r="A8455" s="49">
        <v>44601.785980659726</v>
      </c>
      <c r="B8455" s="50">
        <v>44601.9109612962</v>
      </c>
      <c r="C8455" s="51">
        <v>1.004</v>
      </c>
      <c r="D8455" s="51">
        <v>66.0</v>
      </c>
      <c r="E8455" s="52" t="s">
        <v>25</v>
      </c>
      <c r="F8455" s="52" t="s">
        <v>26</v>
      </c>
      <c r="G8455" s="53"/>
    </row>
    <row r="8456">
      <c r="A8456" s="49">
        <v>44601.796414386576</v>
      </c>
      <c r="B8456" s="50">
        <v>44601.9213828587</v>
      </c>
      <c r="C8456" s="51">
        <v>1.004</v>
      </c>
      <c r="D8456" s="51">
        <v>66.0</v>
      </c>
      <c r="E8456" s="52" t="s">
        <v>25</v>
      </c>
      <c r="F8456" s="52" t="s">
        <v>26</v>
      </c>
      <c r="G8456" s="53"/>
    </row>
    <row r="8457">
      <c r="A8457" s="49">
        <v>44601.80686890046</v>
      </c>
      <c r="B8457" s="50">
        <v>44601.9318394213</v>
      </c>
      <c r="C8457" s="51">
        <v>1.004</v>
      </c>
      <c r="D8457" s="51">
        <v>66.0</v>
      </c>
      <c r="E8457" s="52" t="s">
        <v>25</v>
      </c>
      <c r="F8457" s="52" t="s">
        <v>26</v>
      </c>
      <c r="G8457" s="53"/>
    </row>
    <row r="8458">
      <c r="A8458" s="49">
        <v>44601.81729042824</v>
      </c>
      <c r="B8458" s="50">
        <v>44601.9422614004</v>
      </c>
      <c r="C8458" s="51">
        <v>1.004</v>
      </c>
      <c r="D8458" s="51">
        <v>66.0</v>
      </c>
      <c r="E8458" s="52" t="s">
        <v>25</v>
      </c>
      <c r="F8458" s="52" t="s">
        <v>26</v>
      </c>
      <c r="G8458" s="53"/>
    </row>
    <row r="8459">
      <c r="A8459" s="49">
        <v>44601.82772107639</v>
      </c>
      <c r="B8459" s="50">
        <v>44601.9526818981</v>
      </c>
      <c r="C8459" s="51">
        <v>1.004</v>
      </c>
      <c r="D8459" s="51">
        <v>66.0</v>
      </c>
      <c r="E8459" s="52" t="s">
        <v>25</v>
      </c>
      <c r="F8459" s="52" t="s">
        <v>26</v>
      </c>
      <c r="G8459" s="53"/>
    </row>
    <row r="8460">
      <c r="A8460" s="49">
        <v>44601.838130833334</v>
      </c>
      <c r="B8460" s="50">
        <v>44601.9631031018</v>
      </c>
      <c r="C8460" s="51">
        <v>1.004</v>
      </c>
      <c r="D8460" s="51">
        <v>66.0</v>
      </c>
      <c r="E8460" s="52" t="s">
        <v>25</v>
      </c>
      <c r="F8460" s="52" t="s">
        <v>26</v>
      </c>
      <c r="G8460" s="53"/>
    </row>
    <row r="8461">
      <c r="A8461" s="49">
        <v>44601.848551435185</v>
      </c>
      <c r="B8461" s="50">
        <v>44601.9735245717</v>
      </c>
      <c r="C8461" s="51">
        <v>1.004</v>
      </c>
      <c r="D8461" s="51">
        <v>66.0</v>
      </c>
      <c r="E8461" s="52" t="s">
        <v>25</v>
      </c>
      <c r="F8461" s="52" t="s">
        <v>26</v>
      </c>
      <c r="G8461" s="53"/>
    </row>
    <row r="8462">
      <c r="A8462" s="49">
        <v>44601.85896684028</v>
      </c>
      <c r="B8462" s="50">
        <v>44601.9839456481</v>
      </c>
      <c r="C8462" s="51">
        <v>1.004</v>
      </c>
      <c r="D8462" s="51">
        <v>66.0</v>
      </c>
      <c r="E8462" s="52" t="s">
        <v>25</v>
      </c>
      <c r="F8462" s="52" t="s">
        <v>26</v>
      </c>
      <c r="G8462" s="53"/>
    </row>
    <row r="8463">
      <c r="A8463" s="49">
        <v>44601.869396759255</v>
      </c>
      <c r="B8463" s="50">
        <v>44601.9943688773</v>
      </c>
      <c r="C8463" s="51">
        <v>1.004</v>
      </c>
      <c r="D8463" s="51">
        <v>66.0</v>
      </c>
      <c r="E8463" s="52" t="s">
        <v>25</v>
      </c>
      <c r="F8463" s="52" t="s">
        <v>26</v>
      </c>
      <c r="G8463" s="53"/>
    </row>
    <row r="8464">
      <c r="A8464" s="49">
        <v>44601.87981805556</v>
      </c>
      <c r="B8464" s="50">
        <v>44602.0047899421</v>
      </c>
      <c r="C8464" s="51">
        <v>1.004</v>
      </c>
      <c r="D8464" s="51">
        <v>66.0</v>
      </c>
      <c r="E8464" s="52" t="s">
        <v>25</v>
      </c>
      <c r="F8464" s="52" t="s">
        <v>26</v>
      </c>
      <c r="G8464" s="53"/>
    </row>
    <row r="8465">
      <c r="A8465" s="49">
        <v>44601.89026528935</v>
      </c>
      <c r="B8465" s="50">
        <v>44602.0152329745</v>
      </c>
      <c r="C8465" s="51">
        <v>1.004</v>
      </c>
      <c r="D8465" s="51">
        <v>66.0</v>
      </c>
      <c r="E8465" s="52" t="s">
        <v>25</v>
      </c>
      <c r="F8465" s="52" t="s">
        <v>26</v>
      </c>
      <c r="G8465" s="53"/>
    </row>
    <row r="8466">
      <c r="A8466" s="49">
        <v>44601.900678819446</v>
      </c>
      <c r="B8466" s="50">
        <v>44602.0256554166</v>
      </c>
      <c r="C8466" s="51">
        <v>1.003</v>
      </c>
      <c r="D8466" s="51">
        <v>66.0</v>
      </c>
      <c r="E8466" s="52" t="s">
        <v>25</v>
      </c>
      <c r="F8466" s="52" t="s">
        <v>26</v>
      </c>
      <c r="G8466" s="53"/>
    </row>
    <row r="8467">
      <c r="A8467" s="49">
        <v>44601.91110395834</v>
      </c>
      <c r="B8467" s="50">
        <v>44602.0360756249</v>
      </c>
      <c r="C8467" s="51">
        <v>1.004</v>
      </c>
      <c r="D8467" s="51">
        <v>66.0</v>
      </c>
      <c r="E8467" s="52" t="s">
        <v>25</v>
      </c>
      <c r="F8467" s="52" t="s">
        <v>26</v>
      </c>
      <c r="G8467" s="53"/>
    </row>
    <row r="8468">
      <c r="A8468" s="49">
        <v>44601.92153582176</v>
      </c>
      <c r="B8468" s="50">
        <v>44602.0465085185</v>
      </c>
      <c r="C8468" s="51">
        <v>1.004</v>
      </c>
      <c r="D8468" s="51">
        <v>66.0</v>
      </c>
      <c r="E8468" s="52" t="s">
        <v>25</v>
      </c>
      <c r="F8468" s="52" t="s">
        <v>26</v>
      </c>
      <c r="G8468" s="53"/>
    </row>
    <row r="8469">
      <c r="A8469" s="49">
        <v>44601.93196430556</v>
      </c>
      <c r="B8469" s="50">
        <v>44602.0569417013</v>
      </c>
      <c r="C8469" s="51">
        <v>1.003</v>
      </c>
      <c r="D8469" s="51">
        <v>66.0</v>
      </c>
      <c r="E8469" s="52" t="s">
        <v>25</v>
      </c>
      <c r="F8469" s="52" t="s">
        <v>26</v>
      </c>
      <c r="G8469" s="53"/>
    </row>
    <row r="8470">
      <c r="A8470" s="49">
        <v>44601.94238767361</v>
      </c>
      <c r="B8470" s="50">
        <v>44602.0673623379</v>
      </c>
      <c r="C8470" s="51">
        <v>1.004</v>
      </c>
      <c r="D8470" s="51">
        <v>66.0</v>
      </c>
      <c r="E8470" s="52" t="s">
        <v>25</v>
      </c>
      <c r="F8470" s="52" t="s">
        <v>26</v>
      </c>
      <c r="G8470" s="53"/>
    </row>
    <row r="8471">
      <c r="A8471" s="49">
        <v>44601.95281256945</v>
      </c>
      <c r="B8471" s="50">
        <v>44602.0777836689</v>
      </c>
      <c r="C8471" s="51">
        <v>1.004</v>
      </c>
      <c r="D8471" s="51">
        <v>66.0</v>
      </c>
      <c r="E8471" s="52" t="s">
        <v>25</v>
      </c>
      <c r="F8471" s="52" t="s">
        <v>26</v>
      </c>
      <c r="G8471" s="53"/>
    </row>
    <row r="8472">
      <c r="A8472" s="49">
        <v>44601.963231863425</v>
      </c>
      <c r="B8472" s="50">
        <v>44602.0882063194</v>
      </c>
      <c r="C8472" s="51">
        <v>1.004</v>
      </c>
      <c r="D8472" s="51">
        <v>66.0</v>
      </c>
      <c r="E8472" s="52" t="s">
        <v>25</v>
      </c>
      <c r="F8472" s="52" t="s">
        <v>26</v>
      </c>
      <c r="G8472" s="53"/>
    </row>
    <row r="8473">
      <c r="A8473" s="49">
        <v>44601.973653587964</v>
      </c>
      <c r="B8473" s="50">
        <v>44602.098625706</v>
      </c>
      <c r="C8473" s="51">
        <v>1.004</v>
      </c>
      <c r="D8473" s="51">
        <v>66.0</v>
      </c>
      <c r="E8473" s="52" t="s">
        <v>25</v>
      </c>
      <c r="F8473" s="52" t="s">
        <v>26</v>
      </c>
      <c r="G8473" s="53"/>
    </row>
    <row r="8474">
      <c r="A8474" s="49">
        <v>44601.98407883102</v>
      </c>
      <c r="B8474" s="50">
        <v>44602.1090468865</v>
      </c>
      <c r="C8474" s="51">
        <v>1.004</v>
      </c>
      <c r="D8474" s="51">
        <v>66.0</v>
      </c>
      <c r="E8474" s="52" t="s">
        <v>25</v>
      </c>
      <c r="F8474" s="52" t="s">
        <v>26</v>
      </c>
      <c r="G8474" s="53"/>
    </row>
    <row r="8475">
      <c r="A8475" s="49">
        <v>44601.99451081018</v>
      </c>
      <c r="B8475" s="50">
        <v>44602.1194806365</v>
      </c>
      <c r="C8475" s="51">
        <v>1.004</v>
      </c>
      <c r="D8475" s="51">
        <v>66.0</v>
      </c>
      <c r="E8475" s="52" t="s">
        <v>25</v>
      </c>
      <c r="F8475" s="52" t="s">
        <v>26</v>
      </c>
      <c r="G8475" s="53"/>
    </row>
    <row r="8476">
      <c r="A8476" s="49">
        <v>44602.00495203704</v>
      </c>
      <c r="B8476" s="50">
        <v>44602.1299241782</v>
      </c>
      <c r="C8476" s="51">
        <v>1.004</v>
      </c>
      <c r="D8476" s="51">
        <v>65.0</v>
      </c>
      <c r="E8476" s="52" t="s">
        <v>25</v>
      </c>
      <c r="F8476" s="52" t="s">
        <v>26</v>
      </c>
      <c r="G8476" s="53"/>
    </row>
    <row r="8477">
      <c r="A8477" s="49">
        <v>44602.01538539352</v>
      </c>
      <c r="B8477" s="50">
        <v>44602.1403572222</v>
      </c>
      <c r="C8477" s="51">
        <v>1.004</v>
      </c>
      <c r="D8477" s="51">
        <v>65.0</v>
      </c>
      <c r="E8477" s="52" t="s">
        <v>25</v>
      </c>
      <c r="F8477" s="52" t="s">
        <v>26</v>
      </c>
      <c r="G8477" s="53"/>
    </row>
    <row r="8478">
      <c r="A8478" s="49">
        <v>44602.02580405092</v>
      </c>
      <c r="B8478" s="50">
        <v>44602.1507790046</v>
      </c>
      <c r="C8478" s="51">
        <v>1.004</v>
      </c>
      <c r="D8478" s="51">
        <v>66.0</v>
      </c>
      <c r="E8478" s="52" t="s">
        <v>25</v>
      </c>
      <c r="F8478" s="52" t="s">
        <v>26</v>
      </c>
      <c r="G8478" s="53"/>
    </row>
    <row r="8479">
      <c r="A8479" s="49">
        <v>44602.036236562504</v>
      </c>
      <c r="B8479" s="50">
        <v>44602.1612122569</v>
      </c>
      <c r="C8479" s="51">
        <v>1.004</v>
      </c>
      <c r="D8479" s="51">
        <v>65.0</v>
      </c>
      <c r="E8479" s="52" t="s">
        <v>25</v>
      </c>
      <c r="F8479" s="52" t="s">
        <v>26</v>
      </c>
      <c r="G8479" s="53"/>
    </row>
    <row r="8480">
      <c r="A8480" s="49">
        <v>44602.04667642361</v>
      </c>
      <c r="B8480" s="50">
        <v>44602.1716464814</v>
      </c>
      <c r="C8480" s="51">
        <v>1.004</v>
      </c>
      <c r="D8480" s="51">
        <v>65.0</v>
      </c>
      <c r="E8480" s="52" t="s">
        <v>25</v>
      </c>
      <c r="F8480" s="52" t="s">
        <v>26</v>
      </c>
      <c r="G8480" s="53"/>
    </row>
    <row r="8481">
      <c r="A8481" s="49">
        <v>44602.05709739584</v>
      </c>
      <c r="B8481" s="50">
        <v>44602.1820686921</v>
      </c>
      <c r="C8481" s="51">
        <v>1.004</v>
      </c>
      <c r="D8481" s="51">
        <v>65.0</v>
      </c>
      <c r="E8481" s="52" t="s">
        <v>25</v>
      </c>
      <c r="F8481" s="52" t="s">
        <v>26</v>
      </c>
      <c r="G8481" s="53"/>
    </row>
    <row r="8482">
      <c r="A8482" s="49">
        <v>44602.06754758102</v>
      </c>
      <c r="B8482" s="50">
        <v>44602.1925249074</v>
      </c>
      <c r="C8482" s="51">
        <v>1.004</v>
      </c>
      <c r="D8482" s="51">
        <v>65.0</v>
      </c>
      <c r="E8482" s="52" t="s">
        <v>25</v>
      </c>
      <c r="F8482" s="52" t="s">
        <v>26</v>
      </c>
      <c r="G8482" s="53"/>
    </row>
    <row r="8483">
      <c r="A8483" s="49">
        <v>44602.077999953704</v>
      </c>
      <c r="B8483" s="50">
        <v>44602.2029691782</v>
      </c>
      <c r="C8483" s="51">
        <v>1.004</v>
      </c>
      <c r="D8483" s="51">
        <v>65.0</v>
      </c>
      <c r="E8483" s="52" t="s">
        <v>25</v>
      </c>
      <c r="F8483" s="52" t="s">
        <v>26</v>
      </c>
      <c r="G8483" s="53"/>
    </row>
    <row r="8484">
      <c r="A8484" s="49">
        <v>44602.08841943287</v>
      </c>
      <c r="B8484" s="50">
        <v>44602.2133886921</v>
      </c>
      <c r="C8484" s="51">
        <v>1.004</v>
      </c>
      <c r="D8484" s="51">
        <v>65.0</v>
      </c>
      <c r="E8484" s="52" t="s">
        <v>25</v>
      </c>
      <c r="F8484" s="52" t="s">
        <v>26</v>
      </c>
      <c r="G8484" s="53"/>
    </row>
    <row r="8485">
      <c r="A8485" s="49">
        <v>44602.098835717596</v>
      </c>
      <c r="B8485" s="50">
        <v>44602.2238103703</v>
      </c>
      <c r="C8485" s="51">
        <v>1.004</v>
      </c>
      <c r="D8485" s="51">
        <v>65.0</v>
      </c>
      <c r="E8485" s="52" t="s">
        <v>25</v>
      </c>
      <c r="F8485" s="52" t="s">
        <v>26</v>
      </c>
      <c r="G8485" s="53"/>
    </row>
    <row r="8486">
      <c r="A8486" s="49">
        <v>44602.109250381945</v>
      </c>
      <c r="B8486" s="50">
        <v>44602.234230405</v>
      </c>
      <c r="C8486" s="51">
        <v>1.004</v>
      </c>
      <c r="D8486" s="51">
        <v>65.0</v>
      </c>
      <c r="E8486" s="52" t="s">
        <v>25</v>
      </c>
      <c r="F8486" s="52" t="s">
        <v>26</v>
      </c>
      <c r="G8486" s="53"/>
    </row>
    <row r="8487">
      <c r="A8487" s="49">
        <v>44602.11967829861</v>
      </c>
      <c r="B8487" s="50">
        <v>44602.244652743</v>
      </c>
      <c r="C8487" s="51">
        <v>1.004</v>
      </c>
      <c r="D8487" s="51">
        <v>65.0</v>
      </c>
      <c r="E8487" s="52" t="s">
        <v>25</v>
      </c>
      <c r="F8487" s="52" t="s">
        <v>26</v>
      </c>
      <c r="G8487" s="53"/>
    </row>
    <row r="8488">
      <c r="A8488" s="49">
        <v>44602.13009810185</v>
      </c>
      <c r="B8488" s="50">
        <v>44602.2550750694</v>
      </c>
      <c r="C8488" s="51">
        <v>1.004</v>
      </c>
      <c r="D8488" s="51">
        <v>65.0</v>
      </c>
      <c r="E8488" s="52" t="s">
        <v>25</v>
      </c>
      <c r="F8488" s="52" t="s">
        <v>26</v>
      </c>
      <c r="G8488" s="53"/>
    </row>
    <row r="8489">
      <c r="A8489" s="49">
        <v>44602.14052339121</v>
      </c>
      <c r="B8489" s="50">
        <v>44602.2654945601</v>
      </c>
      <c r="C8489" s="51">
        <v>1.004</v>
      </c>
      <c r="D8489" s="51">
        <v>65.0</v>
      </c>
      <c r="E8489" s="52" t="s">
        <v>25</v>
      </c>
      <c r="F8489" s="52" t="s">
        <v>26</v>
      </c>
      <c r="G8489" s="53"/>
    </row>
    <row r="8490">
      <c r="A8490" s="49">
        <v>44602.15094021991</v>
      </c>
      <c r="B8490" s="50">
        <v>44602.2759178703</v>
      </c>
      <c r="C8490" s="51">
        <v>1.004</v>
      </c>
      <c r="D8490" s="51">
        <v>65.0</v>
      </c>
      <c r="E8490" s="52" t="s">
        <v>25</v>
      </c>
      <c r="F8490" s="52" t="s">
        <v>26</v>
      </c>
      <c r="G8490" s="53"/>
    </row>
    <row r="8491">
      <c r="A8491" s="49">
        <v>44602.161392974536</v>
      </c>
      <c r="B8491" s="50">
        <v>44602.2863637384</v>
      </c>
      <c r="C8491" s="51">
        <v>1.004</v>
      </c>
      <c r="D8491" s="51">
        <v>65.0</v>
      </c>
      <c r="E8491" s="52" t="s">
        <v>25</v>
      </c>
      <c r="F8491" s="52" t="s">
        <v>26</v>
      </c>
      <c r="G8491" s="53"/>
    </row>
    <row r="8492">
      <c r="A8492" s="49">
        <v>44602.17181212963</v>
      </c>
      <c r="B8492" s="50">
        <v>44602.2967846527</v>
      </c>
      <c r="C8492" s="51">
        <v>1.004</v>
      </c>
      <c r="D8492" s="51">
        <v>65.0</v>
      </c>
      <c r="E8492" s="52" t="s">
        <v>25</v>
      </c>
      <c r="F8492" s="52" t="s">
        <v>26</v>
      </c>
      <c r="G8492" s="53"/>
    </row>
    <row r="8493">
      <c r="A8493" s="49">
        <v>44602.18222822917</v>
      </c>
      <c r="B8493" s="50">
        <v>44602.3072070949</v>
      </c>
      <c r="C8493" s="51">
        <v>1.004</v>
      </c>
      <c r="D8493" s="51">
        <v>65.0</v>
      </c>
      <c r="E8493" s="52" t="s">
        <v>25</v>
      </c>
      <c r="F8493" s="52" t="s">
        <v>26</v>
      </c>
      <c r="G8493" s="53"/>
    </row>
    <row r="8494">
      <c r="A8494" s="49">
        <v>44602.19267107639</v>
      </c>
      <c r="B8494" s="50">
        <v>44602.3176417476</v>
      </c>
      <c r="C8494" s="51">
        <v>1.004</v>
      </c>
      <c r="D8494" s="51">
        <v>65.0</v>
      </c>
      <c r="E8494" s="52" t="s">
        <v>25</v>
      </c>
      <c r="F8494" s="52" t="s">
        <v>26</v>
      </c>
      <c r="G8494" s="53"/>
    </row>
    <row r="8495">
      <c r="A8495" s="49">
        <v>44602.20308543982</v>
      </c>
      <c r="B8495" s="50">
        <v>44602.3280642592</v>
      </c>
      <c r="C8495" s="51">
        <v>1.004</v>
      </c>
      <c r="D8495" s="51">
        <v>65.0</v>
      </c>
      <c r="E8495" s="52" t="s">
        <v>25</v>
      </c>
      <c r="F8495" s="52" t="s">
        <v>26</v>
      </c>
      <c r="G8495" s="53"/>
    </row>
    <row r="8496">
      <c r="A8496" s="49">
        <v>44602.21351702546</v>
      </c>
      <c r="B8496" s="50">
        <v>44602.3384857523</v>
      </c>
      <c r="C8496" s="51">
        <v>1.004</v>
      </c>
      <c r="D8496" s="51">
        <v>65.0</v>
      </c>
      <c r="E8496" s="52" t="s">
        <v>25</v>
      </c>
      <c r="F8496" s="52" t="s">
        <v>26</v>
      </c>
      <c r="G8496" s="53"/>
    </row>
    <row r="8497">
      <c r="A8497" s="49">
        <v>44602.223943414356</v>
      </c>
      <c r="B8497" s="50">
        <v>44602.348907199</v>
      </c>
      <c r="C8497" s="51">
        <v>1.004</v>
      </c>
      <c r="D8497" s="51">
        <v>65.0</v>
      </c>
      <c r="E8497" s="52" t="s">
        <v>25</v>
      </c>
      <c r="F8497" s="52" t="s">
        <v>26</v>
      </c>
      <c r="G8497" s="53"/>
    </row>
    <row r="8498">
      <c r="A8498" s="49">
        <v>44602.23438702546</v>
      </c>
      <c r="B8498" s="50">
        <v>44602.3593640625</v>
      </c>
      <c r="C8498" s="51">
        <v>1.004</v>
      </c>
      <c r="D8498" s="51">
        <v>65.0</v>
      </c>
      <c r="E8498" s="52" t="s">
        <v>25</v>
      </c>
      <c r="F8498" s="52" t="s">
        <v>26</v>
      </c>
      <c r="G8498" s="53"/>
    </row>
    <row r="8499">
      <c r="A8499" s="49">
        <v>44602.244821898144</v>
      </c>
      <c r="B8499" s="50">
        <v>44602.3697949536</v>
      </c>
      <c r="C8499" s="51">
        <v>1.004</v>
      </c>
      <c r="D8499" s="51">
        <v>65.0</v>
      </c>
      <c r="E8499" s="52" t="s">
        <v>25</v>
      </c>
      <c r="F8499" s="52" t="s">
        <v>26</v>
      </c>
      <c r="G8499" s="53"/>
    </row>
    <row r="8500">
      <c r="A8500" s="49">
        <v>44602.255264444444</v>
      </c>
      <c r="B8500" s="50">
        <v>44602.3802279282</v>
      </c>
      <c r="C8500" s="51">
        <v>1.004</v>
      </c>
      <c r="D8500" s="51">
        <v>65.0</v>
      </c>
      <c r="E8500" s="52" t="s">
        <v>25</v>
      </c>
      <c r="F8500" s="52" t="s">
        <v>26</v>
      </c>
      <c r="G8500" s="53"/>
    </row>
    <row r="8501">
      <c r="A8501" s="49">
        <v>44602.26567641203</v>
      </c>
      <c r="B8501" s="50">
        <v>44602.3906478125</v>
      </c>
      <c r="C8501" s="51">
        <v>1.004</v>
      </c>
      <c r="D8501" s="51">
        <v>65.0</v>
      </c>
      <c r="E8501" s="52" t="s">
        <v>25</v>
      </c>
      <c r="F8501" s="52" t="s">
        <v>26</v>
      </c>
      <c r="G8501" s="53"/>
    </row>
    <row r="8502">
      <c r="A8502" s="49">
        <v>44602.27609708333</v>
      </c>
      <c r="B8502" s="50">
        <v>44602.4010677083</v>
      </c>
      <c r="C8502" s="51">
        <v>1.004</v>
      </c>
      <c r="D8502" s="51">
        <v>65.0</v>
      </c>
      <c r="E8502" s="52" t="s">
        <v>25</v>
      </c>
      <c r="F8502" s="52" t="s">
        <v>26</v>
      </c>
      <c r="G8502" s="53"/>
    </row>
    <row r="8503">
      <c r="A8503" s="49">
        <v>44602.28650858796</v>
      </c>
      <c r="B8503" s="50">
        <v>44602.4114883449</v>
      </c>
      <c r="C8503" s="51">
        <v>1.004</v>
      </c>
      <c r="D8503" s="51">
        <v>65.0</v>
      </c>
      <c r="E8503" s="52" t="s">
        <v>25</v>
      </c>
      <c r="F8503" s="52" t="s">
        <v>26</v>
      </c>
      <c r="G8503" s="53"/>
    </row>
    <row r="8504">
      <c r="A8504" s="49">
        <v>44602.29694810185</v>
      </c>
      <c r="B8504" s="50">
        <v>44602.4219109375</v>
      </c>
      <c r="C8504" s="51">
        <v>1.004</v>
      </c>
      <c r="D8504" s="51">
        <v>65.0</v>
      </c>
      <c r="E8504" s="52" t="s">
        <v>25</v>
      </c>
      <c r="F8504" s="52" t="s">
        <v>26</v>
      </c>
      <c r="G8504" s="53"/>
    </row>
    <row r="8505">
      <c r="A8505" s="49">
        <v>44602.30738010417</v>
      </c>
      <c r="B8505" s="50">
        <v>44602.4323576041</v>
      </c>
      <c r="C8505" s="51">
        <v>1.004</v>
      </c>
      <c r="D8505" s="51">
        <v>65.0</v>
      </c>
      <c r="E8505" s="52" t="s">
        <v>25</v>
      </c>
      <c r="F8505" s="52" t="s">
        <v>26</v>
      </c>
      <c r="G8505" s="53"/>
    </row>
    <row r="8506">
      <c r="A8506" s="49">
        <v>44602.31781972222</v>
      </c>
      <c r="B8506" s="50">
        <v>44602.4427895949</v>
      </c>
      <c r="C8506" s="51">
        <v>1.004</v>
      </c>
      <c r="D8506" s="51">
        <v>65.0</v>
      </c>
      <c r="E8506" s="52" t="s">
        <v>25</v>
      </c>
      <c r="F8506" s="52" t="s">
        <v>26</v>
      </c>
      <c r="G8506" s="53"/>
    </row>
    <row r="8507">
      <c r="A8507" s="49">
        <v>44602.32824880787</v>
      </c>
      <c r="B8507" s="50">
        <v>44602.4532223611</v>
      </c>
      <c r="C8507" s="51">
        <v>1.004</v>
      </c>
      <c r="D8507" s="51">
        <v>65.0</v>
      </c>
      <c r="E8507" s="52" t="s">
        <v>25</v>
      </c>
      <c r="F8507" s="52" t="s">
        <v>26</v>
      </c>
      <c r="G8507" s="53"/>
    </row>
    <row r="8508">
      <c r="A8508" s="49">
        <v>44602.33866695601</v>
      </c>
      <c r="B8508" s="50">
        <v>44602.46364228</v>
      </c>
      <c r="C8508" s="51">
        <v>1.004</v>
      </c>
      <c r="D8508" s="51">
        <v>65.0</v>
      </c>
      <c r="E8508" s="52" t="s">
        <v>25</v>
      </c>
      <c r="F8508" s="52" t="s">
        <v>26</v>
      </c>
      <c r="G8508" s="53"/>
    </row>
    <row r="8509">
      <c r="A8509" s="49">
        <v>44602.34910136574</v>
      </c>
      <c r="B8509" s="50">
        <v>44602.474065868</v>
      </c>
      <c r="C8509" s="51">
        <v>1.004</v>
      </c>
      <c r="D8509" s="51">
        <v>65.0</v>
      </c>
      <c r="E8509" s="52" t="s">
        <v>25</v>
      </c>
      <c r="F8509" s="52" t="s">
        <v>26</v>
      </c>
      <c r="G8509" s="53"/>
    </row>
    <row r="8510">
      <c r="A8510" s="49">
        <v>44602.35952362268</v>
      </c>
      <c r="B8510" s="50">
        <v>44602.4844984837</v>
      </c>
      <c r="C8510" s="51">
        <v>1.004</v>
      </c>
      <c r="D8510" s="51">
        <v>65.0</v>
      </c>
      <c r="E8510" s="52" t="s">
        <v>25</v>
      </c>
      <c r="F8510" s="52" t="s">
        <v>26</v>
      </c>
      <c r="G8510" s="53"/>
    </row>
    <row r="8511">
      <c r="A8511" s="49">
        <v>44602.36994253472</v>
      </c>
      <c r="B8511" s="50">
        <v>44602.4949197569</v>
      </c>
      <c r="C8511" s="51">
        <v>1.004</v>
      </c>
      <c r="D8511" s="51">
        <v>65.0</v>
      </c>
      <c r="E8511" s="52" t="s">
        <v>25</v>
      </c>
      <c r="F8511" s="52" t="s">
        <v>26</v>
      </c>
      <c r="G8511" s="53"/>
    </row>
    <row r="8512">
      <c r="A8512" s="49">
        <v>44602.38036377315</v>
      </c>
      <c r="B8512" s="50">
        <v>44602.5053418518</v>
      </c>
      <c r="C8512" s="51">
        <v>1.004</v>
      </c>
      <c r="D8512" s="51">
        <v>65.0</v>
      </c>
      <c r="E8512" s="52" t="s">
        <v>25</v>
      </c>
      <c r="F8512" s="52" t="s">
        <v>26</v>
      </c>
      <c r="G8512" s="53"/>
    </row>
    <row r="8513">
      <c r="A8513" s="49">
        <v>44602.39079291667</v>
      </c>
      <c r="B8513" s="50">
        <v>44602.5157629745</v>
      </c>
      <c r="C8513" s="51">
        <v>1.004</v>
      </c>
      <c r="D8513" s="51">
        <v>65.0</v>
      </c>
      <c r="E8513" s="52" t="s">
        <v>25</v>
      </c>
      <c r="F8513" s="52" t="s">
        <v>26</v>
      </c>
      <c r="G8513" s="53"/>
    </row>
    <row r="8514">
      <c r="A8514" s="49">
        <v>44602.401227256945</v>
      </c>
      <c r="B8514" s="50">
        <v>44602.5261964467</v>
      </c>
      <c r="C8514" s="51">
        <v>1.004</v>
      </c>
      <c r="D8514" s="51">
        <v>65.0</v>
      </c>
      <c r="E8514" s="52" t="s">
        <v>25</v>
      </c>
      <c r="F8514" s="52" t="s">
        <v>26</v>
      </c>
      <c r="G8514" s="53"/>
    </row>
    <row r="8515">
      <c r="A8515" s="49">
        <v>44602.41165892361</v>
      </c>
      <c r="B8515" s="50">
        <v>44602.5366292592</v>
      </c>
      <c r="C8515" s="51">
        <v>1.004</v>
      </c>
      <c r="D8515" s="51">
        <v>65.0</v>
      </c>
      <c r="E8515" s="52" t="s">
        <v>25</v>
      </c>
      <c r="F8515" s="52" t="s">
        <v>26</v>
      </c>
      <c r="G8515" s="53"/>
    </row>
    <row r="8516">
      <c r="A8516" s="49">
        <v>44602.422089432876</v>
      </c>
      <c r="B8516" s="50">
        <v>44602.5470611342</v>
      </c>
      <c r="C8516" s="51">
        <v>1.004</v>
      </c>
      <c r="D8516" s="51">
        <v>65.0</v>
      </c>
      <c r="E8516" s="52" t="s">
        <v>25</v>
      </c>
      <c r="F8516" s="52" t="s">
        <v>26</v>
      </c>
      <c r="G8516" s="53"/>
    </row>
    <row r="8517">
      <c r="A8517" s="49">
        <v>44602.43255237269</v>
      </c>
      <c r="B8517" s="50">
        <v>44602.5575160069</v>
      </c>
      <c r="C8517" s="51">
        <v>1.004</v>
      </c>
      <c r="D8517" s="51">
        <v>65.0</v>
      </c>
      <c r="E8517" s="52" t="s">
        <v>25</v>
      </c>
      <c r="F8517" s="52" t="s">
        <v>26</v>
      </c>
      <c r="G8517" s="53"/>
    </row>
    <row r="8518">
      <c r="A8518" s="49">
        <v>44602.44296384259</v>
      </c>
      <c r="B8518" s="50">
        <v>44602.5679360763</v>
      </c>
      <c r="C8518" s="51">
        <v>1.004</v>
      </c>
      <c r="D8518" s="51">
        <v>65.0</v>
      </c>
      <c r="E8518" s="52" t="s">
        <v>25</v>
      </c>
      <c r="F8518" s="52" t="s">
        <v>26</v>
      </c>
      <c r="G8518" s="53"/>
    </row>
    <row r="8519">
      <c r="A8519" s="49">
        <v>44602.4533809375</v>
      </c>
      <c r="B8519" s="50">
        <v>44602.5783572916</v>
      </c>
      <c r="C8519" s="51">
        <v>1.004</v>
      </c>
      <c r="D8519" s="51">
        <v>65.0</v>
      </c>
      <c r="E8519" s="52" t="s">
        <v>25</v>
      </c>
      <c r="F8519" s="52" t="s">
        <v>26</v>
      </c>
      <c r="G8519" s="53"/>
    </row>
    <row r="8520">
      <c r="A8520" s="49">
        <v>44602.46380798611</v>
      </c>
      <c r="B8520" s="50">
        <v>44602.5887803935</v>
      </c>
      <c r="C8520" s="51">
        <v>1.004</v>
      </c>
      <c r="D8520" s="51">
        <v>65.0</v>
      </c>
      <c r="E8520" s="52" t="s">
        <v>25</v>
      </c>
      <c r="F8520" s="52" t="s">
        <v>26</v>
      </c>
      <c r="G8520" s="53"/>
    </row>
    <row r="8521">
      <c r="A8521" s="49">
        <v>44602.47423535879</v>
      </c>
      <c r="B8521" s="50">
        <v>44602.5992141319</v>
      </c>
      <c r="C8521" s="51">
        <v>1.004</v>
      </c>
      <c r="D8521" s="51">
        <v>65.0</v>
      </c>
      <c r="E8521" s="52" t="s">
        <v>25</v>
      </c>
      <c r="F8521" s="52" t="s">
        <v>26</v>
      </c>
      <c r="G8521" s="53"/>
    </row>
    <row r="8522">
      <c r="A8522" s="49">
        <v>44602.48466869213</v>
      </c>
      <c r="B8522" s="50">
        <v>44602.6096362037</v>
      </c>
      <c r="C8522" s="51">
        <v>1.004</v>
      </c>
      <c r="D8522" s="51">
        <v>65.0</v>
      </c>
      <c r="E8522" s="52" t="s">
        <v>25</v>
      </c>
      <c r="F8522" s="52" t="s">
        <v>26</v>
      </c>
      <c r="G8522" s="53"/>
    </row>
    <row r="8523">
      <c r="A8523" s="49">
        <v>44602.495097824074</v>
      </c>
      <c r="B8523" s="50">
        <v>44602.620069456</v>
      </c>
      <c r="C8523" s="51">
        <v>1.004</v>
      </c>
      <c r="D8523" s="51">
        <v>65.0</v>
      </c>
      <c r="E8523" s="52" t="s">
        <v>25</v>
      </c>
      <c r="F8523" s="52" t="s">
        <v>26</v>
      </c>
      <c r="G8523" s="53"/>
    </row>
    <row r="8524">
      <c r="A8524" s="49">
        <v>44602.50551803241</v>
      </c>
      <c r="B8524" s="50">
        <v>44602.6304899189</v>
      </c>
      <c r="C8524" s="51">
        <v>1.004</v>
      </c>
      <c r="D8524" s="51">
        <v>65.0</v>
      </c>
      <c r="E8524" s="52" t="s">
        <v>25</v>
      </c>
      <c r="F8524" s="52" t="s">
        <v>26</v>
      </c>
      <c r="G8524" s="53"/>
    </row>
    <row r="8525">
      <c r="A8525" s="49">
        <v>44602.515949016204</v>
      </c>
      <c r="B8525" s="50">
        <v>44602.6409232291</v>
      </c>
      <c r="C8525" s="51">
        <v>1.004</v>
      </c>
      <c r="D8525" s="51">
        <v>65.0</v>
      </c>
      <c r="E8525" s="52" t="s">
        <v>25</v>
      </c>
      <c r="F8525" s="52" t="s">
        <v>26</v>
      </c>
      <c r="G8525" s="53"/>
    </row>
    <row r="8526">
      <c r="A8526" s="49">
        <v>44602.52637523148</v>
      </c>
      <c r="B8526" s="50">
        <v>44602.6513435069</v>
      </c>
      <c r="C8526" s="51">
        <v>1.004</v>
      </c>
      <c r="D8526" s="51">
        <v>65.0</v>
      </c>
      <c r="E8526" s="52" t="s">
        <v>25</v>
      </c>
      <c r="F8526" s="52" t="s">
        <v>26</v>
      </c>
      <c r="G8526" s="53"/>
    </row>
    <row r="8527">
      <c r="A8527" s="49">
        <v>44602.536787881945</v>
      </c>
      <c r="B8527" s="50">
        <v>44602.6617649884</v>
      </c>
      <c r="C8527" s="51">
        <v>1.004</v>
      </c>
      <c r="D8527" s="51">
        <v>65.0</v>
      </c>
      <c r="E8527" s="52" t="s">
        <v>25</v>
      </c>
      <c r="F8527" s="52" t="s">
        <v>26</v>
      </c>
      <c r="G8527" s="53"/>
    </row>
    <row r="8528">
      <c r="A8528" s="49">
        <v>44602.54724474537</v>
      </c>
      <c r="B8528" s="50">
        <v>44602.6722106597</v>
      </c>
      <c r="C8528" s="51">
        <v>1.004</v>
      </c>
      <c r="D8528" s="51">
        <v>65.0</v>
      </c>
      <c r="E8528" s="52" t="s">
        <v>25</v>
      </c>
      <c r="F8528" s="52" t="s">
        <v>26</v>
      </c>
      <c r="G8528" s="53"/>
    </row>
    <row r="8529">
      <c r="A8529" s="49">
        <v>44602.55766298611</v>
      </c>
      <c r="B8529" s="50">
        <v>44602.6826322569</v>
      </c>
      <c r="C8529" s="51">
        <v>1.004</v>
      </c>
      <c r="D8529" s="51">
        <v>65.0</v>
      </c>
      <c r="E8529" s="52" t="s">
        <v>25</v>
      </c>
      <c r="F8529" s="52" t="s">
        <v>26</v>
      </c>
      <c r="G8529" s="53"/>
    </row>
    <row r="8530">
      <c r="A8530" s="49">
        <v>44602.56807445602</v>
      </c>
      <c r="B8530" s="50">
        <v>44602.6930506712</v>
      </c>
      <c r="C8530" s="51">
        <v>1.004</v>
      </c>
      <c r="D8530" s="51">
        <v>65.0</v>
      </c>
      <c r="E8530" s="52" t="s">
        <v>25</v>
      </c>
      <c r="F8530" s="52" t="s">
        <v>26</v>
      </c>
      <c r="G8530" s="53"/>
    </row>
    <row r="8531">
      <c r="A8531" s="49">
        <v>44602.57850203704</v>
      </c>
      <c r="B8531" s="50">
        <v>44602.7034719097</v>
      </c>
      <c r="C8531" s="51">
        <v>1.004</v>
      </c>
      <c r="D8531" s="51">
        <v>65.0</v>
      </c>
      <c r="E8531" s="52" t="s">
        <v>25</v>
      </c>
      <c r="F8531" s="52" t="s">
        <v>26</v>
      </c>
      <c r="G8531" s="53"/>
    </row>
    <row r="8532">
      <c r="A8532" s="49">
        <v>44602.588924247684</v>
      </c>
      <c r="B8532" s="50">
        <v>44602.7138929398</v>
      </c>
      <c r="C8532" s="51">
        <v>1.004</v>
      </c>
      <c r="D8532" s="51">
        <v>65.0</v>
      </c>
      <c r="E8532" s="52" t="s">
        <v>25</v>
      </c>
      <c r="F8532" s="52" t="s">
        <v>26</v>
      </c>
      <c r="G8532" s="53"/>
    </row>
    <row r="8533">
      <c r="A8533" s="49">
        <v>44602.599344131944</v>
      </c>
      <c r="B8533" s="50">
        <v>44602.7243115277</v>
      </c>
      <c r="C8533" s="51">
        <v>1.004</v>
      </c>
      <c r="D8533" s="51">
        <v>65.0</v>
      </c>
      <c r="E8533" s="52" t="s">
        <v>25</v>
      </c>
      <c r="F8533" s="52" t="s">
        <v>26</v>
      </c>
      <c r="G8533" s="53"/>
    </row>
    <row r="8534">
      <c r="A8534" s="49">
        <v>44602.60977571759</v>
      </c>
      <c r="B8534" s="50">
        <v>44602.7347447453</v>
      </c>
      <c r="C8534" s="51">
        <v>1.004</v>
      </c>
      <c r="D8534" s="51">
        <v>65.0</v>
      </c>
      <c r="E8534" s="52" t="s">
        <v>25</v>
      </c>
      <c r="F8534" s="52" t="s">
        <v>26</v>
      </c>
      <c r="G8534" s="53"/>
    </row>
    <row r="8535">
      <c r="A8535" s="49">
        <v>44602.62021606481</v>
      </c>
      <c r="B8535" s="50">
        <v>44602.7451898379</v>
      </c>
      <c r="C8535" s="51">
        <v>1.004</v>
      </c>
      <c r="D8535" s="51">
        <v>65.0</v>
      </c>
      <c r="E8535" s="52" t="s">
        <v>25</v>
      </c>
      <c r="F8535" s="52" t="s">
        <v>26</v>
      </c>
      <c r="G8535" s="53"/>
    </row>
    <row r="8536">
      <c r="A8536" s="49">
        <v>44602.63064363426</v>
      </c>
      <c r="B8536" s="50">
        <v>44602.7556217708</v>
      </c>
      <c r="C8536" s="51">
        <v>1.004</v>
      </c>
      <c r="D8536" s="51">
        <v>65.0</v>
      </c>
      <c r="E8536" s="52" t="s">
        <v>25</v>
      </c>
      <c r="F8536" s="52" t="s">
        <v>26</v>
      </c>
      <c r="G8536" s="53"/>
    </row>
    <row r="8537">
      <c r="A8537" s="49">
        <v>44602.64107199074</v>
      </c>
      <c r="B8537" s="50">
        <v>44602.7660440625</v>
      </c>
      <c r="C8537" s="51">
        <v>1.004</v>
      </c>
      <c r="D8537" s="51">
        <v>65.0</v>
      </c>
      <c r="E8537" s="52" t="s">
        <v>25</v>
      </c>
      <c r="F8537" s="52" t="s">
        <v>26</v>
      </c>
      <c r="G8537" s="53"/>
    </row>
    <row r="8538">
      <c r="A8538" s="49">
        <v>44602.65148927084</v>
      </c>
      <c r="B8538" s="50">
        <v>44602.7764650925</v>
      </c>
      <c r="C8538" s="51">
        <v>1.004</v>
      </c>
      <c r="D8538" s="51">
        <v>65.0</v>
      </c>
      <c r="E8538" s="52" t="s">
        <v>25</v>
      </c>
      <c r="F8538" s="52" t="s">
        <v>26</v>
      </c>
      <c r="G8538" s="53"/>
    </row>
    <row r="8539">
      <c r="A8539" s="49">
        <v>44602.6619146875</v>
      </c>
      <c r="B8539" s="50">
        <v>44602.7868872801</v>
      </c>
      <c r="C8539" s="51">
        <v>1.004</v>
      </c>
      <c r="D8539" s="51">
        <v>65.0</v>
      </c>
      <c r="E8539" s="52" t="s">
        <v>25</v>
      </c>
      <c r="F8539" s="52" t="s">
        <v>26</v>
      </c>
      <c r="G8539" s="53"/>
    </row>
    <row r="8540">
      <c r="A8540" s="49">
        <v>44602.672346770836</v>
      </c>
      <c r="B8540" s="50">
        <v>44602.7973191782</v>
      </c>
      <c r="C8540" s="51">
        <v>1.004</v>
      </c>
      <c r="D8540" s="51">
        <v>65.0</v>
      </c>
      <c r="E8540" s="52" t="s">
        <v>25</v>
      </c>
      <c r="F8540" s="52" t="s">
        <v>26</v>
      </c>
      <c r="G8540" s="53"/>
    </row>
    <row r="8541">
      <c r="A8541" s="49">
        <v>44602.682782800926</v>
      </c>
      <c r="B8541" s="50">
        <v>44602.8077542476</v>
      </c>
      <c r="C8541" s="51">
        <v>1.004</v>
      </c>
      <c r="D8541" s="51">
        <v>64.0</v>
      </c>
      <c r="E8541" s="52" t="s">
        <v>25</v>
      </c>
      <c r="F8541" s="52" t="s">
        <v>26</v>
      </c>
      <c r="G8541" s="53"/>
    </row>
    <row r="8542">
      <c r="A8542" s="49">
        <v>44602.69323420139</v>
      </c>
      <c r="B8542" s="50">
        <v>44602.8182103356</v>
      </c>
      <c r="C8542" s="51">
        <v>1.004</v>
      </c>
      <c r="D8542" s="51">
        <v>65.0</v>
      </c>
      <c r="E8542" s="52" t="s">
        <v>25</v>
      </c>
      <c r="F8542" s="52" t="s">
        <v>26</v>
      </c>
      <c r="G8542" s="53"/>
    </row>
    <row r="8543">
      <c r="A8543" s="49">
        <v>44602.703663148146</v>
      </c>
      <c r="B8543" s="50">
        <v>44602.8286429513</v>
      </c>
      <c r="C8543" s="51">
        <v>1.004</v>
      </c>
      <c r="D8543" s="51">
        <v>65.0</v>
      </c>
      <c r="E8543" s="52" t="s">
        <v>25</v>
      </c>
      <c r="F8543" s="52" t="s">
        <v>26</v>
      </c>
      <c r="G8543" s="53"/>
    </row>
    <row r="8544">
      <c r="A8544" s="49">
        <v>44602.7140913426</v>
      </c>
      <c r="B8544" s="50">
        <v>44602.8390627546</v>
      </c>
      <c r="C8544" s="51">
        <v>1.004</v>
      </c>
      <c r="D8544" s="51">
        <v>64.0</v>
      </c>
      <c r="E8544" s="52" t="s">
        <v>25</v>
      </c>
      <c r="F8544" s="52" t="s">
        <v>26</v>
      </c>
      <c r="G8544" s="53"/>
    </row>
    <row r="8545">
      <c r="A8545" s="49">
        <v>44602.72452416667</v>
      </c>
      <c r="B8545" s="50">
        <v>44602.8494942939</v>
      </c>
      <c r="C8545" s="51">
        <v>1.004</v>
      </c>
      <c r="D8545" s="51">
        <v>64.0</v>
      </c>
      <c r="E8545" s="52" t="s">
        <v>25</v>
      </c>
      <c r="F8545" s="52" t="s">
        <v>26</v>
      </c>
      <c r="G8545" s="53"/>
    </row>
    <row r="8546">
      <c r="A8546" s="49">
        <v>44602.73493658565</v>
      </c>
      <c r="B8546" s="50">
        <v>44602.8599170486</v>
      </c>
      <c r="C8546" s="51">
        <v>1.004</v>
      </c>
      <c r="D8546" s="51">
        <v>64.0</v>
      </c>
      <c r="E8546" s="52" t="s">
        <v>25</v>
      </c>
      <c r="F8546" s="52" t="s">
        <v>26</v>
      </c>
      <c r="G8546" s="53"/>
    </row>
    <row r="8547">
      <c r="A8547" s="49">
        <v>44602.745384062495</v>
      </c>
      <c r="B8547" s="50">
        <v>44602.8703493055</v>
      </c>
      <c r="C8547" s="51">
        <v>1.004</v>
      </c>
      <c r="D8547" s="51">
        <v>64.0</v>
      </c>
      <c r="E8547" s="52" t="s">
        <v>25</v>
      </c>
      <c r="F8547" s="52" t="s">
        <v>26</v>
      </c>
      <c r="G8547" s="53"/>
    </row>
    <row r="8548">
      <c r="A8548" s="49">
        <v>44602.75583285879</v>
      </c>
      <c r="B8548" s="50">
        <v>44602.8808059606</v>
      </c>
      <c r="C8548" s="51">
        <v>1.004</v>
      </c>
      <c r="D8548" s="51">
        <v>64.0</v>
      </c>
      <c r="E8548" s="52" t="s">
        <v>25</v>
      </c>
      <c r="F8548" s="52" t="s">
        <v>26</v>
      </c>
      <c r="G8548" s="53"/>
    </row>
    <row r="8549">
      <c r="A8549" s="49">
        <v>44602.76626020833</v>
      </c>
      <c r="B8549" s="50">
        <v>44602.8912258564</v>
      </c>
      <c r="C8549" s="51">
        <v>1.004</v>
      </c>
      <c r="D8549" s="51">
        <v>64.0</v>
      </c>
      <c r="E8549" s="52" t="s">
        <v>25</v>
      </c>
      <c r="F8549" s="52" t="s">
        <v>26</v>
      </c>
      <c r="G8549" s="53"/>
    </row>
    <row r="8550">
      <c r="A8550" s="49">
        <v>44602.776675925925</v>
      </c>
      <c r="B8550" s="50">
        <v>44602.9016470717</v>
      </c>
      <c r="C8550" s="51">
        <v>1.004</v>
      </c>
      <c r="D8550" s="51">
        <v>64.0</v>
      </c>
      <c r="E8550" s="52" t="s">
        <v>25</v>
      </c>
      <c r="F8550" s="52" t="s">
        <v>26</v>
      </c>
      <c r="G8550" s="53"/>
    </row>
    <row r="8551">
      <c r="A8551" s="49">
        <v>44602.78710269676</v>
      </c>
      <c r="B8551" s="50">
        <v>44602.9120792476</v>
      </c>
      <c r="C8551" s="51">
        <v>1.004</v>
      </c>
      <c r="D8551" s="51">
        <v>64.0</v>
      </c>
      <c r="E8551" s="52" t="s">
        <v>25</v>
      </c>
      <c r="F8551" s="52" t="s">
        <v>26</v>
      </c>
      <c r="G8551" s="53"/>
    </row>
    <row r="8552">
      <c r="A8552" s="49">
        <v>44602.79752989583</v>
      </c>
      <c r="B8552" s="50">
        <v>44602.9225009953</v>
      </c>
      <c r="C8552" s="51">
        <v>1.004</v>
      </c>
      <c r="D8552" s="51">
        <v>64.0</v>
      </c>
      <c r="E8552" s="52" t="s">
        <v>25</v>
      </c>
      <c r="F8552" s="52" t="s">
        <v>26</v>
      </c>
      <c r="G8552" s="53"/>
    </row>
    <row r="8553">
      <c r="A8553" s="49">
        <v>44602.80795011574</v>
      </c>
      <c r="B8553" s="50">
        <v>44602.9329226157</v>
      </c>
      <c r="C8553" s="51">
        <v>1.004</v>
      </c>
      <c r="D8553" s="51">
        <v>64.0</v>
      </c>
      <c r="E8553" s="52" t="s">
        <v>25</v>
      </c>
      <c r="F8553" s="52" t="s">
        <v>26</v>
      </c>
      <c r="G8553" s="53"/>
    </row>
    <row r="8554">
      <c r="A8554" s="49">
        <v>44602.81840671296</v>
      </c>
      <c r="B8554" s="50">
        <v>44602.9433783101</v>
      </c>
      <c r="C8554" s="51">
        <v>1.004</v>
      </c>
      <c r="D8554" s="51">
        <v>64.0</v>
      </c>
      <c r="E8554" s="52" t="s">
        <v>25</v>
      </c>
      <c r="F8554" s="52" t="s">
        <v>26</v>
      </c>
      <c r="G8554" s="53"/>
    </row>
    <row r="8555">
      <c r="A8555" s="49">
        <v>44602.828841215276</v>
      </c>
      <c r="B8555" s="50">
        <v>44602.9538107986</v>
      </c>
      <c r="C8555" s="51">
        <v>1.004</v>
      </c>
      <c r="D8555" s="51">
        <v>64.0</v>
      </c>
      <c r="E8555" s="52" t="s">
        <v>25</v>
      </c>
      <c r="F8555" s="52" t="s">
        <v>26</v>
      </c>
      <c r="G8555" s="53"/>
    </row>
    <row r="8556">
      <c r="A8556" s="49">
        <v>44602.83925712963</v>
      </c>
      <c r="B8556" s="50">
        <v>44602.9642341435</v>
      </c>
      <c r="C8556" s="51">
        <v>1.004</v>
      </c>
      <c r="D8556" s="51">
        <v>64.0</v>
      </c>
      <c r="E8556" s="52" t="s">
        <v>25</v>
      </c>
      <c r="F8556" s="52" t="s">
        <v>26</v>
      </c>
      <c r="G8556" s="53"/>
    </row>
    <row r="8557">
      <c r="A8557" s="49">
        <v>44602.849693125</v>
      </c>
      <c r="B8557" s="50">
        <v>44602.9746553472</v>
      </c>
      <c r="C8557" s="51">
        <v>1.003</v>
      </c>
      <c r="D8557" s="51">
        <v>64.0</v>
      </c>
      <c r="E8557" s="52" t="s">
        <v>25</v>
      </c>
      <c r="F8557" s="52" t="s">
        <v>26</v>
      </c>
      <c r="G8557" s="53"/>
    </row>
    <row r="8558">
      <c r="A8558" s="49">
        <v>44602.860119363424</v>
      </c>
      <c r="B8558" s="50">
        <v>44602.9850881018</v>
      </c>
      <c r="C8558" s="51">
        <v>1.004</v>
      </c>
      <c r="D8558" s="51">
        <v>64.0</v>
      </c>
      <c r="E8558" s="52" t="s">
        <v>25</v>
      </c>
      <c r="F8558" s="52" t="s">
        <v>26</v>
      </c>
      <c r="G8558" s="53"/>
    </row>
    <row r="8559">
      <c r="A8559" s="49">
        <v>44602.87055571759</v>
      </c>
      <c r="B8559" s="50">
        <v>44602.9955207754</v>
      </c>
      <c r="C8559" s="51">
        <v>1.004</v>
      </c>
      <c r="D8559" s="51">
        <v>64.0</v>
      </c>
      <c r="E8559" s="52" t="s">
        <v>25</v>
      </c>
      <c r="F8559" s="52" t="s">
        <v>26</v>
      </c>
      <c r="G8559" s="53"/>
    </row>
    <row r="8560">
      <c r="A8560" s="49">
        <v>44602.8809831713</v>
      </c>
      <c r="B8560" s="50">
        <v>44603.0059529745</v>
      </c>
      <c r="C8560" s="51">
        <v>1.004</v>
      </c>
      <c r="D8560" s="51">
        <v>64.0</v>
      </c>
      <c r="E8560" s="52" t="s">
        <v>25</v>
      </c>
      <c r="F8560" s="52" t="s">
        <v>26</v>
      </c>
      <c r="G8560" s="53"/>
    </row>
    <row r="8561">
      <c r="A8561" s="49">
        <v>44602.89141207176</v>
      </c>
      <c r="B8561" s="50">
        <v>44603.0163865161</v>
      </c>
      <c r="C8561" s="51">
        <v>1.004</v>
      </c>
      <c r="D8561" s="51">
        <v>64.0</v>
      </c>
      <c r="E8561" s="52" t="s">
        <v>25</v>
      </c>
      <c r="F8561" s="52" t="s">
        <v>26</v>
      </c>
      <c r="G8561" s="53"/>
    </row>
    <row r="8562">
      <c r="A8562" s="49">
        <v>44602.90190653935</v>
      </c>
      <c r="B8562" s="50">
        <v>44603.0268198726</v>
      </c>
      <c r="C8562" s="51">
        <v>1.004</v>
      </c>
      <c r="D8562" s="51">
        <v>64.0</v>
      </c>
      <c r="E8562" s="52" t="s">
        <v>25</v>
      </c>
      <c r="F8562" s="52" t="s">
        <v>26</v>
      </c>
      <c r="G8562" s="53"/>
    </row>
    <row r="8563">
      <c r="A8563" s="49">
        <v>44602.91227583333</v>
      </c>
      <c r="B8563" s="50">
        <v>44603.0372417361</v>
      </c>
      <c r="C8563" s="51">
        <v>1.004</v>
      </c>
      <c r="D8563" s="51">
        <v>64.0</v>
      </c>
      <c r="E8563" s="52" t="s">
        <v>25</v>
      </c>
      <c r="F8563" s="52" t="s">
        <v>26</v>
      </c>
      <c r="G8563" s="53"/>
    </row>
    <row r="8564">
      <c r="A8564" s="49">
        <v>44602.92270491898</v>
      </c>
      <c r="B8564" s="50">
        <v>44603.0476745486</v>
      </c>
      <c r="C8564" s="51">
        <v>1.004</v>
      </c>
      <c r="D8564" s="51">
        <v>64.0</v>
      </c>
      <c r="E8564" s="52" t="s">
        <v>25</v>
      </c>
      <c r="F8564" s="52" t="s">
        <v>26</v>
      </c>
      <c r="G8564" s="53"/>
    </row>
    <row r="8565">
      <c r="A8565" s="49">
        <v>44602.93311549768</v>
      </c>
      <c r="B8565" s="50">
        <v>44603.0580958449</v>
      </c>
      <c r="C8565" s="51">
        <v>1.003</v>
      </c>
      <c r="D8565" s="51">
        <v>64.0</v>
      </c>
      <c r="E8565" s="52" t="s">
        <v>25</v>
      </c>
      <c r="F8565" s="52" t="s">
        <v>26</v>
      </c>
      <c r="G8565" s="53"/>
    </row>
    <row r="8566">
      <c r="A8566" s="49">
        <v>44602.94354608796</v>
      </c>
      <c r="B8566" s="50">
        <v>44603.0685163194</v>
      </c>
      <c r="C8566" s="51">
        <v>1.004</v>
      </c>
      <c r="D8566" s="51">
        <v>64.0</v>
      </c>
      <c r="E8566" s="52" t="s">
        <v>25</v>
      </c>
      <c r="F8566" s="52" t="s">
        <v>26</v>
      </c>
      <c r="G8566" s="53"/>
    </row>
    <row r="8567">
      <c r="A8567" s="49">
        <v>44602.95397681713</v>
      </c>
      <c r="B8567" s="50">
        <v>44603.0789468518</v>
      </c>
      <c r="C8567" s="51">
        <v>1.004</v>
      </c>
      <c r="D8567" s="51">
        <v>64.0</v>
      </c>
      <c r="E8567" s="52" t="s">
        <v>25</v>
      </c>
      <c r="F8567" s="52" t="s">
        <v>26</v>
      </c>
      <c r="G8567" s="53"/>
    </row>
    <row r="8568">
      <c r="A8568" s="49">
        <v>44602.9643925</v>
      </c>
      <c r="B8568" s="50">
        <v>44603.0893674189</v>
      </c>
      <c r="C8568" s="51">
        <v>1.004</v>
      </c>
      <c r="D8568" s="51">
        <v>64.0</v>
      </c>
      <c r="E8568" s="52" t="s">
        <v>25</v>
      </c>
      <c r="F8568" s="52" t="s">
        <v>26</v>
      </c>
      <c r="G8568" s="53"/>
    </row>
    <row r="8569">
      <c r="A8569" s="49">
        <v>44602.97480819444</v>
      </c>
      <c r="B8569" s="50">
        <v>44603.099789537</v>
      </c>
      <c r="C8569" s="51">
        <v>1.004</v>
      </c>
      <c r="D8569" s="51">
        <v>64.0</v>
      </c>
      <c r="E8569" s="52" t="s">
        <v>25</v>
      </c>
      <c r="F8569" s="52" t="s">
        <v>26</v>
      </c>
      <c r="G8569" s="53"/>
    </row>
    <row r="8570">
      <c r="A8570" s="49">
        <v>44602.985242407405</v>
      </c>
      <c r="B8570" s="50">
        <v>44603.1102116319</v>
      </c>
      <c r="C8570" s="51">
        <v>1.004</v>
      </c>
      <c r="D8570" s="51">
        <v>64.0</v>
      </c>
      <c r="E8570" s="52" t="s">
        <v>25</v>
      </c>
      <c r="F8570" s="52" t="s">
        <v>26</v>
      </c>
      <c r="G8570" s="53"/>
    </row>
    <row r="8571">
      <c r="A8571" s="49">
        <v>44602.99566431713</v>
      </c>
      <c r="B8571" s="50">
        <v>44603.1206450463</v>
      </c>
      <c r="C8571" s="51">
        <v>1.004</v>
      </c>
      <c r="D8571" s="51">
        <v>64.0</v>
      </c>
      <c r="E8571" s="52" t="s">
        <v>25</v>
      </c>
      <c r="F8571" s="52" t="s">
        <v>26</v>
      </c>
      <c r="G8571" s="53"/>
    </row>
    <row r="8572">
      <c r="A8572" s="49">
        <v>44603.00609347222</v>
      </c>
      <c r="B8572" s="50">
        <v>44603.1310660763</v>
      </c>
      <c r="C8572" s="51">
        <v>1.004</v>
      </c>
      <c r="D8572" s="51">
        <v>64.0</v>
      </c>
      <c r="E8572" s="52" t="s">
        <v>25</v>
      </c>
      <c r="F8572" s="52" t="s">
        <v>26</v>
      </c>
      <c r="G8572" s="53"/>
    </row>
    <row r="8573">
      <c r="A8573" s="49">
        <v>44603.01651728009</v>
      </c>
      <c r="B8573" s="50">
        <v>44603.1414881018</v>
      </c>
      <c r="C8573" s="51">
        <v>1.004</v>
      </c>
      <c r="D8573" s="51">
        <v>64.0</v>
      </c>
      <c r="E8573" s="52" t="s">
        <v>25</v>
      </c>
      <c r="F8573" s="52" t="s">
        <v>26</v>
      </c>
      <c r="G8573" s="53"/>
    </row>
    <row r="8574">
      <c r="A8574" s="49">
        <v>44603.02693665509</v>
      </c>
      <c r="B8574" s="50">
        <v>44603.151907824</v>
      </c>
      <c r="C8574" s="51">
        <v>1.004</v>
      </c>
      <c r="D8574" s="51">
        <v>64.0</v>
      </c>
      <c r="E8574" s="52" t="s">
        <v>25</v>
      </c>
      <c r="F8574" s="52" t="s">
        <v>26</v>
      </c>
      <c r="G8574" s="53"/>
    </row>
    <row r="8575">
      <c r="A8575" s="49">
        <v>44603.037357071764</v>
      </c>
      <c r="B8575" s="50">
        <v>44603.1623282407</v>
      </c>
      <c r="C8575" s="51">
        <v>1.004</v>
      </c>
      <c r="D8575" s="51">
        <v>64.0</v>
      </c>
      <c r="E8575" s="52" t="s">
        <v>25</v>
      </c>
      <c r="F8575" s="52" t="s">
        <v>26</v>
      </c>
      <c r="G8575" s="53"/>
    </row>
    <row r="8576">
      <c r="A8576" s="49">
        <v>44603.04777942129</v>
      </c>
      <c r="B8576" s="50">
        <v>44603.1727498842</v>
      </c>
      <c r="C8576" s="51">
        <v>1.004</v>
      </c>
      <c r="D8576" s="51">
        <v>64.0</v>
      </c>
      <c r="E8576" s="52" t="s">
        <v>25</v>
      </c>
      <c r="F8576" s="52" t="s">
        <v>26</v>
      </c>
      <c r="G8576" s="53"/>
    </row>
    <row r="8577">
      <c r="A8577" s="49">
        <v>44603.05822144676</v>
      </c>
      <c r="B8577" s="50">
        <v>44603.1831949768</v>
      </c>
      <c r="C8577" s="51">
        <v>1.004</v>
      </c>
      <c r="D8577" s="51">
        <v>64.0</v>
      </c>
      <c r="E8577" s="52" t="s">
        <v>25</v>
      </c>
      <c r="F8577" s="52" t="s">
        <v>26</v>
      </c>
      <c r="G8577" s="53"/>
    </row>
    <row r="8578">
      <c r="A8578" s="49">
        <v>44603.068639930556</v>
      </c>
      <c r="B8578" s="50">
        <v>44603.1936152546</v>
      </c>
      <c r="C8578" s="51">
        <v>1.003</v>
      </c>
      <c r="D8578" s="51">
        <v>64.0</v>
      </c>
      <c r="E8578" s="52" t="s">
        <v>25</v>
      </c>
      <c r="F8578" s="52" t="s">
        <v>26</v>
      </c>
      <c r="G8578" s="53"/>
    </row>
    <row r="8579">
      <c r="A8579" s="49">
        <v>44603.07908210648</v>
      </c>
      <c r="B8579" s="50">
        <v>44603.2040585763</v>
      </c>
      <c r="C8579" s="51">
        <v>1.004</v>
      </c>
      <c r="D8579" s="51">
        <v>64.0</v>
      </c>
      <c r="E8579" s="52" t="s">
        <v>25</v>
      </c>
      <c r="F8579" s="52" t="s">
        <v>26</v>
      </c>
      <c r="G8579" s="53"/>
    </row>
    <row r="8580">
      <c r="A8580" s="49">
        <v>44603.08951534722</v>
      </c>
      <c r="B8580" s="50">
        <v>44603.2144919907</v>
      </c>
      <c r="C8580" s="51">
        <v>1.004</v>
      </c>
      <c r="D8580" s="51">
        <v>64.0</v>
      </c>
      <c r="E8580" s="52" t="s">
        <v>25</v>
      </c>
      <c r="F8580" s="52" t="s">
        <v>26</v>
      </c>
      <c r="G8580" s="53"/>
    </row>
    <row r="8581">
      <c r="A8581" s="49">
        <v>44603.09994237269</v>
      </c>
      <c r="B8581" s="50">
        <v>44603.2249123379</v>
      </c>
      <c r="C8581" s="51">
        <v>1.004</v>
      </c>
      <c r="D8581" s="51">
        <v>64.0</v>
      </c>
      <c r="E8581" s="52" t="s">
        <v>25</v>
      </c>
      <c r="F8581" s="52" t="s">
        <v>26</v>
      </c>
      <c r="G8581" s="53"/>
    </row>
    <row r="8582">
      <c r="A8582" s="49">
        <v>44603.110358969905</v>
      </c>
      <c r="B8582" s="50">
        <v>44603.2353341435</v>
      </c>
      <c r="C8582" s="51">
        <v>1.004</v>
      </c>
      <c r="D8582" s="51">
        <v>64.0</v>
      </c>
      <c r="E8582" s="52" t="s">
        <v>25</v>
      </c>
      <c r="F8582" s="52" t="s">
        <v>26</v>
      </c>
      <c r="G8582" s="53"/>
    </row>
    <row r="8583">
      <c r="A8583" s="49">
        <v>44603.12081633102</v>
      </c>
      <c r="B8583" s="50">
        <v>44603.245788993</v>
      </c>
      <c r="C8583" s="51">
        <v>1.004</v>
      </c>
      <c r="D8583" s="51">
        <v>64.0</v>
      </c>
      <c r="E8583" s="52" t="s">
        <v>25</v>
      </c>
      <c r="F8583" s="52" t="s">
        <v>26</v>
      </c>
      <c r="G8583" s="53"/>
    </row>
    <row r="8584">
      <c r="A8584" s="49">
        <v>44603.131238622685</v>
      </c>
      <c r="B8584" s="50">
        <v>44603.2562100463</v>
      </c>
      <c r="C8584" s="51">
        <v>1.004</v>
      </c>
      <c r="D8584" s="51">
        <v>64.0</v>
      </c>
      <c r="E8584" s="52" t="s">
        <v>25</v>
      </c>
      <c r="F8584" s="52" t="s">
        <v>26</v>
      </c>
      <c r="G8584" s="53"/>
    </row>
    <row r="8585">
      <c r="A8585" s="49">
        <v>44603.14165425926</v>
      </c>
      <c r="B8585" s="50">
        <v>44603.2666310995</v>
      </c>
      <c r="C8585" s="51">
        <v>1.003</v>
      </c>
      <c r="D8585" s="51">
        <v>64.0</v>
      </c>
      <c r="E8585" s="52" t="s">
        <v>25</v>
      </c>
      <c r="F8585" s="52" t="s">
        <v>26</v>
      </c>
      <c r="G8585" s="53"/>
    </row>
    <row r="8586">
      <c r="A8586" s="49">
        <v>44603.15207445602</v>
      </c>
      <c r="B8586" s="50">
        <v>44603.2770521064</v>
      </c>
      <c r="C8586" s="51">
        <v>1.004</v>
      </c>
      <c r="D8586" s="51">
        <v>64.0</v>
      </c>
      <c r="E8586" s="52" t="s">
        <v>25</v>
      </c>
      <c r="F8586" s="52" t="s">
        <v>26</v>
      </c>
      <c r="G8586" s="53"/>
    </row>
    <row r="8587">
      <c r="A8587" s="49">
        <v>44603.16249621528</v>
      </c>
      <c r="B8587" s="50">
        <v>44603.2874746412</v>
      </c>
      <c r="C8587" s="51">
        <v>1.003</v>
      </c>
      <c r="D8587" s="51">
        <v>64.0</v>
      </c>
      <c r="E8587" s="52" t="s">
        <v>25</v>
      </c>
      <c r="F8587" s="52" t="s">
        <v>26</v>
      </c>
      <c r="G8587" s="53"/>
    </row>
    <row r="8588">
      <c r="A8588" s="49">
        <v>44603.17294329861</v>
      </c>
      <c r="B8588" s="50">
        <v>44603.2979064467</v>
      </c>
      <c r="C8588" s="51">
        <v>1.004</v>
      </c>
      <c r="D8588" s="51">
        <v>64.0</v>
      </c>
      <c r="E8588" s="52" t="s">
        <v>25</v>
      </c>
      <c r="F8588" s="52" t="s">
        <v>26</v>
      </c>
      <c r="G8588" s="53"/>
    </row>
    <row r="8589">
      <c r="A8589" s="49">
        <v>44603.18335306713</v>
      </c>
      <c r="B8589" s="50">
        <v>44603.3083288657</v>
      </c>
      <c r="C8589" s="51">
        <v>1.004</v>
      </c>
      <c r="D8589" s="51">
        <v>64.0</v>
      </c>
      <c r="E8589" s="52" t="s">
        <v>25</v>
      </c>
      <c r="F8589" s="52" t="s">
        <v>26</v>
      </c>
      <c r="G8589" s="53"/>
    </row>
    <row r="8590">
      <c r="A8590" s="49">
        <v>44603.19377293982</v>
      </c>
      <c r="B8590" s="50">
        <v>44603.3187504629</v>
      </c>
      <c r="C8590" s="51">
        <v>1.004</v>
      </c>
      <c r="D8590" s="51">
        <v>64.0</v>
      </c>
      <c r="E8590" s="52" t="s">
        <v>25</v>
      </c>
      <c r="F8590" s="52" t="s">
        <v>26</v>
      </c>
      <c r="G8590" s="53"/>
    </row>
    <row r="8591">
      <c r="A8591" s="49">
        <v>44603.2041996412</v>
      </c>
      <c r="B8591" s="50">
        <v>44603.3291703819</v>
      </c>
      <c r="C8591" s="51">
        <v>1.004</v>
      </c>
      <c r="D8591" s="51">
        <v>64.0</v>
      </c>
      <c r="E8591" s="52" t="s">
        <v>25</v>
      </c>
      <c r="F8591" s="52" t="s">
        <v>26</v>
      </c>
      <c r="G8591" s="53"/>
    </row>
    <row r="8592">
      <c r="A8592" s="49">
        <v>44603.214647581015</v>
      </c>
      <c r="B8592" s="50">
        <v>44603.3396159143</v>
      </c>
      <c r="C8592" s="51">
        <v>1.004</v>
      </c>
      <c r="D8592" s="51">
        <v>64.0</v>
      </c>
      <c r="E8592" s="52" t="s">
        <v>25</v>
      </c>
      <c r="F8592" s="52" t="s">
        <v>26</v>
      </c>
      <c r="G8592" s="53"/>
    </row>
    <row r="8593">
      <c r="A8593" s="49">
        <v>44603.225059895834</v>
      </c>
      <c r="B8593" s="50">
        <v>44603.3500399537</v>
      </c>
      <c r="C8593" s="51">
        <v>1.004</v>
      </c>
      <c r="D8593" s="51">
        <v>64.0</v>
      </c>
      <c r="E8593" s="52" t="s">
        <v>25</v>
      </c>
      <c r="F8593" s="52" t="s">
        <v>26</v>
      </c>
      <c r="G8593" s="53"/>
    </row>
    <row r="8594">
      <c r="A8594" s="49">
        <v>44603.23548737269</v>
      </c>
      <c r="B8594" s="50">
        <v>44603.3604601504</v>
      </c>
      <c r="C8594" s="51">
        <v>1.004</v>
      </c>
      <c r="D8594" s="51">
        <v>64.0</v>
      </c>
      <c r="E8594" s="52" t="s">
        <v>25</v>
      </c>
      <c r="F8594" s="52" t="s">
        <v>26</v>
      </c>
      <c r="G8594" s="53"/>
    </row>
    <row r="8595">
      <c r="A8595" s="49">
        <v>44603.24591331018</v>
      </c>
      <c r="B8595" s="50">
        <v>44603.3708807754</v>
      </c>
      <c r="C8595" s="51">
        <v>1.004</v>
      </c>
      <c r="D8595" s="51">
        <v>64.0</v>
      </c>
      <c r="E8595" s="52" t="s">
        <v>25</v>
      </c>
      <c r="F8595" s="52" t="s">
        <v>26</v>
      </c>
      <c r="G8595" s="53"/>
    </row>
    <row r="8596">
      <c r="A8596" s="49">
        <v>44603.25633233796</v>
      </c>
      <c r="B8596" s="50">
        <v>44603.3813014699</v>
      </c>
      <c r="C8596" s="51">
        <v>1.004</v>
      </c>
      <c r="D8596" s="51">
        <v>64.0</v>
      </c>
      <c r="E8596" s="52" t="s">
        <v>25</v>
      </c>
      <c r="F8596" s="52" t="s">
        <v>26</v>
      </c>
      <c r="G8596" s="53"/>
    </row>
    <row r="8597">
      <c r="A8597" s="49">
        <v>44603.26674525463</v>
      </c>
      <c r="B8597" s="50">
        <v>44603.3917231597</v>
      </c>
      <c r="C8597" s="51">
        <v>1.004</v>
      </c>
      <c r="D8597" s="51">
        <v>64.0</v>
      </c>
      <c r="E8597" s="52" t="s">
        <v>25</v>
      </c>
      <c r="F8597" s="52" t="s">
        <v>26</v>
      </c>
      <c r="G8597" s="53"/>
    </row>
    <row r="8598">
      <c r="A8598" s="49">
        <v>44603.27717108796</v>
      </c>
      <c r="B8598" s="50">
        <v>44603.4021440972</v>
      </c>
      <c r="C8598" s="51">
        <v>1.004</v>
      </c>
      <c r="D8598" s="51">
        <v>64.0</v>
      </c>
      <c r="E8598" s="52" t="s">
        <v>25</v>
      </c>
      <c r="F8598" s="52" t="s">
        <v>26</v>
      </c>
      <c r="G8598" s="53"/>
    </row>
    <row r="8599">
      <c r="A8599" s="49">
        <v>44603.287636064815</v>
      </c>
      <c r="B8599" s="50">
        <v>44603.4126121643</v>
      </c>
      <c r="C8599" s="51">
        <v>1.004</v>
      </c>
      <c r="D8599" s="51">
        <v>64.0</v>
      </c>
      <c r="E8599" s="52" t="s">
        <v>25</v>
      </c>
      <c r="F8599" s="52" t="s">
        <v>26</v>
      </c>
      <c r="G8599" s="53"/>
    </row>
    <row r="8600">
      <c r="A8600" s="49">
        <v>44603.29806202547</v>
      </c>
      <c r="B8600" s="50">
        <v>44603.4230339236</v>
      </c>
      <c r="C8600" s="51">
        <v>1.004</v>
      </c>
      <c r="D8600" s="51">
        <v>64.0</v>
      </c>
      <c r="E8600" s="52" t="s">
        <v>25</v>
      </c>
      <c r="F8600" s="52" t="s">
        <v>26</v>
      </c>
      <c r="G8600" s="53"/>
    </row>
    <row r="8601">
      <c r="A8601" s="49">
        <v>44603.30848678241</v>
      </c>
      <c r="B8601" s="50">
        <v>44603.43345603</v>
      </c>
      <c r="C8601" s="51">
        <v>1.004</v>
      </c>
      <c r="D8601" s="51">
        <v>64.0</v>
      </c>
      <c r="E8601" s="52" t="s">
        <v>25</v>
      </c>
      <c r="F8601" s="52" t="s">
        <v>26</v>
      </c>
      <c r="G8601" s="53"/>
    </row>
    <row r="8602">
      <c r="A8602" s="49">
        <v>44603.31890510417</v>
      </c>
      <c r="B8602" s="50">
        <v>44603.4438770833</v>
      </c>
      <c r="C8602" s="51">
        <v>1.004</v>
      </c>
      <c r="D8602" s="51">
        <v>64.0</v>
      </c>
      <c r="E8602" s="52" t="s">
        <v>25</v>
      </c>
      <c r="F8602" s="52" t="s">
        <v>26</v>
      </c>
      <c r="G8602" s="53"/>
    </row>
    <row r="8603">
      <c r="A8603" s="49">
        <v>44603.329322708334</v>
      </c>
      <c r="B8603" s="50">
        <v>44603.4542982291</v>
      </c>
      <c r="C8603" s="51">
        <v>1.004</v>
      </c>
      <c r="D8603" s="51">
        <v>64.0</v>
      </c>
      <c r="E8603" s="52" t="s">
        <v>25</v>
      </c>
      <c r="F8603" s="52" t="s">
        <v>26</v>
      </c>
      <c r="G8603" s="53"/>
    </row>
    <row r="8604">
      <c r="A8604" s="49">
        <v>44603.339742129625</v>
      </c>
      <c r="B8604" s="50">
        <v>44603.4647188425</v>
      </c>
      <c r="C8604" s="51">
        <v>1.004</v>
      </c>
      <c r="D8604" s="51">
        <v>64.0</v>
      </c>
      <c r="E8604" s="52" t="s">
        <v>25</v>
      </c>
      <c r="F8604" s="52" t="s">
        <v>26</v>
      </c>
      <c r="G8604" s="53"/>
    </row>
    <row r="8605">
      <c r="A8605" s="49">
        <v>44603.350171412036</v>
      </c>
      <c r="B8605" s="50">
        <v>44603.47514</v>
      </c>
      <c r="C8605" s="51">
        <v>1.004</v>
      </c>
      <c r="D8605" s="51">
        <v>64.0</v>
      </c>
      <c r="E8605" s="52" t="s">
        <v>25</v>
      </c>
      <c r="F8605" s="52" t="s">
        <v>26</v>
      </c>
      <c r="G8605" s="53"/>
    </row>
    <row r="8606">
      <c r="A8606" s="49">
        <v>44603.36058795139</v>
      </c>
      <c r="B8606" s="50">
        <v>44603.4855608796</v>
      </c>
      <c r="C8606" s="51">
        <v>1.004</v>
      </c>
      <c r="D8606" s="51">
        <v>64.0</v>
      </c>
      <c r="E8606" s="52" t="s">
        <v>25</v>
      </c>
      <c r="F8606" s="52" t="s">
        <v>26</v>
      </c>
      <c r="G8606" s="53"/>
    </row>
    <row r="8607">
      <c r="A8607" s="49">
        <v>44603.37101737269</v>
      </c>
      <c r="B8607" s="50">
        <v>44603.4959954861</v>
      </c>
      <c r="C8607" s="51">
        <v>1.004</v>
      </c>
      <c r="D8607" s="51">
        <v>64.0</v>
      </c>
      <c r="E8607" s="52" t="s">
        <v>25</v>
      </c>
      <c r="F8607" s="52" t="s">
        <v>26</v>
      </c>
      <c r="G8607" s="53"/>
    </row>
    <row r="8608">
      <c r="A8608" s="49">
        <v>44603.38146506944</v>
      </c>
      <c r="B8608" s="50">
        <v>44603.5064286921</v>
      </c>
      <c r="C8608" s="51">
        <v>1.004</v>
      </c>
      <c r="D8608" s="51">
        <v>64.0</v>
      </c>
      <c r="E8608" s="52" t="s">
        <v>25</v>
      </c>
      <c r="F8608" s="52" t="s">
        <v>26</v>
      </c>
      <c r="G8608" s="53"/>
    </row>
    <row r="8609">
      <c r="A8609" s="49">
        <v>44603.39188599537</v>
      </c>
      <c r="B8609" s="50">
        <v>44603.5168607986</v>
      </c>
      <c r="C8609" s="51">
        <v>1.004</v>
      </c>
      <c r="D8609" s="51">
        <v>64.0</v>
      </c>
      <c r="E8609" s="52" t="s">
        <v>25</v>
      </c>
      <c r="F8609" s="52" t="s">
        <v>26</v>
      </c>
      <c r="G8609" s="53"/>
    </row>
    <row r="8610">
      <c r="A8610" s="49">
        <v>44603.40233237269</v>
      </c>
      <c r="B8610" s="50">
        <v>44603.5273043981</v>
      </c>
      <c r="C8610" s="51">
        <v>1.004</v>
      </c>
      <c r="D8610" s="51">
        <v>64.0</v>
      </c>
      <c r="E8610" s="52" t="s">
        <v>25</v>
      </c>
      <c r="F8610" s="52" t="s">
        <v>26</v>
      </c>
      <c r="G8610" s="53"/>
    </row>
    <row r="8611">
      <c r="A8611" s="49">
        <v>44603.412780914354</v>
      </c>
      <c r="B8611" s="50">
        <v>44603.5377486921</v>
      </c>
      <c r="C8611" s="51">
        <v>1.004</v>
      </c>
      <c r="D8611" s="51">
        <v>64.0</v>
      </c>
      <c r="E8611" s="52" t="s">
        <v>25</v>
      </c>
      <c r="F8611" s="52" t="s">
        <v>26</v>
      </c>
      <c r="G8611" s="53"/>
    </row>
    <row r="8612">
      <c r="A8612" s="49">
        <v>44603.423196296295</v>
      </c>
      <c r="B8612" s="50">
        <v>44603.5481706249</v>
      </c>
      <c r="C8612" s="51">
        <v>1.004</v>
      </c>
      <c r="D8612" s="51">
        <v>64.0</v>
      </c>
      <c r="E8612" s="52" t="s">
        <v>25</v>
      </c>
      <c r="F8612" s="52" t="s">
        <v>26</v>
      </c>
      <c r="G8612" s="53"/>
    </row>
    <row r="8613">
      <c r="A8613" s="49">
        <v>44603.43361253472</v>
      </c>
      <c r="B8613" s="50">
        <v>44603.5585906481</v>
      </c>
      <c r="C8613" s="51">
        <v>1.004</v>
      </c>
      <c r="D8613" s="51">
        <v>64.0</v>
      </c>
      <c r="E8613" s="52" t="s">
        <v>25</v>
      </c>
      <c r="F8613" s="52" t="s">
        <v>26</v>
      </c>
      <c r="G8613" s="53"/>
    </row>
    <row r="8614">
      <c r="A8614" s="49">
        <v>44603.44404446759</v>
      </c>
      <c r="B8614" s="50">
        <v>44603.5690128009</v>
      </c>
      <c r="C8614" s="51">
        <v>1.004</v>
      </c>
      <c r="D8614" s="51">
        <v>64.0</v>
      </c>
      <c r="E8614" s="52" t="s">
        <v>25</v>
      </c>
      <c r="F8614" s="52" t="s">
        <v>26</v>
      </c>
      <c r="G8614" s="53"/>
    </row>
    <row r="8615">
      <c r="A8615" s="49">
        <v>44603.4544683912</v>
      </c>
      <c r="B8615" s="50">
        <v>44603.5794334953</v>
      </c>
      <c r="C8615" s="51">
        <v>1.003</v>
      </c>
      <c r="D8615" s="51">
        <v>64.0</v>
      </c>
      <c r="E8615" s="52" t="s">
        <v>25</v>
      </c>
      <c r="F8615" s="52" t="s">
        <v>26</v>
      </c>
      <c r="G8615" s="53"/>
    </row>
    <row r="8616">
      <c r="A8616" s="49">
        <v>44603.46488625</v>
      </c>
      <c r="B8616" s="50">
        <v>44603.5898566435</v>
      </c>
      <c r="C8616" s="51">
        <v>1.004</v>
      </c>
      <c r="D8616" s="51">
        <v>64.0</v>
      </c>
      <c r="E8616" s="52" t="s">
        <v>25</v>
      </c>
      <c r="F8616" s="52" t="s">
        <v>26</v>
      </c>
      <c r="G8616" s="53"/>
    </row>
    <row r="8617">
      <c r="A8617" s="49">
        <v>44603.47536193287</v>
      </c>
      <c r="B8617" s="50">
        <v>44603.6003361921</v>
      </c>
      <c r="C8617" s="51">
        <v>1.004</v>
      </c>
      <c r="D8617" s="51">
        <v>64.0</v>
      </c>
      <c r="E8617" s="52" t="s">
        <v>25</v>
      </c>
      <c r="F8617" s="52" t="s">
        <v>26</v>
      </c>
      <c r="G8617" s="53"/>
    </row>
    <row r="8618">
      <c r="A8618" s="49">
        <v>44603.48578326389</v>
      </c>
      <c r="B8618" s="50">
        <v>44603.6107578703</v>
      </c>
      <c r="C8618" s="51">
        <v>1.004</v>
      </c>
      <c r="D8618" s="51">
        <v>64.0</v>
      </c>
      <c r="E8618" s="52" t="s">
        <v>25</v>
      </c>
      <c r="F8618" s="52" t="s">
        <v>26</v>
      </c>
      <c r="G8618" s="53"/>
    </row>
    <row r="8619">
      <c r="A8619" s="49">
        <v>44603.49620424768</v>
      </c>
      <c r="B8619" s="50">
        <v>44603.6211797222</v>
      </c>
      <c r="C8619" s="51">
        <v>1.004</v>
      </c>
      <c r="D8619" s="51">
        <v>64.0</v>
      </c>
      <c r="E8619" s="52" t="s">
        <v>25</v>
      </c>
      <c r="F8619" s="52" t="s">
        <v>26</v>
      </c>
      <c r="G8619" s="53"/>
    </row>
    <row r="8620">
      <c r="A8620" s="49">
        <v>44603.506629930554</v>
      </c>
      <c r="B8620" s="50">
        <v>44603.631602581</v>
      </c>
      <c r="C8620" s="51">
        <v>1.004</v>
      </c>
      <c r="D8620" s="51">
        <v>64.0</v>
      </c>
      <c r="E8620" s="52" t="s">
        <v>25</v>
      </c>
      <c r="F8620" s="52" t="s">
        <v>26</v>
      </c>
      <c r="G8620" s="53"/>
    </row>
    <row r="8621">
      <c r="A8621" s="49">
        <v>44603.51706412037</v>
      </c>
      <c r="B8621" s="50">
        <v>44603.642035405</v>
      </c>
      <c r="C8621" s="51">
        <v>1.004</v>
      </c>
      <c r="D8621" s="51">
        <v>64.0</v>
      </c>
      <c r="E8621" s="52" t="s">
        <v>25</v>
      </c>
      <c r="F8621" s="52" t="s">
        <v>26</v>
      </c>
      <c r="G8621" s="53"/>
    </row>
    <row r="8622">
      <c r="A8622" s="49">
        <v>44603.52748659722</v>
      </c>
      <c r="B8622" s="50">
        <v>44603.6524551157</v>
      </c>
      <c r="C8622" s="51">
        <v>1.004</v>
      </c>
      <c r="D8622" s="51">
        <v>64.0</v>
      </c>
      <c r="E8622" s="52" t="s">
        <v>25</v>
      </c>
      <c r="F8622" s="52" t="s">
        <v>26</v>
      </c>
      <c r="G8622" s="53"/>
    </row>
    <row r="8623">
      <c r="A8623" s="49">
        <v>44603.5379010301</v>
      </c>
      <c r="B8623" s="50">
        <v>44603.6628767361</v>
      </c>
      <c r="C8623" s="51">
        <v>1.004</v>
      </c>
      <c r="D8623" s="51">
        <v>64.0</v>
      </c>
      <c r="E8623" s="52" t="s">
        <v>25</v>
      </c>
      <c r="F8623" s="52" t="s">
        <v>26</v>
      </c>
      <c r="G8623" s="53"/>
    </row>
    <row r="8624">
      <c r="A8624" s="49">
        <v>44603.54835456019</v>
      </c>
      <c r="B8624" s="50">
        <v>44603.6733206828</v>
      </c>
      <c r="C8624" s="51">
        <v>1.004</v>
      </c>
      <c r="D8624" s="51">
        <v>64.0</v>
      </c>
      <c r="E8624" s="52" t="s">
        <v>25</v>
      </c>
      <c r="F8624" s="52" t="s">
        <v>26</v>
      </c>
      <c r="G8624" s="53"/>
    </row>
    <row r="8625">
      <c r="A8625" s="49">
        <v>44603.55876143518</v>
      </c>
      <c r="B8625" s="50">
        <v>44603.6837413425</v>
      </c>
      <c r="C8625" s="51">
        <v>1.004</v>
      </c>
      <c r="D8625" s="51">
        <v>64.0</v>
      </c>
      <c r="E8625" s="52" t="s">
        <v>25</v>
      </c>
      <c r="F8625" s="52" t="s">
        <v>26</v>
      </c>
      <c r="G8625" s="53"/>
    </row>
    <row r="8626">
      <c r="A8626" s="49">
        <v>44603.569192106486</v>
      </c>
      <c r="B8626" s="50">
        <v>44603.6941634953</v>
      </c>
      <c r="C8626" s="51">
        <v>1.004</v>
      </c>
      <c r="D8626" s="51">
        <v>64.0</v>
      </c>
      <c r="E8626" s="52" t="s">
        <v>25</v>
      </c>
      <c r="F8626" s="52" t="s">
        <v>26</v>
      </c>
      <c r="G8626" s="53"/>
    </row>
    <row r="8627">
      <c r="A8627" s="49">
        <v>44603.57962322916</v>
      </c>
      <c r="B8627" s="50">
        <v>44603.704595324</v>
      </c>
      <c r="C8627" s="51">
        <v>1.004</v>
      </c>
      <c r="D8627" s="51">
        <v>64.0</v>
      </c>
      <c r="E8627" s="52" t="s">
        <v>25</v>
      </c>
      <c r="F8627" s="52" t="s">
        <v>26</v>
      </c>
      <c r="G8627" s="53"/>
    </row>
    <row r="8628">
      <c r="A8628" s="49">
        <v>44603.59004063657</v>
      </c>
      <c r="B8628" s="50">
        <v>44603.7150172453</v>
      </c>
      <c r="C8628" s="51">
        <v>1.003</v>
      </c>
      <c r="D8628" s="51">
        <v>64.0</v>
      </c>
      <c r="E8628" s="52" t="s">
        <v>25</v>
      </c>
      <c r="F8628" s="52" t="s">
        <v>26</v>
      </c>
      <c r="G8628" s="53"/>
    </row>
    <row r="8629">
      <c r="A8629" s="49">
        <v>44603.600463090275</v>
      </c>
      <c r="B8629" s="50">
        <v>44603.7254374305</v>
      </c>
      <c r="C8629" s="51">
        <v>1.004</v>
      </c>
      <c r="D8629" s="51">
        <v>64.0</v>
      </c>
      <c r="E8629" s="52" t="s">
        <v>25</v>
      </c>
      <c r="F8629" s="52" t="s">
        <v>26</v>
      </c>
      <c r="G8629" s="53"/>
    </row>
    <row r="8630">
      <c r="A8630" s="49">
        <v>44603.61090024306</v>
      </c>
      <c r="B8630" s="50">
        <v>44603.7358692708</v>
      </c>
      <c r="C8630" s="51">
        <v>1.004</v>
      </c>
      <c r="D8630" s="51">
        <v>64.0</v>
      </c>
      <c r="E8630" s="52" t="s">
        <v>25</v>
      </c>
      <c r="F8630" s="52" t="s">
        <v>26</v>
      </c>
      <c r="G8630" s="53"/>
    </row>
    <row r="8631">
      <c r="A8631" s="49">
        <v>44603.62131829861</v>
      </c>
      <c r="B8631" s="50">
        <v>44603.7463005208</v>
      </c>
      <c r="C8631" s="51">
        <v>1.004</v>
      </c>
      <c r="D8631" s="51">
        <v>64.0</v>
      </c>
      <c r="E8631" s="52" t="s">
        <v>25</v>
      </c>
      <c r="F8631" s="52" t="s">
        <v>26</v>
      </c>
      <c r="G8631" s="53"/>
    </row>
    <row r="8632">
      <c r="A8632" s="49">
        <v>44603.63174199074</v>
      </c>
      <c r="B8632" s="50">
        <v>44603.7567215393</v>
      </c>
      <c r="C8632" s="51">
        <v>1.003</v>
      </c>
      <c r="D8632" s="51">
        <v>64.0</v>
      </c>
      <c r="E8632" s="52" t="s">
        <v>25</v>
      </c>
      <c r="F8632" s="52" t="s">
        <v>26</v>
      </c>
      <c r="G8632" s="53"/>
    </row>
    <row r="8633">
      <c r="A8633" s="49">
        <v>44603.64219368056</v>
      </c>
      <c r="B8633" s="50">
        <v>44603.7671648611</v>
      </c>
      <c r="C8633" s="51">
        <v>1.004</v>
      </c>
      <c r="D8633" s="51">
        <v>64.0</v>
      </c>
      <c r="E8633" s="52" t="s">
        <v>25</v>
      </c>
      <c r="F8633" s="52" t="s">
        <v>26</v>
      </c>
      <c r="G8633" s="53"/>
    </row>
    <row r="8634">
      <c r="A8634" s="49">
        <v>44603.652609259254</v>
      </c>
      <c r="B8634" s="50">
        <v>44603.7775858564</v>
      </c>
      <c r="C8634" s="51">
        <v>1.004</v>
      </c>
      <c r="D8634" s="51">
        <v>64.0</v>
      </c>
      <c r="E8634" s="52" t="s">
        <v>25</v>
      </c>
      <c r="F8634" s="52" t="s">
        <v>26</v>
      </c>
      <c r="G8634" s="53"/>
    </row>
    <row r="8635">
      <c r="A8635" s="49">
        <v>44603.66303869213</v>
      </c>
      <c r="B8635" s="50">
        <v>44603.7880199305</v>
      </c>
      <c r="C8635" s="51">
        <v>1.004</v>
      </c>
      <c r="D8635" s="51">
        <v>64.0</v>
      </c>
      <c r="E8635" s="52" t="s">
        <v>25</v>
      </c>
      <c r="F8635" s="52" t="s">
        <v>26</v>
      </c>
      <c r="G8635" s="53"/>
    </row>
    <row r="8636">
      <c r="A8636" s="49">
        <v>44603.673499965276</v>
      </c>
      <c r="B8636" s="50">
        <v>44603.7984538078</v>
      </c>
      <c r="C8636" s="51">
        <v>1.004</v>
      </c>
      <c r="D8636" s="51">
        <v>64.0</v>
      </c>
      <c r="E8636" s="52" t="s">
        <v>25</v>
      </c>
      <c r="F8636" s="52" t="s">
        <v>26</v>
      </c>
      <c r="G8636" s="53"/>
    </row>
    <row r="8637">
      <c r="A8637" s="49">
        <v>44603.68393024306</v>
      </c>
      <c r="B8637" s="50">
        <v>44603.8089094097</v>
      </c>
      <c r="C8637" s="51">
        <v>1.004</v>
      </c>
      <c r="D8637" s="51">
        <v>64.0</v>
      </c>
      <c r="E8637" s="52" t="s">
        <v>25</v>
      </c>
      <c r="F8637" s="52" t="s">
        <v>26</v>
      </c>
      <c r="G8637" s="53"/>
    </row>
    <row r="8638">
      <c r="A8638" s="49">
        <v>44603.69438789352</v>
      </c>
      <c r="B8638" s="50">
        <v>44603.819364699</v>
      </c>
      <c r="C8638" s="51">
        <v>1.004</v>
      </c>
      <c r="D8638" s="51">
        <v>64.0</v>
      </c>
      <c r="E8638" s="52" t="s">
        <v>25</v>
      </c>
      <c r="F8638" s="52" t="s">
        <v>26</v>
      </c>
      <c r="G8638" s="53"/>
    </row>
    <row r="8639">
      <c r="A8639" s="49">
        <v>44603.704816736106</v>
      </c>
      <c r="B8639" s="50">
        <v>44603.829799074</v>
      </c>
      <c r="C8639" s="51">
        <v>1.004</v>
      </c>
      <c r="D8639" s="51">
        <v>64.0</v>
      </c>
      <c r="E8639" s="52" t="s">
        <v>25</v>
      </c>
      <c r="F8639" s="52" t="s">
        <v>26</v>
      </c>
      <c r="G8639" s="53"/>
    </row>
    <row r="8640">
      <c r="A8640" s="49">
        <v>44603.71524751157</v>
      </c>
      <c r="B8640" s="50">
        <v>44603.8402200231</v>
      </c>
      <c r="C8640" s="51">
        <v>1.004</v>
      </c>
      <c r="D8640" s="51">
        <v>64.0</v>
      </c>
      <c r="E8640" s="52" t="s">
        <v>25</v>
      </c>
      <c r="F8640" s="52" t="s">
        <v>26</v>
      </c>
      <c r="G8640" s="53"/>
    </row>
    <row r="8641">
      <c r="A8641" s="49">
        <v>44603.72568721065</v>
      </c>
      <c r="B8641" s="50">
        <v>44603.8506649768</v>
      </c>
      <c r="C8641" s="51">
        <v>1.004</v>
      </c>
      <c r="D8641" s="51">
        <v>64.0</v>
      </c>
      <c r="E8641" s="52" t="s">
        <v>25</v>
      </c>
      <c r="F8641" s="52" t="s">
        <v>26</v>
      </c>
      <c r="G8641" s="53"/>
    </row>
    <row r="8642">
      <c r="A8642" s="49">
        <v>44603.73613880787</v>
      </c>
      <c r="B8642" s="50">
        <v>44603.8611192013</v>
      </c>
      <c r="C8642" s="51">
        <v>1.004</v>
      </c>
      <c r="D8642" s="51">
        <v>64.0</v>
      </c>
      <c r="E8642" s="52" t="s">
        <v>25</v>
      </c>
      <c r="F8642" s="52" t="s">
        <v>26</v>
      </c>
      <c r="G8642" s="53"/>
    </row>
    <row r="8643">
      <c r="A8643" s="49">
        <v>44603.746558750005</v>
      </c>
      <c r="B8643" s="50">
        <v>44603.8715392245</v>
      </c>
      <c r="C8643" s="51">
        <v>1.004</v>
      </c>
      <c r="D8643" s="51">
        <v>64.0</v>
      </c>
      <c r="E8643" s="52" t="s">
        <v>25</v>
      </c>
      <c r="F8643" s="52" t="s">
        <v>26</v>
      </c>
      <c r="G8643" s="53"/>
    </row>
    <row r="8644">
      <c r="A8644" s="49">
        <v>44603.756997488425</v>
      </c>
      <c r="B8644" s="50">
        <v>44603.8819707986</v>
      </c>
      <c r="C8644" s="51">
        <v>1.004</v>
      </c>
      <c r="D8644" s="51">
        <v>64.0</v>
      </c>
      <c r="E8644" s="52" t="s">
        <v>25</v>
      </c>
      <c r="F8644" s="52" t="s">
        <v>26</v>
      </c>
      <c r="G8644" s="53"/>
    </row>
    <row r="8645">
      <c r="A8645" s="49">
        <v>44603.76743104166</v>
      </c>
      <c r="B8645" s="50">
        <v>44603.8924040162</v>
      </c>
      <c r="C8645" s="51">
        <v>1.004</v>
      </c>
      <c r="D8645" s="51">
        <v>63.0</v>
      </c>
      <c r="E8645" s="52" t="s">
        <v>25</v>
      </c>
      <c r="F8645" s="52" t="s">
        <v>26</v>
      </c>
      <c r="G8645" s="53"/>
    </row>
    <row r="8646">
      <c r="A8646" s="49">
        <v>44603.77786726852</v>
      </c>
      <c r="B8646" s="50">
        <v>44603.9028462152</v>
      </c>
      <c r="C8646" s="51">
        <v>1.004</v>
      </c>
      <c r="D8646" s="51">
        <v>64.0</v>
      </c>
      <c r="E8646" s="52" t="s">
        <v>25</v>
      </c>
      <c r="F8646" s="52" t="s">
        <v>26</v>
      </c>
      <c r="G8646" s="53"/>
    </row>
    <row r="8647">
      <c r="A8647" s="49">
        <v>44603.788286574076</v>
      </c>
      <c r="B8647" s="50">
        <v>44603.9132664351</v>
      </c>
      <c r="C8647" s="51">
        <v>1.004</v>
      </c>
      <c r="D8647" s="51">
        <v>64.0</v>
      </c>
      <c r="E8647" s="52" t="s">
        <v>25</v>
      </c>
      <c r="F8647" s="52" t="s">
        <v>26</v>
      </c>
      <c r="G8647" s="53"/>
    </row>
    <row r="8648">
      <c r="A8648" s="49">
        <v>44603.79872466435</v>
      </c>
      <c r="B8648" s="50">
        <v>44603.9236986574</v>
      </c>
      <c r="C8648" s="51">
        <v>1.004</v>
      </c>
      <c r="D8648" s="51">
        <v>63.0</v>
      </c>
      <c r="E8648" s="52" t="s">
        <v>25</v>
      </c>
      <c r="F8648" s="52" t="s">
        <v>26</v>
      </c>
      <c r="G8648" s="53"/>
    </row>
    <row r="8649">
      <c r="A8649" s="49">
        <v>44603.80915332176</v>
      </c>
      <c r="B8649" s="50">
        <v>44603.9341197685</v>
      </c>
      <c r="C8649" s="51">
        <v>1.004</v>
      </c>
      <c r="D8649" s="51">
        <v>64.0</v>
      </c>
      <c r="E8649" s="52" t="s">
        <v>25</v>
      </c>
      <c r="F8649" s="52" t="s">
        <v>26</v>
      </c>
      <c r="G8649" s="53"/>
    </row>
    <row r="8650">
      <c r="A8650" s="49">
        <v>44603.819567592596</v>
      </c>
      <c r="B8650" s="50">
        <v>44603.9445407523</v>
      </c>
      <c r="C8650" s="51">
        <v>1.004</v>
      </c>
      <c r="D8650" s="51">
        <v>64.0</v>
      </c>
      <c r="E8650" s="52" t="s">
        <v>25</v>
      </c>
      <c r="F8650" s="52" t="s">
        <v>26</v>
      </c>
      <c r="G8650" s="53"/>
    </row>
    <row r="8651">
      <c r="A8651" s="49">
        <v>44603.830020671296</v>
      </c>
      <c r="B8651" s="50">
        <v>44603.9549962152</v>
      </c>
      <c r="C8651" s="51">
        <v>1.004</v>
      </c>
      <c r="D8651" s="51">
        <v>64.0</v>
      </c>
      <c r="E8651" s="52" t="s">
        <v>25</v>
      </c>
      <c r="F8651" s="52" t="s">
        <v>26</v>
      </c>
      <c r="G8651" s="53"/>
    </row>
    <row r="8652">
      <c r="A8652" s="49">
        <v>44603.84045506944</v>
      </c>
      <c r="B8652" s="50">
        <v>44603.9654275925</v>
      </c>
      <c r="C8652" s="51">
        <v>1.004</v>
      </c>
      <c r="D8652" s="51">
        <v>64.0</v>
      </c>
      <c r="E8652" s="52" t="s">
        <v>25</v>
      </c>
      <c r="F8652" s="52" t="s">
        <v>26</v>
      </c>
      <c r="G8652" s="53"/>
    </row>
    <row r="8653">
      <c r="A8653" s="49">
        <v>44603.85087408565</v>
      </c>
      <c r="B8653" s="50">
        <v>44603.9758488541</v>
      </c>
      <c r="C8653" s="51">
        <v>1.004</v>
      </c>
      <c r="D8653" s="51">
        <v>63.0</v>
      </c>
      <c r="E8653" s="52" t="s">
        <v>25</v>
      </c>
      <c r="F8653" s="52" t="s">
        <v>26</v>
      </c>
      <c r="G8653" s="53"/>
    </row>
    <row r="8654">
      <c r="A8654" s="49">
        <v>44603.86129587963</v>
      </c>
      <c r="B8654" s="50">
        <v>44603.9862704976</v>
      </c>
      <c r="C8654" s="51">
        <v>1.004</v>
      </c>
      <c r="D8654" s="51">
        <v>63.0</v>
      </c>
      <c r="E8654" s="52" t="s">
        <v>25</v>
      </c>
      <c r="F8654" s="52" t="s">
        <v>26</v>
      </c>
      <c r="G8654" s="53"/>
    </row>
    <row r="8655">
      <c r="A8655" s="49">
        <v>44603.87173395834</v>
      </c>
      <c r="B8655" s="50">
        <v>44603.9967043171</v>
      </c>
      <c r="C8655" s="51">
        <v>1.004</v>
      </c>
      <c r="D8655" s="51">
        <v>64.0</v>
      </c>
      <c r="E8655" s="52" t="s">
        <v>25</v>
      </c>
      <c r="F8655" s="52" t="s">
        <v>26</v>
      </c>
      <c r="G8655" s="53"/>
    </row>
    <row r="8656">
      <c r="A8656" s="49">
        <v>44603.882152499995</v>
      </c>
      <c r="B8656" s="50">
        <v>44604.0071259143</v>
      </c>
      <c r="C8656" s="51">
        <v>1.004</v>
      </c>
      <c r="D8656" s="51">
        <v>63.0</v>
      </c>
      <c r="E8656" s="52" t="s">
        <v>25</v>
      </c>
      <c r="F8656" s="52" t="s">
        <v>26</v>
      </c>
      <c r="G8656" s="53"/>
    </row>
    <row r="8657">
      <c r="A8657" s="49">
        <v>44603.89256515046</v>
      </c>
      <c r="B8657" s="50">
        <v>44604.01754728</v>
      </c>
      <c r="C8657" s="51">
        <v>1.004</v>
      </c>
      <c r="D8657" s="51">
        <v>64.0</v>
      </c>
      <c r="E8657" s="52" t="s">
        <v>25</v>
      </c>
      <c r="F8657" s="52" t="s">
        <v>26</v>
      </c>
      <c r="G8657" s="53"/>
    </row>
    <row r="8658">
      <c r="A8658" s="49">
        <v>44603.90298940972</v>
      </c>
      <c r="B8658" s="50">
        <v>44604.0279677199</v>
      </c>
      <c r="C8658" s="51">
        <v>1.003</v>
      </c>
      <c r="D8658" s="51">
        <v>63.0</v>
      </c>
      <c r="E8658" s="52" t="s">
        <v>25</v>
      </c>
      <c r="F8658" s="52" t="s">
        <v>26</v>
      </c>
      <c r="G8658" s="53"/>
    </row>
    <row r="8659">
      <c r="A8659" s="49">
        <v>44603.91342863426</v>
      </c>
      <c r="B8659" s="50">
        <v>44604.0384002546</v>
      </c>
      <c r="C8659" s="51">
        <v>1.004</v>
      </c>
      <c r="D8659" s="51">
        <v>63.0</v>
      </c>
      <c r="E8659" s="52" t="s">
        <v>25</v>
      </c>
      <c r="F8659" s="52" t="s">
        <v>26</v>
      </c>
      <c r="G8659" s="53"/>
    </row>
    <row r="8660">
      <c r="A8660" s="49">
        <v>44603.92387467592</v>
      </c>
      <c r="B8660" s="50">
        <v>44604.0488455324</v>
      </c>
      <c r="C8660" s="51">
        <v>1.004</v>
      </c>
      <c r="D8660" s="51">
        <v>63.0</v>
      </c>
      <c r="E8660" s="52" t="s">
        <v>25</v>
      </c>
      <c r="F8660" s="52" t="s">
        <v>26</v>
      </c>
      <c r="G8660" s="53"/>
    </row>
    <row r="8661">
      <c r="A8661" s="49">
        <v>44603.934294583334</v>
      </c>
      <c r="B8661" s="50">
        <v>44604.0592671759</v>
      </c>
      <c r="C8661" s="51">
        <v>1.004</v>
      </c>
      <c r="D8661" s="51">
        <v>63.0</v>
      </c>
      <c r="E8661" s="52" t="s">
        <v>25</v>
      </c>
      <c r="F8661" s="52" t="s">
        <v>26</v>
      </c>
      <c r="G8661" s="53"/>
    </row>
    <row r="8662">
      <c r="A8662" s="49">
        <v>44603.944717962964</v>
      </c>
      <c r="B8662" s="50">
        <v>44604.0696988078</v>
      </c>
      <c r="C8662" s="51">
        <v>1.004</v>
      </c>
      <c r="D8662" s="51">
        <v>64.0</v>
      </c>
      <c r="E8662" s="52" t="s">
        <v>25</v>
      </c>
      <c r="F8662" s="52" t="s">
        <v>26</v>
      </c>
      <c r="G8662" s="53"/>
    </row>
    <row r="8663">
      <c r="A8663" s="49">
        <v>44603.955143125</v>
      </c>
      <c r="B8663" s="50">
        <v>44604.0801200115</v>
      </c>
      <c r="C8663" s="51">
        <v>1.004</v>
      </c>
      <c r="D8663" s="51">
        <v>64.0</v>
      </c>
      <c r="E8663" s="52" t="s">
        <v>25</v>
      </c>
      <c r="F8663" s="52" t="s">
        <v>26</v>
      </c>
      <c r="G8663" s="53"/>
    </row>
    <row r="8664">
      <c r="A8664" s="49">
        <v>44603.965579247684</v>
      </c>
      <c r="B8664" s="50">
        <v>44604.0905520601</v>
      </c>
      <c r="C8664" s="51">
        <v>1.004</v>
      </c>
      <c r="D8664" s="51">
        <v>63.0</v>
      </c>
      <c r="E8664" s="52" t="s">
        <v>25</v>
      </c>
      <c r="F8664" s="52" t="s">
        <v>26</v>
      </c>
      <c r="G8664" s="53"/>
    </row>
    <row r="8665">
      <c r="A8665" s="49">
        <v>44603.976000891205</v>
      </c>
      <c r="B8665" s="50">
        <v>44604.1009729513</v>
      </c>
      <c r="C8665" s="51">
        <v>1.004</v>
      </c>
      <c r="D8665" s="51">
        <v>64.0</v>
      </c>
      <c r="E8665" s="52" t="s">
        <v>25</v>
      </c>
      <c r="F8665" s="52" t="s">
        <v>26</v>
      </c>
      <c r="G8665" s="53"/>
    </row>
    <row r="8666">
      <c r="A8666" s="49">
        <v>44603.98642696759</v>
      </c>
      <c r="B8666" s="50">
        <v>44604.1114049305</v>
      </c>
      <c r="C8666" s="51">
        <v>1.004</v>
      </c>
      <c r="D8666" s="51">
        <v>64.0</v>
      </c>
      <c r="E8666" s="52" t="s">
        <v>25</v>
      </c>
      <c r="F8666" s="52" t="s">
        <v>26</v>
      </c>
      <c r="G8666" s="53"/>
    </row>
    <row r="8667">
      <c r="A8667" s="49">
        <v>44603.99689725695</v>
      </c>
      <c r="B8667" s="50">
        <v>44604.1218734606</v>
      </c>
      <c r="C8667" s="51">
        <v>1.004</v>
      </c>
      <c r="D8667" s="51">
        <v>64.0</v>
      </c>
      <c r="E8667" s="52" t="s">
        <v>25</v>
      </c>
      <c r="F8667" s="52" t="s">
        <v>26</v>
      </c>
      <c r="G8667" s="53"/>
    </row>
    <row r="8668">
      <c r="A8668" s="49">
        <v>44604.00732116898</v>
      </c>
      <c r="B8668" s="50">
        <v>44604.1322959722</v>
      </c>
      <c r="C8668" s="51">
        <v>1.003</v>
      </c>
      <c r="D8668" s="51">
        <v>64.0</v>
      </c>
      <c r="E8668" s="52" t="s">
        <v>25</v>
      </c>
      <c r="F8668" s="52" t="s">
        <v>26</v>
      </c>
      <c r="G8668" s="53"/>
    </row>
    <row r="8669">
      <c r="A8669" s="49">
        <v>44604.01775924768</v>
      </c>
      <c r="B8669" s="50">
        <v>44604.1427297569</v>
      </c>
      <c r="C8669" s="51">
        <v>1.004</v>
      </c>
      <c r="D8669" s="51">
        <v>63.0</v>
      </c>
      <c r="E8669" s="52" t="s">
        <v>25</v>
      </c>
      <c r="F8669" s="52" t="s">
        <v>26</v>
      </c>
      <c r="G8669" s="53"/>
    </row>
    <row r="8670">
      <c r="A8670" s="49">
        <v>44604.028186979165</v>
      </c>
      <c r="B8670" s="50">
        <v>44604.1531626041</v>
      </c>
      <c r="C8670" s="51">
        <v>1.004</v>
      </c>
      <c r="D8670" s="51">
        <v>64.0</v>
      </c>
      <c r="E8670" s="52" t="s">
        <v>25</v>
      </c>
      <c r="F8670" s="52" t="s">
        <v>26</v>
      </c>
      <c r="G8670" s="53"/>
    </row>
    <row r="8671">
      <c r="A8671" s="49">
        <v>44604.03860694444</v>
      </c>
      <c r="B8671" s="50">
        <v>44604.163582824</v>
      </c>
      <c r="C8671" s="51">
        <v>1.004</v>
      </c>
      <c r="D8671" s="51">
        <v>63.0</v>
      </c>
      <c r="E8671" s="52" t="s">
        <v>25</v>
      </c>
      <c r="F8671" s="52" t="s">
        <v>26</v>
      </c>
      <c r="G8671" s="53"/>
    </row>
    <row r="8672">
      <c r="A8672" s="49">
        <v>44604.04902975695</v>
      </c>
      <c r="B8672" s="50">
        <v>44604.1740042824</v>
      </c>
      <c r="C8672" s="51">
        <v>1.004</v>
      </c>
      <c r="D8672" s="51">
        <v>63.0</v>
      </c>
      <c r="E8672" s="52" t="s">
        <v>25</v>
      </c>
      <c r="F8672" s="52" t="s">
        <v>26</v>
      </c>
      <c r="G8672" s="53"/>
    </row>
    <row r="8673">
      <c r="A8673" s="49">
        <v>44604.059452002315</v>
      </c>
      <c r="B8673" s="50">
        <v>44604.184424375</v>
      </c>
      <c r="C8673" s="51">
        <v>1.004</v>
      </c>
      <c r="D8673" s="51">
        <v>63.0</v>
      </c>
      <c r="E8673" s="52" t="s">
        <v>25</v>
      </c>
      <c r="F8673" s="52" t="s">
        <v>26</v>
      </c>
      <c r="G8673" s="53"/>
    </row>
    <row r="8674">
      <c r="A8674" s="49">
        <v>44604.06986855324</v>
      </c>
      <c r="B8674" s="50">
        <v>44604.1948467476</v>
      </c>
      <c r="C8674" s="51">
        <v>1.004</v>
      </c>
      <c r="D8674" s="51">
        <v>63.0</v>
      </c>
      <c r="E8674" s="52" t="s">
        <v>25</v>
      </c>
      <c r="F8674" s="52" t="s">
        <v>26</v>
      </c>
      <c r="G8674" s="53"/>
    </row>
    <row r="8675">
      <c r="A8675" s="49">
        <v>44604.08031752315</v>
      </c>
      <c r="B8675" s="50">
        <v>44604.2052911574</v>
      </c>
      <c r="C8675" s="51">
        <v>1.004</v>
      </c>
      <c r="D8675" s="51">
        <v>63.0</v>
      </c>
      <c r="E8675" s="52" t="s">
        <v>25</v>
      </c>
      <c r="F8675" s="52" t="s">
        <v>26</v>
      </c>
      <c r="G8675" s="53"/>
    </row>
    <row r="8676">
      <c r="A8676" s="49">
        <v>44604.090728738425</v>
      </c>
      <c r="B8676" s="50">
        <v>44604.2157114236</v>
      </c>
      <c r="C8676" s="51">
        <v>1.004</v>
      </c>
      <c r="D8676" s="51">
        <v>63.0</v>
      </c>
      <c r="E8676" s="52" t="s">
        <v>25</v>
      </c>
      <c r="F8676" s="52" t="s">
        <v>26</v>
      </c>
      <c r="G8676" s="53"/>
    </row>
    <row r="8677">
      <c r="A8677" s="49">
        <v>44604.10115570602</v>
      </c>
      <c r="B8677" s="50">
        <v>44604.2261322222</v>
      </c>
      <c r="C8677" s="51">
        <v>1.004</v>
      </c>
      <c r="D8677" s="51">
        <v>63.0</v>
      </c>
      <c r="E8677" s="52" t="s">
        <v>25</v>
      </c>
      <c r="F8677" s="52" t="s">
        <v>26</v>
      </c>
      <c r="G8677" s="53"/>
    </row>
    <row r="8678">
      <c r="A8678" s="49">
        <v>44604.111594305556</v>
      </c>
      <c r="B8678" s="50">
        <v>44604.2365645833</v>
      </c>
      <c r="C8678" s="51">
        <v>1.004</v>
      </c>
      <c r="D8678" s="51">
        <v>63.0</v>
      </c>
      <c r="E8678" s="52" t="s">
        <v>25</v>
      </c>
      <c r="F8678" s="52" t="s">
        <v>26</v>
      </c>
      <c r="G8678" s="53"/>
    </row>
    <row r="8679">
      <c r="A8679" s="49">
        <v>44604.1220071875</v>
      </c>
      <c r="B8679" s="50">
        <v>44604.2469849074</v>
      </c>
      <c r="C8679" s="51">
        <v>1.003</v>
      </c>
      <c r="D8679" s="51">
        <v>63.0</v>
      </c>
      <c r="E8679" s="52" t="s">
        <v>25</v>
      </c>
      <c r="F8679" s="52" t="s">
        <v>26</v>
      </c>
      <c r="G8679" s="53"/>
    </row>
    <row r="8680">
      <c r="A8680" s="49">
        <v>44604.132426041666</v>
      </c>
      <c r="B8680" s="50">
        <v>44604.2574058333</v>
      </c>
      <c r="C8680" s="51">
        <v>1.004</v>
      </c>
      <c r="D8680" s="51">
        <v>63.0</v>
      </c>
      <c r="E8680" s="52" t="s">
        <v>25</v>
      </c>
      <c r="F8680" s="52" t="s">
        <v>26</v>
      </c>
      <c r="G8680" s="53"/>
    </row>
    <row r="8681">
      <c r="A8681" s="49">
        <v>44604.142856481485</v>
      </c>
      <c r="B8681" s="50">
        <v>44604.2678273495</v>
      </c>
      <c r="C8681" s="51">
        <v>1.004</v>
      </c>
      <c r="D8681" s="51">
        <v>63.0</v>
      </c>
      <c r="E8681" s="52" t="s">
        <v>25</v>
      </c>
      <c r="F8681" s="52" t="s">
        <v>26</v>
      </c>
      <c r="G8681" s="53"/>
    </row>
    <row r="8682">
      <c r="A8682" s="49">
        <v>44604.15327571759</v>
      </c>
      <c r="B8682" s="50">
        <v>44604.2782489236</v>
      </c>
      <c r="C8682" s="51">
        <v>1.004</v>
      </c>
      <c r="D8682" s="51">
        <v>63.0</v>
      </c>
      <c r="E8682" s="52" t="s">
        <v>25</v>
      </c>
      <c r="F8682" s="52" t="s">
        <v>26</v>
      </c>
      <c r="G8682" s="53"/>
    </row>
    <row r="8683">
      <c r="A8683" s="49">
        <v>44604.163691863425</v>
      </c>
      <c r="B8683" s="50">
        <v>44604.2886699421</v>
      </c>
      <c r="C8683" s="51">
        <v>1.004</v>
      </c>
      <c r="D8683" s="51">
        <v>63.0</v>
      </c>
      <c r="E8683" s="52" t="s">
        <v>25</v>
      </c>
      <c r="F8683" s="52" t="s">
        <v>26</v>
      </c>
      <c r="G8683" s="53"/>
    </row>
    <row r="8684">
      <c r="A8684" s="49">
        <v>44604.17414407407</v>
      </c>
      <c r="B8684" s="50">
        <v>44604.29911603</v>
      </c>
      <c r="C8684" s="51">
        <v>1.004</v>
      </c>
      <c r="D8684" s="51">
        <v>63.0</v>
      </c>
      <c r="E8684" s="52" t="s">
        <v>25</v>
      </c>
      <c r="F8684" s="52" t="s">
        <v>26</v>
      </c>
      <c r="G8684" s="53"/>
    </row>
    <row r="8685">
      <c r="A8685" s="49">
        <v>44604.18456221065</v>
      </c>
      <c r="B8685" s="50">
        <v>44604.3095381481</v>
      </c>
      <c r="C8685" s="51">
        <v>1.004</v>
      </c>
      <c r="D8685" s="51">
        <v>63.0</v>
      </c>
      <c r="E8685" s="52" t="s">
        <v>25</v>
      </c>
      <c r="F8685" s="52" t="s">
        <v>26</v>
      </c>
      <c r="G8685" s="53"/>
    </row>
    <row r="8686">
      <c r="A8686" s="49">
        <v>44604.19498484954</v>
      </c>
      <c r="B8686" s="50">
        <v>44604.3199594444</v>
      </c>
      <c r="C8686" s="51">
        <v>1.004</v>
      </c>
      <c r="D8686" s="51">
        <v>63.0</v>
      </c>
      <c r="E8686" s="52" t="s">
        <v>25</v>
      </c>
      <c r="F8686" s="52" t="s">
        <v>26</v>
      </c>
      <c r="G8686" s="53"/>
    </row>
    <row r="8687">
      <c r="A8687" s="49">
        <v>44604.20543050926</v>
      </c>
      <c r="B8687" s="50">
        <v>44604.3304026388</v>
      </c>
      <c r="C8687" s="51">
        <v>1.004</v>
      </c>
      <c r="D8687" s="51">
        <v>63.0</v>
      </c>
      <c r="E8687" s="52" t="s">
        <v>25</v>
      </c>
      <c r="F8687" s="52" t="s">
        <v>26</v>
      </c>
      <c r="G8687" s="53"/>
    </row>
    <row r="8688">
      <c r="A8688" s="49">
        <v>44604.2158666551</v>
      </c>
      <c r="B8688" s="50">
        <v>44604.34083603</v>
      </c>
      <c r="C8688" s="51">
        <v>1.004</v>
      </c>
      <c r="D8688" s="51">
        <v>63.0</v>
      </c>
      <c r="E8688" s="52" t="s">
        <v>25</v>
      </c>
      <c r="F8688" s="52" t="s">
        <v>26</v>
      </c>
      <c r="G8688" s="53"/>
    </row>
    <row r="8689">
      <c r="A8689" s="49">
        <v>44604.22629342593</v>
      </c>
      <c r="B8689" s="50">
        <v>44604.3512688078</v>
      </c>
      <c r="C8689" s="51">
        <v>1.004</v>
      </c>
      <c r="D8689" s="51">
        <v>63.0</v>
      </c>
      <c r="E8689" s="52" t="s">
        <v>25</v>
      </c>
      <c r="F8689" s="52" t="s">
        <v>26</v>
      </c>
      <c r="G8689" s="53"/>
    </row>
    <row r="8690">
      <c r="A8690" s="49">
        <v>44604.23671545139</v>
      </c>
      <c r="B8690" s="50">
        <v>44604.3616895486</v>
      </c>
      <c r="C8690" s="51">
        <v>1.004</v>
      </c>
      <c r="D8690" s="51">
        <v>63.0</v>
      </c>
      <c r="E8690" s="52" t="s">
        <v>25</v>
      </c>
      <c r="F8690" s="52" t="s">
        <v>26</v>
      </c>
      <c r="G8690" s="53"/>
    </row>
    <row r="8691">
      <c r="A8691" s="49">
        <v>44604.24714399305</v>
      </c>
      <c r="B8691" s="50">
        <v>44604.3721217245</v>
      </c>
      <c r="C8691" s="51">
        <v>1.004</v>
      </c>
      <c r="D8691" s="51">
        <v>63.0</v>
      </c>
      <c r="E8691" s="52" t="s">
        <v>25</v>
      </c>
      <c r="F8691" s="52" t="s">
        <v>26</v>
      </c>
      <c r="G8691" s="53"/>
    </row>
    <row r="8692">
      <c r="A8692" s="49">
        <v>44604.25756171296</v>
      </c>
      <c r="B8692" s="50">
        <v>44604.3825423148</v>
      </c>
      <c r="C8692" s="51">
        <v>1.004</v>
      </c>
      <c r="D8692" s="51">
        <v>63.0</v>
      </c>
      <c r="E8692" s="52" t="s">
        <v>25</v>
      </c>
      <c r="F8692" s="52" t="s">
        <v>26</v>
      </c>
      <c r="G8692" s="53"/>
    </row>
    <row r="8693">
      <c r="A8693" s="49">
        <v>44604.268065069446</v>
      </c>
      <c r="B8693" s="50">
        <v>44604.3930329861</v>
      </c>
      <c r="C8693" s="51">
        <v>1.004</v>
      </c>
      <c r="D8693" s="51">
        <v>63.0</v>
      </c>
      <c r="E8693" s="52" t="s">
        <v>25</v>
      </c>
      <c r="F8693" s="52" t="s">
        <v>26</v>
      </c>
      <c r="G8693" s="53"/>
    </row>
    <row r="8694">
      <c r="A8694" s="49">
        <v>44604.278478078704</v>
      </c>
      <c r="B8694" s="50">
        <v>44604.4034535532</v>
      </c>
      <c r="C8694" s="51">
        <v>1.004</v>
      </c>
      <c r="D8694" s="51">
        <v>63.0</v>
      </c>
      <c r="E8694" s="52" t="s">
        <v>25</v>
      </c>
      <c r="F8694" s="52" t="s">
        <v>26</v>
      </c>
      <c r="G8694" s="53"/>
    </row>
    <row r="8695">
      <c r="A8695" s="49">
        <v>44604.2888972338</v>
      </c>
      <c r="B8695" s="50">
        <v>44604.4138751967</v>
      </c>
      <c r="C8695" s="51">
        <v>1.004</v>
      </c>
      <c r="D8695" s="51">
        <v>63.0</v>
      </c>
      <c r="E8695" s="52" t="s">
        <v>25</v>
      </c>
      <c r="F8695" s="52" t="s">
        <v>26</v>
      </c>
      <c r="G8695" s="53"/>
    </row>
    <row r="8696">
      <c r="A8696" s="49">
        <v>44604.29932752315</v>
      </c>
      <c r="B8696" s="50">
        <v>44604.4242993402</v>
      </c>
      <c r="C8696" s="51">
        <v>1.004</v>
      </c>
      <c r="D8696" s="51">
        <v>63.0</v>
      </c>
      <c r="E8696" s="52" t="s">
        <v>25</v>
      </c>
      <c r="F8696" s="52" t="s">
        <v>26</v>
      </c>
      <c r="G8696" s="53"/>
    </row>
    <row r="8697">
      <c r="A8697" s="49">
        <v>44604.3097500463</v>
      </c>
      <c r="B8697" s="50">
        <v>44604.4347221296</v>
      </c>
      <c r="C8697" s="51">
        <v>1.004</v>
      </c>
      <c r="D8697" s="51">
        <v>63.0</v>
      </c>
      <c r="E8697" s="52" t="s">
        <v>25</v>
      </c>
      <c r="F8697" s="52" t="s">
        <v>26</v>
      </c>
      <c r="G8697" s="53"/>
    </row>
    <row r="8698">
      <c r="A8698" s="49">
        <v>44604.32017465278</v>
      </c>
      <c r="B8698" s="50">
        <v>44604.4451450462</v>
      </c>
      <c r="C8698" s="51">
        <v>1.004</v>
      </c>
      <c r="D8698" s="51">
        <v>63.0</v>
      </c>
      <c r="E8698" s="52" t="s">
        <v>25</v>
      </c>
      <c r="F8698" s="52" t="s">
        <v>26</v>
      </c>
      <c r="G8698" s="53"/>
    </row>
    <row r="8699">
      <c r="A8699" s="49">
        <v>44604.33060284722</v>
      </c>
      <c r="B8699" s="50">
        <v>44604.4555779282</v>
      </c>
      <c r="C8699" s="51">
        <v>1.004</v>
      </c>
      <c r="D8699" s="51">
        <v>63.0</v>
      </c>
      <c r="E8699" s="52" t="s">
        <v>25</v>
      </c>
      <c r="F8699" s="52" t="s">
        <v>26</v>
      </c>
      <c r="G8699" s="53"/>
    </row>
    <row r="8700">
      <c r="A8700" s="49">
        <v>44604.34102302083</v>
      </c>
      <c r="B8700" s="50">
        <v>44604.4659979166</v>
      </c>
      <c r="C8700" s="51">
        <v>1.003</v>
      </c>
      <c r="D8700" s="51">
        <v>63.0</v>
      </c>
      <c r="E8700" s="52" t="s">
        <v>25</v>
      </c>
      <c r="F8700" s="52" t="s">
        <v>26</v>
      </c>
      <c r="G8700" s="53"/>
    </row>
    <row r="8701">
      <c r="A8701" s="49">
        <v>44604.35144706018</v>
      </c>
      <c r="B8701" s="50">
        <v>44604.4764192824</v>
      </c>
      <c r="C8701" s="51">
        <v>1.004</v>
      </c>
      <c r="D8701" s="51">
        <v>63.0</v>
      </c>
      <c r="E8701" s="52" t="s">
        <v>25</v>
      </c>
      <c r="F8701" s="52" t="s">
        <v>26</v>
      </c>
      <c r="G8701" s="53"/>
    </row>
    <row r="8702">
      <c r="A8702" s="49">
        <v>44604.361881006946</v>
      </c>
      <c r="B8702" s="50">
        <v>44604.4868532291</v>
      </c>
      <c r="C8702" s="51">
        <v>1.004</v>
      </c>
      <c r="D8702" s="51">
        <v>63.0</v>
      </c>
      <c r="E8702" s="52" t="s">
        <v>25</v>
      </c>
      <c r="F8702" s="52" t="s">
        <v>26</v>
      </c>
      <c r="G8702" s="53"/>
    </row>
    <row r="8703">
      <c r="A8703" s="49">
        <v>44604.372310266204</v>
      </c>
      <c r="B8703" s="50">
        <v>44604.4972867129</v>
      </c>
      <c r="C8703" s="51">
        <v>1.004</v>
      </c>
      <c r="D8703" s="51">
        <v>63.0</v>
      </c>
      <c r="E8703" s="52" t="s">
        <v>25</v>
      </c>
      <c r="F8703" s="52" t="s">
        <v>26</v>
      </c>
      <c r="G8703" s="53"/>
    </row>
    <row r="8704">
      <c r="A8704" s="49">
        <v>44604.38274239583</v>
      </c>
      <c r="B8704" s="50">
        <v>44604.5077078819</v>
      </c>
      <c r="C8704" s="51">
        <v>1.004</v>
      </c>
      <c r="D8704" s="51">
        <v>63.0</v>
      </c>
      <c r="E8704" s="52" t="s">
        <v>25</v>
      </c>
      <c r="F8704" s="52" t="s">
        <v>26</v>
      </c>
      <c r="G8704" s="53"/>
    </row>
    <row r="8705">
      <c r="A8705" s="49">
        <v>44604.3931728125</v>
      </c>
      <c r="B8705" s="50">
        <v>44604.5181308564</v>
      </c>
      <c r="C8705" s="51">
        <v>1.004</v>
      </c>
      <c r="D8705" s="51">
        <v>63.0</v>
      </c>
      <c r="E8705" s="52" t="s">
        <v>25</v>
      </c>
      <c r="F8705" s="52" t="s">
        <v>26</v>
      </c>
      <c r="G8705" s="53"/>
    </row>
    <row r="8706">
      <c r="A8706" s="49">
        <v>44604.40357350695</v>
      </c>
      <c r="B8706" s="50">
        <v>44604.5285531944</v>
      </c>
      <c r="C8706" s="51">
        <v>1.004</v>
      </c>
      <c r="D8706" s="51">
        <v>63.0</v>
      </c>
      <c r="E8706" s="52" t="s">
        <v>25</v>
      </c>
      <c r="F8706" s="52" t="s">
        <v>26</v>
      </c>
      <c r="G8706" s="53"/>
    </row>
    <row r="8707">
      <c r="A8707" s="49">
        <v>44604.41401137732</v>
      </c>
      <c r="B8707" s="50">
        <v>44604.5389851504</v>
      </c>
      <c r="C8707" s="51">
        <v>1.004</v>
      </c>
      <c r="D8707" s="51">
        <v>63.0</v>
      </c>
      <c r="E8707" s="52" t="s">
        <v>25</v>
      </c>
      <c r="F8707" s="52" t="s">
        <v>26</v>
      </c>
      <c r="G8707" s="53"/>
    </row>
    <row r="8708">
      <c r="A8708" s="49">
        <v>44604.424442337964</v>
      </c>
      <c r="B8708" s="50">
        <v>44604.5494045254</v>
      </c>
      <c r="C8708" s="51">
        <v>1.004</v>
      </c>
      <c r="D8708" s="51">
        <v>63.0</v>
      </c>
      <c r="E8708" s="52" t="s">
        <v>25</v>
      </c>
      <c r="F8708" s="52" t="s">
        <v>26</v>
      </c>
      <c r="G8708" s="53"/>
    </row>
    <row r="8709">
      <c r="A8709" s="49">
        <v>44604.43485800926</v>
      </c>
      <c r="B8709" s="50">
        <v>44604.5598269675</v>
      </c>
      <c r="C8709" s="51">
        <v>1.004</v>
      </c>
      <c r="D8709" s="51">
        <v>63.0</v>
      </c>
      <c r="E8709" s="52" t="s">
        <v>25</v>
      </c>
      <c r="F8709" s="52" t="s">
        <v>26</v>
      </c>
      <c r="G8709" s="53"/>
    </row>
    <row r="8710">
      <c r="A8710" s="49">
        <v>44604.44528561343</v>
      </c>
      <c r="B8710" s="50">
        <v>44604.5702497337</v>
      </c>
      <c r="C8710" s="51">
        <v>1.004</v>
      </c>
      <c r="D8710" s="51">
        <v>63.0</v>
      </c>
      <c r="E8710" s="52" t="s">
        <v>25</v>
      </c>
      <c r="F8710" s="52" t="s">
        <v>26</v>
      </c>
      <c r="G8710" s="53"/>
    </row>
    <row r="8711">
      <c r="A8711" s="49">
        <v>44604.455713993055</v>
      </c>
      <c r="B8711" s="50">
        <v>44604.5806840393</v>
      </c>
      <c r="C8711" s="51">
        <v>1.004</v>
      </c>
      <c r="D8711" s="51">
        <v>63.0</v>
      </c>
      <c r="E8711" s="52" t="s">
        <v>25</v>
      </c>
      <c r="F8711" s="52" t="s">
        <v>26</v>
      </c>
      <c r="G8711" s="53"/>
    </row>
    <row r="8712">
      <c r="A8712" s="49">
        <v>44604.46613832176</v>
      </c>
      <c r="B8712" s="50">
        <v>44604.5911053356</v>
      </c>
      <c r="C8712" s="51">
        <v>1.004</v>
      </c>
      <c r="D8712" s="51">
        <v>63.0</v>
      </c>
      <c r="E8712" s="52" t="s">
        <v>25</v>
      </c>
      <c r="F8712" s="52" t="s">
        <v>26</v>
      </c>
      <c r="G8712" s="53"/>
    </row>
    <row r="8713">
      <c r="A8713" s="49">
        <v>44604.47657244213</v>
      </c>
      <c r="B8713" s="50">
        <v>44604.6015391898</v>
      </c>
      <c r="C8713" s="51">
        <v>1.004</v>
      </c>
      <c r="D8713" s="51">
        <v>63.0</v>
      </c>
      <c r="E8713" s="52" t="s">
        <v>25</v>
      </c>
      <c r="F8713" s="52" t="s">
        <v>26</v>
      </c>
      <c r="G8713" s="53"/>
    </row>
    <row r="8714">
      <c r="A8714" s="49">
        <v>44604.48703015046</v>
      </c>
      <c r="B8714" s="50">
        <v>44604.6119951157</v>
      </c>
      <c r="C8714" s="51">
        <v>1.004</v>
      </c>
      <c r="D8714" s="51">
        <v>63.0</v>
      </c>
      <c r="E8714" s="52" t="s">
        <v>25</v>
      </c>
      <c r="F8714" s="52" t="s">
        <v>26</v>
      </c>
      <c r="G8714" s="53"/>
    </row>
    <row r="8715">
      <c r="A8715" s="49">
        <v>44604.49744922454</v>
      </c>
      <c r="B8715" s="50">
        <v>44604.6224154513</v>
      </c>
      <c r="C8715" s="51">
        <v>1.004</v>
      </c>
      <c r="D8715" s="51">
        <v>63.0</v>
      </c>
      <c r="E8715" s="52" t="s">
        <v>25</v>
      </c>
      <c r="F8715" s="52" t="s">
        <v>26</v>
      </c>
      <c r="G8715" s="53"/>
    </row>
    <row r="8716">
      <c r="A8716" s="49">
        <v>44604.50787689815</v>
      </c>
      <c r="B8716" s="50">
        <v>44604.6328506365</v>
      </c>
      <c r="C8716" s="51">
        <v>1.004</v>
      </c>
      <c r="D8716" s="51">
        <v>63.0</v>
      </c>
      <c r="E8716" s="52" t="s">
        <v>25</v>
      </c>
      <c r="F8716" s="52" t="s">
        <v>26</v>
      </c>
      <c r="G8716" s="53"/>
    </row>
    <row r="8717">
      <c r="A8717" s="49">
        <v>44604.518324641205</v>
      </c>
      <c r="B8717" s="50">
        <v>44604.6432852083</v>
      </c>
      <c r="C8717" s="51">
        <v>1.004</v>
      </c>
      <c r="D8717" s="51">
        <v>63.0</v>
      </c>
      <c r="E8717" s="52" t="s">
        <v>25</v>
      </c>
      <c r="F8717" s="52" t="s">
        <v>26</v>
      </c>
      <c r="G8717" s="53"/>
    </row>
    <row r="8718">
      <c r="A8718" s="49">
        <v>44604.52875311342</v>
      </c>
      <c r="B8718" s="50">
        <v>44604.6537195717</v>
      </c>
      <c r="C8718" s="51">
        <v>1.004</v>
      </c>
      <c r="D8718" s="51">
        <v>63.0</v>
      </c>
      <c r="E8718" s="52" t="s">
        <v>25</v>
      </c>
      <c r="F8718" s="52" t="s">
        <v>26</v>
      </c>
      <c r="G8718" s="53"/>
    </row>
    <row r="8719">
      <c r="A8719" s="49">
        <v>44604.53918978009</v>
      </c>
      <c r="B8719" s="50">
        <v>44604.6641523842</v>
      </c>
      <c r="C8719" s="51">
        <v>1.004</v>
      </c>
      <c r="D8719" s="51">
        <v>63.0</v>
      </c>
      <c r="E8719" s="52" t="s">
        <v>25</v>
      </c>
      <c r="F8719" s="52" t="s">
        <v>26</v>
      </c>
      <c r="G8719" s="53"/>
    </row>
    <row r="8720">
      <c r="A8720" s="49">
        <v>44604.54962818287</v>
      </c>
      <c r="B8720" s="50">
        <v>44604.6745971064</v>
      </c>
      <c r="C8720" s="51">
        <v>1.004</v>
      </c>
      <c r="D8720" s="51">
        <v>63.0</v>
      </c>
      <c r="E8720" s="52" t="s">
        <v>25</v>
      </c>
      <c r="F8720" s="52" t="s">
        <v>26</v>
      </c>
      <c r="G8720" s="53"/>
    </row>
    <row r="8721">
      <c r="A8721" s="49">
        <v>44604.560051203705</v>
      </c>
      <c r="B8721" s="50">
        <v>44604.6850198032</v>
      </c>
      <c r="C8721" s="51">
        <v>1.004</v>
      </c>
      <c r="D8721" s="51">
        <v>63.0</v>
      </c>
      <c r="E8721" s="52" t="s">
        <v>25</v>
      </c>
      <c r="F8721" s="52" t="s">
        <v>26</v>
      </c>
      <c r="G8721" s="53"/>
    </row>
    <row r="8722">
      <c r="A8722" s="49">
        <v>44604.5704750463</v>
      </c>
      <c r="B8722" s="50">
        <v>44604.6954416898</v>
      </c>
      <c r="C8722" s="51">
        <v>1.003</v>
      </c>
      <c r="D8722" s="51">
        <v>63.0</v>
      </c>
      <c r="E8722" s="52" t="s">
        <v>25</v>
      </c>
      <c r="F8722" s="52" t="s">
        <v>26</v>
      </c>
      <c r="G8722" s="53"/>
    </row>
    <row r="8723">
      <c r="A8723" s="49">
        <v>44604.58091715278</v>
      </c>
      <c r="B8723" s="50">
        <v>44604.7058842129</v>
      </c>
      <c r="C8723" s="51">
        <v>1.004</v>
      </c>
      <c r="D8723" s="51">
        <v>63.0</v>
      </c>
      <c r="E8723" s="52" t="s">
        <v>25</v>
      </c>
      <c r="F8723" s="52" t="s">
        <v>26</v>
      </c>
      <c r="G8723" s="53"/>
    </row>
    <row r="8724">
      <c r="A8724" s="49">
        <v>44604.591347037036</v>
      </c>
      <c r="B8724" s="50">
        <v>44604.7163165393</v>
      </c>
      <c r="C8724" s="51">
        <v>1.004</v>
      </c>
      <c r="D8724" s="51">
        <v>63.0</v>
      </c>
      <c r="E8724" s="52" t="s">
        <v>25</v>
      </c>
      <c r="F8724" s="52" t="s">
        <v>26</v>
      </c>
      <c r="G8724" s="53"/>
    </row>
    <row r="8725">
      <c r="A8725" s="49">
        <v>44604.601776180556</v>
      </c>
      <c r="B8725" s="50">
        <v>44604.7267501388</v>
      </c>
      <c r="C8725" s="51">
        <v>1.004</v>
      </c>
      <c r="D8725" s="51">
        <v>63.0</v>
      </c>
      <c r="E8725" s="52" t="s">
        <v>25</v>
      </c>
      <c r="F8725" s="52" t="s">
        <v>26</v>
      </c>
      <c r="G8725" s="53"/>
    </row>
    <row r="8726">
      <c r="A8726" s="49">
        <v>44604.61221184028</v>
      </c>
      <c r="B8726" s="50">
        <v>44604.7371845601</v>
      </c>
      <c r="C8726" s="51">
        <v>1.004</v>
      </c>
      <c r="D8726" s="51">
        <v>63.0</v>
      </c>
      <c r="E8726" s="52" t="s">
        <v>25</v>
      </c>
      <c r="F8726" s="52" t="s">
        <v>26</v>
      </c>
      <c r="G8726" s="53"/>
    </row>
    <row r="8727">
      <c r="A8727" s="49">
        <v>44604.622631192135</v>
      </c>
      <c r="B8727" s="50">
        <v>44604.7476050231</v>
      </c>
      <c r="C8727" s="51">
        <v>1.004</v>
      </c>
      <c r="D8727" s="51">
        <v>63.0</v>
      </c>
      <c r="E8727" s="52" t="s">
        <v>25</v>
      </c>
      <c r="F8727" s="52" t="s">
        <v>26</v>
      </c>
      <c r="G8727" s="53"/>
    </row>
    <row r="8728">
      <c r="A8728" s="49">
        <v>44604.63306443287</v>
      </c>
      <c r="B8728" s="50">
        <v>44604.7580373379</v>
      </c>
      <c r="C8728" s="51">
        <v>1.004</v>
      </c>
      <c r="D8728" s="51">
        <v>63.0</v>
      </c>
      <c r="E8728" s="52" t="s">
        <v>25</v>
      </c>
      <c r="F8728" s="52" t="s">
        <v>26</v>
      </c>
      <c r="G8728" s="53"/>
    </row>
    <row r="8729">
      <c r="A8729" s="49">
        <v>44604.64349631945</v>
      </c>
      <c r="B8729" s="50">
        <v>44604.768459618</v>
      </c>
      <c r="C8729" s="51">
        <v>1.004</v>
      </c>
      <c r="D8729" s="51">
        <v>63.0</v>
      </c>
      <c r="E8729" s="52" t="s">
        <v>25</v>
      </c>
      <c r="F8729" s="52" t="s">
        <v>26</v>
      </c>
      <c r="G8729" s="53"/>
    </row>
    <row r="8730">
      <c r="A8730" s="49">
        <v>44604.653912905094</v>
      </c>
      <c r="B8730" s="50">
        <v>44604.7788814583</v>
      </c>
      <c r="C8730" s="51">
        <v>1.004</v>
      </c>
      <c r="D8730" s="51">
        <v>63.0</v>
      </c>
      <c r="E8730" s="52" t="s">
        <v>25</v>
      </c>
      <c r="F8730" s="52" t="s">
        <v>26</v>
      </c>
      <c r="G8730" s="53"/>
    </row>
    <row r="8731">
      <c r="A8731" s="49">
        <v>44604.66434592592</v>
      </c>
      <c r="B8731" s="50">
        <v>44604.7893137036</v>
      </c>
      <c r="C8731" s="51">
        <v>1.004</v>
      </c>
      <c r="D8731" s="51">
        <v>63.0</v>
      </c>
      <c r="E8731" s="52" t="s">
        <v>25</v>
      </c>
      <c r="F8731" s="52" t="s">
        <v>26</v>
      </c>
      <c r="G8731" s="53"/>
    </row>
    <row r="8732">
      <c r="A8732" s="49">
        <v>44604.67476517361</v>
      </c>
      <c r="B8732" s="50">
        <v>44604.7997357175</v>
      </c>
      <c r="C8732" s="51">
        <v>1.004</v>
      </c>
      <c r="D8732" s="51">
        <v>63.0</v>
      </c>
      <c r="E8732" s="52" t="s">
        <v>25</v>
      </c>
      <c r="F8732" s="52" t="s">
        <v>26</v>
      </c>
      <c r="G8732" s="53"/>
    </row>
    <row r="8733">
      <c r="A8733" s="49">
        <v>44604.68521293982</v>
      </c>
      <c r="B8733" s="50">
        <v>44604.8101813078</v>
      </c>
      <c r="C8733" s="51">
        <v>1.004</v>
      </c>
      <c r="D8733" s="51">
        <v>63.0</v>
      </c>
      <c r="E8733" s="52" t="s">
        <v>25</v>
      </c>
      <c r="F8733" s="52" t="s">
        <v>26</v>
      </c>
      <c r="G8733" s="53"/>
    </row>
    <row r="8734">
      <c r="A8734" s="49">
        <v>44604.695630069444</v>
      </c>
      <c r="B8734" s="50">
        <v>44604.8206023611</v>
      </c>
      <c r="C8734" s="51">
        <v>1.004</v>
      </c>
      <c r="D8734" s="51">
        <v>63.0</v>
      </c>
      <c r="E8734" s="52" t="s">
        <v>25</v>
      </c>
      <c r="F8734" s="52" t="s">
        <v>26</v>
      </c>
      <c r="G8734" s="53"/>
    </row>
    <row r="8735">
      <c r="A8735" s="49">
        <v>44604.70606059028</v>
      </c>
      <c r="B8735" s="50">
        <v>44604.8310353703</v>
      </c>
      <c r="C8735" s="51">
        <v>1.003</v>
      </c>
      <c r="D8735" s="51">
        <v>63.0</v>
      </c>
      <c r="E8735" s="52" t="s">
        <v>25</v>
      </c>
      <c r="F8735" s="52" t="s">
        <v>26</v>
      </c>
      <c r="G8735" s="53"/>
    </row>
    <row r="8736">
      <c r="A8736" s="49">
        <v>44604.716488171296</v>
      </c>
      <c r="B8736" s="50">
        <v>44604.8414565972</v>
      </c>
      <c r="C8736" s="51">
        <v>1.004</v>
      </c>
      <c r="D8736" s="51">
        <v>63.0</v>
      </c>
      <c r="E8736" s="52" t="s">
        <v>25</v>
      </c>
      <c r="F8736" s="52" t="s">
        <v>26</v>
      </c>
      <c r="G8736" s="53"/>
    </row>
    <row r="8737">
      <c r="A8737" s="49">
        <v>44604.72693282407</v>
      </c>
      <c r="B8737" s="50">
        <v>44604.8519005787</v>
      </c>
      <c r="C8737" s="51">
        <v>1.004</v>
      </c>
      <c r="D8737" s="51">
        <v>63.0</v>
      </c>
      <c r="E8737" s="52" t="s">
        <v>25</v>
      </c>
      <c r="F8737" s="52" t="s">
        <v>26</v>
      </c>
      <c r="G8737" s="53"/>
    </row>
    <row r="8738">
      <c r="A8738" s="49">
        <v>44604.737374062504</v>
      </c>
      <c r="B8738" s="50">
        <v>44604.8623462152</v>
      </c>
      <c r="C8738" s="51">
        <v>1.004</v>
      </c>
      <c r="D8738" s="51">
        <v>63.0</v>
      </c>
      <c r="E8738" s="52" t="s">
        <v>25</v>
      </c>
      <c r="F8738" s="52" t="s">
        <v>26</v>
      </c>
      <c r="G8738" s="53"/>
    </row>
    <row r="8739">
      <c r="A8739" s="49">
        <v>44604.74781858796</v>
      </c>
      <c r="B8739" s="50">
        <v>44604.872791493</v>
      </c>
      <c r="C8739" s="51">
        <v>1.004</v>
      </c>
      <c r="D8739" s="51">
        <v>63.0</v>
      </c>
      <c r="E8739" s="52" t="s">
        <v>25</v>
      </c>
      <c r="F8739" s="52" t="s">
        <v>26</v>
      </c>
      <c r="G8739" s="53"/>
    </row>
    <row r="8740">
      <c r="A8740" s="49">
        <v>44604.758242372685</v>
      </c>
      <c r="B8740" s="50">
        <v>44604.8832128819</v>
      </c>
      <c r="C8740" s="51">
        <v>1.004</v>
      </c>
      <c r="D8740" s="51">
        <v>63.0</v>
      </c>
      <c r="E8740" s="52" t="s">
        <v>25</v>
      </c>
      <c r="F8740" s="52" t="s">
        <v>26</v>
      </c>
      <c r="G8740" s="53"/>
    </row>
    <row r="8741">
      <c r="A8741" s="49">
        <v>44604.76866056713</v>
      </c>
      <c r="B8741" s="50">
        <v>44604.8936356365</v>
      </c>
      <c r="C8741" s="51">
        <v>1.004</v>
      </c>
      <c r="D8741" s="51">
        <v>63.0</v>
      </c>
      <c r="E8741" s="52" t="s">
        <v>25</v>
      </c>
      <c r="F8741" s="52" t="s">
        <v>26</v>
      </c>
      <c r="G8741" s="53"/>
    </row>
    <row r="8742">
      <c r="A8742" s="49">
        <v>44604.77908209491</v>
      </c>
      <c r="B8742" s="50">
        <v>44604.904056875</v>
      </c>
      <c r="C8742" s="51">
        <v>1.003</v>
      </c>
      <c r="D8742" s="51">
        <v>63.0</v>
      </c>
      <c r="E8742" s="52" t="s">
        <v>25</v>
      </c>
      <c r="F8742" s="52" t="s">
        <v>26</v>
      </c>
      <c r="G8742" s="53"/>
    </row>
    <row r="8743">
      <c r="A8743" s="49">
        <v>44604.78950893518</v>
      </c>
      <c r="B8743" s="50">
        <v>44604.9144790046</v>
      </c>
      <c r="C8743" s="51">
        <v>1.004</v>
      </c>
      <c r="D8743" s="51">
        <v>63.0</v>
      </c>
      <c r="E8743" s="52" t="s">
        <v>25</v>
      </c>
      <c r="F8743" s="52" t="s">
        <v>26</v>
      </c>
      <c r="G8743" s="53"/>
    </row>
    <row r="8744">
      <c r="A8744" s="49">
        <v>44604.79995284722</v>
      </c>
      <c r="B8744" s="50">
        <v>44604.924923831</v>
      </c>
      <c r="C8744" s="51">
        <v>1.004</v>
      </c>
      <c r="D8744" s="51">
        <v>63.0</v>
      </c>
      <c r="E8744" s="52" t="s">
        <v>25</v>
      </c>
      <c r="F8744" s="52" t="s">
        <v>26</v>
      </c>
      <c r="G8744" s="53"/>
    </row>
    <row r="8745">
      <c r="A8745" s="49">
        <v>44604.81038521991</v>
      </c>
      <c r="B8745" s="50">
        <v>44604.9353571064</v>
      </c>
      <c r="C8745" s="51">
        <v>1.004</v>
      </c>
      <c r="D8745" s="51">
        <v>63.0</v>
      </c>
      <c r="E8745" s="52" t="s">
        <v>25</v>
      </c>
      <c r="F8745" s="52" t="s">
        <v>26</v>
      </c>
      <c r="G8745" s="53"/>
    </row>
    <row r="8746">
      <c r="A8746" s="49">
        <v>44604.8208074537</v>
      </c>
      <c r="B8746" s="50">
        <v>44604.9457775925</v>
      </c>
      <c r="C8746" s="51">
        <v>1.004</v>
      </c>
      <c r="D8746" s="51">
        <v>63.0</v>
      </c>
      <c r="E8746" s="52" t="s">
        <v>25</v>
      </c>
      <c r="F8746" s="52" t="s">
        <v>26</v>
      </c>
      <c r="G8746" s="53"/>
    </row>
    <row r="8747">
      <c r="A8747" s="49">
        <v>44604.83123462963</v>
      </c>
      <c r="B8747" s="50">
        <v>44604.9562110763</v>
      </c>
      <c r="C8747" s="51">
        <v>1.004</v>
      </c>
      <c r="D8747" s="51">
        <v>63.0</v>
      </c>
      <c r="E8747" s="52" t="s">
        <v>25</v>
      </c>
      <c r="F8747" s="52" t="s">
        <v>26</v>
      </c>
      <c r="G8747" s="53"/>
    </row>
    <row r="8748">
      <c r="A8748" s="49">
        <v>44604.84166547454</v>
      </c>
      <c r="B8748" s="50">
        <v>44604.9666334722</v>
      </c>
      <c r="C8748" s="51">
        <v>1.004</v>
      </c>
      <c r="D8748" s="51">
        <v>63.0</v>
      </c>
      <c r="E8748" s="52" t="s">
        <v>25</v>
      </c>
      <c r="F8748" s="52" t="s">
        <v>26</v>
      </c>
      <c r="G8748" s="53"/>
    </row>
    <row r="8749">
      <c r="A8749" s="49">
        <v>44604.85208332176</v>
      </c>
      <c r="B8749" s="50">
        <v>44604.9770559838</v>
      </c>
      <c r="C8749" s="51">
        <v>1.004</v>
      </c>
      <c r="D8749" s="51">
        <v>63.0</v>
      </c>
      <c r="E8749" s="52" t="s">
        <v>25</v>
      </c>
      <c r="F8749" s="52" t="s">
        <v>26</v>
      </c>
      <c r="G8749" s="53"/>
    </row>
    <row r="8750">
      <c r="A8750" s="49">
        <v>44604.86250991898</v>
      </c>
      <c r="B8750" s="50">
        <v>44604.987476956</v>
      </c>
      <c r="C8750" s="51">
        <v>1.004</v>
      </c>
      <c r="D8750" s="51">
        <v>63.0</v>
      </c>
      <c r="E8750" s="52" t="s">
        <v>25</v>
      </c>
      <c r="F8750" s="52" t="s">
        <v>26</v>
      </c>
      <c r="G8750" s="53"/>
    </row>
    <row r="8751">
      <c r="A8751" s="49">
        <v>44604.87293254629</v>
      </c>
      <c r="B8751" s="50">
        <v>44604.9978992939</v>
      </c>
      <c r="C8751" s="51">
        <v>1.004</v>
      </c>
      <c r="D8751" s="51">
        <v>63.0</v>
      </c>
      <c r="E8751" s="52" t="s">
        <v>25</v>
      </c>
      <c r="F8751" s="52" t="s">
        <v>26</v>
      </c>
      <c r="G8751" s="53"/>
    </row>
    <row r="8752">
      <c r="A8752" s="49">
        <v>44604.883356377315</v>
      </c>
      <c r="B8752" s="50">
        <v>44605.0083207175</v>
      </c>
      <c r="C8752" s="51">
        <v>1.004</v>
      </c>
      <c r="D8752" s="51">
        <v>63.0</v>
      </c>
      <c r="E8752" s="52" t="s">
        <v>25</v>
      </c>
      <c r="F8752" s="52" t="s">
        <v>26</v>
      </c>
      <c r="G8752" s="53"/>
    </row>
    <row r="8753">
      <c r="A8753" s="49">
        <v>44604.8938016551</v>
      </c>
      <c r="B8753" s="50">
        <v>44605.0187652083</v>
      </c>
      <c r="C8753" s="51">
        <v>1.004</v>
      </c>
      <c r="D8753" s="51">
        <v>63.0</v>
      </c>
      <c r="E8753" s="52" t="s">
        <v>25</v>
      </c>
      <c r="F8753" s="52" t="s">
        <v>26</v>
      </c>
      <c r="G8753" s="53"/>
    </row>
    <row r="8754">
      <c r="A8754" s="49">
        <v>44604.904229699074</v>
      </c>
      <c r="B8754" s="50">
        <v>44605.0291970023</v>
      </c>
      <c r="C8754" s="51">
        <v>1.003</v>
      </c>
      <c r="D8754" s="51">
        <v>63.0</v>
      </c>
      <c r="E8754" s="52" t="s">
        <v>25</v>
      </c>
      <c r="F8754" s="52" t="s">
        <v>26</v>
      </c>
      <c r="G8754" s="53"/>
    </row>
    <row r="8755">
      <c r="A8755" s="49">
        <v>44604.914652673615</v>
      </c>
      <c r="B8755" s="50">
        <v>44605.0396168287</v>
      </c>
      <c r="C8755" s="51">
        <v>1.003</v>
      </c>
      <c r="D8755" s="51">
        <v>63.0</v>
      </c>
      <c r="E8755" s="52" t="s">
        <v>25</v>
      </c>
      <c r="F8755" s="52" t="s">
        <v>26</v>
      </c>
      <c r="G8755" s="53"/>
    </row>
    <row r="8756">
      <c r="A8756" s="49">
        <v>44604.92508325231</v>
      </c>
      <c r="B8756" s="50">
        <v>44605.0500491435</v>
      </c>
      <c r="C8756" s="51">
        <v>1.004</v>
      </c>
      <c r="D8756" s="51">
        <v>63.0</v>
      </c>
      <c r="E8756" s="52" t="s">
        <v>25</v>
      </c>
      <c r="F8756" s="52" t="s">
        <v>26</v>
      </c>
      <c r="G8756" s="53"/>
    </row>
    <row r="8757">
      <c r="A8757" s="49">
        <v>44604.93555721064</v>
      </c>
      <c r="B8757" s="50">
        <v>44605.0605295023</v>
      </c>
      <c r="C8757" s="51">
        <v>1.004</v>
      </c>
      <c r="D8757" s="51">
        <v>63.0</v>
      </c>
      <c r="E8757" s="52" t="s">
        <v>25</v>
      </c>
      <c r="F8757" s="52" t="s">
        <v>26</v>
      </c>
      <c r="G8757" s="53"/>
    </row>
    <row r="8758">
      <c r="A8758" s="49">
        <v>44604.94598454861</v>
      </c>
      <c r="B8758" s="50">
        <v>44605.0709495717</v>
      </c>
      <c r="C8758" s="51">
        <v>1.004</v>
      </c>
      <c r="D8758" s="51">
        <v>63.0</v>
      </c>
      <c r="E8758" s="52" t="s">
        <v>25</v>
      </c>
      <c r="F8758" s="52" t="s">
        <v>26</v>
      </c>
      <c r="G8758" s="53"/>
    </row>
    <row r="8759">
      <c r="A8759" s="49">
        <v>44604.95640726852</v>
      </c>
      <c r="B8759" s="50">
        <v>44605.0813830324</v>
      </c>
      <c r="C8759" s="51">
        <v>1.004</v>
      </c>
      <c r="D8759" s="51">
        <v>63.0</v>
      </c>
      <c r="E8759" s="52" t="s">
        <v>25</v>
      </c>
      <c r="F8759" s="52" t="s">
        <v>26</v>
      </c>
      <c r="G8759" s="53"/>
    </row>
    <row r="8760">
      <c r="A8760" s="49">
        <v>44604.96684579861</v>
      </c>
      <c r="B8760" s="50">
        <v>44605.0918041435</v>
      </c>
      <c r="C8760" s="51">
        <v>1.004</v>
      </c>
      <c r="D8760" s="51">
        <v>63.0</v>
      </c>
      <c r="E8760" s="52" t="s">
        <v>25</v>
      </c>
      <c r="F8760" s="52" t="s">
        <v>26</v>
      </c>
      <c r="G8760" s="53"/>
    </row>
    <row r="8761">
      <c r="A8761" s="49">
        <v>44604.97726230324</v>
      </c>
      <c r="B8761" s="50">
        <v>44605.1022264004</v>
      </c>
      <c r="C8761" s="51">
        <v>1.004</v>
      </c>
      <c r="D8761" s="51">
        <v>63.0</v>
      </c>
      <c r="E8761" s="52" t="s">
        <v>25</v>
      </c>
      <c r="F8761" s="52" t="s">
        <v>26</v>
      </c>
      <c r="G8761" s="53"/>
    </row>
    <row r="8762">
      <c r="A8762" s="49">
        <v>44604.98767858796</v>
      </c>
      <c r="B8762" s="50">
        <v>44605.1126481481</v>
      </c>
      <c r="C8762" s="51">
        <v>1.004</v>
      </c>
      <c r="D8762" s="51">
        <v>63.0</v>
      </c>
      <c r="E8762" s="52" t="s">
        <v>25</v>
      </c>
      <c r="F8762" s="52" t="s">
        <v>26</v>
      </c>
      <c r="G8762" s="53"/>
    </row>
    <row r="8763">
      <c r="A8763" s="49">
        <v>44604.99809894676</v>
      </c>
      <c r="B8763" s="50">
        <v>44605.1230657407</v>
      </c>
      <c r="C8763" s="51">
        <v>1.004</v>
      </c>
      <c r="D8763" s="51">
        <v>63.0</v>
      </c>
      <c r="E8763" s="52" t="s">
        <v>25</v>
      </c>
      <c r="F8763" s="52" t="s">
        <v>26</v>
      </c>
      <c r="G8763" s="53"/>
    </row>
    <row r="8764">
      <c r="A8764" s="49">
        <v>44605.008521655094</v>
      </c>
      <c r="B8764" s="50">
        <v>44605.1334858217</v>
      </c>
      <c r="C8764" s="51">
        <v>1.004</v>
      </c>
      <c r="D8764" s="51">
        <v>63.0</v>
      </c>
      <c r="E8764" s="52" t="s">
        <v>25</v>
      </c>
      <c r="F8764" s="52" t="s">
        <v>26</v>
      </c>
      <c r="G8764" s="53"/>
    </row>
    <row r="8765">
      <c r="A8765" s="49">
        <v>44605.01893672453</v>
      </c>
      <c r="B8765" s="50">
        <v>44605.1439083564</v>
      </c>
      <c r="C8765" s="51">
        <v>1.004</v>
      </c>
      <c r="D8765" s="51">
        <v>63.0</v>
      </c>
      <c r="E8765" s="52" t="s">
        <v>25</v>
      </c>
      <c r="F8765" s="52" t="s">
        <v>26</v>
      </c>
      <c r="G8765" s="53"/>
    </row>
    <row r="8766">
      <c r="A8766" s="49">
        <v>44605.02935939815</v>
      </c>
      <c r="B8766" s="50">
        <v>44605.1543300462</v>
      </c>
      <c r="C8766" s="51">
        <v>1.004</v>
      </c>
      <c r="D8766" s="51">
        <v>63.0</v>
      </c>
      <c r="E8766" s="52" t="s">
        <v>25</v>
      </c>
      <c r="F8766" s="52" t="s">
        <v>26</v>
      </c>
      <c r="G8766" s="53"/>
    </row>
    <row r="8767">
      <c r="A8767" s="49">
        <v>44605.0397978125</v>
      </c>
      <c r="B8767" s="50">
        <v>44605.1647619212</v>
      </c>
      <c r="C8767" s="51">
        <v>1.004</v>
      </c>
      <c r="D8767" s="51">
        <v>63.0</v>
      </c>
      <c r="E8767" s="52" t="s">
        <v>25</v>
      </c>
      <c r="F8767" s="52" t="s">
        <v>26</v>
      </c>
      <c r="G8767" s="53"/>
    </row>
    <row r="8768">
      <c r="A8768" s="49">
        <v>44605.05022483796</v>
      </c>
      <c r="B8768" s="50">
        <v>44605.1751926967</v>
      </c>
      <c r="C8768" s="51">
        <v>1.004</v>
      </c>
      <c r="D8768" s="51">
        <v>63.0</v>
      </c>
      <c r="E8768" s="52" t="s">
        <v>25</v>
      </c>
      <c r="F8768" s="52" t="s">
        <v>26</v>
      </c>
      <c r="G8768" s="53"/>
    </row>
    <row r="8769">
      <c r="A8769" s="49">
        <v>44605.06064862269</v>
      </c>
      <c r="B8769" s="50">
        <v>44605.1856129629</v>
      </c>
      <c r="C8769" s="51">
        <v>1.004</v>
      </c>
      <c r="D8769" s="51">
        <v>63.0</v>
      </c>
      <c r="E8769" s="52" t="s">
        <v>25</v>
      </c>
      <c r="F8769" s="52" t="s">
        <v>26</v>
      </c>
      <c r="G8769" s="53"/>
    </row>
    <row r="8770">
      <c r="A8770" s="49">
        <v>44605.07107820602</v>
      </c>
      <c r="B8770" s="50">
        <v>44605.1960352893</v>
      </c>
      <c r="C8770" s="51">
        <v>1.004</v>
      </c>
      <c r="D8770" s="51">
        <v>63.0</v>
      </c>
      <c r="E8770" s="52" t="s">
        <v>25</v>
      </c>
      <c r="F8770" s="52" t="s">
        <v>26</v>
      </c>
      <c r="G8770" s="53"/>
    </row>
    <row r="8771">
      <c r="A8771" s="49">
        <v>44605.08153403935</v>
      </c>
      <c r="B8771" s="50">
        <v>44605.2065026851</v>
      </c>
      <c r="C8771" s="51">
        <v>1.004</v>
      </c>
      <c r="D8771" s="51">
        <v>63.0</v>
      </c>
      <c r="E8771" s="52" t="s">
        <v>25</v>
      </c>
      <c r="F8771" s="52" t="s">
        <v>26</v>
      </c>
      <c r="G8771" s="53"/>
    </row>
    <row r="8772">
      <c r="A8772" s="49">
        <v>44605.09195796296</v>
      </c>
      <c r="B8772" s="50">
        <v>44605.2169220138</v>
      </c>
      <c r="C8772" s="51">
        <v>1.004</v>
      </c>
      <c r="D8772" s="51">
        <v>63.0</v>
      </c>
      <c r="E8772" s="52" t="s">
        <v>25</v>
      </c>
      <c r="F8772" s="52" t="s">
        <v>26</v>
      </c>
      <c r="G8772" s="53"/>
    </row>
    <row r="8773">
      <c r="A8773" s="49">
        <v>44605.10236668981</v>
      </c>
      <c r="B8773" s="50">
        <v>44605.2273438541</v>
      </c>
      <c r="C8773" s="51">
        <v>1.004</v>
      </c>
      <c r="D8773" s="51">
        <v>63.0</v>
      </c>
      <c r="E8773" s="52" t="s">
        <v>25</v>
      </c>
      <c r="F8773" s="52" t="s">
        <v>26</v>
      </c>
      <c r="G8773" s="53"/>
    </row>
    <row r="8774">
      <c r="A8774" s="49">
        <v>44605.11279704861</v>
      </c>
      <c r="B8774" s="50">
        <v>44605.2377645254</v>
      </c>
      <c r="C8774" s="51">
        <v>1.004</v>
      </c>
      <c r="D8774" s="51">
        <v>63.0</v>
      </c>
      <c r="E8774" s="52" t="s">
        <v>25</v>
      </c>
      <c r="F8774" s="52" t="s">
        <v>26</v>
      </c>
      <c r="G8774" s="53"/>
    </row>
    <row r="8775">
      <c r="A8775" s="49">
        <v>44605.123220277776</v>
      </c>
      <c r="B8775" s="50">
        <v>44605.2481857754</v>
      </c>
      <c r="C8775" s="51">
        <v>1.004</v>
      </c>
      <c r="D8775" s="51">
        <v>63.0</v>
      </c>
      <c r="E8775" s="52" t="s">
        <v>25</v>
      </c>
      <c r="F8775" s="52" t="s">
        <v>26</v>
      </c>
      <c r="G8775" s="53"/>
    </row>
    <row r="8776">
      <c r="A8776" s="49">
        <v>44605.13364015047</v>
      </c>
      <c r="B8776" s="50">
        <v>44605.2586063657</v>
      </c>
      <c r="C8776" s="51">
        <v>1.003</v>
      </c>
      <c r="D8776" s="51">
        <v>63.0</v>
      </c>
      <c r="E8776" s="52" t="s">
        <v>25</v>
      </c>
      <c r="F8776" s="52" t="s">
        <v>26</v>
      </c>
      <c r="G8776" s="53"/>
    </row>
    <row r="8777">
      <c r="A8777" s="49">
        <v>44605.14406395833</v>
      </c>
      <c r="B8777" s="50">
        <v>44605.2690285185</v>
      </c>
      <c r="C8777" s="51">
        <v>1.004</v>
      </c>
      <c r="D8777" s="51">
        <v>63.0</v>
      </c>
      <c r="E8777" s="52" t="s">
        <v>25</v>
      </c>
      <c r="F8777" s="52" t="s">
        <v>26</v>
      </c>
      <c r="G8777" s="53"/>
    </row>
    <row r="8778">
      <c r="A8778" s="49">
        <v>44605.15448693287</v>
      </c>
      <c r="B8778" s="50">
        <v>44605.2794500231</v>
      </c>
      <c r="C8778" s="51">
        <v>1.003</v>
      </c>
      <c r="D8778" s="51">
        <v>63.0</v>
      </c>
      <c r="E8778" s="52" t="s">
        <v>25</v>
      </c>
      <c r="F8778" s="52" t="s">
        <v>26</v>
      </c>
      <c r="G8778" s="53"/>
    </row>
    <row r="8779">
      <c r="A8779" s="49">
        <v>44605.16490559028</v>
      </c>
      <c r="B8779" s="50">
        <v>44605.2898702893</v>
      </c>
      <c r="C8779" s="51">
        <v>1.003</v>
      </c>
      <c r="D8779" s="51">
        <v>63.0</v>
      </c>
      <c r="E8779" s="52" t="s">
        <v>25</v>
      </c>
      <c r="F8779" s="52" t="s">
        <v>26</v>
      </c>
      <c r="G8779" s="53"/>
    </row>
    <row r="8780">
      <c r="A8780" s="49">
        <v>44605.175351921294</v>
      </c>
      <c r="B8780" s="50">
        <v>44605.3003258449</v>
      </c>
      <c r="C8780" s="51">
        <v>1.004</v>
      </c>
      <c r="D8780" s="51">
        <v>63.0</v>
      </c>
      <c r="E8780" s="52" t="s">
        <v>25</v>
      </c>
      <c r="F8780" s="52" t="s">
        <v>26</v>
      </c>
      <c r="G8780" s="53"/>
    </row>
    <row r="8781">
      <c r="A8781" s="49">
        <v>44605.18578083333</v>
      </c>
      <c r="B8781" s="50">
        <v>44605.3107477777</v>
      </c>
      <c r="C8781" s="51">
        <v>1.003</v>
      </c>
      <c r="D8781" s="51">
        <v>63.0</v>
      </c>
      <c r="E8781" s="52" t="s">
        <v>25</v>
      </c>
      <c r="F8781" s="52" t="s">
        <v>26</v>
      </c>
      <c r="G8781" s="53"/>
    </row>
    <row r="8782">
      <c r="A8782" s="49">
        <v>44605.196198668986</v>
      </c>
      <c r="B8782" s="50">
        <v>44605.3211705324</v>
      </c>
      <c r="C8782" s="51">
        <v>1.004</v>
      </c>
      <c r="D8782" s="51">
        <v>63.0</v>
      </c>
      <c r="E8782" s="52" t="s">
        <v>25</v>
      </c>
      <c r="F8782" s="52" t="s">
        <v>26</v>
      </c>
      <c r="G8782" s="53"/>
    </row>
    <row r="8783">
      <c r="A8783" s="49">
        <v>44605.20668822917</v>
      </c>
      <c r="B8783" s="50">
        <v>44605.3316511111</v>
      </c>
      <c r="C8783" s="51">
        <v>1.004</v>
      </c>
      <c r="D8783" s="51">
        <v>63.0</v>
      </c>
      <c r="E8783" s="52" t="s">
        <v>25</v>
      </c>
      <c r="F8783" s="52" t="s">
        <v>26</v>
      </c>
      <c r="G8783" s="53"/>
    </row>
    <row r="8784">
      <c r="A8784" s="49">
        <v>44605.21710743055</v>
      </c>
      <c r="B8784" s="50">
        <v>44605.3420710763</v>
      </c>
      <c r="C8784" s="51">
        <v>1.003</v>
      </c>
      <c r="D8784" s="51">
        <v>63.0</v>
      </c>
      <c r="E8784" s="52" t="s">
        <v>25</v>
      </c>
      <c r="F8784" s="52" t="s">
        <v>26</v>
      </c>
      <c r="G8784" s="53"/>
    </row>
    <row r="8785">
      <c r="A8785" s="49">
        <v>44605.227526585644</v>
      </c>
      <c r="B8785" s="50">
        <v>44605.3524915162</v>
      </c>
      <c r="C8785" s="51">
        <v>1.004</v>
      </c>
      <c r="D8785" s="51">
        <v>63.0</v>
      </c>
      <c r="E8785" s="52" t="s">
        <v>25</v>
      </c>
      <c r="F8785" s="52" t="s">
        <v>26</v>
      </c>
      <c r="G8785" s="53"/>
    </row>
    <row r="8786">
      <c r="A8786" s="49">
        <v>44605.237938101855</v>
      </c>
      <c r="B8786" s="50">
        <v>44605.3629151851</v>
      </c>
      <c r="C8786" s="51">
        <v>1.004</v>
      </c>
      <c r="D8786" s="51">
        <v>63.0</v>
      </c>
      <c r="E8786" s="52" t="s">
        <v>25</v>
      </c>
      <c r="F8786" s="52" t="s">
        <v>26</v>
      </c>
      <c r="G8786" s="53"/>
    </row>
    <row r="8787">
      <c r="A8787" s="49">
        <v>44605.24836265046</v>
      </c>
      <c r="B8787" s="50">
        <v>44605.3733358449</v>
      </c>
      <c r="C8787" s="51">
        <v>1.004</v>
      </c>
      <c r="D8787" s="51">
        <v>63.0</v>
      </c>
      <c r="E8787" s="52" t="s">
        <v>25</v>
      </c>
      <c r="F8787" s="52" t="s">
        <v>26</v>
      </c>
      <c r="G8787" s="53"/>
    </row>
    <row r="8788">
      <c r="A8788" s="49">
        <v>44605.2587978588</v>
      </c>
      <c r="B8788" s="50">
        <v>44605.3837682523</v>
      </c>
      <c r="C8788" s="51">
        <v>1.004</v>
      </c>
      <c r="D8788" s="51">
        <v>63.0</v>
      </c>
      <c r="E8788" s="52" t="s">
        <v>25</v>
      </c>
      <c r="F8788" s="52" t="s">
        <v>26</v>
      </c>
      <c r="G8788" s="53"/>
    </row>
    <row r="8789">
      <c r="A8789" s="49">
        <v>44605.26922429398</v>
      </c>
      <c r="B8789" s="50">
        <v>44605.3941909027</v>
      </c>
      <c r="C8789" s="51">
        <v>1.004</v>
      </c>
      <c r="D8789" s="51">
        <v>63.0</v>
      </c>
      <c r="E8789" s="52" t="s">
        <v>25</v>
      </c>
      <c r="F8789" s="52" t="s">
        <v>26</v>
      </c>
      <c r="G8789" s="53"/>
    </row>
    <row r="8790">
      <c r="A8790" s="49">
        <v>44605.27964849537</v>
      </c>
      <c r="B8790" s="50">
        <v>44605.4046120717</v>
      </c>
      <c r="C8790" s="51">
        <v>1.004</v>
      </c>
      <c r="D8790" s="51">
        <v>63.0</v>
      </c>
      <c r="E8790" s="52" t="s">
        <v>25</v>
      </c>
      <c r="F8790" s="52" t="s">
        <v>26</v>
      </c>
      <c r="G8790" s="53"/>
    </row>
    <row r="8791">
      <c r="A8791" s="49">
        <v>44605.290077384256</v>
      </c>
      <c r="B8791" s="50">
        <v>44605.4150447569</v>
      </c>
      <c r="C8791" s="51">
        <v>1.004</v>
      </c>
      <c r="D8791" s="51">
        <v>63.0</v>
      </c>
      <c r="E8791" s="52" t="s">
        <v>25</v>
      </c>
      <c r="F8791" s="52" t="s">
        <v>26</v>
      </c>
      <c r="G8791" s="53"/>
    </row>
    <row r="8792">
      <c r="A8792" s="49">
        <v>44605.30051261574</v>
      </c>
      <c r="B8792" s="50">
        <v>44605.4254754282</v>
      </c>
      <c r="C8792" s="51">
        <v>1.004</v>
      </c>
      <c r="D8792" s="51">
        <v>63.0</v>
      </c>
      <c r="E8792" s="52" t="s">
        <v>25</v>
      </c>
      <c r="F8792" s="52" t="s">
        <v>26</v>
      </c>
      <c r="G8792" s="53"/>
    </row>
    <row r="8793">
      <c r="A8793" s="49">
        <v>44605.310926562495</v>
      </c>
      <c r="B8793" s="50">
        <v>44605.4358971875</v>
      </c>
      <c r="C8793" s="51">
        <v>1.004</v>
      </c>
      <c r="D8793" s="51">
        <v>63.0</v>
      </c>
      <c r="E8793" s="52" t="s">
        <v>25</v>
      </c>
      <c r="F8793" s="52" t="s">
        <v>26</v>
      </c>
      <c r="G8793" s="53"/>
    </row>
    <row r="8794">
      <c r="A8794" s="49">
        <v>44605.32138123843</v>
      </c>
      <c r="B8794" s="50">
        <v>44605.4463412152</v>
      </c>
      <c r="C8794" s="51">
        <v>1.004</v>
      </c>
      <c r="D8794" s="51">
        <v>63.0</v>
      </c>
      <c r="E8794" s="52" t="s">
        <v>25</v>
      </c>
      <c r="F8794" s="52" t="s">
        <v>26</v>
      </c>
      <c r="G8794" s="53"/>
    </row>
    <row r="8795">
      <c r="A8795" s="49">
        <v>44605.33180534722</v>
      </c>
      <c r="B8795" s="50">
        <v>44605.4567634722</v>
      </c>
      <c r="C8795" s="51">
        <v>1.004</v>
      </c>
      <c r="D8795" s="51">
        <v>63.0</v>
      </c>
      <c r="E8795" s="52" t="s">
        <v>25</v>
      </c>
      <c r="F8795" s="52" t="s">
        <v>26</v>
      </c>
      <c r="G8795" s="53"/>
    </row>
    <row r="8796">
      <c r="A8796" s="49">
        <v>44605.34222664352</v>
      </c>
      <c r="B8796" s="50">
        <v>44605.467185405</v>
      </c>
      <c r="C8796" s="51">
        <v>1.004</v>
      </c>
      <c r="D8796" s="51">
        <v>63.0</v>
      </c>
      <c r="E8796" s="52" t="s">
        <v>25</v>
      </c>
      <c r="F8796" s="52" t="s">
        <v>26</v>
      </c>
      <c r="G8796" s="53"/>
    </row>
    <row r="8797">
      <c r="A8797" s="49">
        <v>44605.352641261576</v>
      </c>
      <c r="B8797" s="50">
        <v>44605.477605625</v>
      </c>
      <c r="C8797" s="51">
        <v>1.004</v>
      </c>
      <c r="D8797" s="51">
        <v>63.0</v>
      </c>
      <c r="E8797" s="52" t="s">
        <v>25</v>
      </c>
      <c r="F8797" s="52" t="s">
        <v>26</v>
      </c>
      <c r="G8797" s="53"/>
    </row>
    <row r="8798">
      <c r="A8798" s="49">
        <v>44605.363065405094</v>
      </c>
      <c r="B8798" s="50">
        <v>44605.4880239583</v>
      </c>
      <c r="C8798" s="51">
        <v>1.004</v>
      </c>
      <c r="D8798" s="51">
        <v>63.0</v>
      </c>
      <c r="E8798" s="52" t="s">
        <v>25</v>
      </c>
      <c r="F8798" s="52" t="s">
        <v>26</v>
      </c>
      <c r="G8798" s="53"/>
    </row>
    <row r="8799">
      <c r="A8799" s="49">
        <v>44605.37347398148</v>
      </c>
      <c r="B8799" s="50">
        <v>44605.4984453703</v>
      </c>
      <c r="C8799" s="51">
        <v>1.004</v>
      </c>
      <c r="D8799" s="51">
        <v>63.0</v>
      </c>
      <c r="E8799" s="52" t="s">
        <v>25</v>
      </c>
      <c r="F8799" s="52" t="s">
        <v>26</v>
      </c>
      <c r="G8799" s="53"/>
    </row>
    <row r="8800">
      <c r="A8800" s="49">
        <v>44605.38390181713</v>
      </c>
      <c r="B8800" s="50">
        <v>44605.5088673263</v>
      </c>
      <c r="C8800" s="51">
        <v>1.004</v>
      </c>
      <c r="D8800" s="51">
        <v>63.0</v>
      </c>
      <c r="E8800" s="52" t="s">
        <v>25</v>
      </c>
      <c r="F8800" s="52" t="s">
        <v>26</v>
      </c>
      <c r="G8800" s="53"/>
    </row>
    <row r="8801">
      <c r="A8801" s="49">
        <v>44605.39432047454</v>
      </c>
      <c r="B8801" s="50">
        <v>44605.519287824</v>
      </c>
      <c r="C8801" s="51">
        <v>1.004</v>
      </c>
      <c r="D8801" s="51">
        <v>63.0</v>
      </c>
      <c r="E8801" s="52" t="s">
        <v>25</v>
      </c>
      <c r="F8801" s="52" t="s">
        <v>26</v>
      </c>
      <c r="G8801" s="53"/>
    </row>
    <row r="8802">
      <c r="A8802" s="49">
        <v>44605.40474491898</v>
      </c>
      <c r="B8802" s="50">
        <v>44605.5297086689</v>
      </c>
      <c r="C8802" s="51">
        <v>1.004</v>
      </c>
      <c r="D8802" s="51">
        <v>63.0</v>
      </c>
      <c r="E8802" s="52" t="s">
        <v>25</v>
      </c>
      <c r="F8802" s="52" t="s">
        <v>26</v>
      </c>
      <c r="G8802" s="53"/>
    </row>
    <row r="8803">
      <c r="A8803" s="49">
        <v>44605.41516645833</v>
      </c>
      <c r="B8803" s="50">
        <v>44605.5401306134</v>
      </c>
      <c r="C8803" s="51">
        <v>1.004</v>
      </c>
      <c r="D8803" s="51">
        <v>63.0</v>
      </c>
      <c r="E8803" s="52" t="s">
        <v>25</v>
      </c>
      <c r="F8803" s="52" t="s">
        <v>26</v>
      </c>
      <c r="G8803" s="53"/>
    </row>
  </sheetData>
  <customSheetViews>
    <customSheetView guid="{8935FD39-7017-4CA9-9817-37E1DC9B12FC}" filter="1" showAutoFilter="1">
      <autoFilter ref="$B$1:$E$8803"/>
    </customSheetView>
    <customSheetView guid="{7B30447F-437A-4EF0-BE07-7AF5BFF72038}" filter="1" showAutoFilter="1">
      <autoFilter ref="$B$1:$E$2">
        <filterColumn colId="3">
          <filters>
            <filter val="BLACK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48" t="s">
        <v>27</v>
      </c>
    </row>
    <row r="2">
      <c r="A2" s="54" t="s">
        <v>28</v>
      </c>
    </row>
    <row r="3">
      <c r="A3" s="54" t="s">
        <v>29</v>
      </c>
    </row>
    <row r="4">
      <c r="A4" s="54" t="s">
        <v>30</v>
      </c>
    </row>
    <row r="5">
      <c r="A5" s="54" t="s">
        <v>31</v>
      </c>
    </row>
    <row r="6">
      <c r="A6" s="54" t="s">
        <v>32</v>
      </c>
    </row>
    <row r="7">
      <c r="A7" s="54" t="s">
        <v>33</v>
      </c>
    </row>
  </sheetData>
  <drawing r:id="rId1"/>
</worksheet>
</file>